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ur City Our Home Prop. C Oversight Comm\10a. May 3, 2021 Special Meeting\Materials for Posting\"/>
    </mc:Choice>
  </mc:AlternateContent>
  <xr:revisionPtr revIDLastSave="0" documentId="13_ncr:1_{114F3980-9FB8-4D68-891C-A0175EE0951F}" xr6:coauthVersionLast="45" xr6:coauthVersionMax="45" xr10:uidLastSave="{00000000-0000-0000-0000-000000000000}"/>
  <bookViews>
    <workbookView xWindow="-108" yWindow="-108" windowWidth="23256" windowHeight="12576" xr2:uid="{9E09E2AE-4614-4394-9F94-67B48FF4F517}"/>
  </bookViews>
  <sheets>
    <sheet name="5.4.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C16" i="2"/>
  <c r="I181" i="2" l="1"/>
  <c r="H181" i="2"/>
  <c r="G181" i="2"/>
  <c r="I179" i="2"/>
  <c r="H179" i="2"/>
  <c r="I180" i="2"/>
  <c r="H180" i="2"/>
  <c r="E177" i="2"/>
  <c r="D177" i="2"/>
  <c r="G179" i="2"/>
  <c r="G178" i="2"/>
  <c r="C178" i="2"/>
  <c r="G54" i="2"/>
  <c r="C54" i="2"/>
  <c r="G37" i="2"/>
  <c r="C37" i="2"/>
  <c r="G7" i="2"/>
  <c r="C7" i="2"/>
  <c r="C127" i="2"/>
  <c r="G127" i="2"/>
  <c r="E59" i="2" l="1"/>
  <c r="C59" i="2"/>
  <c r="D59" i="2"/>
  <c r="C143" i="2"/>
  <c r="C141" i="2" s="1"/>
  <c r="J102" i="2" l="1"/>
  <c r="I102" i="2"/>
  <c r="H102" i="2"/>
  <c r="G102" i="2"/>
  <c r="G110" i="2"/>
  <c r="I110" i="2"/>
  <c r="H110" i="2"/>
  <c r="G16" i="2" l="1"/>
  <c r="E141" i="2"/>
  <c r="D141" i="2"/>
  <c r="I141" i="2"/>
  <c r="H143" i="2"/>
  <c r="H141" i="2" s="1"/>
  <c r="I118" i="2" l="1"/>
  <c r="H118" i="2"/>
  <c r="G118" i="2"/>
  <c r="I97" i="2"/>
  <c r="H97" i="2"/>
  <c r="G97" i="2"/>
  <c r="I93" i="2"/>
  <c r="H93" i="2"/>
  <c r="G93" i="2"/>
  <c r="E93" i="2" l="1"/>
  <c r="D93" i="2"/>
  <c r="G169" i="2" l="1"/>
  <c r="G167" i="2"/>
  <c r="I159" i="2"/>
  <c r="H159" i="2"/>
  <c r="G159" i="2"/>
  <c r="F159" i="2"/>
  <c r="E159" i="2"/>
  <c r="D159" i="2"/>
  <c r="C159" i="2"/>
  <c r="D158" i="2"/>
  <c r="D155" i="2" s="1"/>
  <c r="G156" i="2"/>
  <c r="G155" i="2" s="1"/>
  <c r="I155" i="2"/>
  <c r="H155" i="2"/>
  <c r="H152" i="2" s="1"/>
  <c r="H153" i="2" s="1"/>
  <c r="F155" i="2"/>
  <c r="F152" i="2" s="1"/>
  <c r="E155" i="2"/>
  <c r="E152" i="2" s="1"/>
  <c r="E153" i="2" s="1"/>
  <c r="C155" i="2"/>
  <c r="J152" i="2"/>
  <c r="G151" i="2"/>
  <c r="G146" i="2"/>
  <c r="G144" i="2"/>
  <c r="F141" i="2"/>
  <c r="J138" i="2"/>
  <c r="I138" i="2"/>
  <c r="H138" i="2"/>
  <c r="G138" i="2"/>
  <c r="F138" i="2"/>
  <c r="E138" i="2"/>
  <c r="D138" i="2"/>
  <c r="C138" i="2"/>
  <c r="J131" i="2"/>
  <c r="J127" i="2" s="1"/>
  <c r="I131" i="2"/>
  <c r="H131" i="2"/>
  <c r="H127" i="2" s="1"/>
  <c r="H128" i="2" s="1"/>
  <c r="G131" i="2"/>
  <c r="F131" i="2"/>
  <c r="E131" i="2"/>
  <c r="E127" i="2" s="1"/>
  <c r="E128" i="2" s="1"/>
  <c r="D131" i="2"/>
  <c r="D127" i="2" s="1"/>
  <c r="D128" i="2" s="1"/>
  <c r="C131" i="2"/>
  <c r="C128" i="2" s="1"/>
  <c r="C129" i="2" s="1"/>
  <c r="G126" i="2"/>
  <c r="H90" i="2"/>
  <c r="H91" i="2" s="1"/>
  <c r="G90" i="2"/>
  <c r="G91" i="2" s="1"/>
  <c r="E118" i="2"/>
  <c r="D118" i="2"/>
  <c r="C118" i="2"/>
  <c r="E110" i="2"/>
  <c r="D110" i="2"/>
  <c r="C110" i="2"/>
  <c r="F102" i="2"/>
  <c r="F90" i="2" s="1"/>
  <c r="E102" i="2"/>
  <c r="D102" i="2"/>
  <c r="C102" i="2"/>
  <c r="E97" i="2"/>
  <c r="D97" i="2"/>
  <c r="C97" i="2"/>
  <c r="I90" i="2"/>
  <c r="I91" i="2" s="1"/>
  <c r="C93" i="2"/>
  <c r="J90" i="2"/>
  <c r="E78" i="2"/>
  <c r="I177" i="2" s="1"/>
  <c r="D78" i="2"/>
  <c r="H177" i="2" s="1"/>
  <c r="C78" i="2"/>
  <c r="G78" i="2" s="1"/>
  <c r="I72" i="2"/>
  <c r="H72" i="2"/>
  <c r="G72" i="2"/>
  <c r="G70" i="2"/>
  <c r="G69" i="2"/>
  <c r="J68" i="2"/>
  <c r="I68" i="2"/>
  <c r="I67" i="2" s="1"/>
  <c r="H68" i="2"/>
  <c r="H67" i="2" s="1"/>
  <c r="G68" i="2"/>
  <c r="F67" i="2"/>
  <c r="E67" i="2"/>
  <c r="D67" i="2"/>
  <c r="C67" i="2"/>
  <c r="I65" i="2"/>
  <c r="I64" i="2" s="1"/>
  <c r="H65" i="2"/>
  <c r="H64" i="2" s="1"/>
  <c r="G65" i="2"/>
  <c r="G64" i="2" s="1"/>
  <c r="F64" i="2"/>
  <c r="E64" i="2"/>
  <c r="D64" i="2"/>
  <c r="C64" i="2"/>
  <c r="I62" i="2"/>
  <c r="H62" i="2"/>
  <c r="G62" i="2"/>
  <c r="F62" i="2"/>
  <c r="E62" i="2"/>
  <c r="D62" i="2"/>
  <c r="C62" i="2"/>
  <c r="G59" i="2"/>
  <c r="G58" i="2" s="1"/>
  <c r="D58" i="2"/>
  <c r="C58" i="2"/>
  <c r="I58" i="2"/>
  <c r="H58" i="2"/>
  <c r="E58" i="2"/>
  <c r="J55" i="2"/>
  <c r="G53" i="2"/>
  <c r="G48" i="2"/>
  <c r="I46" i="2"/>
  <c r="I45" i="2" s="1"/>
  <c r="H46" i="2"/>
  <c r="H45" i="2" s="1"/>
  <c r="G46" i="2"/>
  <c r="G45" i="2" s="1"/>
  <c r="J45" i="2"/>
  <c r="J38" i="2" s="1"/>
  <c r="F45" i="2"/>
  <c r="F38" i="2" s="1"/>
  <c r="E45" i="2"/>
  <c r="D45" i="2"/>
  <c r="C45" i="2"/>
  <c r="G42" i="2"/>
  <c r="G41" i="2" s="1"/>
  <c r="C42" i="2"/>
  <c r="C41" i="2" s="1"/>
  <c r="I41" i="2"/>
  <c r="H41" i="2"/>
  <c r="E41" i="2"/>
  <c r="D41" i="2"/>
  <c r="G36" i="2"/>
  <c r="G31" i="2"/>
  <c r="C29" i="2"/>
  <c r="G29" i="2" s="1"/>
  <c r="G27" i="2"/>
  <c r="G25" i="2"/>
  <c r="J23" i="2"/>
  <c r="I23" i="2"/>
  <c r="H23" i="2"/>
  <c r="G23" i="2"/>
  <c r="F23" i="2"/>
  <c r="E23" i="2"/>
  <c r="E84" i="2" s="1"/>
  <c r="D23" i="2"/>
  <c r="C23" i="2"/>
  <c r="J21" i="2"/>
  <c r="G21" i="2"/>
  <c r="J20" i="2"/>
  <c r="G20" i="2"/>
  <c r="I19" i="2"/>
  <c r="H19" i="2"/>
  <c r="F19" i="2"/>
  <c r="E19" i="2"/>
  <c r="D19" i="2"/>
  <c r="C19" i="2"/>
  <c r="C15" i="2"/>
  <c r="I15" i="2"/>
  <c r="H15" i="2"/>
  <c r="G15" i="2"/>
  <c r="E15" i="2"/>
  <c r="D15" i="2"/>
  <c r="E11" i="2"/>
  <c r="D11" i="2"/>
  <c r="J11" i="2"/>
  <c r="I11" i="2"/>
  <c r="H11" i="2"/>
  <c r="G11" i="2"/>
  <c r="F11" i="2"/>
  <c r="C11" i="2"/>
  <c r="J6" i="2"/>
  <c r="G6" i="2"/>
  <c r="D55" i="2" l="1"/>
  <c r="E55" i="2"/>
  <c r="D38" i="2"/>
  <c r="D39" i="2" s="1"/>
  <c r="C84" i="2"/>
  <c r="F55" i="2"/>
  <c r="D84" i="2"/>
  <c r="E90" i="2"/>
  <c r="E91" i="2" s="1"/>
  <c r="I152" i="2"/>
  <c r="I153" i="2" s="1"/>
  <c r="E38" i="2"/>
  <c r="E39" i="2" s="1"/>
  <c r="I8" i="2"/>
  <c r="I9" i="2" s="1"/>
  <c r="C8" i="2"/>
  <c r="C9" i="2" s="1"/>
  <c r="C79" i="2"/>
  <c r="D8" i="2"/>
  <c r="D9" i="2" s="1"/>
  <c r="E8" i="2"/>
  <c r="E83" i="2"/>
  <c r="E85" i="2" s="1"/>
  <c r="G152" i="2"/>
  <c r="F8" i="2"/>
  <c r="F80" i="2" s="1"/>
  <c r="G38" i="2"/>
  <c r="H78" i="2"/>
  <c r="H83" i="2" s="1"/>
  <c r="C90" i="2"/>
  <c r="C91" i="2" s="1"/>
  <c r="F127" i="2"/>
  <c r="H38" i="2"/>
  <c r="H39" i="2" s="1"/>
  <c r="I78" i="2"/>
  <c r="I83" i="2" s="1"/>
  <c r="H8" i="2"/>
  <c r="H9" i="2" s="1"/>
  <c r="I38" i="2"/>
  <c r="I39" i="2" s="1"/>
  <c r="C55" i="2"/>
  <c r="C56" i="2" s="1"/>
  <c r="C83" i="2"/>
  <c r="C85" i="2" s="1"/>
  <c r="C177" i="2"/>
  <c r="C38" i="2"/>
  <c r="C39" i="2" s="1"/>
  <c r="D83" i="2"/>
  <c r="D85" i="2" s="1"/>
  <c r="I127" i="2"/>
  <c r="I128" i="2" s="1"/>
  <c r="D152" i="2"/>
  <c r="D153" i="2" s="1"/>
  <c r="C152" i="2"/>
  <c r="C153" i="2" s="1"/>
  <c r="E56" i="2"/>
  <c r="G67" i="2"/>
  <c r="G84" i="2" s="1"/>
  <c r="J19" i="2"/>
  <c r="J8" i="2" s="1"/>
  <c r="J80" i="2" s="1"/>
  <c r="J180" i="2" s="1"/>
  <c r="D56" i="2"/>
  <c r="G19" i="2"/>
  <c r="G8" i="2" s="1"/>
  <c r="H55" i="2"/>
  <c r="H56" i="2" s="1"/>
  <c r="I84" i="2"/>
  <c r="H84" i="2"/>
  <c r="I55" i="2"/>
  <c r="I56" i="2" s="1"/>
  <c r="D90" i="2"/>
  <c r="D91" i="2" s="1"/>
  <c r="G79" i="2"/>
  <c r="G128" i="2"/>
  <c r="G153" i="2"/>
  <c r="G83" i="2"/>
  <c r="G177" i="2"/>
  <c r="G129" i="2" l="1"/>
  <c r="E80" i="2"/>
  <c r="E180" i="2" s="1"/>
  <c r="G55" i="2"/>
  <c r="G56" i="2" s="1"/>
  <c r="E9" i="2"/>
  <c r="C80" i="2"/>
  <c r="C180" i="2" s="1"/>
  <c r="F180" i="2"/>
  <c r="G39" i="2"/>
  <c r="D80" i="2"/>
  <c r="D180" i="2" s="1"/>
  <c r="H85" i="2"/>
  <c r="I85" i="2"/>
  <c r="G85" i="2"/>
  <c r="H80" i="2"/>
  <c r="H81" i="2" s="1"/>
  <c r="I80" i="2"/>
  <c r="I81" i="2" s="1"/>
  <c r="G9" i="2"/>
  <c r="G80" i="2"/>
  <c r="G81" i="2" s="1"/>
  <c r="D179" i="2" l="1"/>
  <c r="D181" i="2"/>
  <c r="C181" i="2"/>
  <c r="C179" i="2"/>
  <c r="E179" i="2"/>
  <c r="E181" i="2"/>
  <c r="E81" i="2"/>
  <c r="G180" i="2"/>
  <c r="C81" i="2"/>
  <c r="D81" i="2"/>
</calcChain>
</file>

<file path=xl/sharedStrings.xml><?xml version="1.0" encoding="utf-8"?>
<sst xmlns="http://schemas.openxmlformats.org/spreadsheetml/2006/main" count="394" uniqueCount="184">
  <si>
    <t xml:space="preserve">Our City, Our Home Fund </t>
  </si>
  <si>
    <t>Permanent Housing - General</t>
  </si>
  <si>
    <t>FY20-21 Balance &amp; Proposed Uses</t>
  </si>
  <si>
    <t>FY21-22 Balance &amp; Proposed Uses</t>
  </si>
  <si>
    <t>FY22-23 Balance &amp; Proposed Uses</t>
  </si>
  <si>
    <t>New Beds/ Units / Exits</t>
  </si>
  <si>
    <t>Investment Type</t>
  </si>
  <si>
    <t>Notes</t>
  </si>
  <si>
    <t>Estimated Balance</t>
  </si>
  <si>
    <t>Total Investments</t>
  </si>
  <si>
    <t>Estimated Balance after Investments</t>
  </si>
  <si>
    <t>Funding Priorties</t>
  </si>
  <si>
    <t>New Pipeline PSH</t>
  </si>
  <si>
    <t>12/20 release</t>
  </si>
  <si>
    <t>New HomeKey Projects: Operating</t>
  </si>
  <si>
    <t>Operating PSH</t>
  </si>
  <si>
    <t xml:space="preserve">Diva and Granada </t>
  </si>
  <si>
    <t>New HomeKey Projects: Acquisition</t>
  </si>
  <si>
    <t>Auqisition PSH</t>
  </si>
  <si>
    <t>Diva and Granada, smoothed across years to manage fund balance</t>
  </si>
  <si>
    <t>Other new PSH Projects funded with one-time sources (ongoing)</t>
  </si>
  <si>
    <t>Future PSH Aquisition &amp; Operating</t>
  </si>
  <si>
    <t>TBD</t>
  </si>
  <si>
    <t>Future Adult PSH Acquisition</t>
  </si>
  <si>
    <t>Aquisition PSH</t>
  </si>
  <si>
    <t>Future Adult PSH Operating</t>
  </si>
  <si>
    <t>Flex Pool</t>
  </si>
  <si>
    <t>Flex Pool PSH (Adult)</t>
  </si>
  <si>
    <t>Ongoing Subsidies &amp; Supports</t>
  </si>
  <si>
    <t>75 Adults, 225 Seniors, 25 Bayview</t>
  </si>
  <si>
    <t>Supporting sheltered and unsheltered individuals</t>
  </si>
  <si>
    <t>Medium-Term Subsidies</t>
  </si>
  <si>
    <t>Medium-Term Subsidies and Workforce</t>
  </si>
  <si>
    <t>Medium Term Subsidies</t>
  </si>
  <si>
    <t>Includes subsidies and workforce programming (FY21 only)</t>
  </si>
  <si>
    <t>Priority population: justice involved adults</t>
  </si>
  <si>
    <t>Advance repayments</t>
  </si>
  <si>
    <t>-</t>
  </si>
  <si>
    <t>Housing Frontline Worker Pay Bonus</t>
  </si>
  <si>
    <t>HSH Operating</t>
  </si>
  <si>
    <t>Permanent Housing - Families</t>
  </si>
  <si>
    <t>Future Family PSH Acquisition</t>
  </si>
  <si>
    <t>Future Family PSH Operating</t>
  </si>
  <si>
    <t>Flex Pool (Family)</t>
  </si>
  <si>
    <t>OCOH Priority population: SRO families (100 slots)</t>
  </si>
  <si>
    <t>Permanent Housing - TAY</t>
  </si>
  <si>
    <t>Funding Priorities</t>
  </si>
  <si>
    <t>Future TAY PSH Acquisition</t>
  </si>
  <si>
    <t>Flex Pool (TAY)</t>
  </si>
  <si>
    <t xml:space="preserve">Medium-Term Subsidies </t>
  </si>
  <si>
    <t>TAY Rapid Rehousing Expansion</t>
  </si>
  <si>
    <t>TBD (80-150)</t>
  </si>
  <si>
    <t>OCOH proposes a significantly higher subsidy amount for youth. HSH proposes a flexible approach that allows for higher subsidies but offers a range based on client need.</t>
  </si>
  <si>
    <t>Other Housing</t>
  </si>
  <si>
    <t>Non-Time-Limited Bridge Housing</t>
  </si>
  <si>
    <t>Permanent Housing Summary</t>
  </si>
  <si>
    <t>Total Estimated Fund Balance</t>
  </si>
  <si>
    <t>Total Estimated Remaining Balance</t>
  </si>
  <si>
    <t>Cap for Housing &lt;5 Years</t>
  </si>
  <si>
    <t>Housing &lt; 5 years: 12% Cap</t>
  </si>
  <si>
    <t>Housing &lt; 5 years: Total Investments</t>
  </si>
  <si>
    <t>Housing &lt; 5 years: Remaining</t>
  </si>
  <si>
    <t>Mental Health Services</t>
  </si>
  <si>
    <t>Services</t>
  </si>
  <si>
    <t>Assertive Outreach Services</t>
  </si>
  <si>
    <t>Overdose Prevention Services</t>
  </si>
  <si>
    <t>Case Management Services</t>
  </si>
  <si>
    <t>Expand Intensive Case Management</t>
  </si>
  <si>
    <t>Behavioral &amp; Clinical Health Services in PSH</t>
  </si>
  <si>
    <t>Treatment Beds</t>
  </si>
  <si>
    <t>Site Acquisition for New Treatment Beds</t>
  </si>
  <si>
    <t>Acquisition</t>
  </si>
  <si>
    <t>Increase Treatment Bed Capacity</t>
  </si>
  <si>
    <t>Beds</t>
  </si>
  <si>
    <t>Support the acqusition process for 2-3 sites</t>
  </si>
  <si>
    <t>Drop-In Services</t>
  </si>
  <si>
    <t>Mental Health Service Center</t>
  </si>
  <si>
    <t>Operating and Implementation Costs</t>
  </si>
  <si>
    <t>Operating</t>
  </si>
  <si>
    <t>Mixed Uses</t>
  </si>
  <si>
    <t>Homelessness Prevention</t>
  </si>
  <si>
    <t>Problem Solving</t>
  </si>
  <si>
    <t>Problem Solving Plus Rental Assistance</t>
  </si>
  <si>
    <t>Rental Assistance</t>
  </si>
  <si>
    <t>TBD (1000-1500)</t>
  </si>
  <si>
    <t>City Prority Populations: adults, justice involved adults, veterans, TAY and families</t>
  </si>
  <si>
    <t>Problem Solving and Flexible Workforce Funding for Adults</t>
  </si>
  <si>
    <t>Rental Assistance and Workforce</t>
  </si>
  <si>
    <t>OCOH Prority Populations: adults, justice involved adults, veterans</t>
  </si>
  <si>
    <t>Problem Solving for Families</t>
  </si>
  <si>
    <t>Problem Solving and Flexible Workforce Funding for TAY</t>
  </si>
  <si>
    <t>Legal and Support Services to Secure Disability Income</t>
  </si>
  <si>
    <t>Homeless Prevention &amp; Eviction Prevention</t>
  </si>
  <si>
    <t>Homeless Prevention Financial Assistance &amp; Services</t>
  </si>
  <si>
    <t>Eviction Prevention &amp; Housing Stabilization</t>
  </si>
  <si>
    <t>Shallow Subsidies for PSH Residents</t>
  </si>
  <si>
    <t>Ongoing Rental Subsidies</t>
  </si>
  <si>
    <t xml:space="preserve">Reduce rental cost burrden for ~2800 households in PSH paying more than 30% of their income toward rent and putting them at risk of housing instablity. Ongoing </t>
  </si>
  <si>
    <t>Prevention Providers Frontline Pay Bonus</t>
  </si>
  <si>
    <t>Shelter &amp; Hygiene</t>
  </si>
  <si>
    <t>COVID Response</t>
  </si>
  <si>
    <t>COVID-19 Shelter: SIP (FY21), Safe Sleep, Trailer</t>
  </si>
  <si>
    <t>Shelter Beds</t>
  </si>
  <si>
    <t>COVID-19 Shelter: Trailer Program</t>
  </si>
  <si>
    <t>Maintains 120 trailers for 2 years</t>
  </si>
  <si>
    <t>COVID-19 Shelter Costs: Safe Sleep</t>
  </si>
  <si>
    <t>Continues Safe Sleep in FY22 at slightly lower capacity, and further reduces capacity in FY23 as the COVID emergency allows other shelter options to reactivate.</t>
  </si>
  <si>
    <t>New Shelter Programs</t>
  </si>
  <si>
    <t>Navigation Center Operations</t>
  </si>
  <si>
    <t xml:space="preserve">Supports 553 Navigation Center beds providing safe shelter and services for people living unsheltered, supports a much needed full service shelter option in the Bayview and the first Navigation Center for TAY, plus expansion at Division Circle. </t>
  </si>
  <si>
    <t>Safe Parking (Bayview)</t>
  </si>
  <si>
    <t>Homeless Resource Center</t>
  </si>
  <si>
    <t>Drop-In Shelter For Families (Respite)</t>
  </si>
  <si>
    <t>Adds staffing to support an existing family drop-in shelter</t>
  </si>
  <si>
    <t>Domestic Violence Hotel Vouchers</t>
  </si>
  <si>
    <t>Hotel Vouchers</t>
  </si>
  <si>
    <t>Pregnant People and Family Hotel Vouchers</t>
  </si>
  <si>
    <t>Shelter/Hygiene Frontline Worker Pay Bonus</t>
  </si>
  <si>
    <t>Administration and Totals</t>
  </si>
  <si>
    <t>Administration</t>
  </si>
  <si>
    <t>Total Fund Balance</t>
  </si>
  <si>
    <t>Remainining Fund Balance</t>
  </si>
  <si>
    <t>Notes:</t>
  </si>
  <si>
    <t>Balance includes appropriated and unappropriated budget amounts as of March 2021 projection report</t>
  </si>
  <si>
    <t>OCOH Ordinance mandates a cap of 12% of total housing expenditure for short-term housing (&lt;5 years)</t>
  </si>
  <si>
    <t>"12/20 Release" refers to expenditures approved for release of reserve by BOS 12/16/20, including ongoing costs for these items in FY22 and FY23</t>
  </si>
  <si>
    <t>Administrative costs of $2.5 million are assumed for FY22 and FY23</t>
  </si>
  <si>
    <t>Street Crisis Response Outreach Teams (SCRT)</t>
  </si>
  <si>
    <t xml:space="preserve">TAY Care Coordination </t>
  </si>
  <si>
    <t>TAY Residential Treatment Beds</t>
  </si>
  <si>
    <t>Trangender Mental Health Services</t>
  </si>
  <si>
    <t>TAY Mental Health Services</t>
  </si>
  <si>
    <t>Navigation Center for Justice Involved Adults</t>
  </si>
  <si>
    <t>Ongoing operating of 287 new units of housing: Abigail, Cadillac, 270 Turk, Scattered Site</t>
  </si>
  <si>
    <t>CITY DEPARTMENT PROPOSALS - DRAFT</t>
  </si>
  <si>
    <t>Future TAY PSH Operating</t>
  </si>
  <si>
    <t>Artmar</t>
  </si>
  <si>
    <t>Operations and services for 25 youth with behavioral health and other challenges, assumes $44k per unit</t>
  </si>
  <si>
    <t>10,000 people served annually by 6 Teams</t>
  </si>
  <si>
    <t xml:space="preserve">Expand case management capacity by 865 cases </t>
  </si>
  <si>
    <t>1,500 clients annually</t>
  </si>
  <si>
    <t xml:space="preserve">Expand case management capacity by 85 cases </t>
  </si>
  <si>
    <t>2,000 service calls annually across existing/new PSH to capacity build/train PSH staff, and provide linkage to case management; 600 unduplicated clients/ year receive on-site behavioral health and/or physical health services</t>
  </si>
  <si>
    <t>Support the acqusition process</t>
  </si>
  <si>
    <t xml:space="preserve">15 urgent care beds, up to 72-hour stay </t>
  </si>
  <si>
    <t>Model and outcomes TBD with community input</t>
  </si>
  <si>
    <t>Est. New Beds/ Units / Exits</t>
  </si>
  <si>
    <t>Projected Balances and Proposed Investment Plans - DRAFT FOR INFORMATIONAL PURPOSES - SUBJECT TO CHANGE</t>
  </si>
  <si>
    <t>Care Coordination Team (previously within SCRT item)</t>
  </si>
  <si>
    <t>&gt;2,500 touchpoints depending on program model</t>
  </si>
  <si>
    <t xml:space="preserve">Operating and Implementation </t>
  </si>
  <si>
    <t>Mental Health Service Center 24/7</t>
  </si>
  <si>
    <t>One-Time Fund Balance Transfer</t>
  </si>
  <si>
    <t>Transfer balance from Prevention funds, 55%</t>
  </si>
  <si>
    <t>OCOH: fund balance reduced to support additional admin funding</t>
  </si>
  <si>
    <t>Transfer from Prevention funds, 20%</t>
  </si>
  <si>
    <t>Transfer from Prevention funds, 25%</t>
  </si>
  <si>
    <t>Includes transfer from Prevention</t>
  </si>
  <si>
    <t>The City estimates purchasing 160-260 units of TAY housing with $80m in acquisition funds; includes one-time transfer from Prevention</t>
  </si>
  <si>
    <t>City estimates purchasing or developing 175-250 units of family housing with $100m in acquisition funds. Range based on development vs. acquisition and larger-sized units needed. Includes one-time transfer from Prevention</t>
  </si>
  <si>
    <t>Future Adult PSH Acquisition - Prevention Transfer</t>
  </si>
  <si>
    <t>Transfer budget does not include operating costs for associated units</t>
  </si>
  <si>
    <t>75 Adults, 375 Seniors, 200 Tipping Point</t>
  </si>
  <si>
    <t>Urgent Care &amp; Crisis Diversion Facility (previously within SCRT item)</t>
  </si>
  <si>
    <t>Street Medicine Behavioral Health Expansion</t>
  </si>
  <si>
    <t>200 unduplicated clients</t>
  </si>
  <si>
    <t>2,500 touchpoints, Expanded Access to Assessment, Evaluation and Pharmacy</t>
  </si>
  <si>
    <t>132 beds, Estimations from Mental Health Bed Needs Assessment.</t>
  </si>
  <si>
    <t>3,450 touchpoints</t>
  </si>
  <si>
    <t>Support for PSH Residents</t>
  </si>
  <si>
    <t>Enhanced Clinical Services in PSH</t>
  </si>
  <si>
    <t>OCOH expanded MAT beds by 10</t>
  </si>
  <si>
    <t>New Co-Op Housing</t>
  </si>
  <si>
    <t>OCOH added one new co-op site for 6 clients</t>
  </si>
  <si>
    <t>Enhancing Provider Capacity for On-Site Behavioral Health</t>
  </si>
  <si>
    <t>OCOH enhances behavioral health services in shelters and drop-in centers</t>
  </si>
  <si>
    <t>New Harm Reduction Therapy Center</t>
  </si>
  <si>
    <t>OCOH adds new drop-in program for medical, behavioral and other services</t>
  </si>
  <si>
    <t>OCOH PROPOSALS - UPDATED 5/3/21</t>
  </si>
  <si>
    <t>DPH program to provide clinical services in existing PSH using one-time funds; OCOH reduces FY22 services by $2.7m</t>
  </si>
  <si>
    <t>One-Time Transfer To Housing</t>
  </si>
  <si>
    <t>1-time transfer of unprogrammed balance from Prevention to Housing</t>
  </si>
  <si>
    <t>Total Previous Investments</t>
  </si>
  <si>
    <t>Total New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</si>
</sst>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.0_);_(&quot;$&quot;* \(#,##0.0\);_(&quot;$&quot;* &quot;-&quot;?_);_(@_)"/>
    <numFmt numFmtId="166" formatCode="_(&quot;$&quot;* #,##0.0000_);_(&quot;$&quot;* \(#,##0.0000\);_(&quot;$&quot;* &quot;-&quot;?_);_(@_)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1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3" fillId="2" borderId="4" xfId="1" applyNumberFormat="1" applyFont="1" applyFill="1" applyBorder="1"/>
    <xf numFmtId="164" fontId="3" fillId="2" borderId="0" xfId="1" applyNumberFormat="1" applyFont="1" applyFill="1" applyBorder="1"/>
    <xf numFmtId="0" fontId="3" fillId="2" borderId="5" xfId="0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 wrapText="1"/>
    </xf>
    <xf numFmtId="165" fontId="3" fillId="3" borderId="5" xfId="0" applyNumberFormat="1" applyFont="1" applyFill="1" applyBorder="1" applyAlignment="1">
      <alignment horizontal="center" wrapText="1"/>
    </xf>
    <xf numFmtId="3" fontId="0" fillId="0" borderId="0" xfId="0" applyNumberFormat="1"/>
    <xf numFmtId="0" fontId="3" fillId="5" borderId="6" xfId="0" applyFont="1" applyFill="1" applyBorder="1" applyAlignment="1">
      <alignment wrapText="1"/>
    </xf>
    <xf numFmtId="0" fontId="3" fillId="4" borderId="7" xfId="0" applyFont="1" applyFill="1" applyBorder="1"/>
    <xf numFmtId="0" fontId="3" fillId="4" borderId="6" xfId="0" applyFont="1" applyFill="1" applyBorder="1"/>
    <xf numFmtId="0" fontId="3" fillId="4" borderId="8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164" fontId="0" fillId="0" borderId="4" xfId="1" applyNumberFormat="1" applyFont="1" applyBorder="1"/>
    <xf numFmtId="164" fontId="0" fillId="0" borderId="0" xfId="1" applyNumberFormat="1" applyFont="1" applyBorder="1"/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9" fillId="6" borderId="4" xfId="1" applyNumberFormat="1" applyFont="1" applyFill="1" applyBorder="1" applyAlignment="1">
      <alignment horizontal="left"/>
    </xf>
    <xf numFmtId="164" fontId="9" fillId="6" borderId="0" xfId="1" applyNumberFormat="1" applyFont="1" applyFill="1" applyBorder="1" applyAlignment="1">
      <alignment horizontal="left"/>
    </xf>
    <xf numFmtId="1" fontId="9" fillId="6" borderId="5" xfId="1" applyNumberFormat="1" applyFont="1" applyFill="1" applyBorder="1" applyAlignment="1">
      <alignment horizontal="center"/>
    </xf>
    <xf numFmtId="164" fontId="12" fillId="0" borderId="4" xfId="1" applyNumberFormat="1" applyFont="1" applyBorder="1" applyAlignment="1">
      <alignment horizontal="left"/>
    </xf>
    <xf numFmtId="164" fontId="12" fillId="0" borderId="0" xfId="1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center" wrapText="1"/>
    </xf>
    <xf numFmtId="164" fontId="0" fillId="0" borderId="4" xfId="1" applyNumberFormat="1" applyFont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 wrapText="1"/>
    </xf>
    <xf numFmtId="164" fontId="0" fillId="0" borderId="0" xfId="1" applyNumberFormat="1" applyFont="1" applyBorder="1" applyAlignment="1">
      <alignment horizontal="left"/>
    </xf>
    <xf numFmtId="164" fontId="3" fillId="6" borderId="4" xfId="1" applyNumberFormat="1" applyFont="1" applyFill="1" applyBorder="1" applyAlignment="1">
      <alignment horizontal="left"/>
    </xf>
    <xf numFmtId="0" fontId="3" fillId="6" borderId="5" xfId="0" applyFont="1" applyFill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center" wrapText="1"/>
    </xf>
    <xf numFmtId="164" fontId="16" fillId="0" borderId="4" xfId="1" applyNumberFormat="1" applyFont="1" applyBorder="1" applyAlignment="1">
      <alignment horizontal="left"/>
    </xf>
    <xf numFmtId="164" fontId="16" fillId="0" borderId="0" xfId="1" applyNumberFormat="1" applyFont="1" applyFill="1" applyBorder="1" applyAlignment="1">
      <alignment horizontal="left"/>
    </xf>
    <xf numFmtId="164" fontId="3" fillId="6" borderId="0" xfId="1" applyNumberFormat="1" applyFont="1" applyFill="1" applyBorder="1" applyAlignment="1">
      <alignment horizontal="left"/>
    </xf>
    <xf numFmtId="1" fontId="3" fillId="6" borderId="5" xfId="1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164" fontId="13" fillId="0" borderId="4" xfId="1" applyNumberFormat="1" applyFont="1" applyBorder="1" applyAlignment="1">
      <alignment horizontal="left"/>
    </xf>
    <xf numFmtId="164" fontId="13" fillId="0" borderId="0" xfId="1" applyNumberFormat="1" applyFont="1" applyFill="1" applyBorder="1" applyAlignment="1">
      <alignment horizontal="left"/>
    </xf>
    <xf numFmtId="0" fontId="0" fillId="0" borderId="9" xfId="0" applyBorder="1" applyAlignment="1">
      <alignment horizontal="left" wrapText="1"/>
    </xf>
    <xf numFmtId="0" fontId="13" fillId="0" borderId="5" xfId="0" applyFont="1" applyBorder="1" applyAlignment="1">
      <alignment horizontal="center" wrapText="1"/>
    </xf>
    <xf numFmtId="164" fontId="18" fillId="6" borderId="4" xfId="1" applyNumberFormat="1" applyFont="1" applyFill="1" applyBorder="1" applyAlignment="1">
      <alignment horizontal="left"/>
    </xf>
    <xf numFmtId="164" fontId="18" fillId="6" borderId="0" xfId="1" applyNumberFormat="1" applyFont="1" applyFill="1" applyBorder="1" applyAlignment="1">
      <alignment horizontal="left"/>
    </xf>
    <xf numFmtId="1" fontId="18" fillId="6" borderId="5" xfId="1" applyNumberFormat="1" applyFont="1" applyFill="1" applyBorder="1" applyAlignment="1">
      <alignment horizontal="center"/>
    </xf>
    <xf numFmtId="164" fontId="19" fillId="6" borderId="4" xfId="1" applyNumberFormat="1" applyFont="1" applyFill="1" applyBorder="1" applyAlignment="1">
      <alignment horizontal="left"/>
    </xf>
    <xf numFmtId="164" fontId="19" fillId="6" borderId="4" xfId="0" applyNumberFormat="1" applyFont="1" applyFill="1" applyBorder="1" applyAlignment="1">
      <alignment horizontal="center" wrapText="1"/>
    </xf>
    <xf numFmtId="164" fontId="3" fillId="0" borderId="4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164" fontId="19" fillId="7" borderId="4" xfId="1" applyNumberFormat="1" applyFont="1" applyFill="1" applyBorder="1" applyAlignment="1">
      <alignment horizontal="left"/>
    </xf>
    <xf numFmtId="0" fontId="0" fillId="0" borderId="6" xfId="0" applyBorder="1" applyAlignment="1">
      <alignment wrapText="1"/>
    </xf>
    <xf numFmtId="164" fontId="0" fillId="0" borderId="7" xfId="1" applyNumberFormat="1" applyFont="1" applyBorder="1" applyAlignment="1">
      <alignment horizontal="left"/>
    </xf>
    <xf numFmtId="164" fontId="0" fillId="0" borderId="6" xfId="1" applyNumberFormat="1" applyFont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6" xfId="0" applyFont="1" applyBorder="1" applyAlignment="1">
      <alignment wrapText="1"/>
    </xf>
    <xf numFmtId="164" fontId="0" fillId="0" borderId="4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5" fontId="9" fillId="4" borderId="7" xfId="0" applyNumberFormat="1" applyFont="1" applyFill="1" applyBorder="1" applyAlignment="1">
      <alignment horizontal="center" wrapText="1"/>
    </xf>
    <xf numFmtId="165" fontId="9" fillId="4" borderId="6" xfId="0" applyNumberFormat="1" applyFont="1" applyFill="1" applyBorder="1" applyAlignment="1">
      <alignment horizontal="center" wrapText="1"/>
    </xf>
    <xf numFmtId="165" fontId="9" fillId="4" borderId="8" xfId="0" applyNumberFormat="1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164" fontId="3" fillId="6" borderId="4" xfId="1" applyNumberFormat="1" applyFont="1" applyFill="1" applyBorder="1"/>
    <xf numFmtId="164" fontId="3" fillId="6" borderId="0" xfId="1" applyNumberFormat="1" applyFont="1" applyFill="1" applyBorder="1"/>
    <xf numFmtId="164" fontId="13" fillId="0" borderId="4" xfId="1" applyNumberFormat="1" applyFont="1" applyBorder="1"/>
    <xf numFmtId="164" fontId="13" fillId="0" borderId="0" xfId="1" applyNumberFormat="1" applyFont="1" applyBorder="1"/>
    <xf numFmtId="166" fontId="3" fillId="0" borderId="0" xfId="0" applyNumberFormat="1" applyFont="1"/>
    <xf numFmtId="164" fontId="12" fillId="0" borderId="4" xfId="1" applyNumberFormat="1" applyFont="1" applyBorder="1"/>
    <xf numFmtId="164" fontId="12" fillId="0" borderId="0" xfId="1" applyNumberFormat="1" applyFont="1" applyBorder="1"/>
    <xf numFmtId="164" fontId="19" fillId="7" borderId="4" xfId="1" applyNumberFormat="1" applyFont="1" applyFill="1" applyBorder="1"/>
    <xf numFmtId="164" fontId="0" fillId="7" borderId="0" xfId="1" applyNumberFormat="1" applyFont="1" applyFill="1" applyBorder="1"/>
    <xf numFmtId="0" fontId="0" fillId="7" borderId="5" xfId="0" applyFill="1" applyBorder="1" applyAlignment="1">
      <alignment horizontal="center" wrapText="1"/>
    </xf>
    <xf numFmtId="164" fontId="19" fillId="7" borderId="4" xfId="0" applyNumberFormat="1" applyFont="1" applyFill="1" applyBorder="1" applyAlignment="1">
      <alignment horizontal="center" wrapText="1"/>
    </xf>
    <xf numFmtId="164" fontId="0" fillId="0" borderId="7" xfId="1" applyNumberFormat="1" applyFont="1" applyBorder="1"/>
    <xf numFmtId="164" fontId="0" fillId="0" borderId="6" xfId="1" applyNumberFormat="1" applyFont="1" applyBorder="1"/>
    <xf numFmtId="1" fontId="3" fillId="3" borderId="5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wrapText="1"/>
    </xf>
    <xf numFmtId="165" fontId="3" fillId="4" borderId="7" xfId="0" applyNumberFormat="1" applyFont="1" applyFill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wrapText="1"/>
    </xf>
    <xf numFmtId="165" fontId="3" fillId="4" borderId="8" xfId="0" applyNumberFormat="1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165" fontId="9" fillId="6" borderId="4" xfId="0" applyNumberFormat="1" applyFont="1" applyFill="1" applyBorder="1" applyAlignment="1">
      <alignment horizontal="center" wrapText="1"/>
    </xf>
    <xf numFmtId="165" fontId="9" fillId="6" borderId="5" xfId="0" applyNumberFormat="1" applyFont="1" applyFill="1" applyBorder="1" applyAlignment="1">
      <alignment horizontal="center" wrapText="1"/>
    </xf>
    <xf numFmtId="164" fontId="13" fillId="0" borderId="4" xfId="1" applyNumberFormat="1" applyFont="1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13" fillId="0" borderId="0" xfId="1" applyNumberFormat="1" applyFont="1" applyFill="1" applyBorder="1"/>
    <xf numFmtId="164" fontId="3" fillId="0" borderId="4" xfId="1" applyNumberFormat="1" applyFont="1" applyBorder="1"/>
    <xf numFmtId="164" fontId="3" fillId="0" borderId="4" xfId="0" applyNumberFormat="1" applyFont="1" applyBorder="1" applyAlignment="1">
      <alignment horizontal="center" wrapText="1"/>
    </xf>
    <xf numFmtId="164" fontId="3" fillId="7" borderId="4" xfId="1" applyNumberFormat="1" applyFont="1" applyFill="1" applyBorder="1"/>
    <xf numFmtId="0" fontId="16" fillId="5" borderId="1" xfId="0" applyFont="1" applyFill="1" applyBorder="1" applyAlignment="1">
      <alignment wrapText="1"/>
    </xf>
    <xf numFmtId="164" fontId="16" fillId="5" borderId="2" xfId="1" applyNumberFormat="1" applyFont="1" applyFill="1" applyBorder="1"/>
    <xf numFmtId="164" fontId="16" fillId="5" borderId="1" xfId="1" applyNumberFormat="1" applyFont="1" applyFill="1" applyBorder="1"/>
    <xf numFmtId="164" fontId="16" fillId="5" borderId="3" xfId="1" applyNumberFormat="1" applyFont="1" applyFill="1" applyBorder="1"/>
    <xf numFmtId="164" fontId="9" fillId="0" borderId="4" xfId="1" applyNumberFormat="1" applyFont="1" applyBorder="1"/>
    <xf numFmtId="164" fontId="9" fillId="0" borderId="0" xfId="1" applyNumberFormat="1" applyFont="1" applyBorder="1"/>
    <xf numFmtId="164" fontId="9" fillId="0" borderId="5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16" fillId="0" borderId="0" xfId="1" applyNumberFormat="1" applyFont="1" applyBorder="1"/>
    <xf numFmtId="3" fontId="9" fillId="0" borderId="5" xfId="1" applyNumberFormat="1" applyFont="1" applyBorder="1" applyAlignment="1">
      <alignment horizontal="center"/>
    </xf>
    <xf numFmtId="0" fontId="9" fillId="0" borderId="10" xfId="0" applyFont="1" applyBorder="1" applyAlignment="1">
      <alignment wrapText="1"/>
    </xf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2" xfId="1" applyNumberFormat="1" applyFont="1" applyBorder="1" applyAlignment="1">
      <alignment horizontal="center"/>
    </xf>
    <xf numFmtId="164" fontId="9" fillId="0" borderId="11" xfId="1" applyNumberFormat="1" applyFont="1" applyBorder="1" applyAlignment="1">
      <alignment horizontal="center"/>
    </xf>
    <xf numFmtId="164" fontId="9" fillId="0" borderId="10" xfId="1" applyNumberFormat="1" applyFont="1" applyBorder="1" applyAlignment="1">
      <alignment horizontal="center"/>
    </xf>
    <xf numFmtId="164" fontId="16" fillId="0" borderId="10" xfId="1" applyNumberFormat="1" applyFont="1" applyBorder="1"/>
    <xf numFmtId="164" fontId="9" fillId="8" borderId="4" xfId="1" applyNumberFormat="1" applyFont="1" applyFill="1" applyBorder="1"/>
    <xf numFmtId="164" fontId="9" fillId="8" borderId="0" xfId="1" applyNumberFormat="1" applyFont="1" applyFill="1" applyBorder="1"/>
    <xf numFmtId="164" fontId="9" fillId="8" borderId="5" xfId="1" applyNumberFormat="1" applyFont="1" applyFill="1" applyBorder="1" applyAlignment="1">
      <alignment horizontal="center"/>
    </xf>
    <xf numFmtId="164" fontId="9" fillId="8" borderId="4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center"/>
    </xf>
    <xf numFmtId="164" fontId="16" fillId="8" borderId="0" xfId="1" applyNumberFormat="1" applyFont="1" applyFill="1" applyBorder="1"/>
    <xf numFmtId="164" fontId="16" fillId="0" borderId="4" xfId="1" applyNumberFormat="1" applyFont="1" applyBorder="1"/>
    <xf numFmtId="164" fontId="16" fillId="0" borderId="5" xfId="1" applyNumberFormat="1" applyFont="1" applyBorder="1" applyAlignment="1">
      <alignment horizontal="center"/>
    </xf>
    <xf numFmtId="0" fontId="16" fillId="0" borderId="6" xfId="0" applyFont="1" applyBorder="1" applyAlignment="1">
      <alignment wrapText="1"/>
    </xf>
    <xf numFmtId="164" fontId="16" fillId="0" borderId="7" xfId="1" applyNumberFormat="1" applyFont="1" applyBorder="1"/>
    <xf numFmtId="164" fontId="16" fillId="0" borderId="6" xfId="1" applyNumberFormat="1" applyFont="1" applyBorder="1"/>
    <xf numFmtId="164" fontId="16" fillId="0" borderId="8" xfId="1" applyNumberFormat="1" applyFont="1" applyBorder="1" applyAlignment="1">
      <alignment horizontal="center"/>
    </xf>
    <xf numFmtId="164" fontId="2" fillId="0" borderId="6" xfId="1" applyNumberFormat="1" applyFont="1" applyBorder="1"/>
    <xf numFmtId="164" fontId="0" fillId="0" borderId="5" xfId="1" applyNumberFormat="1" applyFont="1" applyBorder="1"/>
    <xf numFmtId="0" fontId="9" fillId="9" borderId="6" xfId="0" applyFont="1" applyFill="1" applyBorder="1" applyAlignment="1">
      <alignment wrapText="1"/>
    </xf>
    <xf numFmtId="164" fontId="16" fillId="9" borderId="7" xfId="1" applyNumberFormat="1" applyFont="1" applyFill="1" applyBorder="1"/>
    <xf numFmtId="164" fontId="16" fillId="9" borderId="6" xfId="1" applyNumberFormat="1" applyFont="1" applyFill="1" applyBorder="1"/>
    <xf numFmtId="164" fontId="16" fillId="9" borderId="8" xfId="1" applyNumberFormat="1" applyFont="1" applyFill="1" applyBorder="1"/>
    <xf numFmtId="164" fontId="3" fillId="6" borderId="4" xfId="1" applyNumberFormat="1" applyFont="1" applyFill="1" applyBorder="1" applyAlignment="1">
      <alignment horizontal="right"/>
    </xf>
    <xf numFmtId="164" fontId="3" fillId="6" borderId="0" xfId="1" applyNumberFormat="1" applyFont="1" applyFill="1" applyBorder="1" applyAlignment="1">
      <alignment horizontal="right"/>
    </xf>
    <xf numFmtId="164" fontId="3" fillId="6" borderId="5" xfId="1" applyNumberFormat="1" applyFont="1" applyFill="1" applyBorder="1"/>
    <xf numFmtId="164" fontId="12" fillId="0" borderId="4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0" fontId="12" fillId="0" borderId="4" xfId="0" applyFont="1" applyBorder="1" applyAlignment="1">
      <alignment horizontal="center" wrapText="1"/>
    </xf>
    <xf numFmtId="0" fontId="12" fillId="0" borderId="0" xfId="0" applyFont="1"/>
    <xf numFmtId="164" fontId="9" fillId="6" borderId="4" xfId="1" applyNumberFormat="1" applyFont="1" applyFill="1" applyBorder="1" applyAlignment="1">
      <alignment horizontal="right"/>
    </xf>
    <xf numFmtId="164" fontId="9" fillId="6" borderId="0" xfId="1" applyNumberFormat="1" applyFont="1" applyFill="1" applyBorder="1" applyAlignment="1">
      <alignment horizontal="right"/>
    </xf>
    <xf numFmtId="0" fontId="9" fillId="6" borderId="5" xfId="0" applyFont="1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164" fontId="3" fillId="0" borderId="4" xfId="1" applyNumberFormat="1" applyFont="1" applyBorder="1" applyAlignment="1">
      <alignment horizontal="right"/>
    </xf>
    <xf numFmtId="164" fontId="3" fillId="10" borderId="4" xfId="1" applyNumberFormat="1" applyFont="1" applyFill="1" applyBorder="1"/>
    <xf numFmtId="164" fontId="3" fillId="10" borderId="0" xfId="1" applyNumberFormat="1" applyFont="1" applyFill="1" applyBorder="1"/>
    <xf numFmtId="0" fontId="3" fillId="10" borderId="5" xfId="0" applyFont="1" applyFill="1" applyBorder="1" applyAlignment="1">
      <alignment horizontal="center" wrapText="1"/>
    </xf>
    <xf numFmtId="164" fontId="3" fillId="10" borderId="4" xfId="0" applyNumberFormat="1" applyFont="1" applyFill="1" applyBorder="1" applyAlignment="1">
      <alignment horizontal="center" wrapText="1"/>
    </xf>
    <xf numFmtId="165" fontId="3" fillId="10" borderId="4" xfId="0" applyNumberFormat="1" applyFont="1" applyFill="1" applyBorder="1" applyAlignment="1">
      <alignment horizontal="center" wrapText="1"/>
    </xf>
    <xf numFmtId="3" fontId="3" fillId="10" borderId="5" xfId="0" applyNumberFormat="1" applyFont="1" applyFill="1" applyBorder="1" applyAlignment="1">
      <alignment horizontal="center" wrapText="1"/>
    </xf>
    <xf numFmtId="165" fontId="3" fillId="10" borderId="5" xfId="0" applyNumberFormat="1" applyFont="1" applyFill="1" applyBorder="1" applyAlignment="1">
      <alignment horizontal="center" wrapText="1"/>
    </xf>
    <xf numFmtId="164" fontId="9" fillId="6" borderId="4" xfId="1" applyNumberFormat="1" applyFont="1" applyFill="1" applyBorder="1" applyAlignment="1">
      <alignment horizontal="center"/>
    </xf>
    <xf numFmtId="164" fontId="9" fillId="6" borderId="0" xfId="1" applyNumberFormat="1" applyFont="1" applyFill="1" applyBorder="1" applyAlignment="1">
      <alignment horizontal="center"/>
    </xf>
    <xf numFmtId="164" fontId="12" fillId="0" borderId="4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7" fontId="0" fillId="0" borderId="5" xfId="0" applyNumberFormat="1" applyBorder="1" applyAlignment="1">
      <alignment horizontal="center" wrapText="1"/>
    </xf>
    <xf numFmtId="164" fontId="0" fillId="0" borderId="4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3" fillId="6" borderId="4" xfId="1" applyNumberFormat="1" applyFont="1" applyFill="1" applyBorder="1" applyAlignment="1">
      <alignment horizontal="center"/>
    </xf>
    <xf numFmtId="164" fontId="3" fillId="6" borderId="0" xfId="1" applyNumberFormat="1" applyFont="1" applyFill="1" applyBorder="1" applyAlignment="1">
      <alignment horizontal="center"/>
    </xf>
    <xf numFmtId="3" fontId="3" fillId="6" borderId="5" xfId="0" applyNumberFormat="1" applyFont="1" applyFill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3" fontId="3" fillId="7" borderId="5" xfId="0" applyNumberFormat="1" applyFont="1" applyFill="1" applyBorder="1" applyAlignment="1">
      <alignment horizontal="center" wrapText="1"/>
    </xf>
    <xf numFmtId="3" fontId="3" fillId="7" borderId="4" xfId="0" applyNumberFormat="1" applyFont="1" applyFill="1" applyBorder="1" applyAlignment="1">
      <alignment horizontal="center" wrapText="1"/>
    </xf>
    <xf numFmtId="164" fontId="19" fillId="6" borderId="4" xfId="1" applyNumberFormat="1" applyFont="1" applyFill="1" applyBorder="1" applyAlignment="1">
      <alignment horizontal="center"/>
    </xf>
    <xf numFmtId="164" fontId="19" fillId="6" borderId="0" xfId="1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wrapText="1"/>
    </xf>
    <xf numFmtId="164" fontId="12" fillId="0" borderId="4" xfId="1" applyNumberFormat="1" applyFont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164" fontId="3" fillId="12" borderId="4" xfId="1" applyNumberFormat="1" applyFont="1" applyFill="1" applyBorder="1"/>
    <xf numFmtId="164" fontId="3" fillId="12" borderId="0" xfId="1" applyNumberFormat="1" applyFont="1" applyFill="1" applyBorder="1"/>
    <xf numFmtId="0" fontId="3" fillId="12" borderId="5" xfId="0" applyFont="1" applyFill="1" applyBorder="1" applyAlignment="1">
      <alignment horizontal="center" wrapText="1"/>
    </xf>
    <xf numFmtId="164" fontId="3" fillId="12" borderId="4" xfId="0" applyNumberFormat="1" applyFont="1" applyFill="1" applyBorder="1" applyAlignment="1">
      <alignment horizontal="center" wrapText="1"/>
    </xf>
    <xf numFmtId="165" fontId="3" fillId="12" borderId="4" xfId="0" applyNumberFormat="1" applyFont="1" applyFill="1" applyBorder="1" applyAlignment="1">
      <alignment horizontal="center" wrapText="1"/>
    </xf>
    <xf numFmtId="1" fontId="3" fillId="12" borderId="5" xfId="0" applyNumberFormat="1" applyFont="1" applyFill="1" applyBorder="1" applyAlignment="1">
      <alignment horizontal="center" wrapText="1"/>
    </xf>
    <xf numFmtId="165" fontId="3" fillId="12" borderId="5" xfId="0" applyNumberFormat="1" applyFont="1" applyFill="1" applyBorder="1" applyAlignment="1">
      <alignment horizontal="center" wrapText="1"/>
    </xf>
    <xf numFmtId="0" fontId="3" fillId="13" borderId="6" xfId="0" applyFont="1" applyFill="1" applyBorder="1" applyAlignment="1">
      <alignment wrapText="1"/>
    </xf>
    <xf numFmtId="164" fontId="0" fillId="13" borderId="7" xfId="1" applyNumberFormat="1" applyFont="1" applyFill="1" applyBorder="1"/>
    <xf numFmtId="164" fontId="0" fillId="13" borderId="6" xfId="1" applyNumberFormat="1" applyFont="1" applyFill="1" applyBorder="1"/>
    <xf numFmtId="164" fontId="0" fillId="13" borderId="8" xfId="1" applyNumberFormat="1" applyFont="1" applyFill="1" applyBorder="1"/>
    <xf numFmtId="164" fontId="0" fillId="6" borderId="0" xfId="1" applyNumberFormat="1" applyFont="1" applyFill="1" applyBorder="1"/>
    <xf numFmtId="0" fontId="13" fillId="0" borderId="4" xfId="0" applyFont="1" applyBorder="1" applyAlignment="1">
      <alignment horizontal="center" wrapText="1"/>
    </xf>
    <xf numFmtId="164" fontId="13" fillId="0" borderId="0" xfId="1" applyNumberFormat="1" applyFont="1" applyFill="1" applyBorder="1" applyAlignment="1">
      <alignment horizontal="center"/>
    </xf>
    <xf numFmtId="164" fontId="18" fillId="7" borderId="0" xfId="1" applyNumberFormat="1" applyFont="1" applyFill="1" applyBorder="1" applyAlignment="1">
      <alignment horizontal="center"/>
    </xf>
    <xf numFmtId="164" fontId="18" fillId="7" borderId="4" xfId="0" applyNumberFormat="1" applyFont="1" applyFill="1" applyBorder="1" applyAlignment="1">
      <alignment horizontal="center" wrapText="1"/>
    </xf>
    <xf numFmtId="44" fontId="0" fillId="0" borderId="4" xfId="0" applyNumberFormat="1" applyBorder="1" applyAlignment="1">
      <alignment horizontal="center" wrapText="1"/>
    </xf>
    <xf numFmtId="164" fontId="13" fillId="0" borderId="0" xfId="1" applyNumberFormat="1" applyFont="1" applyBorder="1" applyAlignment="1">
      <alignment horizontal="left"/>
    </xf>
    <xf numFmtId="44" fontId="0" fillId="0" borderId="0" xfId="1" applyFont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14" borderId="4" xfId="0" applyFont="1" applyFill="1" applyBorder="1"/>
    <xf numFmtId="0" fontId="0" fillId="14" borderId="0" xfId="0" applyFill="1" applyAlignment="1">
      <alignment wrapText="1"/>
    </xf>
    <xf numFmtId="164" fontId="0" fillId="14" borderId="4" xfId="1" applyNumberFormat="1" applyFont="1" applyFill="1" applyBorder="1"/>
    <xf numFmtId="164" fontId="0" fillId="14" borderId="0" xfId="1" applyNumberFormat="1" applyFont="1" applyFill="1" applyBorder="1"/>
    <xf numFmtId="164" fontId="0" fillId="14" borderId="5" xfId="1" applyNumberFormat="1" applyFont="1" applyFill="1" applyBorder="1"/>
    <xf numFmtId="0" fontId="0" fillId="0" borderId="4" xfId="0" applyBorder="1"/>
    <xf numFmtId="3" fontId="0" fillId="0" borderId="5" xfId="1" applyNumberFormat="1" applyFont="1" applyBorder="1"/>
    <xf numFmtId="0" fontId="0" fillId="0" borderId="16" xfId="0" applyBorder="1"/>
    <xf numFmtId="0" fontId="0" fillId="0" borderId="17" xfId="0" applyBorder="1" applyAlignment="1">
      <alignment wrapText="1"/>
    </xf>
    <xf numFmtId="164" fontId="3" fillId="0" borderId="16" xfId="1" applyNumberFormat="1" applyFont="1" applyBorder="1"/>
    <xf numFmtId="164" fontId="3" fillId="0" borderId="17" xfId="1" applyNumberFormat="1" applyFont="1" applyBorder="1"/>
    <xf numFmtId="164" fontId="0" fillId="0" borderId="18" xfId="1" applyNumberFormat="1" applyFont="1" applyBorder="1"/>
    <xf numFmtId="164" fontId="3" fillId="15" borderId="4" xfId="1" applyNumberFormat="1" applyFont="1" applyFill="1" applyBorder="1"/>
    <xf numFmtId="164" fontId="3" fillId="15" borderId="0" xfId="1" applyNumberFormat="1" applyFont="1" applyFill="1" applyBorder="1"/>
    <xf numFmtId="0" fontId="3" fillId="15" borderId="5" xfId="0" applyFont="1" applyFill="1" applyBorder="1" applyAlignment="1">
      <alignment horizontal="center" wrapText="1"/>
    </xf>
    <xf numFmtId="165" fontId="3" fillId="15" borderId="4" xfId="0" applyNumberFormat="1" applyFont="1" applyFill="1" applyBorder="1" applyAlignment="1">
      <alignment horizontal="center" wrapText="1"/>
    </xf>
    <xf numFmtId="1" fontId="3" fillId="15" borderId="5" xfId="0" applyNumberFormat="1" applyFont="1" applyFill="1" applyBorder="1" applyAlignment="1">
      <alignment horizontal="center" wrapText="1"/>
    </xf>
    <xf numFmtId="165" fontId="3" fillId="15" borderId="5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5" fontId="3" fillId="3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12" fillId="0" borderId="0" xfId="0" applyNumberFormat="1" applyFon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3" fillId="6" borderId="0" xfId="0" applyNumberFormat="1" applyFont="1" applyFill="1" applyBorder="1" applyAlignment="1">
      <alignment horizontal="center" wrapText="1"/>
    </xf>
    <xf numFmtId="164" fontId="13" fillId="0" borderId="0" xfId="0" applyNumberFormat="1" applyFont="1" applyBorder="1" applyAlignment="1">
      <alignment horizontal="center" wrapText="1"/>
    </xf>
    <xf numFmtId="165" fontId="9" fillId="6" borderId="0" xfId="0" applyNumberFormat="1" applyFont="1" applyFill="1" applyBorder="1" applyAlignment="1">
      <alignment horizontal="center" wrapText="1"/>
    </xf>
    <xf numFmtId="165" fontId="3" fillId="15" borderId="0" xfId="0" applyNumberFormat="1" applyFont="1" applyFill="1" applyBorder="1" applyAlignment="1">
      <alignment horizontal="center" wrapText="1"/>
    </xf>
    <xf numFmtId="165" fontId="3" fillId="10" borderId="0" xfId="0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164" fontId="3" fillId="12" borderId="0" xfId="0" applyNumberFormat="1" applyFont="1" applyFill="1" applyBorder="1" applyAlignment="1">
      <alignment horizontal="center" wrapText="1"/>
    </xf>
    <xf numFmtId="165" fontId="3" fillId="12" borderId="0" xfId="0" applyNumberFormat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164" fontId="18" fillId="7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15" borderId="4" xfId="0" applyFont="1" applyFill="1" applyBorder="1"/>
    <xf numFmtId="0" fontId="3" fillId="15" borderId="0" xfId="0" applyFont="1" applyFill="1" applyBorder="1" applyAlignment="1">
      <alignment wrapText="1"/>
    </xf>
    <xf numFmtId="0" fontId="3" fillId="15" borderId="0" xfId="0" applyFont="1" applyFill="1" applyBorder="1" applyAlignment="1">
      <alignment horizontal="center" wrapText="1"/>
    </xf>
    <xf numFmtId="0" fontId="3" fillId="15" borderId="4" xfId="0" applyFont="1" applyFill="1" applyBorder="1"/>
    <xf numFmtId="0" fontId="0" fillId="15" borderId="0" xfId="0" applyFill="1" applyBorder="1" applyAlignment="1">
      <alignment horizontal="center" wrapText="1"/>
    </xf>
    <xf numFmtId="0" fontId="0" fillId="15" borderId="5" xfId="0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9" borderId="7" xfId="0" applyFont="1" applyFill="1" applyBorder="1"/>
    <xf numFmtId="0" fontId="16" fillId="9" borderId="8" xfId="0" applyFont="1" applyFill="1" applyBorder="1" applyAlignment="1">
      <alignment horizontal="center" wrapText="1"/>
    </xf>
    <xf numFmtId="0" fontId="3" fillId="6" borderId="4" xfId="0" applyFont="1" applyFill="1" applyBorder="1"/>
    <xf numFmtId="0" fontId="3" fillId="6" borderId="0" xfId="0" applyFont="1" applyFill="1" applyBorder="1" applyAlignment="1">
      <alignment wrapText="1"/>
    </xf>
    <xf numFmtId="0" fontId="11" fillId="0" borderId="4" xfId="0" applyFont="1" applyBorder="1"/>
    <xf numFmtId="0" fontId="12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6" fillId="0" borderId="4" xfId="0" applyFont="1" applyBorder="1"/>
    <xf numFmtId="0" fontId="0" fillId="0" borderId="0" xfId="0" applyBorder="1" applyAlignment="1">
      <alignment horizontal="left" wrapText="1" indent="1"/>
    </xf>
    <xf numFmtId="0" fontId="8" fillId="6" borderId="4" xfId="0" applyFont="1" applyFill="1" applyBorder="1"/>
    <xf numFmtId="0" fontId="9" fillId="6" borderId="0" xfId="0" applyFont="1" applyFill="1" applyBorder="1" applyAlignment="1">
      <alignment horizontal="left" wrapText="1"/>
    </xf>
    <xf numFmtId="0" fontId="10" fillId="6" borderId="0" xfId="0" applyFont="1" applyFill="1" applyBorder="1" applyAlignment="1">
      <alignment wrapText="1"/>
    </xf>
    <xf numFmtId="0" fontId="22" fillId="6" borderId="5" xfId="0" applyFont="1" applyFill="1" applyBorder="1" applyAlignment="1">
      <alignment wrapText="1"/>
    </xf>
    <xf numFmtId="0" fontId="13" fillId="0" borderId="0" xfId="0" applyFont="1" applyBorder="1" applyAlignment="1">
      <alignment horizontal="left" wrapText="1" indent="1"/>
    </xf>
    <xf numFmtId="0" fontId="14" fillId="6" borderId="4" xfId="0" applyFont="1" applyFill="1" applyBorder="1"/>
    <xf numFmtId="0" fontId="15" fillId="6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6" fillId="6" borderId="4" xfId="0" applyFont="1" applyFill="1" applyBorder="1"/>
    <xf numFmtId="0" fontId="3" fillId="6" borderId="0" xfId="0" applyFont="1" applyFill="1" applyBorder="1" applyAlignment="1">
      <alignment horizontal="left" wrapText="1"/>
    </xf>
    <xf numFmtId="0" fontId="17" fillId="6" borderId="0" xfId="0" applyFont="1" applyFill="1" applyBorder="1" applyAlignment="1">
      <alignment wrapText="1"/>
    </xf>
    <xf numFmtId="0" fontId="13" fillId="6" borderId="5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6" borderId="4" xfId="0" applyFont="1" applyFill="1" applyBorder="1"/>
    <xf numFmtId="0" fontId="9" fillId="6" borderId="0" xfId="0" applyFont="1" applyFill="1" applyBorder="1" applyAlignment="1">
      <alignment wrapText="1"/>
    </xf>
    <xf numFmtId="0" fontId="20" fillId="6" borderId="0" xfId="0" applyFont="1" applyFill="1" applyBorder="1" applyAlignment="1">
      <alignment wrapText="1"/>
    </xf>
    <xf numFmtId="0" fontId="20" fillId="6" borderId="5" xfId="0" applyFont="1" applyFill="1" applyBorder="1" applyAlignment="1">
      <alignment wrapText="1"/>
    </xf>
    <xf numFmtId="0" fontId="6" fillId="0" borderId="16" xfId="0" applyFont="1" applyBorder="1"/>
    <xf numFmtId="164" fontId="0" fillId="0" borderId="16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7" fillId="0" borderId="17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wrapText="1"/>
    </xf>
    <xf numFmtId="0" fontId="24" fillId="6" borderId="0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 applyAlignment="1">
      <alignment wrapText="1"/>
    </xf>
    <xf numFmtId="0" fontId="0" fillId="3" borderId="0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5" xfId="0" applyFont="1" applyBorder="1" applyAlignment="1">
      <alignment wrapText="1"/>
    </xf>
    <xf numFmtId="0" fontId="8" fillId="6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1" fillId="7" borderId="4" xfId="0" applyFont="1" applyFill="1" applyBorder="1"/>
    <xf numFmtId="0" fontId="19" fillId="6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44" fontId="15" fillId="0" borderId="0" xfId="0" applyNumberFormat="1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 applyAlignment="1">
      <alignment wrapText="1"/>
    </xf>
    <xf numFmtId="0" fontId="9" fillId="4" borderId="7" xfId="0" applyFont="1" applyFill="1" applyBorder="1"/>
    <xf numFmtId="0" fontId="16" fillId="4" borderId="8" xfId="0" applyFont="1" applyFill="1" applyBorder="1" applyAlignment="1">
      <alignment horizontal="center" wrapText="1"/>
    </xf>
    <xf numFmtId="0" fontId="0" fillId="0" borderId="7" xfId="0" applyBorder="1"/>
    <xf numFmtId="0" fontId="0" fillId="4" borderId="8" xfId="0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wrapText="1"/>
    </xf>
    <xf numFmtId="0" fontId="9" fillId="0" borderId="4" xfId="0" applyFont="1" applyFill="1" applyBorder="1"/>
    <xf numFmtId="0" fontId="6" fillId="7" borderId="4" xfId="0" applyFont="1" applyFill="1" applyBorder="1"/>
    <xf numFmtId="0" fontId="3" fillId="7" borderId="0" xfId="0" applyFont="1" applyFill="1" applyBorder="1" applyAlignment="1">
      <alignment wrapText="1"/>
    </xf>
    <xf numFmtId="0" fontId="9" fillId="5" borderId="2" xfId="0" applyFont="1" applyFill="1" applyBorder="1"/>
    <xf numFmtId="0" fontId="16" fillId="5" borderId="3" xfId="0" applyFont="1" applyFill="1" applyBorder="1" applyAlignment="1">
      <alignment horizontal="center" wrapText="1"/>
    </xf>
    <xf numFmtId="0" fontId="16" fillId="0" borderId="4" xfId="0" applyFont="1" applyBorder="1"/>
    <xf numFmtId="0" fontId="9" fillId="0" borderId="0" xfId="0" applyFont="1" applyBorder="1" applyAlignment="1">
      <alignment wrapText="1"/>
    </xf>
    <xf numFmtId="0" fontId="16" fillId="0" borderId="11" xfId="0" applyFont="1" applyBorder="1"/>
    <xf numFmtId="0" fontId="16" fillId="0" borderId="12" xfId="0" applyFont="1" applyBorder="1" applyAlignment="1">
      <alignment horizontal="center" wrapText="1"/>
    </xf>
    <xf numFmtId="0" fontId="16" fillId="8" borderId="4" xfId="0" applyFont="1" applyFill="1" applyBorder="1"/>
    <xf numFmtId="0" fontId="9" fillId="8" borderId="0" xfId="0" applyFont="1" applyFill="1" applyBorder="1" applyAlignment="1">
      <alignment wrapText="1"/>
    </xf>
    <xf numFmtId="0" fontId="16" fillId="8" borderId="5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20" fillId="0" borderId="4" xfId="0" applyFont="1" applyBorder="1"/>
    <xf numFmtId="0" fontId="20" fillId="0" borderId="7" xfId="0" applyFont="1" applyBorder="1"/>
    <xf numFmtId="0" fontId="16" fillId="0" borderId="8" xfId="0" applyFont="1" applyBorder="1" applyAlignment="1">
      <alignment horizontal="center" wrapText="1"/>
    </xf>
    <xf numFmtId="0" fontId="7" fillId="0" borderId="4" xfId="0" applyFont="1" applyBorder="1"/>
    <xf numFmtId="0" fontId="9" fillId="10" borderId="4" xfId="0" applyFont="1" applyFill="1" applyBorder="1"/>
    <xf numFmtId="0" fontId="3" fillId="10" borderId="0" xfId="0" applyFont="1" applyFill="1" applyBorder="1" applyAlignment="1">
      <alignment wrapText="1"/>
    </xf>
    <xf numFmtId="0" fontId="3" fillId="10" borderId="0" xfId="0" applyFont="1" applyFill="1" applyBorder="1" applyAlignment="1">
      <alignment horizontal="center" wrapText="1"/>
    </xf>
    <xf numFmtId="0" fontId="3" fillId="10" borderId="4" xfId="0" applyFont="1" applyFill="1" applyBorder="1"/>
    <xf numFmtId="0" fontId="0" fillId="10" borderId="0" xfId="0" applyFill="1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11" fillId="6" borderId="4" xfId="0" applyFont="1" applyFill="1" applyBorder="1"/>
    <xf numFmtId="0" fontId="7" fillId="6" borderId="0" xfId="0" applyFont="1" applyFill="1" applyBorder="1" applyAlignment="1">
      <alignment wrapText="1"/>
    </xf>
    <xf numFmtId="0" fontId="6" fillId="6" borderId="5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9" fillId="6" borderId="4" xfId="0" applyFont="1" applyFill="1" applyBorder="1"/>
    <xf numFmtId="0" fontId="7" fillId="6" borderId="5" xfId="0" applyFont="1" applyFill="1" applyBorder="1" applyAlignment="1">
      <alignment wrapText="1"/>
    </xf>
    <xf numFmtId="0" fontId="9" fillId="12" borderId="4" xfId="0" applyFont="1" applyFill="1" applyBorder="1"/>
    <xf numFmtId="0" fontId="3" fillId="12" borderId="0" xfId="0" applyFont="1" applyFill="1" applyBorder="1" applyAlignment="1">
      <alignment wrapText="1"/>
    </xf>
    <xf numFmtId="0" fontId="3" fillId="12" borderId="0" xfId="0" applyFont="1" applyFill="1" applyBorder="1" applyAlignment="1">
      <alignment horizontal="center" wrapText="1"/>
    </xf>
    <xf numFmtId="0" fontId="3" fillId="12" borderId="4" xfId="0" applyFont="1" applyFill="1" applyBorder="1"/>
    <xf numFmtId="0" fontId="0" fillId="12" borderId="0" xfId="0" applyFill="1" applyBorder="1" applyAlignment="1">
      <alignment horizontal="center" wrapText="1"/>
    </xf>
    <xf numFmtId="0" fontId="0" fillId="12" borderId="5" xfId="0" applyFill="1" applyBorder="1" applyAlignment="1">
      <alignment horizontal="center" wrapText="1"/>
    </xf>
    <xf numFmtId="0" fontId="3" fillId="13" borderId="7" xfId="0" applyFont="1" applyFill="1" applyBorder="1"/>
    <xf numFmtId="0" fontId="0" fillId="13" borderId="8" xfId="0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21" fillId="6" borderId="5" xfId="0" applyFont="1" applyFill="1" applyBorder="1" applyAlignment="1">
      <alignment wrapText="1"/>
    </xf>
    <xf numFmtId="164" fontId="0" fillId="0" borderId="16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164" fontId="0" fillId="0" borderId="17" xfId="1" applyNumberFormat="1" applyFont="1" applyBorder="1"/>
    <xf numFmtId="0" fontId="6" fillId="2" borderId="5" xfId="0" applyFont="1" applyFill="1" applyBorder="1" applyAlignment="1">
      <alignment horizontal="left" wrapText="1"/>
    </xf>
    <xf numFmtId="0" fontId="3" fillId="11" borderId="4" xfId="0" applyFont="1" applyFill="1" applyBorder="1"/>
    <xf numFmtId="0" fontId="3" fillId="11" borderId="0" xfId="0" applyFont="1" applyFill="1" applyBorder="1" applyAlignment="1">
      <alignment wrapText="1"/>
    </xf>
    <xf numFmtId="164" fontId="0" fillId="11" borderId="4" xfId="1" applyNumberFormat="1" applyFont="1" applyFill="1" applyBorder="1"/>
    <xf numFmtId="164" fontId="0" fillId="11" borderId="0" xfId="1" applyNumberFormat="1" applyFont="1" applyFill="1" applyBorder="1"/>
    <xf numFmtId="164" fontId="0" fillId="11" borderId="5" xfId="1" applyNumberFormat="1" applyFont="1" applyFill="1" applyBorder="1"/>
    <xf numFmtId="0" fontId="0" fillId="11" borderId="5" xfId="0" applyFill="1" applyBorder="1" applyAlignment="1">
      <alignment horizontal="center" wrapText="1"/>
    </xf>
    <xf numFmtId="0" fontId="9" fillId="6" borderId="13" xfId="0" applyFont="1" applyFill="1" applyBorder="1"/>
    <xf numFmtId="0" fontId="9" fillId="6" borderId="14" xfId="0" applyFont="1" applyFill="1" applyBorder="1" applyAlignment="1">
      <alignment wrapText="1"/>
    </xf>
    <xf numFmtId="164" fontId="9" fillId="6" borderId="13" xfId="1" applyNumberFormat="1" applyFont="1" applyFill="1" applyBorder="1" applyAlignment="1">
      <alignment horizontal="center"/>
    </xf>
    <xf numFmtId="164" fontId="9" fillId="6" borderId="14" xfId="1" applyNumberFormat="1" applyFont="1" applyFill="1" applyBorder="1" applyAlignment="1">
      <alignment horizontal="center"/>
    </xf>
    <xf numFmtId="1" fontId="9" fillId="6" borderId="15" xfId="1" applyNumberFormat="1" applyFont="1" applyFill="1" applyBorder="1" applyAlignment="1">
      <alignment horizontal="center"/>
    </xf>
    <xf numFmtId="164" fontId="9" fillId="6" borderId="14" xfId="1" applyNumberFormat="1" applyFont="1" applyFill="1" applyBorder="1"/>
    <xf numFmtId="0" fontId="9" fillId="6" borderId="15" xfId="0" applyFont="1" applyFill="1" applyBorder="1" applyAlignment="1">
      <alignment horizontal="center" wrapText="1"/>
    </xf>
    <xf numFmtId="44" fontId="0" fillId="0" borderId="0" xfId="0" applyNumberFormat="1"/>
    <xf numFmtId="0" fontId="6" fillId="16" borderId="5" xfId="0" applyFont="1" applyFill="1" applyBorder="1" applyAlignment="1">
      <alignment horizontal="left" wrapText="1"/>
    </xf>
    <xf numFmtId="0" fontId="6" fillId="17" borderId="5" xfId="0" applyFont="1" applyFill="1" applyBorder="1" applyAlignment="1">
      <alignment horizontal="left" wrapText="1"/>
    </xf>
    <xf numFmtId="0" fontId="6" fillId="15" borderId="5" xfId="0" applyFont="1" applyFill="1" applyBorder="1" applyAlignment="1">
      <alignment horizontal="left" wrapText="1"/>
    </xf>
    <xf numFmtId="164" fontId="13" fillId="0" borderId="4" xfId="1" applyNumberFormat="1" applyFont="1" applyFill="1" applyBorder="1" applyAlignment="1">
      <alignment horizontal="left"/>
    </xf>
    <xf numFmtId="0" fontId="16" fillId="0" borderId="5" xfId="0" applyFont="1" applyFill="1" applyBorder="1" applyAlignment="1">
      <alignment horizontal="center" wrapText="1"/>
    </xf>
    <xf numFmtId="164" fontId="13" fillId="0" borderId="4" xfId="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left" wrapText="1" indent="1"/>
    </xf>
    <xf numFmtId="164" fontId="3" fillId="2" borderId="0" xfId="0" applyNumberFormat="1" applyFont="1" applyFill="1" applyAlignment="1">
      <alignment horizontal="center" wrapText="1"/>
    </xf>
    <xf numFmtId="164" fontId="3" fillId="15" borderId="0" xfId="0" applyNumberFormat="1" applyFont="1" applyFill="1" applyAlignment="1">
      <alignment horizontal="center" wrapText="1"/>
    </xf>
    <xf numFmtId="164" fontId="3" fillId="17" borderId="0" xfId="0" applyNumberFormat="1" applyFont="1" applyFill="1" applyAlignment="1">
      <alignment horizontal="center" wrapText="1"/>
    </xf>
    <xf numFmtId="164" fontId="3" fillId="16" borderId="0" xfId="0" applyNumberFormat="1" applyFont="1" applyFill="1" applyAlignment="1">
      <alignment horizontal="center" wrapText="1"/>
    </xf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9" fillId="0" borderId="4" xfId="1" applyNumberFormat="1" applyFont="1" applyFill="1" applyBorder="1" applyAlignment="1">
      <alignment horizontal="center"/>
    </xf>
    <xf numFmtId="164" fontId="9" fillId="0" borderId="4" xfId="1" applyNumberFormat="1" applyFont="1" applyFill="1" applyBorder="1"/>
    <xf numFmtId="0" fontId="6" fillId="17" borderId="18" xfId="0" applyFont="1" applyFill="1" applyBorder="1" applyAlignment="1">
      <alignment horizontal="left" wrapText="1"/>
    </xf>
    <xf numFmtId="0" fontId="0" fillId="0" borderId="16" xfId="0" applyFill="1" applyBorder="1"/>
    <xf numFmtId="0" fontId="3" fillId="0" borderId="17" xfId="0" applyFont="1" applyFill="1" applyBorder="1" applyAlignment="1">
      <alignment wrapText="1"/>
    </xf>
    <xf numFmtId="164" fontId="3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164" fontId="9" fillId="0" borderId="16" xfId="1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 wrapText="1"/>
    </xf>
    <xf numFmtId="164" fontId="0" fillId="0" borderId="17" xfId="1" applyNumberFormat="1" applyFont="1" applyFill="1" applyBorder="1"/>
    <xf numFmtId="0" fontId="6" fillId="0" borderId="18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4" fontId="3" fillId="0" borderId="0" xfId="1" applyNumberFormat="1" applyFont="1" applyBorder="1"/>
    <xf numFmtId="164" fontId="3" fillId="0" borderId="5" xfId="1" applyNumberFormat="1" applyFont="1" applyBorder="1"/>
    <xf numFmtId="0" fontId="3" fillId="0" borderId="17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4" fontId="0" fillId="0" borderId="4" xfId="1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EC70-76D0-48BD-A256-FB07343376F1}">
  <dimension ref="A1:N207"/>
  <sheetViews>
    <sheetView tabSelected="1" topLeftCell="A163" workbookViewId="0">
      <selection activeCell="E17" sqref="E17"/>
    </sheetView>
  </sheetViews>
  <sheetFormatPr defaultRowHeight="14.4" outlineLevelRow="2" x14ac:dyDescent="0.3"/>
  <cols>
    <col min="1" max="1" width="11.109375" customWidth="1"/>
    <col min="2" max="2" width="30" style="2" customWidth="1"/>
    <col min="3" max="5" width="14" style="3" customWidth="1"/>
    <col min="6" max="6" width="11.109375" style="3" customWidth="1"/>
    <col min="7" max="9" width="14" style="3" customWidth="1"/>
    <col min="10" max="10" width="11.109375" style="3" customWidth="1"/>
    <col min="11" max="11" width="22.88671875" style="3" customWidth="1"/>
    <col min="12" max="12" width="38.6640625" style="3" customWidth="1"/>
    <col min="14" max="23" width="9.109375" bestFit="1" customWidth="1"/>
  </cols>
  <sheetData>
    <row r="1" spans="1:14" x14ac:dyDescent="0.3">
      <c r="A1" s="1" t="s">
        <v>0</v>
      </c>
    </row>
    <row r="2" spans="1:14" ht="16.8" x14ac:dyDescent="0.4">
      <c r="A2" s="1" t="s">
        <v>147</v>
      </c>
      <c r="D2" s="4"/>
    </row>
    <row r="3" spans="1:14" ht="15" thickBot="1" x14ac:dyDescent="0.35">
      <c r="A3" s="5">
        <v>44320</v>
      </c>
    </row>
    <row r="4" spans="1:14" ht="15" thickBot="1" x14ac:dyDescent="0.35">
      <c r="C4" s="403" t="s">
        <v>134</v>
      </c>
      <c r="D4" s="404"/>
      <c r="E4" s="404"/>
      <c r="F4" s="405"/>
      <c r="G4" s="403" t="s">
        <v>178</v>
      </c>
      <c r="H4" s="404"/>
      <c r="I4" s="404"/>
      <c r="J4" s="405"/>
      <c r="M4" s="6"/>
    </row>
    <row r="5" spans="1:14" ht="43.2" x14ac:dyDescent="0.3">
      <c r="A5" s="406" t="s">
        <v>1</v>
      </c>
      <c r="B5" s="407"/>
      <c r="C5" s="201" t="s">
        <v>2</v>
      </c>
      <c r="D5" s="202" t="s">
        <v>3</v>
      </c>
      <c r="E5" s="202" t="s">
        <v>4</v>
      </c>
      <c r="F5" s="203" t="s">
        <v>146</v>
      </c>
      <c r="G5" s="201" t="s">
        <v>2</v>
      </c>
      <c r="H5" s="202" t="s">
        <v>3</v>
      </c>
      <c r="I5" s="202" t="s">
        <v>4</v>
      </c>
      <c r="J5" s="203" t="s">
        <v>146</v>
      </c>
      <c r="K5" s="202" t="s">
        <v>6</v>
      </c>
      <c r="L5" s="203" t="s">
        <v>7</v>
      </c>
    </row>
    <row r="6" spans="1:14" x14ac:dyDescent="0.3">
      <c r="A6" s="291" t="s">
        <v>8</v>
      </c>
      <c r="B6" s="292"/>
      <c r="C6" s="10">
        <v>185.61620055</v>
      </c>
      <c r="D6" s="11">
        <v>91.593149999999994</v>
      </c>
      <c r="E6" s="11">
        <v>97.51342031836198</v>
      </c>
      <c r="F6" s="12"/>
      <c r="G6" s="13">
        <f>C6</f>
        <v>185.61620055</v>
      </c>
      <c r="H6" s="381">
        <v>91.6</v>
      </c>
      <c r="I6" s="381">
        <v>97.5</v>
      </c>
      <c r="J6" s="14">
        <f>F6</f>
        <v>0</v>
      </c>
      <c r="K6" s="293"/>
      <c r="L6" s="359"/>
    </row>
    <row r="7" spans="1:14" x14ac:dyDescent="0.3">
      <c r="A7" s="291" t="s">
        <v>152</v>
      </c>
      <c r="B7" s="292"/>
      <c r="C7" s="10">
        <f>C129*-0.55</f>
        <v>5.5518310955085814</v>
      </c>
      <c r="D7" s="11"/>
      <c r="E7" s="11"/>
      <c r="F7" s="12"/>
      <c r="G7" s="13">
        <f>0.55*-G$129</f>
        <v>12.570359999999996</v>
      </c>
      <c r="H7" s="222"/>
      <c r="I7" s="222"/>
      <c r="J7" s="14"/>
      <c r="K7" s="293"/>
      <c r="L7" s="359" t="s">
        <v>153</v>
      </c>
    </row>
    <row r="8" spans="1:14" x14ac:dyDescent="0.3">
      <c r="A8" s="294" t="s">
        <v>9</v>
      </c>
      <c r="B8" s="295"/>
      <c r="C8" s="13">
        <f>C11+C15+C19+C23+C27+C29+C31</f>
        <v>-191.10000000000002</v>
      </c>
      <c r="D8" s="222">
        <f>D11+D15+D19+D23+D27+D29+D31</f>
        <v>-91.59</v>
      </c>
      <c r="E8" s="222">
        <f>E11+E15+E19+E23+E27+E29+E31</f>
        <v>-97.503</v>
      </c>
      <c r="F8" s="15">
        <f>F11+F19+F23</f>
        <v>2051</v>
      </c>
      <c r="G8" s="13">
        <f>G11+G15+G19+G23+G27+G29+G31</f>
        <v>-198.20000000000002</v>
      </c>
      <c r="H8" s="222">
        <f>H11+H15+H19+H23+H27+H29+H31</f>
        <v>-89.7</v>
      </c>
      <c r="I8" s="222">
        <f>I11+I15+I19+I23+I27+I29+I31</f>
        <v>-96</v>
      </c>
      <c r="J8" s="15">
        <f>J11+J19+J23</f>
        <v>2301</v>
      </c>
      <c r="K8" s="296"/>
      <c r="L8" s="297"/>
    </row>
    <row r="9" spans="1:14" x14ac:dyDescent="0.3">
      <c r="A9" s="294" t="s">
        <v>10</v>
      </c>
      <c r="B9" s="295"/>
      <c r="C9" s="16">
        <f>C6+C8+C7</f>
        <v>6.8031645508560779E-2</v>
      </c>
      <c r="D9" s="223">
        <f>D6+D8</f>
        <v>3.1499999999908823E-3</v>
      </c>
      <c r="E9" s="223">
        <f>E6+E8</f>
        <v>1.0420318361980208E-2</v>
      </c>
      <c r="F9" s="17"/>
      <c r="G9" s="16">
        <f>G6+G8+G7</f>
        <v>-1.3439450000019448E-2</v>
      </c>
      <c r="H9" s="223">
        <f>H6+H8</f>
        <v>1.8999999999999915</v>
      </c>
      <c r="I9" s="223">
        <f>I6+I8</f>
        <v>1.5</v>
      </c>
      <c r="J9" s="17"/>
      <c r="K9" s="296"/>
      <c r="L9" s="297"/>
      <c r="N9" s="18"/>
    </row>
    <row r="10" spans="1:14" ht="15" thickBot="1" x14ac:dyDescent="0.35">
      <c r="A10" s="20" t="s">
        <v>11</v>
      </c>
      <c r="B10" s="19"/>
      <c r="C10" s="20"/>
      <c r="D10" s="21"/>
      <c r="E10" s="21"/>
      <c r="F10" s="22"/>
      <c r="G10" s="23"/>
      <c r="H10" s="24"/>
      <c r="I10" s="24"/>
      <c r="J10" s="22"/>
      <c r="K10" s="21"/>
      <c r="L10" s="22"/>
    </row>
    <row r="11" spans="1:14" ht="15" customHeight="1" outlineLevel="1" x14ac:dyDescent="0.3">
      <c r="A11" s="261"/>
      <c r="B11" s="277" t="s">
        <v>12</v>
      </c>
      <c r="C11" s="29">
        <f t="shared" ref="C11:F11" si="0">SUM(C12:C14)</f>
        <v>-11.899999999999999</v>
      </c>
      <c r="D11" s="30">
        <f t="shared" si="0"/>
        <v>-25.890000000000004</v>
      </c>
      <c r="E11" s="30">
        <f t="shared" si="0"/>
        <v>-27.003000000000004</v>
      </c>
      <c r="F11" s="31">
        <f t="shared" si="0"/>
        <v>626</v>
      </c>
      <c r="G11" s="29">
        <f t="shared" ref="G11:I11" si="1">SUM(G12:G14)</f>
        <v>-18.5</v>
      </c>
      <c r="H11" s="30">
        <f t="shared" si="1"/>
        <v>-24.4</v>
      </c>
      <c r="I11" s="30">
        <f t="shared" si="1"/>
        <v>-21.9</v>
      </c>
      <c r="J11" s="31">
        <f>SUM(J12:J14)</f>
        <v>626</v>
      </c>
      <c r="K11" s="263"/>
      <c r="L11" s="300"/>
    </row>
    <row r="12" spans="1:14" outlineLevel="1" x14ac:dyDescent="0.3">
      <c r="A12" s="255" t="s">
        <v>13</v>
      </c>
      <c r="B12" s="274" t="s">
        <v>14</v>
      </c>
      <c r="C12" s="32">
        <v>-1.2</v>
      </c>
      <c r="D12" s="33">
        <v>-2.19</v>
      </c>
      <c r="E12" s="33">
        <v>-4.8029999999999999</v>
      </c>
      <c r="F12" s="27"/>
      <c r="G12" s="34">
        <v>-1.2</v>
      </c>
      <c r="H12" s="225">
        <v>-2.2000000000000002</v>
      </c>
      <c r="I12" s="225">
        <v>-4.8</v>
      </c>
      <c r="J12" s="27"/>
      <c r="K12" s="257" t="s">
        <v>15</v>
      </c>
      <c r="L12" s="301" t="s">
        <v>16</v>
      </c>
      <c r="M12" s="1"/>
    </row>
    <row r="13" spans="1:14" ht="28.8" outlineLevel="1" x14ac:dyDescent="0.3">
      <c r="A13" s="259"/>
      <c r="B13" s="275" t="s">
        <v>17</v>
      </c>
      <c r="C13" s="410">
        <v>-10.7</v>
      </c>
      <c r="D13" s="36">
        <v>-23.700000000000003</v>
      </c>
      <c r="E13" s="36">
        <v>-17.200000000000003</v>
      </c>
      <c r="F13" s="27">
        <v>339</v>
      </c>
      <c r="G13" s="37">
        <v>-17.3</v>
      </c>
      <c r="H13" s="226">
        <v>-22.2</v>
      </c>
      <c r="I13" s="226">
        <v>-12.1</v>
      </c>
      <c r="J13" s="27">
        <v>339</v>
      </c>
      <c r="K13" s="257" t="s">
        <v>18</v>
      </c>
      <c r="L13" s="301" t="s">
        <v>19</v>
      </c>
      <c r="M13" s="1"/>
    </row>
    <row r="14" spans="1:14" ht="28.8" outlineLevel="1" x14ac:dyDescent="0.3">
      <c r="A14" s="259"/>
      <c r="B14" s="275" t="s">
        <v>20</v>
      </c>
      <c r="C14" s="35"/>
      <c r="D14" s="38">
        <v>0</v>
      </c>
      <c r="E14" s="36">
        <v>-5</v>
      </c>
      <c r="F14" s="27">
        <v>287</v>
      </c>
      <c r="G14" s="28"/>
      <c r="H14" s="224"/>
      <c r="I14" s="228">
        <v>-5</v>
      </c>
      <c r="J14" s="27">
        <v>287</v>
      </c>
      <c r="K14" s="257" t="s">
        <v>15</v>
      </c>
      <c r="L14" s="301" t="s">
        <v>133</v>
      </c>
    </row>
    <row r="15" spans="1:14" ht="28.8" outlineLevel="1" x14ac:dyDescent="0.3">
      <c r="A15" s="266"/>
      <c r="B15" s="254" t="s">
        <v>21</v>
      </c>
      <c r="C15" s="39">
        <f>SUM(C16:C18)</f>
        <v>-70.599999999999994</v>
      </c>
      <c r="D15" s="46">
        <f>SUM(D16:D18)</f>
        <v>-12</v>
      </c>
      <c r="E15" s="46">
        <f>SUM(E16:E18)</f>
        <v>-15.3</v>
      </c>
      <c r="F15" s="40" t="s">
        <v>22</v>
      </c>
      <c r="G15" s="41">
        <f>SUM(G16:G18)</f>
        <v>-71.099999999999994</v>
      </c>
      <c r="H15" s="227">
        <f>SUM(H16:H18)</f>
        <v>-1.8</v>
      </c>
      <c r="I15" s="227">
        <f>SUM(I16:I18)</f>
        <v>-7</v>
      </c>
      <c r="J15" s="40" t="s">
        <v>22</v>
      </c>
      <c r="K15" s="267"/>
      <c r="L15" s="302"/>
    </row>
    <row r="16" spans="1:14" ht="15" customHeight="1" outlineLevel="1" x14ac:dyDescent="0.3">
      <c r="A16" s="259"/>
      <c r="B16" s="303" t="s">
        <v>23</v>
      </c>
      <c r="C16" s="377">
        <f>-65</f>
        <v>-65</v>
      </c>
      <c r="D16" s="45">
        <v>-4</v>
      </c>
      <c r="E16" s="45">
        <v>-3.3</v>
      </c>
      <c r="F16" s="378"/>
      <c r="G16" s="379">
        <f>-52</f>
        <v>-52</v>
      </c>
      <c r="H16" s="228"/>
      <c r="I16" s="228"/>
      <c r="J16" s="42"/>
      <c r="K16" s="257" t="s">
        <v>24</v>
      </c>
      <c r="L16" s="258" t="s">
        <v>157</v>
      </c>
    </row>
    <row r="17" spans="1:12" ht="28.8" outlineLevel="1" x14ac:dyDescent="0.3">
      <c r="A17" s="259"/>
      <c r="B17" s="303" t="s">
        <v>160</v>
      </c>
      <c r="C17" s="377">
        <f>-5.6</f>
        <v>-5.6</v>
      </c>
      <c r="D17" s="45"/>
      <c r="E17" s="45"/>
      <c r="F17" s="42"/>
      <c r="G17" s="379">
        <v>-19.100000000000001</v>
      </c>
      <c r="H17" s="228"/>
      <c r="I17" s="228"/>
      <c r="J17" s="42"/>
      <c r="K17" s="257" t="s">
        <v>24</v>
      </c>
      <c r="L17" s="258" t="s">
        <v>161</v>
      </c>
    </row>
    <row r="18" spans="1:12" outlineLevel="1" x14ac:dyDescent="0.3">
      <c r="A18" s="259"/>
      <c r="B18" s="303" t="s">
        <v>25</v>
      </c>
      <c r="C18" s="44">
        <v>0</v>
      </c>
      <c r="D18" s="45">
        <v>-8</v>
      </c>
      <c r="E18" s="45">
        <v>-12</v>
      </c>
      <c r="F18" s="42"/>
      <c r="G18" s="43"/>
      <c r="H18" s="228">
        <v>-1.8</v>
      </c>
      <c r="I18" s="228">
        <v>-7</v>
      </c>
      <c r="J18" s="42"/>
      <c r="K18" s="257" t="s">
        <v>15</v>
      </c>
      <c r="L18" s="258"/>
    </row>
    <row r="19" spans="1:12" ht="15" customHeight="1" outlineLevel="1" x14ac:dyDescent="0.3">
      <c r="A19" s="266"/>
      <c r="B19" s="271" t="s">
        <v>26</v>
      </c>
      <c r="C19" s="39">
        <f t="shared" ref="C19:F19" si="2">SUM(C20:C22)</f>
        <v>-5.8</v>
      </c>
      <c r="D19" s="46">
        <f t="shared" si="2"/>
        <v>-39</v>
      </c>
      <c r="E19" s="46">
        <f t="shared" si="2"/>
        <v>-43.900000000000006</v>
      </c>
      <c r="F19" s="47">
        <f t="shared" si="2"/>
        <v>1075</v>
      </c>
      <c r="G19" s="41">
        <f t="shared" ref="G19:J19" si="3">SUM(G20:G22)</f>
        <v>-5.8</v>
      </c>
      <c r="H19" s="227">
        <f t="shared" si="3"/>
        <v>-46.5</v>
      </c>
      <c r="I19" s="227">
        <f t="shared" si="3"/>
        <v>-51.599999999999994</v>
      </c>
      <c r="J19" s="47">
        <f t="shared" si="3"/>
        <v>1275</v>
      </c>
      <c r="K19" s="267"/>
      <c r="L19" s="302"/>
    </row>
    <row r="20" spans="1:12" ht="15" customHeight="1" outlineLevel="1" x14ac:dyDescent="0.3">
      <c r="A20" s="255" t="s">
        <v>13</v>
      </c>
      <c r="B20" s="274" t="s">
        <v>27</v>
      </c>
      <c r="C20" s="32">
        <v>-5.8</v>
      </c>
      <c r="D20" s="33">
        <v>-12.4</v>
      </c>
      <c r="E20" s="33">
        <v>-12.7</v>
      </c>
      <c r="F20" s="48">
        <v>325</v>
      </c>
      <c r="G20" s="34">
        <f t="shared" ref="G20:J21" si="4">C20</f>
        <v>-5.8</v>
      </c>
      <c r="H20" s="225">
        <v>-12.4</v>
      </c>
      <c r="I20" s="225">
        <v>-12.7</v>
      </c>
      <c r="J20" s="48">
        <f t="shared" si="4"/>
        <v>325</v>
      </c>
      <c r="K20" s="257" t="s">
        <v>28</v>
      </c>
      <c r="L20" s="301" t="s">
        <v>29</v>
      </c>
    </row>
    <row r="21" spans="1:12" ht="15" customHeight="1" outlineLevel="1" x14ac:dyDescent="0.3">
      <c r="A21" s="259"/>
      <c r="B21" s="275" t="s">
        <v>27</v>
      </c>
      <c r="C21" s="49">
        <v>0</v>
      </c>
      <c r="D21" s="50">
        <v>-22.6</v>
      </c>
      <c r="E21" s="50">
        <v>-27.200000000000003</v>
      </c>
      <c r="F21" s="27">
        <v>650</v>
      </c>
      <c r="G21" s="37">
        <f t="shared" si="4"/>
        <v>0</v>
      </c>
      <c r="H21" s="226">
        <v>-22.6</v>
      </c>
      <c r="I21" s="226">
        <v>-27.1</v>
      </c>
      <c r="J21" s="27">
        <f t="shared" si="4"/>
        <v>650</v>
      </c>
      <c r="K21" s="257" t="s">
        <v>28</v>
      </c>
      <c r="L21" s="301" t="s">
        <v>162</v>
      </c>
    </row>
    <row r="22" spans="1:12" ht="15" customHeight="1" outlineLevel="1" x14ac:dyDescent="0.3">
      <c r="A22" s="259"/>
      <c r="B22" s="51" t="s">
        <v>27</v>
      </c>
      <c r="C22" s="49"/>
      <c r="D22" s="50">
        <v>-4</v>
      </c>
      <c r="E22" s="50">
        <v>-4</v>
      </c>
      <c r="F22" s="27">
        <v>100</v>
      </c>
      <c r="G22" s="37"/>
      <c r="H22" s="228">
        <v>-11.5</v>
      </c>
      <c r="I22" s="228">
        <v>-11.8</v>
      </c>
      <c r="J22" s="52">
        <v>300</v>
      </c>
      <c r="K22" s="257" t="s">
        <v>28</v>
      </c>
      <c r="L22" s="301" t="s">
        <v>30</v>
      </c>
    </row>
    <row r="23" spans="1:12" outlineLevel="1" x14ac:dyDescent="0.3">
      <c r="A23" s="266"/>
      <c r="B23" s="254" t="s">
        <v>31</v>
      </c>
      <c r="C23" s="53">
        <f>SUM(C24:C25)</f>
        <v>-4.7</v>
      </c>
      <c r="D23" s="54">
        <f>SUM(D24:D25)</f>
        <v>-14.7</v>
      </c>
      <c r="E23" s="54">
        <f>SUM(E24:E25)</f>
        <v>-11.3</v>
      </c>
      <c r="F23" s="55">
        <f>SUM(F24:F25)</f>
        <v>350</v>
      </c>
      <c r="G23" s="41">
        <f>SUM(G24:G26)</f>
        <v>-4.7</v>
      </c>
      <c r="H23" s="227">
        <f>SUM(H24:H26)</f>
        <v>-17</v>
      </c>
      <c r="I23" s="227">
        <f>SUM(I24:I26)</f>
        <v>-15.5</v>
      </c>
      <c r="J23" s="55">
        <f>SUM(J24:J26)</f>
        <v>400</v>
      </c>
      <c r="K23" s="267"/>
      <c r="L23" s="302"/>
    </row>
    <row r="24" spans="1:12" ht="28.8" outlineLevel="1" x14ac:dyDescent="0.3">
      <c r="A24" s="255" t="s">
        <v>13</v>
      </c>
      <c r="B24" s="274" t="s">
        <v>32</v>
      </c>
      <c r="C24" s="32">
        <v>-4.7</v>
      </c>
      <c r="D24" s="33">
        <v>-6.9</v>
      </c>
      <c r="E24" s="33">
        <v>-5.3</v>
      </c>
      <c r="F24" s="48">
        <v>165</v>
      </c>
      <c r="G24" s="34">
        <v>-4.7</v>
      </c>
      <c r="H24" s="225">
        <v>-6.9</v>
      </c>
      <c r="I24" s="225">
        <v>-5.3</v>
      </c>
      <c r="J24" s="48">
        <v>165</v>
      </c>
      <c r="K24" s="257" t="s">
        <v>33</v>
      </c>
      <c r="L24" s="301" t="s">
        <v>34</v>
      </c>
    </row>
    <row r="25" spans="1:12" ht="28.8" outlineLevel="1" x14ac:dyDescent="0.3">
      <c r="A25" s="259"/>
      <c r="B25" s="275" t="s">
        <v>32</v>
      </c>
      <c r="C25" s="35">
        <v>0</v>
      </c>
      <c r="D25" s="36">
        <v>-7.8</v>
      </c>
      <c r="E25" s="36">
        <v>-6</v>
      </c>
      <c r="F25" s="27">
        <v>185</v>
      </c>
      <c r="G25" s="37">
        <f t="shared" ref="G25" si="5">C25</f>
        <v>0</v>
      </c>
      <c r="H25" s="226">
        <v>-7.8</v>
      </c>
      <c r="I25" s="226">
        <v>-7.8</v>
      </c>
      <c r="J25" s="27">
        <v>185</v>
      </c>
      <c r="K25" s="257" t="s">
        <v>33</v>
      </c>
      <c r="L25" s="301"/>
    </row>
    <row r="26" spans="1:12" ht="28.8" outlineLevel="1" x14ac:dyDescent="0.3">
      <c r="A26" s="259"/>
      <c r="B26" s="275" t="s">
        <v>32</v>
      </c>
      <c r="C26" s="35"/>
      <c r="D26" s="38"/>
      <c r="E26" s="38"/>
      <c r="F26" s="27"/>
      <c r="G26" s="28"/>
      <c r="H26" s="226">
        <v>-2.2999999999999998</v>
      </c>
      <c r="I26" s="226">
        <v>-2.4</v>
      </c>
      <c r="J26" s="27">
        <v>50</v>
      </c>
      <c r="K26" s="257" t="s">
        <v>33</v>
      </c>
      <c r="L26" s="301" t="s">
        <v>35</v>
      </c>
    </row>
    <row r="27" spans="1:12" outlineLevel="1" x14ac:dyDescent="0.3">
      <c r="A27" s="304" t="s">
        <v>13</v>
      </c>
      <c r="B27" s="305" t="s">
        <v>36</v>
      </c>
      <c r="C27" s="56">
        <v>-91.9</v>
      </c>
      <c r="D27" s="46">
        <v>0</v>
      </c>
      <c r="E27" s="46">
        <v>0</v>
      </c>
      <c r="F27" s="40" t="s">
        <v>37</v>
      </c>
      <c r="G27" s="57">
        <f>C27</f>
        <v>-91.9</v>
      </c>
      <c r="H27" s="239"/>
      <c r="I27" s="239"/>
      <c r="J27" s="40"/>
      <c r="K27" s="267"/>
      <c r="L27" s="302"/>
    </row>
    <row r="28" spans="1:12" outlineLevel="1" x14ac:dyDescent="0.3">
      <c r="A28" s="255"/>
      <c r="B28" s="306"/>
      <c r="C28" s="58"/>
      <c r="D28" s="59"/>
      <c r="E28" s="59"/>
      <c r="F28" s="60"/>
      <c r="G28" s="61"/>
      <c r="H28" s="240"/>
      <c r="I28" s="240"/>
      <c r="J28" s="60"/>
      <c r="K28" s="307"/>
      <c r="L28" s="308"/>
    </row>
    <row r="29" spans="1:12" ht="28.8" outlineLevel="1" x14ac:dyDescent="0.3">
      <c r="A29" s="304" t="s">
        <v>13</v>
      </c>
      <c r="B29" s="305" t="s">
        <v>38</v>
      </c>
      <c r="C29" s="62">
        <f>-5.8</f>
        <v>-5.8</v>
      </c>
      <c r="D29" s="46">
        <v>0</v>
      </c>
      <c r="E29" s="46">
        <v>0</v>
      </c>
      <c r="F29" s="40" t="s">
        <v>37</v>
      </c>
      <c r="G29" s="57">
        <f>C29</f>
        <v>-5.8</v>
      </c>
      <c r="H29" s="239"/>
      <c r="I29" s="239"/>
      <c r="J29" s="40"/>
      <c r="K29" s="267"/>
      <c r="L29" s="302"/>
    </row>
    <row r="30" spans="1:12" outlineLevel="1" x14ac:dyDescent="0.3">
      <c r="A30" s="255"/>
      <c r="B30" s="306"/>
      <c r="C30" s="58"/>
      <c r="D30" s="59"/>
      <c r="E30" s="59"/>
      <c r="F30" s="60"/>
      <c r="G30" s="61"/>
      <c r="H30" s="240"/>
      <c r="I30" s="240"/>
      <c r="J30" s="60"/>
      <c r="K30" s="309"/>
      <c r="L30" s="308"/>
    </row>
    <row r="31" spans="1:12" outlineLevel="1" x14ac:dyDescent="0.3">
      <c r="A31" s="304" t="s">
        <v>13</v>
      </c>
      <c r="B31" s="305" t="s">
        <v>39</v>
      </c>
      <c r="C31" s="56">
        <v>-0.4</v>
      </c>
      <c r="D31" s="46">
        <v>0</v>
      </c>
      <c r="E31" s="46">
        <v>0</v>
      </c>
      <c r="F31" s="40" t="s">
        <v>37</v>
      </c>
      <c r="G31" s="57">
        <f>C31</f>
        <v>-0.4</v>
      </c>
      <c r="H31" s="239"/>
      <c r="I31" s="239"/>
      <c r="J31" s="40"/>
      <c r="K31" s="267"/>
      <c r="L31" s="302"/>
    </row>
    <row r="32" spans="1:12" ht="15" customHeight="1" outlineLevel="1" thickBot="1" x14ac:dyDescent="0.35">
      <c r="A32" s="310"/>
      <c r="B32" s="63"/>
      <c r="C32" s="64"/>
      <c r="D32" s="65"/>
      <c r="E32" s="65"/>
      <c r="F32" s="66"/>
      <c r="G32" s="67"/>
      <c r="H32" s="68"/>
      <c r="I32" s="68"/>
      <c r="J32" s="66"/>
      <c r="K32" s="69"/>
      <c r="L32" s="311"/>
    </row>
    <row r="33" spans="1:13" ht="15" customHeight="1" thickBot="1" x14ac:dyDescent="0.35">
      <c r="A33" s="259"/>
      <c r="B33" s="298"/>
      <c r="C33" s="70"/>
      <c r="D33" s="71"/>
      <c r="E33" s="71"/>
      <c r="F33" s="27"/>
      <c r="G33" s="28"/>
      <c r="H33" s="224"/>
      <c r="I33" s="224"/>
      <c r="J33" s="27"/>
      <c r="K33" s="257"/>
      <c r="L33" s="299"/>
    </row>
    <row r="34" spans="1:13" ht="15" customHeight="1" thickBot="1" x14ac:dyDescent="0.35">
      <c r="A34" s="259"/>
      <c r="B34" s="298"/>
      <c r="C34" s="403" t="s">
        <v>134</v>
      </c>
      <c r="D34" s="404"/>
      <c r="E34" s="404"/>
      <c r="F34" s="405"/>
      <c r="G34" s="403" t="s">
        <v>178</v>
      </c>
      <c r="H34" s="404"/>
      <c r="I34" s="404"/>
      <c r="J34" s="405"/>
      <c r="K34" s="257"/>
      <c r="L34" s="299"/>
    </row>
    <row r="35" spans="1:13" ht="43.2" x14ac:dyDescent="0.3">
      <c r="A35" s="408" t="s">
        <v>40</v>
      </c>
      <c r="B35" s="409"/>
      <c r="C35" s="7" t="s">
        <v>2</v>
      </c>
      <c r="D35" s="8" t="s">
        <v>3</v>
      </c>
      <c r="E35" s="8" t="s">
        <v>4</v>
      </c>
      <c r="F35" s="9" t="s">
        <v>5</v>
      </c>
      <c r="G35" s="7" t="s">
        <v>2</v>
      </c>
      <c r="H35" s="8" t="s">
        <v>3</v>
      </c>
      <c r="I35" s="8" t="s">
        <v>4</v>
      </c>
      <c r="J35" s="9" t="s">
        <v>5</v>
      </c>
      <c r="K35" s="8" t="s">
        <v>6</v>
      </c>
      <c r="L35" s="9" t="s">
        <v>7</v>
      </c>
    </row>
    <row r="36" spans="1:13" x14ac:dyDescent="0.3">
      <c r="A36" s="291" t="s">
        <v>8</v>
      </c>
      <c r="B36" s="292"/>
      <c r="C36" s="10">
        <v>84.371000250000009</v>
      </c>
      <c r="D36" s="11">
        <v>41.633249999999997</v>
      </c>
      <c r="E36" s="11">
        <v>44.324281962891803</v>
      </c>
      <c r="F36" s="12"/>
      <c r="G36" s="13">
        <f>C36</f>
        <v>84.371000250000009</v>
      </c>
      <c r="H36" s="222">
        <v>41.6</v>
      </c>
      <c r="I36" s="222">
        <v>44.3</v>
      </c>
      <c r="J36" s="12"/>
      <c r="K36" s="293"/>
      <c r="L36" s="359"/>
    </row>
    <row r="37" spans="1:13" x14ac:dyDescent="0.3">
      <c r="A37" s="291" t="s">
        <v>152</v>
      </c>
      <c r="B37" s="292"/>
      <c r="C37" s="10">
        <f>C129*-0.25</f>
        <v>2.5235595888675366</v>
      </c>
      <c r="D37" s="11"/>
      <c r="E37" s="11"/>
      <c r="F37" s="12"/>
      <c r="G37" s="13">
        <f>0.25*-G$129</f>
        <v>5.7137999999999973</v>
      </c>
      <c r="H37" s="222"/>
      <c r="I37" s="222"/>
      <c r="J37" s="14"/>
      <c r="K37" s="293"/>
      <c r="L37" s="359" t="s">
        <v>156</v>
      </c>
    </row>
    <row r="38" spans="1:13" ht="15" customHeight="1" x14ac:dyDescent="0.3">
      <c r="A38" s="294" t="s">
        <v>9</v>
      </c>
      <c r="B38" s="295"/>
      <c r="C38" s="16">
        <f>C41+C45+C48</f>
        <v>-86.825000000000003</v>
      </c>
      <c r="D38" s="223">
        <f>D41+D45</f>
        <v>-37.4</v>
      </c>
      <c r="E38" s="223">
        <f>E41+E45</f>
        <v>-19.5</v>
      </c>
      <c r="F38" s="15">
        <f>F45</f>
        <v>350</v>
      </c>
      <c r="G38" s="16">
        <f>G41+G45+G48</f>
        <v>-90.025000000000006</v>
      </c>
      <c r="H38" s="223">
        <f>H41+H45</f>
        <v>-32.299999999999997</v>
      </c>
      <c r="I38" s="223">
        <f>I41+I45</f>
        <v>-21.9</v>
      </c>
      <c r="J38" s="15">
        <f>J45</f>
        <v>350</v>
      </c>
      <c r="K38" s="296"/>
      <c r="L38" s="297"/>
    </row>
    <row r="39" spans="1:13" x14ac:dyDescent="0.3">
      <c r="A39" s="294" t="s">
        <v>10</v>
      </c>
      <c r="B39" s="295"/>
      <c r="C39" s="16">
        <f>C36+C38+C37</f>
        <v>6.9559838867542467E-2</v>
      </c>
      <c r="D39" s="223">
        <f>D36+D38</f>
        <v>4.2332499999999982</v>
      </c>
      <c r="E39" s="223">
        <f>E36+E38</f>
        <v>24.824281962891803</v>
      </c>
      <c r="F39" s="17"/>
      <c r="G39" s="16">
        <f>G36+G38+G37</f>
        <v>5.9800250000000332E-2</v>
      </c>
      <c r="H39" s="223">
        <f>H36+H38</f>
        <v>9.3000000000000043</v>
      </c>
      <c r="I39" s="223">
        <f>I36+I38</f>
        <v>22.4</v>
      </c>
      <c r="J39" s="17"/>
      <c r="K39" s="296"/>
      <c r="L39" s="297"/>
    </row>
    <row r="40" spans="1:13" ht="15" thickBot="1" x14ac:dyDescent="0.35">
      <c r="A40" s="312" t="s">
        <v>11</v>
      </c>
      <c r="B40" s="19"/>
      <c r="C40" s="72"/>
      <c r="D40" s="73"/>
      <c r="E40" s="73"/>
      <c r="F40" s="74"/>
      <c r="G40" s="72"/>
      <c r="H40" s="73"/>
      <c r="I40" s="73"/>
      <c r="J40" s="74"/>
      <c r="K40" s="75"/>
      <c r="L40" s="313"/>
    </row>
    <row r="41" spans="1:13" s="1" customFormat="1" ht="28.8" outlineLevel="2" x14ac:dyDescent="0.3">
      <c r="A41" s="253"/>
      <c r="B41" s="254" t="s">
        <v>21</v>
      </c>
      <c r="C41" s="76">
        <f>SUM(C42:C44)</f>
        <v>-86</v>
      </c>
      <c r="D41" s="77">
        <f>D42+D44</f>
        <v>-23.5</v>
      </c>
      <c r="E41" s="77">
        <f>E42+E44</f>
        <v>-5.0999999999999996</v>
      </c>
      <c r="F41" s="40" t="s">
        <v>22</v>
      </c>
      <c r="G41" s="41">
        <f>SUM(G42:G44)</f>
        <v>-89.2</v>
      </c>
      <c r="H41" s="227">
        <f>SUM(H42:H44)</f>
        <v>-18.399999999999999</v>
      </c>
      <c r="I41" s="227">
        <f>SUM(I42:I44)</f>
        <v>-7.5</v>
      </c>
      <c r="J41" s="40" t="s">
        <v>22</v>
      </c>
      <c r="K41" s="77"/>
      <c r="L41" s="40"/>
    </row>
    <row r="42" spans="1:13" ht="60.6" outlineLevel="2" x14ac:dyDescent="0.3">
      <c r="A42" s="259"/>
      <c r="B42" s="275" t="s">
        <v>41</v>
      </c>
      <c r="C42" s="97">
        <f>-83.5</f>
        <v>-83.5</v>
      </c>
      <c r="D42" s="79">
        <v>-18.5</v>
      </c>
      <c r="E42" s="26">
        <v>0</v>
      </c>
      <c r="F42" s="27"/>
      <c r="G42" s="78">
        <f>-83.5</f>
        <v>-83.5</v>
      </c>
      <c r="H42" s="79">
        <v>-16.5</v>
      </c>
      <c r="I42" s="79">
        <v>0</v>
      </c>
      <c r="J42" s="27"/>
      <c r="K42" s="257" t="s">
        <v>24</v>
      </c>
      <c r="L42" s="258" t="s">
        <v>159</v>
      </c>
    </row>
    <row r="43" spans="1:13" ht="28.8" outlineLevel="2" x14ac:dyDescent="0.3">
      <c r="A43" s="259"/>
      <c r="B43" s="303" t="s">
        <v>160</v>
      </c>
      <c r="C43" s="97">
        <v>-2.5</v>
      </c>
      <c r="D43" s="79"/>
      <c r="E43" s="26"/>
      <c r="F43" s="27"/>
      <c r="G43" s="97">
        <v>-5.7</v>
      </c>
      <c r="H43" s="79"/>
      <c r="I43" s="79"/>
      <c r="J43" s="27"/>
      <c r="K43" s="257" t="s">
        <v>24</v>
      </c>
      <c r="L43" s="258" t="s">
        <v>161</v>
      </c>
    </row>
    <row r="44" spans="1:13" outlineLevel="2" x14ac:dyDescent="0.3">
      <c r="A44" s="259"/>
      <c r="B44" s="275" t="s">
        <v>42</v>
      </c>
      <c r="C44" s="25">
        <v>0</v>
      </c>
      <c r="D44" s="26">
        <v>-5</v>
      </c>
      <c r="E44" s="26">
        <v>-5.0999999999999996</v>
      </c>
      <c r="F44" s="27"/>
      <c r="G44" s="28"/>
      <c r="H44" s="79">
        <v>-1.9</v>
      </c>
      <c r="I44" s="79">
        <v>-7.5</v>
      </c>
      <c r="J44" s="27"/>
      <c r="K44" s="257" t="s">
        <v>15</v>
      </c>
      <c r="L44" s="258"/>
    </row>
    <row r="45" spans="1:13" s="1" customFormat="1" outlineLevel="2" x14ac:dyDescent="0.3">
      <c r="A45" s="253"/>
      <c r="B45" s="254" t="s">
        <v>26</v>
      </c>
      <c r="C45" s="76">
        <f>SUM(C46:C46)</f>
        <v>-0.36899999999999999</v>
      </c>
      <c r="D45" s="77">
        <f t="shared" ref="D45:J45" si="6">SUM(D46:D47)</f>
        <v>-13.9</v>
      </c>
      <c r="E45" s="77">
        <f t="shared" si="6"/>
        <v>-14.4</v>
      </c>
      <c r="F45" s="47">
        <f t="shared" si="6"/>
        <v>350</v>
      </c>
      <c r="G45" s="41">
        <f t="shared" si="6"/>
        <v>-0.36899999999999999</v>
      </c>
      <c r="H45" s="227">
        <f t="shared" si="6"/>
        <v>-13.9</v>
      </c>
      <c r="I45" s="227">
        <f t="shared" si="6"/>
        <v>-14.4</v>
      </c>
      <c r="J45" s="47">
        <f t="shared" si="6"/>
        <v>350</v>
      </c>
      <c r="K45" s="77"/>
      <c r="L45" s="40"/>
      <c r="M45" s="80"/>
    </row>
    <row r="46" spans="1:13" ht="15" customHeight="1" outlineLevel="2" x14ac:dyDescent="0.3">
      <c r="A46" s="255" t="s">
        <v>13</v>
      </c>
      <c r="B46" s="274" t="s">
        <v>43</v>
      </c>
      <c r="C46" s="81">
        <v>-0.36899999999999999</v>
      </c>
      <c r="D46" s="82">
        <v>-1.9</v>
      </c>
      <c r="E46" s="82">
        <v>-2</v>
      </c>
      <c r="F46" s="48">
        <v>50</v>
      </c>
      <c r="G46" s="34">
        <f>C46</f>
        <v>-0.36899999999999999</v>
      </c>
      <c r="H46" s="225">
        <f>D46</f>
        <v>-1.9</v>
      </c>
      <c r="I46" s="225">
        <f>E46</f>
        <v>-2</v>
      </c>
      <c r="J46" s="48">
        <v>50</v>
      </c>
      <c r="K46" s="257" t="s">
        <v>28</v>
      </c>
      <c r="L46" s="299"/>
    </row>
    <row r="47" spans="1:13" ht="15" customHeight="1" outlineLevel="2" x14ac:dyDescent="0.3">
      <c r="A47" s="259"/>
      <c r="B47" s="275" t="s">
        <v>43</v>
      </c>
      <c r="C47" s="25"/>
      <c r="D47" s="26">
        <v>-12</v>
      </c>
      <c r="E47" s="79">
        <v>-12.4</v>
      </c>
      <c r="F47" s="27">
        <v>300</v>
      </c>
      <c r="G47" s="28"/>
      <c r="H47" s="26">
        <v>-12</v>
      </c>
      <c r="I47" s="79">
        <v>-12.4</v>
      </c>
      <c r="J47" s="27">
        <v>300</v>
      </c>
      <c r="K47" s="257" t="s">
        <v>28</v>
      </c>
      <c r="L47" s="258" t="s">
        <v>44</v>
      </c>
    </row>
    <row r="48" spans="1:13" ht="28.8" outlineLevel="2" x14ac:dyDescent="0.3">
      <c r="A48" s="304" t="s">
        <v>13</v>
      </c>
      <c r="B48" s="305" t="s">
        <v>38</v>
      </c>
      <c r="C48" s="83">
        <v>-0.45600000000000002</v>
      </c>
      <c r="D48" s="84"/>
      <c r="E48" s="84"/>
      <c r="F48" s="85"/>
      <c r="G48" s="86">
        <f>C48</f>
        <v>-0.45600000000000002</v>
      </c>
      <c r="H48" s="241"/>
      <c r="I48" s="241"/>
      <c r="J48" s="85"/>
      <c r="K48" s="289"/>
      <c r="L48" s="85"/>
    </row>
    <row r="49" spans="1:12" ht="15" outlineLevel="2" thickBot="1" x14ac:dyDescent="0.35">
      <c r="A49" s="314"/>
      <c r="B49" s="63"/>
      <c r="C49" s="87">
        <v>0</v>
      </c>
      <c r="D49" s="88">
        <v>0</v>
      </c>
      <c r="E49" s="88">
        <v>0</v>
      </c>
      <c r="F49" s="66"/>
      <c r="G49" s="67"/>
      <c r="H49" s="68"/>
      <c r="I49" s="68"/>
      <c r="J49" s="66"/>
      <c r="K49" s="69"/>
      <c r="L49" s="66"/>
    </row>
    <row r="50" spans="1:12" ht="15" thickBot="1" x14ac:dyDescent="0.35">
      <c r="A50" s="209"/>
      <c r="B50" s="298"/>
      <c r="C50" s="25"/>
      <c r="D50" s="26"/>
      <c r="E50" s="26"/>
      <c r="F50" s="27"/>
      <c r="G50" s="28"/>
      <c r="H50" s="224"/>
      <c r="I50" s="224"/>
      <c r="J50" s="27"/>
      <c r="K50" s="257"/>
      <c r="L50" s="27"/>
    </row>
    <row r="51" spans="1:12" ht="15" customHeight="1" thickBot="1" x14ac:dyDescent="0.35">
      <c r="A51" s="209"/>
      <c r="B51" s="298"/>
      <c r="C51" s="403" t="s">
        <v>134</v>
      </c>
      <c r="D51" s="404"/>
      <c r="E51" s="404"/>
      <c r="F51" s="405"/>
      <c r="G51" s="403" t="s">
        <v>178</v>
      </c>
      <c r="H51" s="404"/>
      <c r="I51" s="404"/>
      <c r="J51" s="405"/>
      <c r="K51" s="257"/>
      <c r="L51" s="27"/>
    </row>
    <row r="52" spans="1:12" ht="43.2" x14ac:dyDescent="0.3">
      <c r="A52" s="408" t="s">
        <v>45</v>
      </c>
      <c r="B52" s="409"/>
      <c r="C52" s="7" t="s">
        <v>2</v>
      </c>
      <c r="D52" s="8" t="s">
        <v>3</v>
      </c>
      <c r="E52" s="8" t="s">
        <v>4</v>
      </c>
      <c r="F52" s="9" t="s">
        <v>5</v>
      </c>
      <c r="G52" s="7" t="s">
        <v>2</v>
      </c>
      <c r="H52" s="8" t="s">
        <v>3</v>
      </c>
      <c r="I52" s="8" t="s">
        <v>4</v>
      </c>
      <c r="J52" s="9" t="s">
        <v>5</v>
      </c>
      <c r="K52" s="8" t="s">
        <v>6</v>
      </c>
      <c r="L52" s="9" t="s">
        <v>7</v>
      </c>
    </row>
    <row r="53" spans="1:12" x14ac:dyDescent="0.3">
      <c r="A53" s="291" t="s">
        <v>8</v>
      </c>
      <c r="B53" s="292"/>
      <c r="C53" s="10">
        <v>67.49680020000001</v>
      </c>
      <c r="D53" s="11">
        <v>33.306599999999996</v>
      </c>
      <c r="E53" s="11">
        <v>35.459425570313442</v>
      </c>
      <c r="F53" s="12"/>
      <c r="G53" s="13">
        <f>C53</f>
        <v>67.49680020000001</v>
      </c>
      <c r="H53" s="381">
        <v>33.299999999999997</v>
      </c>
      <c r="I53" s="381">
        <v>35.5</v>
      </c>
      <c r="J53" s="12"/>
      <c r="K53" s="293"/>
      <c r="L53" s="359"/>
    </row>
    <row r="54" spans="1:12" x14ac:dyDescent="0.3">
      <c r="A54" s="291" t="s">
        <v>152</v>
      </c>
      <c r="B54" s="292"/>
      <c r="C54" s="10">
        <f>C129*-0.2</f>
        <v>2.0188476710940293</v>
      </c>
      <c r="D54" s="11"/>
      <c r="E54" s="11"/>
      <c r="F54" s="12"/>
      <c r="G54" s="13">
        <f>0.2*-G$129</f>
        <v>4.5710399999999982</v>
      </c>
      <c r="H54" s="222"/>
      <c r="I54" s="222"/>
      <c r="J54" s="14"/>
      <c r="K54" s="293"/>
      <c r="L54" s="359" t="s">
        <v>155</v>
      </c>
    </row>
    <row r="55" spans="1:12" x14ac:dyDescent="0.3">
      <c r="A55" s="294" t="s">
        <v>9</v>
      </c>
      <c r="B55" s="295"/>
      <c r="C55" s="16">
        <f>C58+C62+C64+C67+C70</f>
        <v>-69.376999999999995</v>
      </c>
      <c r="D55" s="223">
        <f>D58+D62+D64+D67+D70+D72</f>
        <v>-33.299999999999997</v>
      </c>
      <c r="E55" s="223">
        <f>E58+E62+E64+E67+E70+E72</f>
        <v>-16.600000000000001</v>
      </c>
      <c r="F55" s="89">
        <f>F64+F67</f>
        <v>130</v>
      </c>
      <c r="G55" s="16">
        <f>G58+G62+G64+G67+G70+G72</f>
        <v>-72.076999999999998</v>
      </c>
      <c r="H55" s="223">
        <f>H58+H62+H64+H67+H70+H72</f>
        <v>-33.200000000000003</v>
      </c>
      <c r="I55" s="223">
        <f>I58+I62+I64+I67+I70+I72</f>
        <v>-21.999999999999996</v>
      </c>
      <c r="J55" s="89">
        <f>J64+J67+J72</f>
        <v>0</v>
      </c>
      <c r="K55" s="296"/>
      <c r="L55" s="297"/>
    </row>
    <row r="56" spans="1:12" x14ac:dyDescent="0.3">
      <c r="A56" s="294" t="s">
        <v>10</v>
      </c>
      <c r="B56" s="295"/>
      <c r="C56" s="16">
        <f>C53+C55+C54</f>
        <v>0.13864787109404375</v>
      </c>
      <c r="D56" s="223">
        <f>D53+D55</f>
        <v>6.599999999998829E-3</v>
      </c>
      <c r="E56" s="223">
        <f>E53+E55</f>
        <v>18.859425570313441</v>
      </c>
      <c r="F56" s="17"/>
      <c r="G56" s="16">
        <f>G53+G55+G54</f>
        <v>-9.1597999999901702E-3</v>
      </c>
      <c r="H56" s="223">
        <f>H53+H55</f>
        <v>9.9999999999994316E-2</v>
      </c>
      <c r="I56" s="223">
        <f>I53+I55</f>
        <v>13.500000000000004</v>
      </c>
      <c r="J56" s="17"/>
      <c r="K56" s="296"/>
      <c r="L56" s="297"/>
    </row>
    <row r="57" spans="1:12" ht="15" thickBot="1" x14ac:dyDescent="0.35">
      <c r="A57" s="20" t="s">
        <v>46</v>
      </c>
      <c r="B57" s="90"/>
      <c r="C57" s="91"/>
      <c r="D57" s="92"/>
      <c r="E57" s="92"/>
      <c r="F57" s="93"/>
      <c r="G57" s="91"/>
      <c r="H57" s="92"/>
      <c r="I57" s="92"/>
      <c r="J57" s="93"/>
      <c r="K57" s="94"/>
      <c r="L57" s="315"/>
    </row>
    <row r="58" spans="1:12" ht="28.8" outlineLevel="1" x14ac:dyDescent="0.3">
      <c r="A58" s="276"/>
      <c r="B58" s="277" t="s">
        <v>21</v>
      </c>
      <c r="C58" s="95">
        <f>SUM(C59:C61)</f>
        <v>-68.099999999999994</v>
      </c>
      <c r="D58" s="229">
        <f>D59+D61</f>
        <v>-25.5</v>
      </c>
      <c r="E58" s="229">
        <f>E59+E61</f>
        <v>-7.5</v>
      </c>
      <c r="F58" s="96" t="s">
        <v>22</v>
      </c>
      <c r="G58" s="95">
        <f>SUM(G59:G61)</f>
        <v>-67.7</v>
      </c>
      <c r="H58" s="229">
        <f>SUM(H59:H61)</f>
        <v>-24.3</v>
      </c>
      <c r="I58" s="229">
        <f>SUM(I59:I61)</f>
        <v>-11.7</v>
      </c>
      <c r="J58" s="96"/>
      <c r="K58" s="288"/>
      <c r="L58" s="316"/>
    </row>
    <row r="59" spans="1:12" ht="36.6" outlineLevel="1" x14ac:dyDescent="0.3">
      <c r="A59" s="259"/>
      <c r="B59" s="260" t="s">
        <v>47</v>
      </c>
      <c r="C59" s="97">
        <f>-63.1-3</f>
        <v>-66.099999999999994</v>
      </c>
      <c r="D59" s="26">
        <f>-23.4+2.4</f>
        <v>-21</v>
      </c>
      <c r="E59" s="26">
        <f>-3.5+0.6</f>
        <v>-2.9</v>
      </c>
      <c r="F59" s="27"/>
      <c r="G59" s="97">
        <f>-63.1</f>
        <v>-63.1</v>
      </c>
      <c r="H59" s="26">
        <v>-19.8</v>
      </c>
      <c r="I59" s="26">
        <v>-7.1</v>
      </c>
      <c r="J59" s="27"/>
      <c r="K59" s="257" t="s">
        <v>24</v>
      </c>
      <c r="L59" s="258" t="s">
        <v>158</v>
      </c>
    </row>
    <row r="60" spans="1:12" ht="28.8" outlineLevel="1" x14ac:dyDescent="0.3">
      <c r="A60" s="259"/>
      <c r="B60" s="380" t="s">
        <v>160</v>
      </c>
      <c r="C60" s="97">
        <v>-2</v>
      </c>
      <c r="D60" s="26"/>
      <c r="E60" s="26"/>
      <c r="F60" s="27"/>
      <c r="G60" s="97">
        <v>-4.5999999999999996</v>
      </c>
      <c r="H60" s="26"/>
      <c r="I60" s="26"/>
      <c r="J60" s="27"/>
      <c r="K60" s="257" t="s">
        <v>24</v>
      </c>
      <c r="L60" s="258"/>
    </row>
    <row r="61" spans="1:12" outlineLevel="1" x14ac:dyDescent="0.3">
      <c r="A61" s="317"/>
      <c r="B61" s="260" t="s">
        <v>135</v>
      </c>
      <c r="C61" s="25">
        <v>0</v>
      </c>
      <c r="D61" s="26">
        <v>-4.5</v>
      </c>
      <c r="E61" s="26">
        <v>-4.5999999999999996</v>
      </c>
      <c r="F61" s="27"/>
      <c r="G61" s="25"/>
      <c r="H61" s="26">
        <v>-4.5</v>
      </c>
      <c r="I61" s="26">
        <v>-4.5999999999999996</v>
      </c>
      <c r="J61" s="27"/>
      <c r="K61" s="257" t="s">
        <v>15</v>
      </c>
      <c r="L61" s="301"/>
    </row>
    <row r="62" spans="1:12" outlineLevel="1" x14ac:dyDescent="0.3">
      <c r="A62" s="318"/>
      <c r="B62" s="277" t="s">
        <v>12</v>
      </c>
      <c r="C62" s="95">
        <f>C63</f>
        <v>0</v>
      </c>
      <c r="D62" s="229">
        <f>D63</f>
        <v>0</v>
      </c>
      <c r="E62" s="229">
        <f>E63</f>
        <v>-1</v>
      </c>
      <c r="F62" s="47">
        <f>SUM(F63:F63)</f>
        <v>44</v>
      </c>
      <c r="G62" s="95">
        <f>SUM(G63:G63)</f>
        <v>0</v>
      </c>
      <c r="H62" s="229">
        <f>SUM(H63:H63)</f>
        <v>0</v>
      </c>
      <c r="I62" s="229">
        <f>SUM(I63:I63)</f>
        <v>-1</v>
      </c>
      <c r="J62" s="96"/>
      <c r="K62" s="288"/>
      <c r="L62" s="316"/>
    </row>
    <row r="63" spans="1:12" ht="28.8" outlineLevel="1" x14ac:dyDescent="0.3">
      <c r="A63" s="259"/>
      <c r="B63" s="260" t="s">
        <v>20</v>
      </c>
      <c r="C63" s="35"/>
      <c r="D63" s="38">
        <v>0</v>
      </c>
      <c r="E63" s="36">
        <v>-1</v>
      </c>
      <c r="F63" s="27">
        <v>44</v>
      </c>
      <c r="G63" s="28"/>
      <c r="H63" s="224"/>
      <c r="I63" s="228">
        <v>-1</v>
      </c>
      <c r="J63" s="27"/>
      <c r="K63" s="257" t="s">
        <v>15</v>
      </c>
      <c r="L63" s="301" t="s">
        <v>136</v>
      </c>
    </row>
    <row r="64" spans="1:12" outlineLevel="1" x14ac:dyDescent="0.3">
      <c r="A64" s="266"/>
      <c r="B64" s="254" t="s">
        <v>26</v>
      </c>
      <c r="C64" s="76">
        <f>C65</f>
        <v>-0.35</v>
      </c>
      <c r="D64" s="77">
        <f t="shared" ref="D64:I64" si="7">SUM(D65:D66)</f>
        <v>-2.8</v>
      </c>
      <c r="E64" s="77">
        <f t="shared" si="7"/>
        <v>-3</v>
      </c>
      <c r="F64" s="47">
        <f t="shared" si="7"/>
        <v>70</v>
      </c>
      <c r="G64" s="95">
        <f t="shared" si="7"/>
        <v>-2.35</v>
      </c>
      <c r="H64" s="229">
        <f t="shared" si="7"/>
        <v>-2.8</v>
      </c>
      <c r="I64" s="229">
        <f t="shared" si="7"/>
        <v>-3</v>
      </c>
      <c r="J64" s="47"/>
      <c r="K64" s="267"/>
      <c r="L64" s="302"/>
    </row>
    <row r="65" spans="1:12" ht="15" customHeight="1" outlineLevel="1" x14ac:dyDescent="0.3">
      <c r="A65" s="255" t="s">
        <v>13</v>
      </c>
      <c r="B65" s="256" t="s">
        <v>48</v>
      </c>
      <c r="C65" s="81">
        <v>-0.35</v>
      </c>
      <c r="D65" s="82">
        <v>-0.8</v>
      </c>
      <c r="E65" s="82">
        <v>-0.8</v>
      </c>
      <c r="F65" s="48">
        <v>20</v>
      </c>
      <c r="G65" s="81">
        <f>C65</f>
        <v>-0.35</v>
      </c>
      <c r="H65" s="82">
        <f>D65</f>
        <v>-0.8</v>
      </c>
      <c r="I65" s="82">
        <f>E65</f>
        <v>-0.8</v>
      </c>
      <c r="J65" s="48">
        <v>20</v>
      </c>
      <c r="K65" s="257" t="s">
        <v>28</v>
      </c>
      <c r="L65" s="299"/>
    </row>
    <row r="66" spans="1:12" ht="15" customHeight="1" outlineLevel="1" x14ac:dyDescent="0.3">
      <c r="A66" s="259"/>
      <c r="B66" s="260" t="s">
        <v>48</v>
      </c>
      <c r="C66" s="25"/>
      <c r="D66" s="26">
        <v>-2</v>
      </c>
      <c r="E66" s="26">
        <v>-2.2000000000000002</v>
      </c>
      <c r="F66" s="27">
        <v>50</v>
      </c>
      <c r="G66" s="25">
        <v>-2</v>
      </c>
      <c r="H66" s="26">
        <v>-2</v>
      </c>
      <c r="I66" s="26">
        <v>-2.2000000000000002</v>
      </c>
      <c r="J66" s="27">
        <v>50</v>
      </c>
      <c r="K66" s="257" t="s">
        <v>28</v>
      </c>
      <c r="L66" s="299"/>
    </row>
    <row r="67" spans="1:12" outlineLevel="1" x14ac:dyDescent="0.3">
      <c r="A67" s="266"/>
      <c r="B67" s="254" t="s">
        <v>49</v>
      </c>
      <c r="C67" s="76">
        <f t="shared" ref="C67:I67" si="8">SUM(C68:C69)</f>
        <v>-0.73</v>
      </c>
      <c r="D67" s="77">
        <f t="shared" si="8"/>
        <v>-5</v>
      </c>
      <c r="E67" s="77">
        <f t="shared" si="8"/>
        <v>-5.0999999999999996</v>
      </c>
      <c r="F67" s="47">
        <f t="shared" si="8"/>
        <v>60</v>
      </c>
      <c r="G67" s="95">
        <f t="shared" si="8"/>
        <v>-0.73</v>
      </c>
      <c r="H67" s="229">
        <f t="shared" si="8"/>
        <v>-5</v>
      </c>
      <c r="I67" s="229">
        <f t="shared" si="8"/>
        <v>-5.0999999999999996</v>
      </c>
      <c r="J67" s="47"/>
      <c r="K67" s="267"/>
      <c r="L67" s="302"/>
    </row>
    <row r="68" spans="1:12" outlineLevel="1" x14ac:dyDescent="0.3">
      <c r="A68" s="255" t="s">
        <v>13</v>
      </c>
      <c r="B68" s="256" t="s">
        <v>50</v>
      </c>
      <c r="C68" s="81">
        <v>-0.73</v>
      </c>
      <c r="D68" s="82">
        <v>-1.3</v>
      </c>
      <c r="E68" s="82">
        <v>-1.3</v>
      </c>
      <c r="F68" s="48">
        <v>60</v>
      </c>
      <c r="G68" s="81">
        <f t="shared" ref="G68:J69" si="9">C68</f>
        <v>-0.73</v>
      </c>
      <c r="H68" s="82">
        <f t="shared" si="9"/>
        <v>-1.3</v>
      </c>
      <c r="I68" s="82">
        <f t="shared" si="9"/>
        <v>-1.3</v>
      </c>
      <c r="J68" s="48">
        <f t="shared" si="9"/>
        <v>60</v>
      </c>
      <c r="K68" s="257" t="s">
        <v>33</v>
      </c>
      <c r="L68" s="299"/>
    </row>
    <row r="69" spans="1:12" ht="48.6" outlineLevel="1" x14ac:dyDescent="0.3">
      <c r="A69" s="259"/>
      <c r="B69" s="260" t="s">
        <v>50</v>
      </c>
      <c r="C69" s="98">
        <v>0</v>
      </c>
      <c r="D69" s="99">
        <v>-3.7</v>
      </c>
      <c r="E69" s="99">
        <v>-3.8</v>
      </c>
      <c r="F69" s="27" t="s">
        <v>51</v>
      </c>
      <c r="G69" s="98">
        <f t="shared" si="9"/>
        <v>0</v>
      </c>
      <c r="H69" s="100">
        <v>-3.7</v>
      </c>
      <c r="I69" s="100">
        <v>-3.8</v>
      </c>
      <c r="J69" s="52">
        <v>80</v>
      </c>
      <c r="K69" s="257" t="s">
        <v>33</v>
      </c>
      <c r="L69" s="258" t="s">
        <v>52</v>
      </c>
    </row>
    <row r="70" spans="1:12" ht="28.8" outlineLevel="1" x14ac:dyDescent="0.3">
      <c r="A70" s="304" t="s">
        <v>13</v>
      </c>
      <c r="B70" s="319" t="s">
        <v>38</v>
      </c>
      <c r="C70" s="83">
        <v>-0.19700000000000001</v>
      </c>
      <c r="D70" s="84"/>
      <c r="E70" s="84"/>
      <c r="F70" s="85"/>
      <c r="G70" s="86">
        <f>C70</f>
        <v>-0.19700000000000001</v>
      </c>
      <c r="H70" s="229"/>
      <c r="I70" s="229"/>
      <c r="J70" s="85"/>
      <c r="K70" s="289"/>
      <c r="L70" s="85"/>
    </row>
    <row r="71" spans="1:12" outlineLevel="1" x14ac:dyDescent="0.3">
      <c r="A71" s="259"/>
      <c r="B71" s="250"/>
      <c r="C71" s="101"/>
      <c r="D71" s="26"/>
      <c r="E71" s="26"/>
      <c r="F71" s="27"/>
      <c r="G71" s="102"/>
      <c r="H71" s="242"/>
      <c r="I71" s="242"/>
      <c r="J71" s="27"/>
      <c r="K71" s="257"/>
      <c r="L71" s="27"/>
    </row>
    <row r="72" spans="1:12" outlineLevel="1" x14ac:dyDescent="0.3">
      <c r="A72" s="318"/>
      <c r="B72" s="319" t="s">
        <v>53</v>
      </c>
      <c r="C72" s="103"/>
      <c r="D72" s="84"/>
      <c r="E72" s="84"/>
      <c r="F72" s="85"/>
      <c r="G72" s="95">
        <f>SUM(G73:G73)</f>
        <v>-1.1000000000000001</v>
      </c>
      <c r="H72" s="229">
        <f>SUM(H73:H73)</f>
        <v>-1.1000000000000001</v>
      </c>
      <c r="I72" s="229">
        <f>SUM(I73:I73)</f>
        <v>-1.2</v>
      </c>
      <c r="J72" s="85"/>
      <c r="K72" s="289"/>
      <c r="L72" s="85"/>
    </row>
    <row r="73" spans="1:12" ht="24.6" outlineLevel="1" x14ac:dyDescent="0.3">
      <c r="A73" s="259"/>
      <c r="B73" s="298" t="s">
        <v>54</v>
      </c>
      <c r="C73" s="25">
        <v>0</v>
      </c>
      <c r="D73" s="26">
        <v>0</v>
      </c>
      <c r="E73" s="26">
        <v>0</v>
      </c>
      <c r="F73" s="27"/>
      <c r="G73" s="25">
        <v>-1.1000000000000001</v>
      </c>
      <c r="H73" s="26">
        <v>-1.1000000000000001</v>
      </c>
      <c r="I73" s="26">
        <v>-1.2</v>
      </c>
      <c r="J73" s="27">
        <v>25</v>
      </c>
      <c r="K73" s="224"/>
      <c r="L73" s="258" t="s">
        <v>137</v>
      </c>
    </row>
    <row r="74" spans="1:12" ht="15" outlineLevel="1" thickBot="1" x14ac:dyDescent="0.35">
      <c r="A74" s="314"/>
      <c r="B74" s="63"/>
      <c r="C74" s="87"/>
      <c r="D74" s="88"/>
      <c r="E74" s="88"/>
      <c r="F74" s="66"/>
      <c r="G74" s="67"/>
      <c r="H74" s="68"/>
      <c r="I74" s="68"/>
      <c r="J74" s="66"/>
      <c r="K74" s="69"/>
      <c r="L74" s="66"/>
    </row>
    <row r="75" spans="1:12" ht="15" thickBot="1" x14ac:dyDescent="0.35">
      <c r="A75" s="209"/>
      <c r="B75" s="298"/>
      <c r="C75" s="25"/>
      <c r="D75" s="26"/>
      <c r="E75" s="26"/>
      <c r="F75" s="27"/>
      <c r="G75" s="28"/>
      <c r="H75" s="224"/>
      <c r="I75" s="224"/>
      <c r="J75" s="27"/>
      <c r="K75" s="26"/>
      <c r="L75" s="27"/>
    </row>
    <row r="76" spans="1:12" ht="15" customHeight="1" thickBot="1" x14ac:dyDescent="0.35">
      <c r="A76" s="209"/>
      <c r="B76" s="298"/>
      <c r="C76" s="403" t="s">
        <v>134</v>
      </c>
      <c r="D76" s="404"/>
      <c r="E76" s="404"/>
      <c r="F76" s="405"/>
      <c r="G76" s="403" t="s">
        <v>178</v>
      </c>
      <c r="H76" s="404"/>
      <c r="I76" s="404"/>
      <c r="J76" s="405"/>
      <c r="K76" s="26"/>
      <c r="L76" s="27"/>
    </row>
    <row r="77" spans="1:12" x14ac:dyDescent="0.3">
      <c r="A77" s="320" t="s">
        <v>55</v>
      </c>
      <c r="B77" s="104"/>
      <c r="C77" s="105"/>
      <c r="D77" s="106"/>
      <c r="E77" s="106"/>
      <c r="F77" s="107"/>
      <c r="G77" s="105"/>
      <c r="H77" s="106"/>
      <c r="I77" s="106"/>
      <c r="J77" s="107"/>
      <c r="K77" s="106"/>
      <c r="L77" s="321"/>
    </row>
    <row r="78" spans="1:12" x14ac:dyDescent="0.3">
      <c r="A78" s="322"/>
      <c r="B78" s="323" t="s">
        <v>56</v>
      </c>
      <c r="C78" s="108">
        <f>C6+C36+C53</f>
        <v>337.48400099999998</v>
      </c>
      <c r="D78" s="109">
        <f>D6+D36+D53</f>
        <v>166.53299999999999</v>
      </c>
      <c r="E78" s="109">
        <f>E6+E36+E53</f>
        <v>177.29712785156721</v>
      </c>
      <c r="F78" s="110"/>
      <c r="G78" s="111">
        <f>C78</f>
        <v>337.48400099999998</v>
      </c>
      <c r="H78" s="112">
        <f>D78</f>
        <v>166.53299999999999</v>
      </c>
      <c r="I78" s="112">
        <f>E78</f>
        <v>177.29712785156721</v>
      </c>
      <c r="J78" s="110"/>
      <c r="K78" s="113"/>
      <c r="L78" s="42"/>
    </row>
    <row r="79" spans="1:12" x14ac:dyDescent="0.3">
      <c r="A79" s="322"/>
      <c r="B79" s="323" t="s">
        <v>152</v>
      </c>
      <c r="C79" s="388">
        <f>C7+C37+C54</f>
        <v>10.094238355470146</v>
      </c>
      <c r="D79" s="109"/>
      <c r="E79" s="109"/>
      <c r="F79" s="110"/>
      <c r="G79" s="387">
        <f>G7+G37+G54</f>
        <v>22.855199999999989</v>
      </c>
      <c r="H79" s="112"/>
      <c r="I79" s="112"/>
      <c r="J79" s="110"/>
      <c r="K79" s="113"/>
      <c r="L79" s="42"/>
    </row>
    <row r="80" spans="1:12" x14ac:dyDescent="0.3">
      <c r="A80" s="322"/>
      <c r="B80" s="323" t="s">
        <v>9</v>
      </c>
      <c r="C80" s="108">
        <f>C8+C38+C55</f>
        <v>-347.30200000000002</v>
      </c>
      <c r="D80" s="109">
        <f>D8+D38+D55</f>
        <v>-162.29000000000002</v>
      </c>
      <c r="E80" s="109">
        <f>E8+E38+E55</f>
        <v>-133.60300000000001</v>
      </c>
      <c r="F80" s="114">
        <f>F8+F38+F55</f>
        <v>2531</v>
      </c>
      <c r="G80" s="108">
        <f>G8+G38+G55</f>
        <v>-360.30200000000002</v>
      </c>
      <c r="H80" s="109">
        <f>H8+H38+H55</f>
        <v>-155.19999999999999</v>
      </c>
      <c r="I80" s="109">
        <f>I8+I38+I55</f>
        <v>-139.9</v>
      </c>
      <c r="J80" s="114">
        <f>J8+J38+J55</f>
        <v>2651</v>
      </c>
      <c r="K80" s="113"/>
      <c r="L80" s="258"/>
    </row>
    <row r="81" spans="1:12" ht="28.8" x14ac:dyDescent="0.3">
      <c r="A81" s="324"/>
      <c r="B81" s="115" t="s">
        <v>57</v>
      </c>
      <c r="C81" s="116">
        <f>C78+C80</f>
        <v>-9.817999000000043</v>
      </c>
      <c r="D81" s="117">
        <f>D78+D80</f>
        <v>4.2429999999999666</v>
      </c>
      <c r="E81" s="117">
        <f>E78+E80</f>
        <v>43.694127851567202</v>
      </c>
      <c r="F81" s="118"/>
      <c r="G81" s="119">
        <f>SUM(G78:G80)</f>
        <v>3.7200999999924989E-2</v>
      </c>
      <c r="H81" s="120">
        <f>SUM(H78:H80)</f>
        <v>11.332999999999998</v>
      </c>
      <c r="I81" s="120">
        <f>SUM(I78:I80)</f>
        <v>37.397127851567205</v>
      </c>
      <c r="J81" s="118"/>
      <c r="K81" s="121"/>
      <c r="L81" s="325"/>
    </row>
    <row r="82" spans="1:12" x14ac:dyDescent="0.3">
      <c r="A82" s="326"/>
      <c r="B82" s="327" t="s">
        <v>58</v>
      </c>
      <c r="C82" s="122"/>
      <c r="D82" s="123"/>
      <c r="E82" s="123"/>
      <c r="F82" s="124"/>
      <c r="G82" s="125"/>
      <c r="H82" s="126"/>
      <c r="I82" s="126"/>
      <c r="J82" s="124"/>
      <c r="K82" s="127"/>
      <c r="L82" s="328"/>
    </row>
    <row r="83" spans="1:12" x14ac:dyDescent="0.3">
      <c r="A83" s="322"/>
      <c r="B83" s="329" t="s">
        <v>59</v>
      </c>
      <c r="C83" s="128">
        <f>0.12*C78</f>
        <v>40.498080119999997</v>
      </c>
      <c r="D83" s="113">
        <f>0.12*D78</f>
        <v>19.983959999999996</v>
      </c>
      <c r="E83" s="113">
        <f>0.12*E78</f>
        <v>21.275655342188063</v>
      </c>
      <c r="F83" s="129"/>
      <c r="G83" s="128">
        <f>0.12*G78</f>
        <v>40.498080119999997</v>
      </c>
      <c r="H83" s="113">
        <f>0.12*H78</f>
        <v>19.983959999999996</v>
      </c>
      <c r="I83" s="113">
        <f>0.12*I78</f>
        <v>21.275655342188063</v>
      </c>
      <c r="J83" s="129"/>
      <c r="K83" s="113"/>
      <c r="L83" s="42"/>
    </row>
    <row r="84" spans="1:12" ht="28.8" x14ac:dyDescent="0.3">
      <c r="A84" s="330"/>
      <c r="B84" s="329" t="s">
        <v>60</v>
      </c>
      <c r="C84" s="128">
        <f>(C23+C67)</f>
        <v>-5.43</v>
      </c>
      <c r="D84" s="113">
        <f>(D23+D67)</f>
        <v>-19.7</v>
      </c>
      <c r="E84" s="113">
        <f>(E23+E67)</f>
        <v>-16.399999999999999</v>
      </c>
      <c r="F84" s="129"/>
      <c r="G84" s="128">
        <f>(G23+G67)</f>
        <v>-5.43</v>
      </c>
      <c r="H84" s="113">
        <f>(H23+H67)</f>
        <v>-22</v>
      </c>
      <c r="I84" s="113">
        <f>(I23+I67)</f>
        <v>-20.6</v>
      </c>
      <c r="J84" s="129"/>
      <c r="K84" s="113"/>
      <c r="L84" s="42"/>
    </row>
    <row r="85" spans="1:12" ht="15" thickBot="1" x14ac:dyDescent="0.35">
      <c r="A85" s="331"/>
      <c r="B85" s="130" t="s">
        <v>61</v>
      </c>
      <c r="C85" s="131">
        <f>C83+C84</f>
        <v>35.068080119999998</v>
      </c>
      <c r="D85" s="132">
        <f>D83+D84</f>
        <v>0.28395999999999688</v>
      </c>
      <c r="E85" s="132">
        <f>E83+E84</f>
        <v>4.8756553421880646</v>
      </c>
      <c r="F85" s="133"/>
      <c r="G85" s="131">
        <f>G83+G84</f>
        <v>35.068080119999998</v>
      </c>
      <c r="H85" s="134">
        <f>H83+H84</f>
        <v>-2.0160400000000038</v>
      </c>
      <c r="I85" s="132">
        <f>I83+I84</f>
        <v>0.67565534218806178</v>
      </c>
      <c r="J85" s="133"/>
      <c r="K85" s="132"/>
      <c r="L85" s="332"/>
    </row>
    <row r="86" spans="1:12" ht="15" thickBot="1" x14ac:dyDescent="0.35">
      <c r="A86" s="333"/>
      <c r="B86" s="298"/>
      <c r="C86" s="25"/>
      <c r="D86" s="26"/>
      <c r="E86" s="26"/>
      <c r="F86" s="135"/>
      <c r="G86" s="25"/>
      <c r="H86" s="26"/>
      <c r="I86" s="26"/>
      <c r="J86" s="135"/>
      <c r="K86" s="26"/>
      <c r="L86" s="27"/>
    </row>
    <row r="87" spans="1:12" ht="15" customHeight="1" thickBot="1" x14ac:dyDescent="0.35">
      <c r="A87" s="333"/>
      <c r="B87" s="298"/>
      <c r="C87" s="403" t="s">
        <v>134</v>
      </c>
      <c r="D87" s="404"/>
      <c r="E87" s="404"/>
      <c r="F87" s="405"/>
      <c r="G87" s="403" t="s">
        <v>178</v>
      </c>
      <c r="H87" s="404"/>
      <c r="I87" s="404"/>
      <c r="J87" s="405"/>
      <c r="K87" s="26"/>
      <c r="L87" s="27"/>
    </row>
    <row r="88" spans="1:12" ht="43.2" x14ac:dyDescent="0.3">
      <c r="A88" s="406" t="s">
        <v>62</v>
      </c>
      <c r="B88" s="407"/>
      <c r="C88" s="201" t="s">
        <v>2</v>
      </c>
      <c r="D88" s="202" t="s">
        <v>3</v>
      </c>
      <c r="E88" s="202" t="s">
        <v>4</v>
      </c>
      <c r="F88" s="203" t="s">
        <v>5</v>
      </c>
      <c r="G88" s="201" t="s">
        <v>2</v>
      </c>
      <c r="H88" s="202" t="s">
        <v>3</v>
      </c>
      <c r="I88" s="202" t="s">
        <v>4</v>
      </c>
      <c r="J88" s="203" t="s">
        <v>5</v>
      </c>
      <c r="K88" s="202" t="s">
        <v>6</v>
      </c>
      <c r="L88" s="203" t="s">
        <v>7</v>
      </c>
    </row>
    <row r="89" spans="1:12" x14ac:dyDescent="0.3">
      <c r="A89" s="244" t="s">
        <v>8</v>
      </c>
      <c r="B89" s="245"/>
      <c r="C89" s="216">
        <v>168.74199999999999</v>
      </c>
      <c r="D89" s="217">
        <v>83.266499999999994</v>
      </c>
      <c r="E89" s="217">
        <v>88.648563925783606</v>
      </c>
      <c r="F89" s="218"/>
      <c r="G89" s="216">
        <v>168.74199999999999</v>
      </c>
      <c r="H89" s="382">
        <v>83.3</v>
      </c>
      <c r="I89" s="382">
        <v>88.6</v>
      </c>
      <c r="J89" s="218"/>
      <c r="K89" s="246"/>
      <c r="L89" s="376"/>
    </row>
    <row r="90" spans="1:12" x14ac:dyDescent="0.3">
      <c r="A90" s="247" t="s">
        <v>9</v>
      </c>
      <c r="B90" s="245"/>
      <c r="C90" s="219">
        <f>C93+C97+C102+C110+C118+C121</f>
        <v>-46.300000000000004</v>
      </c>
      <c r="D90" s="230">
        <f>D93+D97+D102+D110+D118+D121</f>
        <v>-158.10999999999999</v>
      </c>
      <c r="E90" s="230">
        <f>E93+E97+E102+E110+E118+E121</f>
        <v>-88.6</v>
      </c>
      <c r="F90" s="220">
        <f>F102</f>
        <v>337</v>
      </c>
      <c r="G90" s="219">
        <f>G93+G97+G102+G110+G118+G121</f>
        <v>-46.300000000000004</v>
      </c>
      <c r="H90" s="230">
        <f>H93+H97+H102+H110+H118+H121</f>
        <v>-158.10999999999999</v>
      </c>
      <c r="I90" s="230">
        <f>I93+I97+I102+I110+I118+I121</f>
        <v>-88.600000000000009</v>
      </c>
      <c r="J90" s="220">
        <f>J102</f>
        <v>353</v>
      </c>
      <c r="K90" s="248"/>
      <c r="L90" s="249"/>
    </row>
    <row r="91" spans="1:12" x14ac:dyDescent="0.3">
      <c r="A91" s="247" t="s">
        <v>10</v>
      </c>
      <c r="B91" s="245"/>
      <c r="C91" s="219">
        <f>C89+C90</f>
        <v>122.44199999999998</v>
      </c>
      <c r="D91" s="230">
        <f>D89+D90</f>
        <v>-74.843499999999992</v>
      </c>
      <c r="E91" s="230">
        <f>E89+E90</f>
        <v>4.8563925783611239E-2</v>
      </c>
      <c r="F91" s="221"/>
      <c r="G91" s="219">
        <f>G89+G90</f>
        <v>122.44199999999998</v>
      </c>
      <c r="H91" s="230">
        <f>H89+H90</f>
        <v>-74.809999999999988</v>
      </c>
      <c r="I91" s="230">
        <f>I89+I90</f>
        <v>0</v>
      </c>
      <c r="J91" s="221"/>
      <c r="K91" s="248"/>
      <c r="L91" s="249"/>
    </row>
    <row r="92" spans="1:12" ht="15" thickBot="1" x14ac:dyDescent="0.35">
      <c r="A92" s="251" t="s">
        <v>46</v>
      </c>
      <c r="B92" s="136" t="s">
        <v>62</v>
      </c>
      <c r="C92" s="137"/>
      <c r="D92" s="138"/>
      <c r="E92" s="138"/>
      <c r="F92" s="139"/>
      <c r="G92" s="137"/>
      <c r="H92" s="138"/>
      <c r="I92" s="138"/>
      <c r="J92" s="139"/>
      <c r="K92" s="138"/>
      <c r="L92" s="252"/>
    </row>
    <row r="93" spans="1:12" ht="15" customHeight="1" outlineLevel="1" x14ac:dyDescent="0.3">
      <c r="A93" s="253"/>
      <c r="B93" s="254" t="s">
        <v>64</v>
      </c>
      <c r="C93" s="140">
        <f>SUM(C94:C95)</f>
        <v>-4.5999999999999996</v>
      </c>
      <c r="D93" s="141">
        <f>SUM(D94:D96)</f>
        <v>-27.1</v>
      </c>
      <c r="E93" s="141">
        <f>SUM(E94:E96)</f>
        <v>-27.1</v>
      </c>
      <c r="F93" s="142"/>
      <c r="G93" s="140">
        <f>SUM(G94:G95)</f>
        <v>-4.5999999999999996</v>
      </c>
      <c r="H93" s="141">
        <f>SUM(H94:H96)</f>
        <v>-21.799999999999997</v>
      </c>
      <c r="I93" s="141">
        <f>SUM(I94:I96)</f>
        <v>-23.6</v>
      </c>
      <c r="J93" s="142"/>
      <c r="K93" s="77"/>
      <c r="L93" s="40"/>
    </row>
    <row r="94" spans="1:12" s="146" customFormat="1" ht="28.8" outlineLevel="1" x14ac:dyDescent="0.3">
      <c r="A94" s="255" t="s">
        <v>13</v>
      </c>
      <c r="B94" s="256" t="s">
        <v>127</v>
      </c>
      <c r="C94" s="143">
        <v>-4.5999999999999996</v>
      </c>
      <c r="D94" s="144">
        <v>-11.6</v>
      </c>
      <c r="E94" s="144">
        <v>-12</v>
      </c>
      <c r="F94" s="48"/>
      <c r="G94" s="143">
        <v>-4.5999999999999996</v>
      </c>
      <c r="H94" s="144">
        <v>-10.1</v>
      </c>
      <c r="I94" s="144">
        <v>-10.6</v>
      </c>
      <c r="J94" s="48"/>
      <c r="K94" s="268" t="s">
        <v>63</v>
      </c>
      <c r="L94" s="258" t="s">
        <v>138</v>
      </c>
    </row>
    <row r="95" spans="1:12" outlineLevel="1" x14ac:dyDescent="0.3">
      <c r="A95" s="259"/>
      <c r="B95" s="260" t="s">
        <v>65</v>
      </c>
      <c r="C95" s="70">
        <v>0</v>
      </c>
      <c r="D95" s="385">
        <v>-13.5</v>
      </c>
      <c r="E95" s="385">
        <v>-13.1</v>
      </c>
      <c r="F95" s="27"/>
      <c r="G95" s="70">
        <v>0</v>
      </c>
      <c r="H95" s="385">
        <v>-11.7</v>
      </c>
      <c r="I95" s="385">
        <v>-13</v>
      </c>
      <c r="J95" s="27"/>
      <c r="K95" s="268" t="s">
        <v>63</v>
      </c>
      <c r="L95" s="258" t="s">
        <v>168</v>
      </c>
    </row>
    <row r="96" spans="1:12" ht="28.8" outlineLevel="1" x14ac:dyDescent="0.3">
      <c r="A96" s="259"/>
      <c r="B96" s="260" t="s">
        <v>164</v>
      </c>
      <c r="C96" s="70"/>
      <c r="D96" s="385">
        <v>-2</v>
      </c>
      <c r="E96" s="385">
        <v>-2</v>
      </c>
      <c r="F96" s="27"/>
      <c r="G96" s="70"/>
      <c r="H96" s="385">
        <v>0</v>
      </c>
      <c r="I96" s="385">
        <v>0</v>
      </c>
      <c r="J96" s="27"/>
      <c r="K96" s="268" t="s">
        <v>63</v>
      </c>
      <c r="L96" s="258" t="s">
        <v>165</v>
      </c>
    </row>
    <row r="97" spans="1:12" outlineLevel="1" x14ac:dyDescent="0.3">
      <c r="A97" s="261"/>
      <c r="B97" s="262" t="s">
        <v>66</v>
      </c>
      <c r="C97" s="147">
        <f>SUM(C98:C101)</f>
        <v>-5.8000000000000007</v>
      </c>
      <c r="D97" s="148">
        <f>SUM(D98:D101)</f>
        <v>-11.600000000000001</v>
      </c>
      <c r="E97" s="148">
        <f>SUM(E98:E101)</f>
        <v>-14</v>
      </c>
      <c r="F97" s="149"/>
      <c r="G97" s="147">
        <f>SUM(G98:G101)</f>
        <v>-5.8000000000000007</v>
      </c>
      <c r="H97" s="148">
        <f>SUM(H98:H101)</f>
        <v>-11.600000000000001</v>
      </c>
      <c r="I97" s="148">
        <f>SUM(I98:I101)</f>
        <v>-14</v>
      </c>
      <c r="J97" s="149"/>
      <c r="K97" s="290"/>
      <c r="L97" s="264"/>
    </row>
    <row r="98" spans="1:12" s="146" customFormat="1" ht="28.8" outlineLevel="1" x14ac:dyDescent="0.3">
      <c r="A98" s="255" t="s">
        <v>13</v>
      </c>
      <c r="B98" s="256" t="s">
        <v>67</v>
      </c>
      <c r="C98" s="143">
        <v>-4.2</v>
      </c>
      <c r="D98" s="144">
        <v>-5.8</v>
      </c>
      <c r="E98" s="144">
        <v>-6</v>
      </c>
      <c r="F98" s="48"/>
      <c r="G98" s="143">
        <v>-4.2</v>
      </c>
      <c r="H98" s="144">
        <v>-5.8</v>
      </c>
      <c r="I98" s="144">
        <v>-6</v>
      </c>
      <c r="J98" s="48"/>
      <c r="K98" s="268" t="s">
        <v>63</v>
      </c>
      <c r="L98" s="258" t="s">
        <v>139</v>
      </c>
    </row>
    <row r="99" spans="1:12" ht="28.8" outlineLevel="1" x14ac:dyDescent="0.3">
      <c r="A99" s="255" t="s">
        <v>13</v>
      </c>
      <c r="B99" s="256" t="s">
        <v>148</v>
      </c>
      <c r="C99" s="143">
        <v>-1.6</v>
      </c>
      <c r="D99" s="144">
        <v>-4</v>
      </c>
      <c r="E99" s="144">
        <v>-4.2</v>
      </c>
      <c r="F99" s="48"/>
      <c r="G99" s="143">
        <v>-1.6</v>
      </c>
      <c r="H99" s="144">
        <v>-4</v>
      </c>
      <c r="I99" s="144">
        <v>-4.2</v>
      </c>
      <c r="J99" s="48"/>
      <c r="K99" s="268" t="s">
        <v>63</v>
      </c>
      <c r="L99" s="258" t="s">
        <v>140</v>
      </c>
    </row>
    <row r="100" spans="1:12" ht="15" customHeight="1" outlineLevel="1" x14ac:dyDescent="0.3">
      <c r="A100" s="259"/>
      <c r="B100" s="265" t="s">
        <v>128</v>
      </c>
      <c r="C100" s="143"/>
      <c r="D100" s="385">
        <v>-0.5</v>
      </c>
      <c r="E100" s="385">
        <v>-0.5</v>
      </c>
      <c r="F100" s="48"/>
      <c r="G100" s="143"/>
      <c r="H100" s="385">
        <v>-0.5</v>
      </c>
      <c r="I100" s="385">
        <v>-0.5</v>
      </c>
      <c r="J100" s="48"/>
      <c r="K100" s="268" t="s">
        <v>63</v>
      </c>
      <c r="L100" s="258" t="s">
        <v>141</v>
      </c>
    </row>
    <row r="101" spans="1:12" ht="60.6" outlineLevel="1" x14ac:dyDescent="0.3">
      <c r="A101" s="259"/>
      <c r="B101" s="260" t="s">
        <v>68</v>
      </c>
      <c r="C101" s="70">
        <v>0</v>
      </c>
      <c r="D101" s="386">
        <v>-1.3</v>
      </c>
      <c r="E101" s="386">
        <v>-3.3</v>
      </c>
      <c r="F101" s="27"/>
      <c r="G101" s="70">
        <v>0</v>
      </c>
      <c r="H101" s="386">
        <v>-1.3</v>
      </c>
      <c r="I101" s="386">
        <v>-3.3</v>
      </c>
      <c r="J101" s="27"/>
      <c r="K101" s="268" t="s">
        <v>63</v>
      </c>
      <c r="L101" s="258" t="s">
        <v>142</v>
      </c>
    </row>
    <row r="102" spans="1:12" outlineLevel="1" x14ac:dyDescent="0.3">
      <c r="A102" s="266"/>
      <c r="B102" s="254" t="s">
        <v>69</v>
      </c>
      <c r="C102" s="140">
        <f t="shared" ref="C102:F102" si="10">SUM(C103:C108)</f>
        <v>-12.7</v>
      </c>
      <c r="D102" s="141">
        <f t="shared" si="10"/>
        <v>-104.63</v>
      </c>
      <c r="E102" s="141">
        <f t="shared" si="10"/>
        <v>-29.95</v>
      </c>
      <c r="F102" s="47">
        <f t="shared" si="10"/>
        <v>337</v>
      </c>
      <c r="G102" s="140">
        <f>SUM(G103:G109)</f>
        <v>-12.7</v>
      </c>
      <c r="H102" s="141">
        <f>SUM(H103:H109)</f>
        <v>-107.92999999999999</v>
      </c>
      <c r="I102" s="141">
        <f>SUM(I103:I109)</f>
        <v>-31.450000000000003</v>
      </c>
      <c r="J102" s="47">
        <f>SUM(J103:J109)</f>
        <v>353</v>
      </c>
      <c r="K102" s="290"/>
      <c r="L102" s="264"/>
    </row>
    <row r="103" spans="1:12" s="146" customFormat="1" ht="28.8" outlineLevel="1" x14ac:dyDescent="0.3">
      <c r="A103" s="255" t="s">
        <v>13</v>
      </c>
      <c r="B103" s="256" t="s">
        <v>70</v>
      </c>
      <c r="C103" s="143">
        <v>-7.7</v>
      </c>
      <c r="D103" s="144">
        <v>0</v>
      </c>
      <c r="E103" s="144">
        <v>0</v>
      </c>
      <c r="F103" s="48"/>
      <c r="G103" s="143">
        <v>-7.7</v>
      </c>
      <c r="H103" s="144">
        <v>0</v>
      </c>
      <c r="I103" s="144">
        <v>0</v>
      </c>
      <c r="J103" s="48"/>
      <c r="K103" s="268" t="s">
        <v>71</v>
      </c>
      <c r="L103" s="258" t="s">
        <v>143</v>
      </c>
    </row>
    <row r="104" spans="1:12" s="146" customFormat="1" ht="24.6" outlineLevel="1" x14ac:dyDescent="0.3">
      <c r="A104" s="255" t="s">
        <v>13</v>
      </c>
      <c r="B104" s="256" t="s">
        <v>72</v>
      </c>
      <c r="C104" s="143">
        <v>-4</v>
      </c>
      <c r="D104" s="144">
        <v>-15.6</v>
      </c>
      <c r="E104" s="144">
        <v>-16</v>
      </c>
      <c r="F104" s="48">
        <v>132</v>
      </c>
      <c r="G104" s="143">
        <v>-4</v>
      </c>
      <c r="H104" s="144">
        <v>-15.6</v>
      </c>
      <c r="I104" s="144">
        <v>-16</v>
      </c>
      <c r="J104" s="48">
        <v>132</v>
      </c>
      <c r="K104" s="268" t="s">
        <v>73</v>
      </c>
      <c r="L104" s="258" t="s">
        <v>167</v>
      </c>
    </row>
    <row r="105" spans="1:12" ht="43.2" outlineLevel="1" x14ac:dyDescent="0.3">
      <c r="A105" s="255" t="s">
        <v>13</v>
      </c>
      <c r="B105" s="256" t="s">
        <v>163</v>
      </c>
      <c r="C105" s="143">
        <v>-1</v>
      </c>
      <c r="D105" s="144">
        <v>-3.7</v>
      </c>
      <c r="E105" s="144">
        <v>-3.7</v>
      </c>
      <c r="F105" s="48">
        <v>15</v>
      </c>
      <c r="G105" s="143">
        <v>-1</v>
      </c>
      <c r="H105" s="144">
        <v>-3.7</v>
      </c>
      <c r="I105" s="144">
        <v>-3.7</v>
      </c>
      <c r="J105" s="48">
        <v>15</v>
      </c>
      <c r="K105" s="268" t="s">
        <v>73</v>
      </c>
      <c r="L105" s="258" t="s">
        <v>144</v>
      </c>
    </row>
    <row r="106" spans="1:12" ht="28.8" outlineLevel="1" x14ac:dyDescent="0.3">
      <c r="A106" s="259"/>
      <c r="B106" s="260" t="s">
        <v>70</v>
      </c>
      <c r="C106" s="70">
        <v>0</v>
      </c>
      <c r="D106" s="385">
        <v>-75</v>
      </c>
      <c r="E106" s="385">
        <v>0</v>
      </c>
      <c r="F106" s="27"/>
      <c r="G106" s="70">
        <v>0</v>
      </c>
      <c r="H106" s="385">
        <v>-75</v>
      </c>
      <c r="I106" s="385">
        <v>0</v>
      </c>
      <c r="J106" s="27"/>
      <c r="K106" s="268" t="s">
        <v>71</v>
      </c>
      <c r="L106" s="258" t="s">
        <v>74</v>
      </c>
    </row>
    <row r="107" spans="1:12" outlineLevel="1" x14ac:dyDescent="0.3">
      <c r="A107" s="259"/>
      <c r="B107" s="260" t="s">
        <v>72</v>
      </c>
      <c r="C107" s="70">
        <v>0</v>
      </c>
      <c r="D107" s="385">
        <v>-9.6</v>
      </c>
      <c r="E107" s="385">
        <v>-9.5</v>
      </c>
      <c r="F107" s="27">
        <v>180</v>
      </c>
      <c r="G107" s="70">
        <v>0</v>
      </c>
      <c r="H107" s="385">
        <v>-11.1</v>
      </c>
      <c r="I107" s="385">
        <v>-10.9</v>
      </c>
      <c r="J107" s="27">
        <v>190</v>
      </c>
      <c r="K107" s="268" t="s">
        <v>73</v>
      </c>
      <c r="L107" s="269" t="s">
        <v>171</v>
      </c>
    </row>
    <row r="108" spans="1:12" outlineLevel="1" x14ac:dyDescent="0.3">
      <c r="A108" s="259"/>
      <c r="B108" s="260" t="s">
        <v>129</v>
      </c>
      <c r="C108" s="70"/>
      <c r="D108" s="385">
        <v>-0.73</v>
      </c>
      <c r="E108" s="385">
        <v>-0.75</v>
      </c>
      <c r="F108" s="27">
        <v>10</v>
      </c>
      <c r="G108" s="70"/>
      <c r="H108" s="385">
        <v>-0.73</v>
      </c>
      <c r="I108" s="385">
        <v>-0.75</v>
      </c>
      <c r="J108" s="27">
        <v>10</v>
      </c>
      <c r="K108" s="268" t="s">
        <v>73</v>
      </c>
      <c r="L108" s="269"/>
    </row>
    <row r="109" spans="1:12" outlineLevel="1" x14ac:dyDescent="0.3">
      <c r="A109" s="259"/>
      <c r="B109" s="260" t="s">
        <v>172</v>
      </c>
      <c r="C109" s="70"/>
      <c r="D109" s="385"/>
      <c r="E109" s="385"/>
      <c r="F109" s="27"/>
      <c r="G109" s="70"/>
      <c r="H109" s="385">
        <v>-1.8</v>
      </c>
      <c r="I109" s="385">
        <v>-0.1</v>
      </c>
      <c r="J109" s="27">
        <v>6</v>
      </c>
      <c r="K109" s="268" t="s">
        <v>73</v>
      </c>
      <c r="L109" s="269" t="s">
        <v>173</v>
      </c>
    </row>
    <row r="110" spans="1:12" outlineLevel="1" x14ac:dyDescent="0.3">
      <c r="A110" s="270"/>
      <c r="B110" s="271" t="s">
        <v>75</v>
      </c>
      <c r="C110" s="140">
        <f>SUM(C111:C114)</f>
        <v>-5.0999999999999996</v>
      </c>
      <c r="D110" s="141">
        <f>SUM(D111:D114)</f>
        <v>-5.85</v>
      </c>
      <c r="E110" s="141">
        <f>SUM(E111:E114)</f>
        <v>-8.0500000000000007</v>
      </c>
      <c r="F110" s="150"/>
      <c r="G110" s="140">
        <f>SUM(G111:G117)</f>
        <v>-5.0999999999999996</v>
      </c>
      <c r="H110" s="141">
        <f>SUM(H111:H117)</f>
        <v>-7.85</v>
      </c>
      <c r="I110" s="141">
        <f>SUM(I111:I117)</f>
        <v>-10.050000000000001</v>
      </c>
      <c r="J110" s="150"/>
      <c r="K110" s="272"/>
      <c r="L110" s="273"/>
    </row>
    <row r="111" spans="1:12" s="146" customFormat="1" ht="24.6" outlineLevel="1" x14ac:dyDescent="0.3">
      <c r="A111" s="255" t="s">
        <v>13</v>
      </c>
      <c r="B111" s="256" t="s">
        <v>76</v>
      </c>
      <c r="C111" s="143">
        <v>-5.0999999999999996</v>
      </c>
      <c r="D111" s="144">
        <v>-4.0999999999999996</v>
      </c>
      <c r="E111" s="144">
        <v>-4.3</v>
      </c>
      <c r="F111" s="48"/>
      <c r="G111" s="143">
        <v>-5.0999999999999996</v>
      </c>
      <c r="H111" s="144">
        <v>-3.1</v>
      </c>
      <c r="I111" s="144">
        <v>-3.3</v>
      </c>
      <c r="J111" s="48"/>
      <c r="K111" s="268" t="s">
        <v>63</v>
      </c>
      <c r="L111" s="258" t="s">
        <v>166</v>
      </c>
    </row>
    <row r="112" spans="1:12" ht="28.8" outlineLevel="1" x14ac:dyDescent="0.3">
      <c r="A112" s="259"/>
      <c r="B112" s="260" t="s">
        <v>151</v>
      </c>
      <c r="C112" s="70"/>
      <c r="D112" s="385"/>
      <c r="E112" s="385">
        <v>-2</v>
      </c>
      <c r="F112" s="27"/>
      <c r="G112" s="70"/>
      <c r="H112" s="385"/>
      <c r="I112" s="385">
        <v>-2</v>
      </c>
      <c r="J112" s="27"/>
      <c r="K112" s="268" t="s">
        <v>63</v>
      </c>
      <c r="L112" s="258" t="s">
        <v>149</v>
      </c>
    </row>
    <row r="113" spans="1:12" ht="28.8" outlineLevel="1" x14ac:dyDescent="0.3">
      <c r="A113" s="259"/>
      <c r="B113" s="260" t="s">
        <v>130</v>
      </c>
      <c r="C113" s="70"/>
      <c r="D113" s="385">
        <v>-1</v>
      </c>
      <c r="E113" s="385">
        <v>-1</v>
      </c>
      <c r="F113" s="27"/>
      <c r="G113" s="70"/>
      <c r="H113" s="385">
        <v>-1</v>
      </c>
      <c r="I113" s="385">
        <v>-1</v>
      </c>
      <c r="J113" s="27"/>
      <c r="K113" s="268" t="s">
        <v>63</v>
      </c>
      <c r="L113" s="258" t="s">
        <v>145</v>
      </c>
    </row>
    <row r="114" spans="1:12" outlineLevel="1" x14ac:dyDescent="0.3">
      <c r="A114" s="259"/>
      <c r="B114" s="260" t="s">
        <v>131</v>
      </c>
      <c r="C114" s="70"/>
      <c r="D114" s="385">
        <v>-0.75</v>
      </c>
      <c r="E114" s="385">
        <v>-0.75</v>
      </c>
      <c r="F114" s="27"/>
      <c r="G114" s="70"/>
      <c r="H114" s="385">
        <v>-0.75</v>
      </c>
      <c r="I114" s="385">
        <v>-0.75</v>
      </c>
      <c r="J114" s="27"/>
      <c r="K114" s="268" t="s">
        <v>63</v>
      </c>
      <c r="L114" s="258" t="s">
        <v>145</v>
      </c>
    </row>
    <row r="115" spans="1:12" ht="28.8" outlineLevel="1" x14ac:dyDescent="0.3">
      <c r="A115" s="259"/>
      <c r="B115" s="260" t="s">
        <v>174</v>
      </c>
      <c r="C115" s="70"/>
      <c r="D115" s="385"/>
      <c r="E115" s="385"/>
      <c r="F115" s="27"/>
      <c r="G115" s="70"/>
      <c r="H115" s="385">
        <v>-2</v>
      </c>
      <c r="I115" s="385">
        <v>-2</v>
      </c>
      <c r="J115" s="27"/>
      <c r="K115" s="268" t="s">
        <v>63</v>
      </c>
      <c r="L115" s="258" t="s">
        <v>175</v>
      </c>
    </row>
    <row r="116" spans="1:12" ht="28.8" outlineLevel="1" x14ac:dyDescent="0.3">
      <c r="A116" s="259"/>
      <c r="B116" s="260" t="s">
        <v>176</v>
      </c>
      <c r="C116" s="70"/>
      <c r="D116" s="385"/>
      <c r="E116" s="385"/>
      <c r="F116" s="27"/>
      <c r="G116" s="70"/>
      <c r="H116" s="385">
        <v>-1</v>
      </c>
      <c r="I116" s="385">
        <v>-1</v>
      </c>
      <c r="J116" s="27"/>
      <c r="K116" s="268" t="s">
        <v>63</v>
      </c>
      <c r="L116" s="258" t="s">
        <v>177</v>
      </c>
    </row>
    <row r="117" spans="1:12" outlineLevel="1" x14ac:dyDescent="0.3">
      <c r="A117" s="259"/>
      <c r="B117" s="260"/>
      <c r="C117" s="70"/>
      <c r="D117" s="385"/>
      <c r="E117" s="385"/>
      <c r="F117" s="27"/>
      <c r="G117" s="70"/>
      <c r="H117" s="385"/>
      <c r="I117" s="385"/>
      <c r="J117" s="27"/>
      <c r="K117" s="268"/>
      <c r="L117" s="258"/>
    </row>
    <row r="118" spans="1:12" ht="28.8" outlineLevel="1" x14ac:dyDescent="0.3">
      <c r="A118" s="266"/>
      <c r="B118" s="254" t="s">
        <v>77</v>
      </c>
      <c r="C118" s="140">
        <f>SUM(C119:C120)</f>
        <v>-2</v>
      </c>
      <c r="D118" s="141">
        <f>SUM(D119:D120)</f>
        <v>-8.93</v>
      </c>
      <c r="E118" s="141">
        <f>SUM(E119:E120)</f>
        <v>-9.5</v>
      </c>
      <c r="F118" s="40"/>
      <c r="G118" s="140">
        <f>SUM(G119:G120)</f>
        <v>-2</v>
      </c>
      <c r="H118" s="141">
        <f>SUM(H119:H120)</f>
        <v>-8.93</v>
      </c>
      <c r="I118" s="141">
        <f>SUM(I119:I120)</f>
        <v>-9.5</v>
      </c>
      <c r="J118" s="40"/>
      <c r="K118" s="272"/>
      <c r="L118" s="273"/>
    </row>
    <row r="119" spans="1:12" s="146" customFormat="1" outlineLevel="1" x14ac:dyDescent="0.3">
      <c r="A119" s="255" t="s">
        <v>13</v>
      </c>
      <c r="B119" s="274" t="s">
        <v>150</v>
      </c>
      <c r="C119" s="143">
        <v>-2</v>
      </c>
      <c r="D119" s="144">
        <v>-5.36</v>
      </c>
      <c r="E119" s="144">
        <v>-5.3</v>
      </c>
      <c r="F119" s="48"/>
      <c r="G119" s="143">
        <v>-2</v>
      </c>
      <c r="H119" s="144">
        <v>-5.36</v>
      </c>
      <c r="I119" s="144">
        <v>-5.3</v>
      </c>
      <c r="J119" s="48"/>
      <c r="K119" s="268" t="s">
        <v>78</v>
      </c>
      <c r="L119" s="269"/>
    </row>
    <row r="120" spans="1:12" outlineLevel="1" x14ac:dyDescent="0.3">
      <c r="A120" s="259"/>
      <c r="B120" s="275" t="s">
        <v>150</v>
      </c>
      <c r="C120" s="151"/>
      <c r="D120" s="71">
        <v>-3.57</v>
      </c>
      <c r="E120" s="71">
        <v>-4.2</v>
      </c>
      <c r="F120" s="60"/>
      <c r="G120" s="151"/>
      <c r="H120" s="71">
        <v>-3.57</v>
      </c>
      <c r="I120" s="71">
        <v>-4.2</v>
      </c>
      <c r="J120" s="60"/>
      <c r="K120" s="257" t="s">
        <v>78</v>
      </c>
      <c r="L120" s="27"/>
    </row>
    <row r="121" spans="1:12" outlineLevel="1" x14ac:dyDescent="0.3">
      <c r="A121" s="276"/>
      <c r="B121" s="277" t="s">
        <v>36</v>
      </c>
      <c r="C121" s="147">
        <v>-16.100000000000001</v>
      </c>
      <c r="D121" s="148">
        <v>0</v>
      </c>
      <c r="E121" s="148">
        <v>0</v>
      </c>
      <c r="F121" s="149"/>
      <c r="G121" s="147">
        <v>-16.100000000000001</v>
      </c>
      <c r="H121" s="148">
        <v>0</v>
      </c>
      <c r="I121" s="148">
        <v>0</v>
      </c>
      <c r="J121" s="149"/>
      <c r="K121" s="278" t="s">
        <v>79</v>
      </c>
      <c r="L121" s="279"/>
    </row>
    <row r="122" spans="1:12" ht="15" outlineLevel="1" thickBot="1" x14ac:dyDescent="0.35">
      <c r="A122" s="280"/>
      <c r="B122" s="212"/>
      <c r="C122" s="281">
        <v>0</v>
      </c>
      <c r="D122" s="282">
        <v>0</v>
      </c>
      <c r="E122" s="282">
        <v>0</v>
      </c>
      <c r="F122" s="283"/>
      <c r="G122" s="281">
        <v>0</v>
      </c>
      <c r="H122" s="282">
        <v>0</v>
      </c>
      <c r="I122" s="282">
        <v>0</v>
      </c>
      <c r="J122" s="283"/>
      <c r="K122" s="286"/>
      <c r="L122" s="283"/>
    </row>
    <row r="123" spans="1:12" ht="15" thickBot="1" x14ac:dyDescent="0.35">
      <c r="A123" s="209"/>
      <c r="B123" s="298"/>
      <c r="C123" s="25"/>
      <c r="D123" s="26"/>
      <c r="E123" s="26"/>
      <c r="F123" s="135"/>
      <c r="G123" s="25"/>
      <c r="H123" s="26"/>
      <c r="I123" s="26"/>
      <c r="J123" s="135"/>
      <c r="K123" s="26"/>
      <c r="L123" s="27"/>
    </row>
    <row r="124" spans="1:12" ht="15" customHeight="1" thickBot="1" x14ac:dyDescent="0.35">
      <c r="A124" s="209"/>
      <c r="B124" s="298"/>
      <c r="C124" s="403" t="s">
        <v>134</v>
      </c>
      <c r="D124" s="404"/>
      <c r="E124" s="404"/>
      <c r="F124" s="405"/>
      <c r="G124" s="403" t="s">
        <v>178</v>
      </c>
      <c r="H124" s="404"/>
      <c r="I124" s="404"/>
      <c r="J124" s="405"/>
      <c r="K124" s="26"/>
      <c r="L124" s="27"/>
    </row>
    <row r="125" spans="1:12" ht="43.2" x14ac:dyDescent="0.3">
      <c r="A125" s="408" t="s">
        <v>80</v>
      </c>
      <c r="B125" s="409"/>
      <c r="C125" s="7" t="s">
        <v>2</v>
      </c>
      <c r="D125" s="8" t="s">
        <v>3</v>
      </c>
      <c r="E125" s="8" t="s">
        <v>4</v>
      </c>
      <c r="F125" s="9" t="s">
        <v>5</v>
      </c>
      <c r="G125" s="7" t="s">
        <v>2</v>
      </c>
      <c r="H125" s="8" t="s">
        <v>3</v>
      </c>
      <c r="I125" s="8" t="s">
        <v>4</v>
      </c>
      <c r="J125" s="9" t="s">
        <v>5</v>
      </c>
      <c r="K125" s="8" t="s">
        <v>6</v>
      </c>
      <c r="L125" s="9" t="s">
        <v>7</v>
      </c>
    </row>
    <row r="126" spans="1:12" x14ac:dyDescent="0.3">
      <c r="A126" s="334" t="s">
        <v>8</v>
      </c>
      <c r="B126" s="335"/>
      <c r="C126" s="152">
        <v>101.2452</v>
      </c>
      <c r="D126" s="153">
        <v>49.959899999999998</v>
      </c>
      <c r="E126" s="153">
        <v>53.189138355470163</v>
      </c>
      <c r="F126" s="154"/>
      <c r="G126" s="155">
        <f>C126</f>
        <v>101.2452</v>
      </c>
      <c r="H126" s="383">
        <v>50</v>
      </c>
      <c r="I126" s="383">
        <v>53.2</v>
      </c>
      <c r="J126" s="154"/>
      <c r="K126" s="336"/>
      <c r="L126" s="375"/>
    </row>
    <row r="127" spans="1:12" x14ac:dyDescent="0.3">
      <c r="A127" s="337" t="s">
        <v>9</v>
      </c>
      <c r="B127" s="335"/>
      <c r="C127" s="156">
        <f>C131+C138+C144+C146+C141</f>
        <v>-91.100000000000009</v>
      </c>
      <c r="D127" s="231">
        <f>D131+D138+D141</f>
        <v>-50</v>
      </c>
      <c r="E127" s="231">
        <f>E131+E138+E141</f>
        <v>-53.2</v>
      </c>
      <c r="F127" s="157">
        <f>F131+F138+F141</f>
        <v>7425</v>
      </c>
      <c r="G127" s="156">
        <f>G131+G138+G144+G146</f>
        <v>-45.2</v>
      </c>
      <c r="H127" s="231">
        <f>H131+H138+H141</f>
        <v>-60.12</v>
      </c>
      <c r="I127" s="231">
        <f>I131+I138+I141</f>
        <v>-76.27000000000001</v>
      </c>
      <c r="J127" s="157">
        <f>J131+J138</f>
        <v>7180</v>
      </c>
      <c r="K127" s="338"/>
      <c r="L127" s="339"/>
    </row>
    <row r="128" spans="1:12" x14ac:dyDescent="0.3">
      <c r="A128" s="337" t="s">
        <v>10</v>
      </c>
      <c r="B128" s="335"/>
      <c r="C128" s="156">
        <f>C126+C127</f>
        <v>10.145199999999988</v>
      </c>
      <c r="D128" s="231">
        <f>D126+D127</f>
        <v>-4.0100000000002467E-2</v>
      </c>
      <c r="E128" s="231">
        <f>E126+E127</f>
        <v>-1.0861644529839509E-2</v>
      </c>
      <c r="F128" s="158"/>
      <c r="G128" s="156">
        <f>G126+G127</f>
        <v>56.045199999999994</v>
      </c>
      <c r="H128" s="231">
        <f>H126+H127</f>
        <v>-10.119999999999997</v>
      </c>
      <c r="I128" s="231">
        <f>I126+I127</f>
        <v>-23.070000000000007</v>
      </c>
      <c r="J128" s="158"/>
      <c r="K128" s="338"/>
      <c r="L128" s="339"/>
    </row>
    <row r="129" spans="1:14" ht="28.2" thickBot="1" x14ac:dyDescent="0.35">
      <c r="A129" s="337" t="s">
        <v>180</v>
      </c>
      <c r="B129" s="335"/>
      <c r="C129" s="156">
        <f>SUM(C128:E128)*-1</f>
        <v>-10.094238355470146</v>
      </c>
      <c r="D129" s="231"/>
      <c r="E129" s="231"/>
      <c r="F129" s="158"/>
      <c r="G129" s="156">
        <f>SUM(G128:I128)*-1</f>
        <v>-22.855199999999989</v>
      </c>
      <c r="H129" s="231"/>
      <c r="I129" s="231"/>
      <c r="J129" s="158"/>
      <c r="K129" s="338"/>
      <c r="L129" s="389" t="s">
        <v>181</v>
      </c>
    </row>
    <row r="130" spans="1:14" ht="15" thickBot="1" x14ac:dyDescent="0.35">
      <c r="A130" s="360" t="s">
        <v>46</v>
      </c>
      <c r="B130" s="361"/>
      <c r="C130" s="362"/>
      <c r="D130" s="363"/>
      <c r="E130" s="363"/>
      <c r="F130" s="364"/>
      <c r="G130" s="362"/>
      <c r="H130" s="363"/>
      <c r="I130" s="363"/>
      <c r="J130" s="364"/>
      <c r="K130" s="363"/>
      <c r="L130" s="365"/>
      <c r="M130" s="1"/>
    </row>
    <row r="131" spans="1:14" outlineLevel="1" x14ac:dyDescent="0.3">
      <c r="A131" s="366"/>
      <c r="B131" s="367" t="s">
        <v>81</v>
      </c>
      <c r="C131" s="368">
        <f>SUM(C132:C133)</f>
        <v>-34.800000000000004</v>
      </c>
      <c r="D131" s="369">
        <f>SUM(D132:D133)</f>
        <v>-9</v>
      </c>
      <c r="E131" s="369">
        <f>SUM(E132:E137)</f>
        <v>-3.5</v>
      </c>
      <c r="F131" s="370">
        <f>SUM(F132:F133)</f>
        <v>125</v>
      </c>
      <c r="G131" s="368">
        <f>SUM(G132:G137)</f>
        <v>-2.1</v>
      </c>
      <c r="H131" s="369">
        <f>SUM(H132:H137)</f>
        <v>-22.47</v>
      </c>
      <c r="I131" s="369">
        <f>SUM(I132:I137)</f>
        <v>-23.869999999999997</v>
      </c>
      <c r="J131" s="370">
        <f>SUM(J132:J137)</f>
        <v>2680</v>
      </c>
      <c r="K131" s="371"/>
      <c r="L131" s="372"/>
    </row>
    <row r="132" spans="1:14" ht="28.8" outlineLevel="1" x14ac:dyDescent="0.3">
      <c r="A132" s="255" t="s">
        <v>13</v>
      </c>
      <c r="B132" s="274" t="s">
        <v>82</v>
      </c>
      <c r="C132" s="161">
        <v>-2.1</v>
      </c>
      <c r="D132" s="162"/>
      <c r="E132" s="162"/>
      <c r="F132" s="48">
        <v>125</v>
      </c>
      <c r="G132" s="34">
        <v>-2.1</v>
      </c>
      <c r="H132" s="225"/>
      <c r="I132" s="224"/>
      <c r="J132" s="165">
        <v>125</v>
      </c>
      <c r="K132" s="257" t="s">
        <v>83</v>
      </c>
      <c r="L132" s="299"/>
    </row>
    <row r="133" spans="1:14" ht="28.8" outlineLevel="1" x14ac:dyDescent="0.3">
      <c r="A133" s="259"/>
      <c r="B133" s="275" t="s">
        <v>82</v>
      </c>
      <c r="C133" s="163">
        <v>-32.700000000000003</v>
      </c>
      <c r="D133" s="164">
        <v>-9</v>
      </c>
      <c r="E133" s="164">
        <v>0</v>
      </c>
      <c r="F133" s="27" t="s">
        <v>84</v>
      </c>
      <c r="G133" s="37"/>
      <c r="H133" s="226"/>
      <c r="I133" s="224"/>
      <c r="J133" s="165"/>
      <c r="K133" s="257" t="s">
        <v>83</v>
      </c>
      <c r="L133" s="301" t="s">
        <v>85</v>
      </c>
    </row>
    <row r="134" spans="1:14" ht="28.8" outlineLevel="1" x14ac:dyDescent="0.3">
      <c r="A134" s="259"/>
      <c r="B134" s="275" t="s">
        <v>86</v>
      </c>
      <c r="C134" s="166"/>
      <c r="D134" s="167"/>
      <c r="E134" s="167"/>
      <c r="F134" s="27"/>
      <c r="G134" s="28"/>
      <c r="H134" s="226">
        <v>-11.22</v>
      </c>
      <c r="I134" s="226">
        <v>-9.1199999999999992</v>
      </c>
      <c r="J134" s="165">
        <v>1340</v>
      </c>
      <c r="K134" s="257" t="s">
        <v>87</v>
      </c>
      <c r="L134" s="301" t="s">
        <v>88</v>
      </c>
      <c r="N134" s="373"/>
    </row>
    <row r="135" spans="1:14" ht="24.6" outlineLevel="1" x14ac:dyDescent="0.3">
      <c r="A135" s="259"/>
      <c r="B135" s="275" t="s">
        <v>89</v>
      </c>
      <c r="C135" s="166"/>
      <c r="D135" s="167"/>
      <c r="E135" s="167"/>
      <c r="F135" s="27"/>
      <c r="G135" s="28"/>
      <c r="H135" s="226">
        <v>-7.5</v>
      </c>
      <c r="I135" s="226">
        <v>-7.5</v>
      </c>
      <c r="J135" s="165">
        <v>715</v>
      </c>
      <c r="K135" s="257" t="s">
        <v>87</v>
      </c>
      <c r="L135" s="27"/>
    </row>
    <row r="136" spans="1:14" ht="28.8" outlineLevel="1" x14ac:dyDescent="0.3">
      <c r="A136" s="259"/>
      <c r="B136" s="275" t="s">
        <v>90</v>
      </c>
      <c r="C136" s="166"/>
      <c r="D136" s="167"/>
      <c r="E136" s="167"/>
      <c r="F136" s="27"/>
      <c r="G136" s="28"/>
      <c r="H136" s="226">
        <v>-3.75</v>
      </c>
      <c r="I136" s="226">
        <v>-3.75</v>
      </c>
      <c r="J136" s="165">
        <v>500</v>
      </c>
      <c r="K136" s="257" t="s">
        <v>87</v>
      </c>
      <c r="L136" s="27"/>
    </row>
    <row r="137" spans="1:14" ht="28.8" outlineLevel="1" x14ac:dyDescent="0.3">
      <c r="A137" s="259"/>
      <c r="B137" s="275" t="s">
        <v>91</v>
      </c>
      <c r="C137" s="166"/>
      <c r="D137" s="167">
        <v>0</v>
      </c>
      <c r="E137" s="167">
        <v>-3.5</v>
      </c>
      <c r="F137" s="27"/>
      <c r="G137" s="28"/>
      <c r="H137" s="226">
        <v>0</v>
      </c>
      <c r="I137" s="226">
        <v>-3.5</v>
      </c>
      <c r="J137" s="165">
        <v>0</v>
      </c>
      <c r="K137" s="257" t="s">
        <v>63</v>
      </c>
      <c r="L137" s="27"/>
    </row>
    <row r="138" spans="1:14" ht="15" customHeight="1" outlineLevel="1" x14ac:dyDescent="0.3">
      <c r="A138" s="266"/>
      <c r="B138" s="254" t="s">
        <v>92</v>
      </c>
      <c r="C138" s="168">
        <f t="shared" ref="C138:I138" si="11">SUM(C139:C140)</f>
        <v>-3.5</v>
      </c>
      <c r="D138" s="169">
        <f t="shared" si="11"/>
        <v>-35</v>
      </c>
      <c r="E138" s="169">
        <f t="shared" si="11"/>
        <v>-43.7</v>
      </c>
      <c r="F138" s="170">
        <f t="shared" si="11"/>
        <v>4500</v>
      </c>
      <c r="G138" s="159">
        <f t="shared" si="11"/>
        <v>0</v>
      </c>
      <c r="H138" s="160">
        <f t="shared" si="11"/>
        <v>-35</v>
      </c>
      <c r="I138" s="160">
        <f t="shared" si="11"/>
        <v>-48</v>
      </c>
      <c r="J138" s="170">
        <f>SUM(J139:J141)</f>
        <v>4500</v>
      </c>
      <c r="K138" s="267"/>
      <c r="L138" s="40"/>
    </row>
    <row r="139" spans="1:14" ht="28.8" outlineLevel="1" x14ac:dyDescent="0.3">
      <c r="A139" s="259"/>
      <c r="B139" s="275" t="s">
        <v>93</v>
      </c>
      <c r="C139" s="163"/>
      <c r="D139" s="226">
        <v>-20</v>
      </c>
      <c r="E139" s="226">
        <v>-29.2</v>
      </c>
      <c r="F139" s="171">
        <v>2000</v>
      </c>
      <c r="G139" s="172"/>
      <c r="H139" s="226">
        <v>-20</v>
      </c>
      <c r="I139" s="226">
        <v>-30</v>
      </c>
      <c r="J139" s="171">
        <v>2000</v>
      </c>
      <c r="K139" s="257" t="s">
        <v>83</v>
      </c>
      <c r="L139" s="27"/>
    </row>
    <row r="140" spans="1:14" ht="28.8" outlineLevel="1" x14ac:dyDescent="0.3">
      <c r="A140" s="259"/>
      <c r="B140" s="275" t="s">
        <v>94</v>
      </c>
      <c r="C140" s="163">
        <v>-3.5</v>
      </c>
      <c r="D140" s="287">
        <v>-15</v>
      </c>
      <c r="E140" s="287">
        <v>-14.5</v>
      </c>
      <c r="F140" s="171">
        <v>2500</v>
      </c>
      <c r="G140" s="172"/>
      <c r="H140" s="226">
        <v>-15</v>
      </c>
      <c r="I140" s="226">
        <v>-18</v>
      </c>
      <c r="J140" s="171">
        <v>2500</v>
      </c>
      <c r="K140" s="257" t="s">
        <v>83</v>
      </c>
      <c r="L140" s="301"/>
    </row>
    <row r="141" spans="1:14" outlineLevel="1" x14ac:dyDescent="0.3">
      <c r="A141" s="266"/>
      <c r="B141" s="254" t="s">
        <v>169</v>
      </c>
      <c r="C141" s="168">
        <f>SUM(C142:C143)</f>
        <v>-9.6999999999999993</v>
      </c>
      <c r="D141" s="169">
        <f>SUM(D142:D143)</f>
        <v>-6</v>
      </c>
      <c r="E141" s="169">
        <f>SUM(E142:E143)</f>
        <v>-6</v>
      </c>
      <c r="F141" s="173">
        <f>SUM(F142)</f>
        <v>2800</v>
      </c>
      <c r="G141" s="174"/>
      <c r="H141" s="169">
        <f>SUM(H142:H143)</f>
        <v>-2.65</v>
      </c>
      <c r="I141" s="169">
        <f>SUM(I142:I143)</f>
        <v>-4.4000000000000004</v>
      </c>
      <c r="J141" s="173"/>
      <c r="K141" s="267"/>
      <c r="L141" s="40"/>
    </row>
    <row r="142" spans="1:14" ht="48.6" outlineLevel="1" x14ac:dyDescent="0.3">
      <c r="A142" s="259"/>
      <c r="B142" s="275" t="s">
        <v>95</v>
      </c>
      <c r="C142" s="166">
        <v>0</v>
      </c>
      <c r="D142" s="164">
        <v>-6</v>
      </c>
      <c r="E142" s="164">
        <v>-6</v>
      </c>
      <c r="F142" s="171">
        <v>2800</v>
      </c>
      <c r="G142" s="172"/>
      <c r="H142" s="232"/>
      <c r="I142" s="232"/>
      <c r="J142" s="171"/>
      <c r="K142" s="257" t="s">
        <v>96</v>
      </c>
      <c r="L142" s="301" t="s">
        <v>97</v>
      </c>
    </row>
    <row r="143" spans="1:14" ht="36.6" outlineLevel="1" x14ac:dyDescent="0.3">
      <c r="A143" s="259"/>
      <c r="B143" s="275" t="s">
        <v>170</v>
      </c>
      <c r="C143" s="166">
        <f>-5.3-4.4</f>
        <v>-9.6999999999999993</v>
      </c>
      <c r="D143" s="164"/>
      <c r="E143" s="164"/>
      <c r="F143" s="171"/>
      <c r="G143" s="166">
        <v>0</v>
      </c>
      <c r="H143" s="226">
        <f>-(5.3/2)</f>
        <v>-2.65</v>
      </c>
      <c r="I143" s="226">
        <v>-4.4000000000000004</v>
      </c>
      <c r="J143" s="171"/>
      <c r="K143" s="257" t="s">
        <v>63</v>
      </c>
      <c r="L143" s="258" t="s">
        <v>179</v>
      </c>
    </row>
    <row r="144" spans="1:14" ht="28.8" outlineLevel="1" x14ac:dyDescent="0.3">
      <c r="A144" s="340" t="s">
        <v>13</v>
      </c>
      <c r="B144" s="305" t="s">
        <v>98</v>
      </c>
      <c r="C144" s="175">
        <v>-1.3</v>
      </c>
      <c r="D144" s="176">
        <v>0</v>
      </c>
      <c r="E144" s="176">
        <v>0</v>
      </c>
      <c r="F144" s="177"/>
      <c r="G144" s="57">
        <f>C144</f>
        <v>-1.3</v>
      </c>
      <c r="H144" s="239"/>
      <c r="I144" s="239"/>
      <c r="J144" s="40"/>
      <c r="K144" s="341" t="s">
        <v>78</v>
      </c>
      <c r="L144" s="342"/>
    </row>
    <row r="145" spans="1:13" outlineLevel="1" x14ac:dyDescent="0.3">
      <c r="A145" s="255"/>
      <c r="B145" s="343"/>
      <c r="C145" s="178"/>
      <c r="D145" s="179"/>
      <c r="E145" s="179"/>
      <c r="F145" s="48"/>
      <c r="G145" s="145"/>
      <c r="H145" s="224"/>
      <c r="I145" s="224"/>
      <c r="J145" s="27"/>
      <c r="K145" s="257"/>
      <c r="L145" s="299"/>
    </row>
    <row r="146" spans="1:13" outlineLevel="1" x14ac:dyDescent="0.3">
      <c r="A146" s="344"/>
      <c r="B146" s="305" t="s">
        <v>36</v>
      </c>
      <c r="C146" s="175">
        <v>-41.800000000000004</v>
      </c>
      <c r="D146" s="176">
        <v>0</v>
      </c>
      <c r="E146" s="176">
        <v>0</v>
      </c>
      <c r="F146" s="177"/>
      <c r="G146" s="57">
        <f>C146</f>
        <v>-41.800000000000004</v>
      </c>
      <c r="H146" s="239"/>
      <c r="I146" s="239"/>
      <c r="J146" s="40"/>
      <c r="K146" s="341"/>
      <c r="L146" s="345"/>
    </row>
    <row r="147" spans="1:13" ht="15" outlineLevel="1" thickBot="1" x14ac:dyDescent="0.35">
      <c r="A147" s="390"/>
      <c r="B147" s="391"/>
      <c r="C147" s="392"/>
      <c r="D147" s="393"/>
      <c r="E147" s="393"/>
      <c r="F147" s="394"/>
      <c r="G147" s="395"/>
      <c r="H147" s="396"/>
      <c r="I147" s="396"/>
      <c r="J147" s="394"/>
      <c r="K147" s="397"/>
      <c r="L147" s="398"/>
    </row>
    <row r="148" spans="1:13" ht="15" thickBot="1" x14ac:dyDescent="0.35">
      <c r="A148" s="209"/>
      <c r="B148" s="298"/>
      <c r="C148" s="25"/>
      <c r="D148" s="26"/>
      <c r="E148" s="26"/>
      <c r="F148" s="135"/>
      <c r="G148" s="25"/>
      <c r="H148" s="26"/>
      <c r="I148" s="26"/>
      <c r="J148" s="135"/>
      <c r="K148" s="26"/>
      <c r="L148" s="27"/>
    </row>
    <row r="149" spans="1:13" ht="15" customHeight="1" thickBot="1" x14ac:dyDescent="0.35">
      <c r="A149" s="209"/>
      <c r="B149" s="298"/>
      <c r="C149" s="403" t="s">
        <v>134</v>
      </c>
      <c r="D149" s="404"/>
      <c r="E149" s="404"/>
      <c r="F149" s="405"/>
      <c r="G149" s="403" t="s">
        <v>178</v>
      </c>
      <c r="H149" s="404"/>
      <c r="I149" s="404"/>
      <c r="J149" s="405"/>
      <c r="K149" s="26"/>
      <c r="L149" s="27"/>
    </row>
    <row r="150" spans="1:13" ht="43.2" x14ac:dyDescent="0.3">
      <c r="A150" s="408" t="s">
        <v>99</v>
      </c>
      <c r="B150" s="409"/>
      <c r="C150" s="7" t="s">
        <v>2</v>
      </c>
      <c r="D150" s="8" t="s">
        <v>3</v>
      </c>
      <c r="E150" s="8" t="s">
        <v>4</v>
      </c>
      <c r="F150" s="9" t="s">
        <v>5</v>
      </c>
      <c r="G150" s="7" t="s">
        <v>2</v>
      </c>
      <c r="H150" s="8" t="s">
        <v>3</v>
      </c>
      <c r="I150" s="8" t="s">
        <v>4</v>
      </c>
      <c r="J150" s="9" t="s">
        <v>5</v>
      </c>
      <c r="K150" s="8" t="s">
        <v>6</v>
      </c>
      <c r="L150" s="9" t="s">
        <v>7</v>
      </c>
    </row>
    <row r="151" spans="1:13" ht="27.6" x14ac:dyDescent="0.3">
      <c r="A151" s="346" t="s">
        <v>8</v>
      </c>
      <c r="B151" s="347"/>
      <c r="C151" s="180">
        <v>67.496800000000007</v>
      </c>
      <c r="D151" s="181">
        <v>33.306599999999996</v>
      </c>
      <c r="E151" s="181">
        <v>35.459425570313442</v>
      </c>
      <c r="F151" s="182"/>
      <c r="G151" s="183">
        <f>C151</f>
        <v>67.496800000000007</v>
      </c>
      <c r="H151" s="384">
        <v>33.299999999999997</v>
      </c>
      <c r="I151" s="384">
        <v>35.5</v>
      </c>
      <c r="J151" s="182"/>
      <c r="K151" s="348"/>
      <c r="L151" s="374" t="s">
        <v>154</v>
      </c>
    </row>
    <row r="152" spans="1:13" x14ac:dyDescent="0.3">
      <c r="A152" s="349" t="s">
        <v>9</v>
      </c>
      <c r="B152" s="347"/>
      <c r="C152" s="184">
        <f>C155+C159+C167+C169</f>
        <v>-72.13000000000001</v>
      </c>
      <c r="D152" s="234">
        <f>D155+D159</f>
        <v>-30.3</v>
      </c>
      <c r="E152" s="234">
        <f>E155+E159</f>
        <v>-35.5</v>
      </c>
      <c r="F152" s="185">
        <f>F155+F159</f>
        <v>1035</v>
      </c>
      <c r="G152" s="184">
        <f>G155+G159+G167+G169</f>
        <v>-72.13000000000001</v>
      </c>
      <c r="H152" s="234">
        <f>H155+H159</f>
        <v>-31.463000000000001</v>
      </c>
      <c r="I152" s="234">
        <f>I155+I159</f>
        <v>-34.863</v>
      </c>
      <c r="J152" s="185">
        <f>SUM(J157:J166)</f>
        <v>1008</v>
      </c>
      <c r="K152" s="350"/>
      <c r="L152" s="351"/>
    </row>
    <row r="153" spans="1:13" x14ac:dyDescent="0.3">
      <c r="A153" s="349" t="s">
        <v>10</v>
      </c>
      <c r="B153" s="347"/>
      <c r="C153" s="184">
        <f>C151+C152</f>
        <v>-4.6332000000000022</v>
      </c>
      <c r="D153" s="235">
        <f>D151+D152</f>
        <v>3.0065999999999953</v>
      </c>
      <c r="E153" s="235">
        <f>E151+E152</f>
        <v>-4.0574429686557778E-2</v>
      </c>
      <c r="F153" s="186"/>
      <c r="G153" s="184">
        <f>G151+G152</f>
        <v>-4.6332000000000022</v>
      </c>
      <c r="H153" s="235">
        <f>H151+H152</f>
        <v>1.8369999999999962</v>
      </c>
      <c r="I153" s="235">
        <f>I151+I152</f>
        <v>0.63700000000000045</v>
      </c>
      <c r="J153" s="186"/>
      <c r="K153" s="350"/>
      <c r="L153" s="351"/>
    </row>
    <row r="154" spans="1:13" ht="15" thickBot="1" x14ac:dyDescent="0.35">
      <c r="A154" s="352" t="s">
        <v>46</v>
      </c>
      <c r="B154" s="187"/>
      <c r="C154" s="188"/>
      <c r="D154" s="189"/>
      <c r="E154" s="189"/>
      <c r="F154" s="190"/>
      <c r="G154" s="188"/>
      <c r="H154" s="189"/>
      <c r="I154" s="189"/>
      <c r="J154" s="190"/>
      <c r="K154" s="189"/>
      <c r="L154" s="353"/>
    </row>
    <row r="155" spans="1:13" outlineLevel="1" x14ac:dyDescent="0.3">
      <c r="A155" s="253"/>
      <c r="B155" s="254" t="s">
        <v>100</v>
      </c>
      <c r="C155" s="168">
        <f>SUM(C156:C157)</f>
        <v>-23.6</v>
      </c>
      <c r="D155" s="169">
        <f t="shared" ref="D155:I155" si="12">SUM(D156:D158)</f>
        <v>-22</v>
      </c>
      <c r="E155" s="169">
        <f t="shared" si="12"/>
        <v>-13.700000000000001</v>
      </c>
      <c r="F155" s="40">
        <f t="shared" si="12"/>
        <v>382</v>
      </c>
      <c r="G155" s="41">
        <f t="shared" si="12"/>
        <v>-23.6</v>
      </c>
      <c r="H155" s="227">
        <f t="shared" si="12"/>
        <v>-21.4</v>
      </c>
      <c r="I155" s="227">
        <f t="shared" si="12"/>
        <v>-14.3</v>
      </c>
      <c r="J155" s="40"/>
      <c r="K155" s="191"/>
      <c r="L155" s="150"/>
    </row>
    <row r="156" spans="1:13" ht="28.8" outlineLevel="1" x14ac:dyDescent="0.3">
      <c r="A156" s="255" t="s">
        <v>13</v>
      </c>
      <c r="B156" s="274" t="s">
        <v>101</v>
      </c>
      <c r="C156" s="178">
        <v>-23.6</v>
      </c>
      <c r="D156" s="179">
        <v>0</v>
      </c>
      <c r="E156" s="179">
        <v>0</v>
      </c>
      <c r="F156" s="48"/>
      <c r="G156" s="34">
        <f>C156</f>
        <v>-23.6</v>
      </c>
      <c r="H156" s="233"/>
      <c r="I156" s="233"/>
      <c r="J156" s="27"/>
      <c r="K156" s="257" t="s">
        <v>102</v>
      </c>
      <c r="L156" s="299"/>
    </row>
    <row r="157" spans="1:13" outlineLevel="1" x14ac:dyDescent="0.3">
      <c r="A157" s="259"/>
      <c r="B157" s="275" t="s">
        <v>103</v>
      </c>
      <c r="C157" s="166">
        <v>0</v>
      </c>
      <c r="D157" s="167">
        <v>-6.4</v>
      </c>
      <c r="E157" s="164">
        <v>-8.3000000000000007</v>
      </c>
      <c r="F157" s="27">
        <v>120</v>
      </c>
      <c r="G157" s="192"/>
      <c r="H157" s="228">
        <v>-6.4</v>
      </c>
      <c r="I157" s="228">
        <v>-8.3000000000000007</v>
      </c>
      <c r="J157" s="27">
        <v>120</v>
      </c>
      <c r="K157" s="257" t="s">
        <v>102</v>
      </c>
      <c r="L157" s="354" t="s">
        <v>104</v>
      </c>
      <c r="M157" s="1"/>
    </row>
    <row r="158" spans="1:13" ht="48.6" outlineLevel="1" x14ac:dyDescent="0.3">
      <c r="A158" s="259"/>
      <c r="B158" s="275" t="s">
        <v>105</v>
      </c>
      <c r="C158" s="166"/>
      <c r="D158" s="193">
        <f>-15.6</f>
        <v>-15.6</v>
      </c>
      <c r="E158" s="193">
        <v>-5.4</v>
      </c>
      <c r="F158" s="27">
        <v>262</v>
      </c>
      <c r="G158" s="192"/>
      <c r="H158" s="228">
        <v>-15</v>
      </c>
      <c r="I158" s="228">
        <v>-6</v>
      </c>
      <c r="J158" s="27">
        <v>190</v>
      </c>
      <c r="K158" s="257" t="s">
        <v>102</v>
      </c>
      <c r="L158" s="354" t="s">
        <v>106</v>
      </c>
      <c r="M158" s="1"/>
    </row>
    <row r="159" spans="1:13" ht="15" customHeight="1" outlineLevel="1" x14ac:dyDescent="0.3">
      <c r="A159" s="270"/>
      <c r="B159" s="254" t="s">
        <v>107</v>
      </c>
      <c r="C159" s="168">
        <f>SUM(C160:C162)</f>
        <v>0</v>
      </c>
      <c r="D159" s="194">
        <f>SUM(D160:D166)</f>
        <v>-8.3000000000000007</v>
      </c>
      <c r="E159" s="194">
        <f>SUM(E160:E165)</f>
        <v>-21.8</v>
      </c>
      <c r="F159" s="40">
        <f>SUM(F160:F162)</f>
        <v>653</v>
      </c>
      <c r="G159" s="195">
        <f>SUM(G160:G164)</f>
        <v>0</v>
      </c>
      <c r="H159" s="237">
        <f>SUM(H160:H166)</f>
        <v>-10.063000000000001</v>
      </c>
      <c r="I159" s="237">
        <f>SUM(I160:I166)</f>
        <v>-20.563000000000002</v>
      </c>
      <c r="J159" s="40"/>
      <c r="K159" s="341"/>
      <c r="L159" s="150"/>
    </row>
    <row r="160" spans="1:13" ht="60.6" outlineLevel="1" x14ac:dyDescent="0.3">
      <c r="A160" s="259"/>
      <c r="B160" s="275" t="s">
        <v>108</v>
      </c>
      <c r="C160" s="166">
        <v>0</v>
      </c>
      <c r="D160" s="193">
        <v>0</v>
      </c>
      <c r="E160" s="193">
        <v>-16.5</v>
      </c>
      <c r="F160" s="27">
        <v>553</v>
      </c>
      <c r="G160" s="192"/>
      <c r="H160" s="236"/>
      <c r="I160" s="228">
        <v>-13.5</v>
      </c>
      <c r="J160" s="27">
        <v>498</v>
      </c>
      <c r="K160" s="257" t="s">
        <v>102</v>
      </c>
      <c r="L160" s="354" t="s">
        <v>109</v>
      </c>
    </row>
    <row r="161" spans="1:13" outlineLevel="1" x14ac:dyDescent="0.3">
      <c r="A161" s="259"/>
      <c r="B161" s="275" t="s">
        <v>110</v>
      </c>
      <c r="C161" s="166">
        <v>0</v>
      </c>
      <c r="D161" s="193">
        <v>-6.5</v>
      </c>
      <c r="E161" s="193">
        <v>-3.5</v>
      </c>
      <c r="F161" s="27">
        <v>100</v>
      </c>
      <c r="G161" s="192"/>
      <c r="H161" s="228">
        <v>-6.5</v>
      </c>
      <c r="I161" s="228">
        <v>-3.5</v>
      </c>
      <c r="J161" s="27">
        <v>100</v>
      </c>
      <c r="K161" s="257" t="s">
        <v>102</v>
      </c>
      <c r="L161" s="27"/>
    </row>
    <row r="162" spans="1:13" outlineLevel="1" x14ac:dyDescent="0.3">
      <c r="A162" s="259"/>
      <c r="B162" s="275" t="s">
        <v>111</v>
      </c>
      <c r="C162" s="166">
        <v>0</v>
      </c>
      <c r="D162" s="193">
        <v>0</v>
      </c>
      <c r="E162" s="193">
        <v>0</v>
      </c>
      <c r="F162" s="27"/>
      <c r="G162" s="192"/>
      <c r="H162" s="228">
        <v>0</v>
      </c>
      <c r="I162" s="228">
        <v>0</v>
      </c>
      <c r="J162" s="27"/>
      <c r="K162" s="257" t="s">
        <v>63</v>
      </c>
      <c r="L162" s="27"/>
    </row>
    <row r="163" spans="1:13" ht="28.8" outlineLevel="1" x14ac:dyDescent="0.3">
      <c r="A163" s="259"/>
      <c r="B163" s="275" t="s">
        <v>112</v>
      </c>
      <c r="C163" s="166"/>
      <c r="D163" s="50">
        <v>-1.8</v>
      </c>
      <c r="E163" s="50">
        <v>-1.8</v>
      </c>
      <c r="F163" s="27"/>
      <c r="G163" s="196"/>
      <c r="H163" s="197">
        <v>-1.8</v>
      </c>
      <c r="I163" s="197">
        <v>-1.8</v>
      </c>
      <c r="J163" s="27">
        <v>40</v>
      </c>
      <c r="K163" s="257" t="s">
        <v>102</v>
      </c>
      <c r="L163" s="354" t="s">
        <v>113</v>
      </c>
      <c r="M163" s="198"/>
    </row>
    <row r="164" spans="1:13" ht="28.8" outlineLevel="1" x14ac:dyDescent="0.3">
      <c r="A164" s="259"/>
      <c r="B164" s="275" t="s">
        <v>132</v>
      </c>
      <c r="C164" s="166"/>
      <c r="D164" s="238"/>
      <c r="E164" s="238"/>
      <c r="F164" s="27"/>
      <c r="G164" s="28"/>
      <c r="H164" s="226">
        <v>-0.86299999999999999</v>
      </c>
      <c r="I164" s="226">
        <v>-0.86299999999999999</v>
      </c>
      <c r="J164" s="27"/>
      <c r="K164" s="257" t="s">
        <v>63</v>
      </c>
      <c r="L164" s="354"/>
    </row>
    <row r="165" spans="1:13" outlineLevel="1" x14ac:dyDescent="0.3">
      <c r="A165" s="259"/>
      <c r="B165" s="275" t="s">
        <v>114</v>
      </c>
      <c r="C165" s="166"/>
      <c r="D165" s="167"/>
      <c r="E165" s="167"/>
      <c r="F165" s="27"/>
      <c r="G165" s="28"/>
      <c r="H165" s="228">
        <v>-0.3</v>
      </c>
      <c r="I165" s="228">
        <v>-0.3</v>
      </c>
      <c r="J165" s="27">
        <v>40</v>
      </c>
      <c r="K165" s="257" t="s">
        <v>115</v>
      </c>
      <c r="L165" s="354"/>
    </row>
    <row r="166" spans="1:13" ht="28.8" outlineLevel="1" x14ac:dyDescent="0.3">
      <c r="A166" s="259"/>
      <c r="B166" s="275" t="s">
        <v>116</v>
      </c>
      <c r="C166" s="166"/>
      <c r="D166" s="167"/>
      <c r="E166" s="167"/>
      <c r="F166" s="27"/>
      <c r="G166" s="28"/>
      <c r="H166" s="228">
        <v>-0.6</v>
      </c>
      <c r="I166" s="228">
        <v>-0.6</v>
      </c>
      <c r="J166" s="27">
        <v>20</v>
      </c>
      <c r="K166" s="257" t="s">
        <v>115</v>
      </c>
      <c r="L166" s="354"/>
    </row>
    <row r="167" spans="1:13" ht="28.8" outlineLevel="1" x14ac:dyDescent="0.3">
      <c r="A167" s="340" t="s">
        <v>13</v>
      </c>
      <c r="B167" s="305" t="s">
        <v>117</v>
      </c>
      <c r="C167" s="175">
        <v>-2.2999999999999998</v>
      </c>
      <c r="D167" s="176">
        <v>0</v>
      </c>
      <c r="E167" s="176">
        <v>0</v>
      </c>
      <c r="F167" s="177"/>
      <c r="G167" s="57">
        <f>C167</f>
        <v>-2.2999999999999998</v>
      </c>
      <c r="H167" s="239"/>
      <c r="I167" s="239"/>
      <c r="J167" s="40"/>
      <c r="K167" s="341" t="s">
        <v>78</v>
      </c>
      <c r="L167" s="342"/>
    </row>
    <row r="168" spans="1:13" outlineLevel="1" x14ac:dyDescent="0.3">
      <c r="A168" s="259"/>
      <c r="B168" s="298"/>
      <c r="C168" s="166"/>
      <c r="D168" s="167"/>
      <c r="E168" s="167"/>
      <c r="F168" s="27"/>
      <c r="G168" s="28"/>
      <c r="H168" s="224"/>
      <c r="I168" s="224"/>
      <c r="J168" s="27"/>
      <c r="K168" s="257"/>
      <c r="L168" s="299"/>
    </row>
    <row r="169" spans="1:13" outlineLevel="1" x14ac:dyDescent="0.3">
      <c r="A169" s="276"/>
      <c r="B169" s="305" t="s">
        <v>36</v>
      </c>
      <c r="C169" s="175">
        <v>-46.230000000000004</v>
      </c>
      <c r="D169" s="176">
        <v>0</v>
      </c>
      <c r="E169" s="176">
        <v>0</v>
      </c>
      <c r="F169" s="177"/>
      <c r="G169" s="57">
        <f>C169</f>
        <v>-46.230000000000004</v>
      </c>
      <c r="H169" s="243"/>
      <c r="I169" s="243"/>
      <c r="J169" s="149"/>
      <c r="K169" s="278" t="s">
        <v>79</v>
      </c>
      <c r="L169" s="355"/>
    </row>
    <row r="170" spans="1:13" ht="15" outlineLevel="1" thickBot="1" x14ac:dyDescent="0.35">
      <c r="A170" s="211"/>
      <c r="B170" s="212"/>
      <c r="C170" s="356"/>
      <c r="D170" s="357"/>
      <c r="E170" s="357"/>
      <c r="F170" s="283"/>
      <c r="G170" s="284"/>
      <c r="H170" s="285"/>
      <c r="I170" s="285"/>
      <c r="J170" s="283"/>
      <c r="K170" s="358"/>
      <c r="L170" s="283"/>
    </row>
    <row r="171" spans="1:13" x14ac:dyDescent="0.3">
      <c r="C171" s="25"/>
      <c r="D171" s="26"/>
      <c r="E171" s="26"/>
      <c r="F171" s="135"/>
      <c r="G171" s="25"/>
      <c r="H171" s="26"/>
      <c r="I171" s="26"/>
      <c r="J171" s="135"/>
      <c r="K171" s="26"/>
    </row>
    <row r="172" spans="1:13" ht="15" thickBot="1" x14ac:dyDescent="0.35">
      <c r="C172" s="25"/>
      <c r="D172" s="26"/>
      <c r="E172" s="26"/>
      <c r="F172" s="135"/>
      <c r="G172" s="25"/>
      <c r="H172" s="26"/>
      <c r="I172" s="26"/>
      <c r="J172" s="135"/>
      <c r="K172" s="26"/>
    </row>
    <row r="173" spans="1:13" ht="15" customHeight="1" thickBot="1" x14ac:dyDescent="0.35">
      <c r="C173" s="403" t="s">
        <v>134</v>
      </c>
      <c r="D173" s="404"/>
      <c r="E173" s="404"/>
      <c r="F173" s="405"/>
      <c r="G173" s="403" t="s">
        <v>178</v>
      </c>
      <c r="H173" s="404"/>
      <c r="I173" s="404"/>
      <c r="J173" s="405"/>
      <c r="K173"/>
      <c r="L173" s="2"/>
    </row>
    <row r="174" spans="1:13" ht="43.2" x14ac:dyDescent="0.3">
      <c r="A174" s="199"/>
      <c r="B174" s="200"/>
      <c r="C174" s="201" t="s">
        <v>2</v>
      </c>
      <c r="D174" s="202" t="s">
        <v>3</v>
      </c>
      <c r="E174" s="202" t="s">
        <v>4</v>
      </c>
      <c r="F174" s="9" t="s">
        <v>5</v>
      </c>
      <c r="G174" s="201" t="s">
        <v>2</v>
      </c>
      <c r="H174" s="202" t="s">
        <v>3</v>
      </c>
      <c r="I174" s="202" t="s">
        <v>4</v>
      </c>
      <c r="J174" s="203" t="s">
        <v>5</v>
      </c>
      <c r="K174"/>
      <c r="L174" s="2"/>
    </row>
    <row r="175" spans="1:13" x14ac:dyDescent="0.3">
      <c r="A175" s="204" t="s">
        <v>118</v>
      </c>
      <c r="B175" s="205"/>
      <c r="C175" s="206"/>
      <c r="D175" s="207"/>
      <c r="E175" s="207"/>
      <c r="F175" s="208"/>
      <c r="G175" s="206"/>
      <c r="H175" s="207"/>
      <c r="I175" s="207"/>
      <c r="J175" s="208"/>
      <c r="K175"/>
      <c r="L175" s="2"/>
    </row>
    <row r="176" spans="1:13" x14ac:dyDescent="0.3">
      <c r="A176" s="209"/>
      <c r="B176" s="2" t="s">
        <v>119</v>
      </c>
      <c r="C176" s="25">
        <v>0</v>
      </c>
      <c r="D176" s="26">
        <v>-2.5</v>
      </c>
      <c r="E176" s="26">
        <v>-2.5</v>
      </c>
      <c r="F176" s="135"/>
      <c r="G176" s="25"/>
      <c r="H176" s="26">
        <v>-2.5</v>
      </c>
      <c r="I176" s="26">
        <v>-2.5</v>
      </c>
      <c r="J176" s="135"/>
      <c r="K176"/>
      <c r="L176" s="2"/>
    </row>
    <row r="177" spans="1:12" x14ac:dyDescent="0.3">
      <c r="A177" s="209"/>
      <c r="B177" s="399" t="s">
        <v>120</v>
      </c>
      <c r="C177" s="101">
        <f>C78+C89+C126+C151</f>
        <v>674.96800099999996</v>
      </c>
      <c r="D177" s="400">
        <f>D78+D89+D126+D151-D176</f>
        <v>335.56599999999997</v>
      </c>
      <c r="E177" s="400">
        <f>E78+E89+E126+E151-E176</f>
        <v>357.09425570313442</v>
      </c>
      <c r="F177" s="401"/>
      <c r="G177" s="101">
        <f>C177</f>
        <v>674.96800099999996</v>
      </c>
      <c r="H177" s="400">
        <f>D177</f>
        <v>335.56599999999997</v>
      </c>
      <c r="I177" s="400">
        <f>E177</f>
        <v>357.09425570313442</v>
      </c>
      <c r="J177" s="135"/>
      <c r="K177"/>
      <c r="L177" s="2"/>
    </row>
    <row r="178" spans="1:12" x14ac:dyDescent="0.3">
      <c r="A178" s="209"/>
      <c r="B178" s="2" t="s">
        <v>182</v>
      </c>
      <c r="C178" s="25">
        <f>C12+C20+C24+C27+C29+C31+C46+C48+C65+C68+C70+C94+C98+C99+C103+C104+C105+C111+C119+C121+C132+C144+C146+C156+C167+C169</f>
        <v>-275.53200000000004</v>
      </c>
      <c r="D178" s="26">
        <v>0</v>
      </c>
      <c r="E178" s="26">
        <v>0</v>
      </c>
      <c r="F178" s="135"/>
      <c r="G178" s="25">
        <f>G12+G20+G24+G27+G29+G31+G46+G48+G65+G68+G70+G94+G98+G99+G103+G104+G105+G111+G119+G121+G132+G144+G146+G156+G167+G169</f>
        <v>-275.53200000000004</v>
      </c>
      <c r="H178" s="26">
        <v>0</v>
      </c>
      <c r="I178" s="26">
        <v>0</v>
      </c>
      <c r="J178" s="135"/>
      <c r="K178"/>
      <c r="L178" s="2"/>
    </row>
    <row r="179" spans="1:12" x14ac:dyDescent="0.3">
      <c r="A179" s="209"/>
      <c r="B179" s="2" t="s">
        <v>183</v>
      </c>
      <c r="C179" s="25">
        <f>C180-C178</f>
        <v>-281.30000000000007</v>
      </c>
      <c r="D179" s="26">
        <f t="shared" ref="D179:E179" si="13">D180-D178</f>
        <v>-403.2</v>
      </c>
      <c r="E179" s="26">
        <f t="shared" si="13"/>
        <v>-313.40300000000002</v>
      </c>
      <c r="F179" s="135"/>
      <c r="G179" s="25">
        <f>G180-G178</f>
        <v>-248.39999999999998</v>
      </c>
      <c r="H179" s="26">
        <f t="shared" ref="H179:I179" si="14">H180-H178</f>
        <v>-407.39299999999997</v>
      </c>
      <c r="I179" s="26">
        <f t="shared" si="14"/>
        <v>-342.13299999999998</v>
      </c>
      <c r="J179" s="135"/>
      <c r="K179"/>
      <c r="L179" s="2"/>
    </row>
    <row r="180" spans="1:12" x14ac:dyDescent="0.3">
      <c r="A180" s="209"/>
      <c r="B180" s="2" t="s">
        <v>9</v>
      </c>
      <c r="C180" s="25">
        <f>C80+C90+C127+C152</f>
        <v>-556.83200000000011</v>
      </c>
      <c r="D180" s="26">
        <f>D80+D90+D127+D152+D176</f>
        <v>-403.2</v>
      </c>
      <c r="E180" s="26">
        <f>E80+E90+E127+E152+E176</f>
        <v>-313.40300000000002</v>
      </c>
      <c r="F180" s="210">
        <f>F80+F90+F127+F152</f>
        <v>11328</v>
      </c>
      <c r="G180" s="25">
        <f>G8+G38+G55+G90+G127+G152</f>
        <v>-523.93200000000002</v>
      </c>
      <c r="H180" s="26">
        <f>H8+H38+H55+H90+H127+H152+H176</f>
        <v>-407.39299999999997</v>
      </c>
      <c r="I180" s="26">
        <f>I8+I38+I55+I90+I127+I152+I176</f>
        <v>-342.13299999999998</v>
      </c>
      <c r="J180" s="210">
        <f>J80+J90+J127+J152</f>
        <v>11192</v>
      </c>
      <c r="K180"/>
      <c r="L180" s="2"/>
    </row>
    <row r="181" spans="1:12" ht="15" thickBot="1" x14ac:dyDescent="0.35">
      <c r="A181" s="211"/>
      <c r="B181" s="402" t="s">
        <v>121</v>
      </c>
      <c r="C181" s="213">
        <f>C177+C180</f>
        <v>118.13600099999985</v>
      </c>
      <c r="D181" s="214">
        <f>D177+D180</f>
        <v>-67.634000000000015</v>
      </c>
      <c r="E181" s="214">
        <f>E177+E180</f>
        <v>43.691255703134402</v>
      </c>
      <c r="F181" s="215"/>
      <c r="G181" s="213">
        <f>G177+G180</f>
        <v>151.03600099999994</v>
      </c>
      <c r="H181" s="214">
        <f>H177+H180</f>
        <v>-71.826999999999998</v>
      </c>
      <c r="I181" s="214">
        <f>I177+I180</f>
        <v>14.961255703134441</v>
      </c>
      <c r="J181" s="215"/>
      <c r="K181"/>
      <c r="L181" s="2"/>
    </row>
    <row r="182" spans="1:12" x14ac:dyDescent="0.3">
      <c r="C182"/>
      <c r="E182"/>
      <c r="F182"/>
      <c r="G182"/>
      <c r="H182"/>
      <c r="I182"/>
      <c r="J182"/>
      <c r="K182"/>
      <c r="L182" s="2"/>
    </row>
    <row r="183" spans="1:12" x14ac:dyDescent="0.3">
      <c r="C183"/>
      <c r="E183"/>
      <c r="F183"/>
      <c r="G183"/>
      <c r="H183"/>
      <c r="I183"/>
      <c r="J183"/>
      <c r="K183"/>
      <c r="L183" s="2"/>
    </row>
    <row r="184" spans="1:12" x14ac:dyDescent="0.3">
      <c r="C184"/>
      <c r="E184"/>
      <c r="F184"/>
      <c r="G184"/>
      <c r="H184"/>
      <c r="I184"/>
      <c r="J184"/>
      <c r="K184"/>
      <c r="L184" s="2"/>
    </row>
    <row r="185" spans="1:12" x14ac:dyDescent="0.3">
      <c r="A185" s="1" t="s">
        <v>122</v>
      </c>
      <c r="C185"/>
    </row>
    <row r="186" spans="1:12" x14ac:dyDescent="0.3">
      <c r="A186" t="s">
        <v>123</v>
      </c>
      <c r="C186"/>
    </row>
    <row r="187" spans="1:12" x14ac:dyDescent="0.3">
      <c r="A187" t="s">
        <v>126</v>
      </c>
      <c r="C187"/>
    </row>
    <row r="188" spans="1:12" x14ac:dyDescent="0.3">
      <c r="A188" t="s">
        <v>124</v>
      </c>
      <c r="C188"/>
    </row>
    <row r="189" spans="1:12" x14ac:dyDescent="0.3">
      <c r="A189" t="s">
        <v>125</v>
      </c>
      <c r="C189"/>
    </row>
    <row r="190" spans="1:12" x14ac:dyDescent="0.3">
      <c r="C190"/>
    </row>
    <row r="191" spans="1:12" x14ac:dyDescent="0.3">
      <c r="C191"/>
    </row>
    <row r="192" spans="1:12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</sheetData>
  <mergeCells count="22">
    <mergeCell ref="A150:B150"/>
    <mergeCell ref="C173:F173"/>
    <mergeCell ref="G173:J173"/>
    <mergeCell ref="A88:B88"/>
    <mergeCell ref="C124:F124"/>
    <mergeCell ref="G124:J124"/>
    <mergeCell ref="A125:B125"/>
    <mergeCell ref="C149:F149"/>
    <mergeCell ref="G149:J149"/>
    <mergeCell ref="C87:F87"/>
    <mergeCell ref="G87:J87"/>
    <mergeCell ref="C4:F4"/>
    <mergeCell ref="G4:J4"/>
    <mergeCell ref="A5:B5"/>
    <mergeCell ref="C34:F34"/>
    <mergeCell ref="G34:J34"/>
    <mergeCell ref="A35:B35"/>
    <mergeCell ref="C51:F51"/>
    <mergeCell ref="G51:J51"/>
    <mergeCell ref="A52:B52"/>
    <mergeCell ref="C76:F76"/>
    <mergeCell ref="G76:J7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5.4.21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Laura (CON)</dc:creator>
  <cp:lastModifiedBy>Marshall, Laura (CON)</cp:lastModifiedBy>
  <cp:lastPrinted>2021-04-20T00:33:44Z</cp:lastPrinted>
  <dcterms:created xsi:type="dcterms:W3CDTF">2021-04-17T01:18:58Z</dcterms:created>
  <dcterms:modified xsi:type="dcterms:W3CDTF">2021-05-05T19:20:17Z</dcterms:modified>
</cp:coreProperties>
</file>