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11.xml" ContentType="application/vnd.ms-excel.controlproperties+xml"/>
  <Override PartName="/xl/drawings/drawing5.xml" ContentType="application/vnd.openxmlformats-officedocument.drawing+xml"/>
  <Override PartName="/xl/ctrlProps/ctrlProp12.xml" ContentType="application/vnd.ms-excel.controlproperties+xml"/>
  <Override PartName="/xl/drawings/drawing6.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7.xml" ContentType="application/vnd.openxmlformats-officedocument.drawing+xml"/>
  <Override PartName="/xl/ctrlProps/ctrlProp15.xml" ContentType="application/vnd.ms-excel.controlpropertie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24226"/>
  <mc:AlternateContent xmlns:mc="http://schemas.openxmlformats.org/markup-compatibility/2006">
    <mc:Choice Requires="x15">
      <x15ac:absPath xmlns:x15ac="http://schemas.microsoft.com/office/spreadsheetml/2010/11/ac" url="M:\MOH\Housing Development Team\NOFAs\2024 NOFAs\D5 Senior Housing NOFA 2024\1 - NOFA\1 - Attachments\Attachments\"/>
    </mc:Choice>
  </mc:AlternateContent>
  <xr:revisionPtr revIDLastSave="0" documentId="8_{3FE966B2-C3B0-4155-B294-60ABD656949A}" xr6:coauthVersionLast="47" xr6:coauthVersionMax="47" xr10:uidLastSave="{00000000-0000-0000-0000-000000000000}"/>
  <workbookProtection workbookAlgorithmName="SHA-512" workbookHashValue="b3hqIvujxbzl9Je8jDbk9w5SXRdsIcc+HOOcEa5rmnUpoPbLyRLnOzJargLvIgkzFnGuJ8i2x4JXZhuz02Y6+g==" workbookSaltValue="GrBCVKp+omKEYoSE1oFhGw==" workbookSpinCount="100000" lockStructure="1"/>
  <bookViews>
    <workbookView xWindow="-108" yWindow="-108" windowWidth="23256" windowHeight="12576" tabRatio="889" xr2:uid="{D7790BBF-D806-4BB1-88CC-E0FEF685A11F}"/>
  </bookViews>
  <sheets>
    <sheet name="Instructions" sheetId="42" r:id="rId1"/>
    <sheet name="1.GeneralProjectInfo" sheetId="29" r:id="rId2"/>
    <sheet name="2.Utilities&amp;OtherIncome" sheetId="27" r:id="rId3"/>
    <sheet name="3a.NewProj-Rent&amp;UnitMix" sheetId="26" r:id="rId4"/>
    <sheet name="3b.ExistingProj-RentRoll" sheetId="24" r:id="rId5"/>
    <sheet name="4a.PredevS&amp;U" sheetId="41" r:id="rId6"/>
    <sheet name="4b.PermS&amp;U" sheetId="32" r:id="rId7"/>
    <sheet name="CNA" sheetId="38" state="hidden" r:id="rId8"/>
    <sheet name="4c.CommS&amp;U" sheetId="46" r:id="rId9"/>
    <sheet name="5.CommOp.Budget" sheetId="16" r:id="rId10"/>
    <sheet name="Macro1" sheetId="56" state="hidden" r:id="rId11"/>
    <sheet name="6a. Staffing" sheetId="53" r:id="rId12"/>
    <sheet name="6.1stYrOpBudget" sheetId="57" r:id="rId13"/>
    <sheet name="7a.20YrDetails" sheetId="30" r:id="rId14"/>
    <sheet name="7b.20YrSummary" sheetId="28" r:id="rId15"/>
    <sheet name="8.DevFeeCalc" sheetId="47" r:id="rId16"/>
    <sheet name="Exhibit A" sheetId="36" state="hidden" r:id="rId17"/>
    <sheet name="SOS" sheetId="59" state="hidden" r:id="rId18"/>
    <sheet name="Lists" sheetId="14" state="hidden" r:id="rId19"/>
    <sheet name="RentsUA" sheetId="15" state="hidden" r:id="rId20"/>
    <sheet name="Fiscal Staging Area" sheetId="25" state="hidden" r:id="rId21"/>
    <sheet name="9a.PASS" sheetId="48" state="hidden" r:id="rId22"/>
    <sheet name="9b.MR_Amort" sheetId="49" state="hidden" r:id="rId23"/>
    <sheet name="9c.BMR_Amort" sheetId="50" state="hidden" r:id="rId24"/>
    <sheet name="9d.Refi" sheetId="51" state="hidden" r:id="rId25"/>
    <sheet name="LC Eval" sheetId="52" r:id="rId26"/>
    <sheet name="change log" sheetId="54" state="hidden" r:id="rId27"/>
    <sheet name="Sheet1" sheetId="39" r:id="rId28"/>
    <sheet name="Sheet2" sheetId="40" r:id="rId29"/>
    <sheet name="Sheet3" sheetId="43" r:id="rId30"/>
    <sheet name="Sheet4" sheetId="44" r:id="rId31"/>
    <sheet name="Sheet5" sheetId="45" r:id="rId32"/>
  </sheets>
  <definedNames>
    <definedName name="_xlnm._FilterDatabase" localSheetId="4" hidden="1">'3b.ExistingProj-RentRoll'!$B$10:$AK$412</definedName>
    <definedName name="AMIType" localSheetId="24">#REF!</definedName>
    <definedName name="AMIType" localSheetId="0">#REF!</definedName>
    <definedName name="AMIType" localSheetId="25">#REF!</definedName>
    <definedName name="AMIType">Lists!$M$3:$M$4</definedName>
    <definedName name="BldgType" localSheetId="24">OFFSET(#REF!,0,0,COUNTA(#REF!),1)</definedName>
    <definedName name="BldgType" localSheetId="0">OFFSET(#REF!,0,0,COUNTA(#REF!),1)</definedName>
    <definedName name="BldgType" localSheetId="25">OFFSET(#REF!,0,0,COUNTA(#REF!),1)</definedName>
    <definedName name="BldgType">OFFSET(Lists!$D$3,0,0,COUNTA(Lists!$D$3:$D$15),1)</definedName>
    <definedName name="CYAMR" localSheetId="24">OFFSET(#REF!,0,0,2,COUNTA(#REF!))</definedName>
    <definedName name="CYAMR" localSheetId="0">OFFSET(#REF!,0,0,2,COUNTA(#REF!))</definedName>
    <definedName name="CYAMR" localSheetId="25">OFFSET(#REF!,0,0,2,COUNTA(#REF!))</definedName>
    <definedName name="CYAMR">OFFSET('Fiscal Staging Area'!$A$3,0,0,2,COUNTA('Fiscal Staging Area'!$A$3:$OK$3))</definedName>
    <definedName name="ExDevtAMI" localSheetId="24">#REF!</definedName>
    <definedName name="ExDevtAMI" localSheetId="0">#REF!</definedName>
    <definedName name="ExDevtAMI" localSheetId="25">#REF!</definedName>
    <definedName name="ExDevtAMI">Lists!$Q$3:$Q$5</definedName>
    <definedName name="Financing" localSheetId="24">#REF!</definedName>
    <definedName name="Financing" localSheetId="0">#REF!</definedName>
    <definedName name="Financing" localSheetId="25">#REF!</definedName>
    <definedName name="Financing">'1.GeneralProjectInfo'!$B$43:$L$52</definedName>
    <definedName name="HAPContract" localSheetId="24">#REF!</definedName>
    <definedName name="HAPContract" localSheetId="0">#REF!</definedName>
    <definedName name="HAPContract" localSheetId="25">#REF!</definedName>
    <definedName name="HAPContract">Lists!$I$3:$I$4</definedName>
    <definedName name="HHSize" localSheetId="24">#REF!</definedName>
    <definedName name="HHSize" localSheetId="0">#REF!</definedName>
    <definedName name="HHSize" localSheetId="25">#REF!</definedName>
    <definedName name="HHSize">Lists!$S$3:$S$11</definedName>
    <definedName name="IncomeLevel" localSheetId="24">OFFSET(#REF!,0,0,COUNTA(#REF!),1)</definedName>
    <definedName name="IncomeLevel" localSheetId="0">OFFSET(#REF!,0,0,COUNTA(#REF!),1)</definedName>
    <definedName name="IncomeLevel" localSheetId="25">OFFSET(#REF!,0,0,COUNTA(#REF!),1)</definedName>
    <definedName name="IncomeLevel">OFFSET(Lists!$L$3,0,0,COUNTA(Lists!$L$3:$L$34),1)</definedName>
    <definedName name="Lenders" localSheetId="24">OFFSET(#REF!,0,0,COUNTA(#REF!),1)</definedName>
    <definedName name="Lenders" localSheetId="0">OFFSET(#REF!,0,0,COUNTA(#REF!),1)</definedName>
    <definedName name="Lenders" localSheetId="25">OFFSET(#REF!,0,0,COUNTA(#REF!),1)</definedName>
    <definedName name="Lenders">OFFSET('1.GeneralProjectInfo'!$B$43,0,0,COUNTA('1.GeneralProjectInfo'!$B$43:$B$52),1)</definedName>
    <definedName name="LOSP" localSheetId="24">#REF!</definedName>
    <definedName name="LOSP" localSheetId="0">#REF!</definedName>
    <definedName name="LOSP" localSheetId="25">#REF!</definedName>
    <definedName name="LOSP">'1.GeneralProjectInfo'!$N$15</definedName>
    <definedName name="Neighborhood" localSheetId="24">OFFSET(#REF!,0,0,COUNTA(#REF!),1)</definedName>
    <definedName name="Neighborhood" localSheetId="0">OFFSET(#REF!,0,0,COUNTA(#REF!),1)</definedName>
    <definedName name="Neighborhood" localSheetId="25">OFFSET(#REF!,0,0,COUNTA(#REF!),1)</definedName>
    <definedName name="Neighborhood">OFFSET(Lists!$A$3,0,0,COUNTA(Lists!$A$3:$A$70),1)</definedName>
    <definedName name="OccupancyType" localSheetId="24">OFFSET(#REF!,0,0,COUNTA(#REF!),1)</definedName>
    <definedName name="OccupancyType" localSheetId="0">OFFSET(#REF!,0,0,COUNTA(#REF!),1)</definedName>
    <definedName name="OccupancyType" localSheetId="25">OFFSET(#REF!,0,0,COUNTA(#REF!),1)</definedName>
    <definedName name="OccupancyType">OFFSET(Lists!$E$3,0,0,COUNTA(Lists!$E$3:$E$15),1)</definedName>
    <definedName name="OwnerType" localSheetId="24">OFFSET(#REF!,0,0,COUNTA(#REF!),1)</definedName>
    <definedName name="OwnerType" localSheetId="0">OFFSET(#REF!,0,0,COUNTA(#REF!),1)</definedName>
    <definedName name="OwnerType" localSheetId="25">OFFSET(#REF!,0,0,COUNTA(#REF!),1)</definedName>
    <definedName name="OwnerType">OFFSET(Lists!$F$3,0,0,COUNTA(Lists!$F$3:$F$10),1)</definedName>
    <definedName name="_xlnm.Print_Area" localSheetId="1">'1.GeneralProjectInfo'!$A$1:$L$75</definedName>
    <definedName name="_xlnm.Print_Area" localSheetId="2">'2.Utilities&amp;OtherIncome'!$A$1:$L$48</definedName>
    <definedName name="_xlnm.Print_Area" localSheetId="3">'3a.NewProj-Rent&amp;UnitMix'!$A$1:$M$68,'3a.NewProj-Rent&amp;UnitMix'!$A$71:$O$172</definedName>
    <definedName name="_xlnm.Print_Area" localSheetId="4">'3b.ExistingProj-RentRoll'!$AW$8:$BO$23,'3b.ExistingProj-RentRoll'!$A$2:$AS$412</definedName>
    <definedName name="_xlnm.Print_Area" localSheetId="5">'4a.PredevS&amp;U'!$A$1:$L$147</definedName>
    <definedName name="_xlnm.Print_Area" localSheetId="6">'4b.PermS&amp;U'!$A$1:$L$147</definedName>
    <definedName name="_xlnm.Print_Area" localSheetId="8">'4c.CommS&amp;U'!$A$1:$K$141</definedName>
    <definedName name="_xlnm.Print_Area" localSheetId="9">'5.CommOp.Budget'!$A$1:$X$168</definedName>
    <definedName name="_xlnm.Print_Area" localSheetId="11">'6a. Staffing'!$A$1:$I$63</definedName>
    <definedName name="_xlnm.Print_Area" localSheetId="13">'7a.20YrDetails'!$C$2:$BO$188</definedName>
    <definedName name="_xlnm.Print_Area" localSheetId="14">'7b.20YrSummary'!$A$1:$BO$193</definedName>
    <definedName name="_xlnm.Print_Area" localSheetId="15">'8.DevFeeCalc'!$A$1:$E$60</definedName>
    <definedName name="_xlnm.Print_Area" localSheetId="21">'9a.PASS'!$A$1:$J$49</definedName>
    <definedName name="_xlnm.Print_Area" localSheetId="7">CNA!$A$1:$AE$137</definedName>
    <definedName name="_xlnm.Print_Area" localSheetId="16">'Exhibit A'!$N$2:$U$24</definedName>
    <definedName name="_xlnm.Print_Area" localSheetId="0">Instructions!$A$1:$D$67</definedName>
    <definedName name="_xlnm.Print_Titles" localSheetId="3">'3a.NewProj-Rent&amp;UnitMix'!$1:$5</definedName>
    <definedName name="_xlnm.Print_Titles" localSheetId="4">'3b.ExistingProj-RentRoll'!$A:$B</definedName>
    <definedName name="_xlnm.Print_Titles" localSheetId="9">'5.CommOp.Budget'!$A:$D,'5.CommOp.Budget'!$3:$6</definedName>
    <definedName name="_xlnm.Print_Titles" localSheetId="13">'7a.20YrDetails'!$C:$G,'7a.20YrDetails'!$4:$8</definedName>
    <definedName name="_xlnm.Print_Titles" localSheetId="14">'7b.20YrSummary'!$C:$F,'7b.20YrSummary'!$1:$8</definedName>
    <definedName name="_xlnm.Print_Titles" localSheetId="22">'9b.MR_Amort'!$10:$12</definedName>
    <definedName name="_xlnm.Print_Titles" localSheetId="23">'9c.BMR_Amort'!$10:$12</definedName>
    <definedName name="_xlnm.Print_Titles" localSheetId="7">CNA!$A:$J,CNA!$1:$11</definedName>
    <definedName name="ProposedRentTypes" localSheetId="24">#REF!</definedName>
    <definedName name="ProposedRentTypes" localSheetId="0">#REF!</definedName>
    <definedName name="ProposedRentTypes" localSheetId="25">#REF!</definedName>
    <definedName name="ProposedRentTypes">Lists!$U$3:$U$6</definedName>
    <definedName name="REDistricts" localSheetId="24">#REF!</definedName>
    <definedName name="REDistricts" localSheetId="0">#REF!</definedName>
    <definedName name="REDistricts" localSheetId="25">#REF!</definedName>
    <definedName name="REDistricts">Lists!$C$3:$C$12</definedName>
    <definedName name="Restriction" localSheetId="24">#REF!</definedName>
    <definedName name="Restriction" localSheetId="0">#REF!</definedName>
    <definedName name="Restriction" localSheetId="25">#REF!</definedName>
    <definedName name="Restriction">Lists!$P$3:$P$5</definedName>
    <definedName name="SmallSites" localSheetId="24">#REF!</definedName>
    <definedName name="SmallSites" localSheetId="0">#REF!</definedName>
    <definedName name="SmallSites" localSheetId="25">#REF!</definedName>
    <definedName name="SmallSites">'1.GeneralProjectInfo'!$N$14</definedName>
    <definedName name="Subsidy" localSheetId="24">OFFSET(#REF!,0,0,COUNTA(#REF!),1)</definedName>
    <definedName name="Subsidy" localSheetId="0">OFFSET(#REF!,0,0,COUNTA(#REF!),1)</definedName>
    <definedName name="Subsidy" localSheetId="25">OFFSET(#REF!,0,0,COUNTA(#REF!),1)</definedName>
    <definedName name="Subsidy">OFFSET(Lists!$T$3,0,0,COUNTA(Lists!$T$3:$T$20),1)</definedName>
    <definedName name="SubsidyType" localSheetId="24">OFFSET(#REF!,0,0,COUNTA(#REF!),1)</definedName>
    <definedName name="SubsidyType" localSheetId="0">OFFSET(#REF!,0,0,COUNTA(#REF!),1)</definedName>
    <definedName name="SubsidyType" localSheetId="25">OFFSET(#REF!,0,0,COUNTA(#REF!),1)</definedName>
    <definedName name="SubsidyType">OFFSET(Lists!$N$3,0,0,COUNTA(Lists!$N$3:$N$22),1)</definedName>
    <definedName name="SupeDistrict" localSheetId="24">#REF!</definedName>
    <definedName name="SupeDistrict" localSheetId="0">#REF!</definedName>
    <definedName name="SupeDistrict" localSheetId="25">#REF!</definedName>
    <definedName name="SupeDistrict">Lists!$B$3:$B$13</definedName>
    <definedName name="UA" localSheetId="24">#REF!</definedName>
    <definedName name="UA" localSheetId="0">#REF!</definedName>
    <definedName name="UA" localSheetId="25">#REF!</definedName>
    <definedName name="UA">'2.Utilities&amp;OtherIncome'!$F$7:$L$13</definedName>
    <definedName name="UnitType" localSheetId="24">#REF!</definedName>
    <definedName name="UnitType" localSheetId="0">#REF!</definedName>
    <definedName name="UnitType" localSheetId="25">#REF!</definedName>
    <definedName name="UnitType">Lists!$R$3:$R$9</definedName>
    <definedName name="UtilityType" localSheetId="24">#REF!</definedName>
    <definedName name="UtilityType" localSheetId="0">#REF!</definedName>
    <definedName name="UtilityType" localSheetId="25">#REF!</definedName>
    <definedName name="UtilityType">Lists!$K$3:$K$4</definedName>
    <definedName name="wrn.Board._.Commitment._.Package." localSheetId="8" hidden="1">{"Project Summary",#N/A,FALSE,"Project Summary";"Rent Summary",#N/A,FALSE,"Rent Summary";"Operating Budget Detail",#N/A,FALSE,"Operations";"Operating Budget Summary",#N/A,FALSE,"Operations";"Sources and Uses",#N/A,FALSE,"Sources &amp; Uses";"Cash Flow",#N/A,FALSE,"Cash Flow"}</definedName>
    <definedName name="wrn.Board._.Commitment._.Package." localSheetId="15" hidden="1">{"Project Summary",#N/A,FALSE,"Project Summary";"Rent Summary",#N/A,FALSE,"Rent Summary";"Operating Budget Detail",#N/A,FALSE,"Operations";"Operating Budget Summary",#N/A,FALSE,"Operations";"Sources and Uses",#N/A,FALSE,"Sources &amp; Uses";"Cash Flow",#N/A,FALSE,"Cash Flow"}</definedName>
    <definedName name="wrn.Board._.Commitment._.Package." localSheetId="24" hidden="1">{"Project Summary",#N/A,FALSE,"Project Summary";"Rent Summary",#N/A,FALSE,"Rent Summary";"Operating Budget Detail",#N/A,FALSE,"Operations";"Operating Budget Summary",#N/A,FALSE,"Operations";"Sources and Uses",#N/A,FALSE,"Sources &amp; Uses";"Cash Flow",#N/A,FALSE,"Cash Flow"}</definedName>
    <definedName name="wrn.Board._.Commitment._.Package." localSheetId="0" hidden="1">{"Project Summary",#N/A,FALSE,"Project Summary";"Rent Summary",#N/A,FALSE,"Rent Summary";"Operating Budget Detail",#N/A,FALSE,"Operations";"Operating Budget Summary",#N/A,FALSE,"Operations";"Sources and Uses",#N/A,FALSE,"Sources &amp; Uses";"Cash Flow",#N/A,FALSE,"Cash Flow"}</definedName>
    <definedName name="wrn.Board._.Commitment._.Package." localSheetId="25" hidden="1">{"Project Summary",#N/A,FALSE,"Project Summary";"Rent Summary",#N/A,FALSE,"Rent Summary";"Operating Budget Detail",#N/A,FALSE,"Operations";"Operating Budget Summary",#N/A,FALSE,"Operations";"Sources and Uses",#N/A,FALSE,"Sources &amp; Uses";"Cash Flow",#N/A,FALSE,"Cash Flow"}</definedName>
    <definedName name="wrn.Board._.Commitment._.Package." hidden="1">{"Project Summary",#N/A,FALSE,"Project Summary";"Rent Summary",#N/A,FALSE,"Rent Summary";"Operating Budget Detail",#N/A,FALSE,"Operations";"Operating Budget Summary",#N/A,FALSE,"Operations";"Sources and Uses",#N/A,FALSE,"Sources &amp; Uses";"Cash Flow",#N/A,FALSE,"Cash Flow"}</definedName>
    <definedName name="wrn.Cash._.Flow." localSheetId="8" hidden="1">{"Cash Flow",#N/A,FALSE,"Cash Flow"}</definedName>
    <definedName name="wrn.Cash._.Flow." localSheetId="15" hidden="1">{"Cash Flow",#N/A,FALSE,"Cash Flow"}</definedName>
    <definedName name="wrn.Cash._.Flow." localSheetId="24" hidden="1">{"Cash Flow",#N/A,FALSE,"Cash Flow"}</definedName>
    <definedName name="wrn.Cash._.Flow." localSheetId="0" hidden="1">{"Cash Flow",#N/A,FALSE,"Cash Flow"}</definedName>
    <definedName name="wrn.Cash._.Flow." localSheetId="25" hidden="1">{"Cash Flow",#N/A,FALSE,"Cash Flow"}</definedName>
    <definedName name="wrn.Cash._.Flow." hidden="1">{"Cash Flow",#N/A,FALSE,"Cash Flow"}</definedName>
    <definedName name="wrn.Construction._.Draws." localSheetId="8" hidden="1">{"Construction Draws",#N/A,FALSE,"Hard Cost Breakdown";"Hard Cost Disbursement Summary",#N/A,FALSE,"Hard Cost Breakdown"}</definedName>
    <definedName name="wrn.Construction._.Draws." localSheetId="15" hidden="1">{"Construction Draws",#N/A,FALSE,"Hard Cost Breakdown";"Hard Cost Disbursement Summary",#N/A,FALSE,"Hard Cost Breakdown"}</definedName>
    <definedName name="wrn.Construction._.Draws." localSheetId="24" hidden="1">{"Construction Draws",#N/A,FALSE,"Hard Cost Breakdown";"Hard Cost Disbursement Summary",#N/A,FALSE,"Hard Cost Breakdown"}</definedName>
    <definedName name="wrn.Construction._.Draws." localSheetId="0" hidden="1">{"Construction Draws",#N/A,FALSE,"Hard Cost Breakdown";"Hard Cost Disbursement Summary",#N/A,FALSE,"Hard Cost Breakdown"}</definedName>
    <definedName name="wrn.Construction._.Draws." localSheetId="25" hidden="1">{"Construction Draws",#N/A,FALSE,"Hard Cost Breakdown";"Hard Cost Disbursement Summary",#N/A,FALSE,"Hard Cost Breakdown"}</definedName>
    <definedName name="wrn.Construction._.Draws." hidden="1">{"Construction Draws",#N/A,FALSE,"Hard Cost Breakdown";"Hard Cost Disbursement Summary",#N/A,FALSE,"Hard Cost Breakdown"}</definedName>
    <definedName name="wrn.Construction._.Sources._.and._.Uses." localSheetId="8" hidden="1">{"Sources and Uses - Construction",#N/A,FALSE,"Construction S &amp; U"}</definedName>
    <definedName name="wrn.Construction._.Sources._.and._.Uses." localSheetId="15" hidden="1">{"Sources and Uses - Construction",#N/A,FALSE,"Construction S &amp; U"}</definedName>
    <definedName name="wrn.Construction._.Sources._.and._.Uses." localSheetId="24" hidden="1">{"Sources and Uses - Construction",#N/A,FALSE,"Construction S &amp; U"}</definedName>
    <definedName name="wrn.Construction._.Sources._.and._.Uses." localSheetId="0" hidden="1">{"Sources and Uses - Construction",#N/A,FALSE,"Construction S &amp; U"}</definedName>
    <definedName name="wrn.Construction._.Sources._.and._.Uses." localSheetId="25" hidden="1">{"Sources and Uses - Construction",#N/A,FALSE,"Construction S &amp; U"}</definedName>
    <definedName name="wrn.Construction._.Sources._.and._.Uses." hidden="1">{"Sources and Uses - Construction",#N/A,FALSE,"Construction S &amp; U"}</definedName>
    <definedName name="wrn.Exhibit._.D._.to._.Constr.._.Loan._.Agmt." localSheetId="8" hidden="1">{"Construction Sources &amp; Uses Ex. D",#N/A,FALSE,"Construction S &amp; U"}</definedName>
    <definedName name="wrn.Exhibit._.D._.to._.Constr.._.Loan._.Agmt." localSheetId="15" hidden="1">{"Construction Sources &amp; Uses Ex. D",#N/A,FALSE,"Construction S &amp; U"}</definedName>
    <definedName name="wrn.Exhibit._.D._.to._.Constr.._.Loan._.Agmt." localSheetId="24" hidden="1">{"Construction Sources &amp; Uses Ex. D",#N/A,FALSE,"Construction S &amp; U"}</definedName>
    <definedName name="wrn.Exhibit._.D._.to._.Constr.._.Loan._.Agmt." localSheetId="0" hidden="1">{"Construction Sources &amp; Uses Ex. D",#N/A,FALSE,"Construction S &amp; U"}</definedName>
    <definedName name="wrn.Exhibit._.D._.to._.Constr.._.Loan._.Agmt." localSheetId="25" hidden="1">{"Construction Sources &amp; Uses Ex. D",#N/A,FALSE,"Construction S &amp; U"}</definedName>
    <definedName name="wrn.Exhibit._.D._.to._.Constr.._.Loan._.Agmt." hidden="1">{"Construction Sources &amp; Uses Ex. D",#N/A,FALSE,"Construction S &amp; U"}</definedName>
    <definedName name="wrn.Input._.Information." localSheetId="8" hidden="1">{"Input Pages 1 and 2",#N/A,FALSE,"Input";"Input Pages 3 and 4",#N/A,FALSE,"Input"}</definedName>
    <definedName name="wrn.Input._.Information." localSheetId="15" hidden="1">{"Input Pages 1 and 2",#N/A,FALSE,"Input";"Input Pages 3 and 4",#N/A,FALSE,"Input"}</definedName>
    <definedName name="wrn.Input._.Information." localSheetId="24" hidden="1">{"Input Pages 1 and 2",#N/A,FALSE,"Input";"Input Pages 3 and 4",#N/A,FALSE,"Input"}</definedName>
    <definedName name="wrn.Input._.Information." localSheetId="0" hidden="1">{"Input Pages 1 and 2",#N/A,FALSE,"Input";"Input Pages 3 and 4",#N/A,FALSE,"Input"}</definedName>
    <definedName name="wrn.Input._.Information." localSheetId="25" hidden="1">{"Input Pages 1 and 2",#N/A,FALSE,"Input";"Input Pages 3 and 4",#N/A,FALSE,"Input"}</definedName>
    <definedName name="wrn.Input._.Information." hidden="1">{"Input Pages 1 and 2",#N/A,FALSE,"Input";"Input Pages 3 and 4",#N/A,FALSE,"Input"}</definedName>
    <definedName name="wrn.Operating._.Budget." localSheetId="8" hidden="1">{"Operating Budget Detail",#N/A,FALSE,"Operations"}</definedName>
    <definedName name="wrn.Operating._.Budget." localSheetId="15" hidden="1">{"Operating Budget Detail",#N/A,FALSE,"Operations"}</definedName>
    <definedName name="wrn.Operating._.Budget." localSheetId="24" hidden="1">{"Operating Budget Detail",#N/A,FALSE,"Operations"}</definedName>
    <definedName name="wrn.Operating._.Budget." localSheetId="0" hidden="1">{"Operating Budget Detail",#N/A,FALSE,"Operations"}</definedName>
    <definedName name="wrn.Operating._.Budget." localSheetId="25" hidden="1">{"Operating Budget Detail",#N/A,FALSE,"Operations"}</definedName>
    <definedName name="wrn.Operating._.Budget." hidden="1">{"Operating Budget Detail",#N/A,FALSE,"Operations"}</definedName>
    <definedName name="wrn.Perm._.Sources._.and._.Uses." localSheetId="8" hidden="1">{"Sources and Uses with Eligible Basis",#N/A,FALSE,"Sources &amp; Uses";"Disbursement Schedule",#N/A,FALSE,"Sources &amp; Uses"}</definedName>
    <definedName name="wrn.Perm._.Sources._.and._.Uses." localSheetId="15" hidden="1">{"Sources and Uses with Eligible Basis",#N/A,FALSE,"Sources &amp; Uses";"Disbursement Schedule",#N/A,FALSE,"Sources &amp; Uses"}</definedName>
    <definedName name="wrn.Perm._.Sources._.and._.Uses." localSheetId="24" hidden="1">{"Sources and Uses with Eligible Basis",#N/A,FALSE,"Sources &amp; Uses";"Disbursement Schedule",#N/A,FALSE,"Sources &amp; Uses"}</definedName>
    <definedName name="wrn.Perm._.Sources._.and._.Uses." localSheetId="0" hidden="1">{"Sources and Uses with Eligible Basis",#N/A,FALSE,"Sources &amp; Uses";"Disbursement Schedule",#N/A,FALSE,"Sources &amp; Uses"}</definedName>
    <definedName name="wrn.Perm._.Sources._.and._.Uses." localSheetId="25" hidden="1">{"Sources and Uses with Eligible Basis",#N/A,FALSE,"Sources &amp; Uses";"Disbursement Schedule",#N/A,FALSE,"Sources &amp; Uses"}</definedName>
    <definedName name="wrn.Perm._.Sources._.and._.Uses." hidden="1">{"Sources and Uses with Eligible Basis",#N/A,FALSE,"Sources &amp; Uses";"Disbursement Schedule",#N/A,FALSE,"Sources &amp; Uses"}</definedName>
    <definedName name="wrn.Rent._.Calcs." localSheetId="8" hidden="1">{"Rent Calcs - all rents and two subsidies",#N/A,FALSE,"Rent Calcs";"Income Limits and Maximum Rents",#N/A,FALSE,"Rent Calcs"}</definedName>
    <definedName name="wrn.Rent._.Calcs." localSheetId="15" hidden="1">{"Rent Calcs - all rents and two subsidies",#N/A,FALSE,"Rent Calcs";"Income Limits and Maximum Rents",#N/A,FALSE,"Rent Calcs"}</definedName>
    <definedName name="wrn.Rent._.Calcs." localSheetId="24" hidden="1">{"Rent Calcs - all rents and two subsidies",#N/A,FALSE,"Rent Calcs";"Income Limits and Maximum Rents",#N/A,FALSE,"Rent Calcs"}</definedName>
    <definedName name="wrn.Rent._.Calcs." localSheetId="0" hidden="1">{"Rent Calcs - all rents and two subsidies",#N/A,FALSE,"Rent Calcs";"Income Limits and Maximum Rents",#N/A,FALSE,"Rent Calcs"}</definedName>
    <definedName name="wrn.Rent._.Calcs." localSheetId="25" hidden="1">{"Rent Calcs - all rents and two subsidies",#N/A,FALSE,"Rent Calcs";"Income Limits and Maximum Rents",#N/A,FALSE,"Rent Calcs"}</definedName>
    <definedName name="wrn.Rent._.Calcs." hidden="1">{"Rent Calcs - all rents and two subsidies",#N/A,FALSE,"Rent Calcs";"Income Limits and Maximum Rents",#N/A,FALSE,"Rent Calcs"}</definedName>
    <definedName name="wrn.Rent._.Summary." localSheetId="8" hidden="1">{"Rent Summary",#N/A,FALSE,"Rent Summary";"Regulated Units by Agency",#N/A,FALSE,"Rent Calcs";"Rent Calcs - all rents and two subsidies",#N/A,FALSE,"Rent Calcs";"Rent Calcs - CalHFA and TCAC",#N/A,FALSE,"Rent Calcs";"Rent Calcs - HUD Income Limits and Rents",#N/A,FALSE,"Rent Calcs"}</definedName>
    <definedName name="wrn.Rent._.Summary." localSheetId="15" hidden="1">{"Rent Summary",#N/A,FALSE,"Rent Summary";"Regulated Units by Agency",#N/A,FALSE,"Rent Calcs";"Rent Calcs - all rents and two subsidies",#N/A,FALSE,"Rent Calcs";"Rent Calcs - CalHFA and TCAC",#N/A,FALSE,"Rent Calcs";"Rent Calcs - HUD Income Limits and Rents",#N/A,FALSE,"Rent Calcs"}</definedName>
    <definedName name="wrn.Rent._.Summary." localSheetId="24" hidden="1">{"Rent Summary",#N/A,FALSE,"Rent Summary";"Regulated Units by Agency",#N/A,FALSE,"Rent Calcs";"Rent Calcs - all rents and two subsidies",#N/A,FALSE,"Rent Calcs";"Rent Calcs - CalHFA and TCAC",#N/A,FALSE,"Rent Calcs";"Rent Calcs - HUD Income Limits and Rents",#N/A,FALSE,"Rent Calcs"}</definedName>
    <definedName name="wrn.Rent._.Summary." localSheetId="0" hidden="1">{"Rent Summary",#N/A,FALSE,"Rent Summary";"Regulated Units by Agency",#N/A,FALSE,"Rent Calcs";"Rent Calcs - all rents and two subsidies",#N/A,FALSE,"Rent Calcs";"Rent Calcs - CalHFA and TCAC",#N/A,FALSE,"Rent Calcs";"Rent Calcs - HUD Income Limits and Rents",#N/A,FALSE,"Rent Calcs"}</definedName>
    <definedName name="wrn.Rent._.Summary." localSheetId="25" hidden="1">{"Rent Summary",#N/A,FALSE,"Rent Summary";"Regulated Units by Agency",#N/A,FALSE,"Rent Calcs";"Rent Calcs - all rents and two subsidies",#N/A,FALSE,"Rent Calcs";"Rent Calcs - CalHFA and TCAC",#N/A,FALSE,"Rent Calcs";"Rent Calcs - HUD Income Limits and Rents",#N/A,FALSE,"Rent Calcs"}</definedName>
    <definedName name="wrn.Rent._.Summary." hidden="1">{"Rent Summary",#N/A,FALSE,"Rent Summary";"Regulated Units by Agency",#N/A,FALSE,"Rent Calcs";"Rent Calcs - all rents and two subsidies",#N/A,FALSE,"Rent Calcs";"Rent Calcs - CalHFA and TCAC",#N/A,FALSE,"Rent Calcs";"Rent Calcs - HUD Income Limits and Rents",#N/A,FALSE,"Rent Calcs"}</definedName>
    <definedName name="wrn.Sources._.and._.Uses." localSheetId="8" hidden="1">{"Sources and Uses",#N/A,FALSE,"Sources &amp; Uses";"Construction Sources &amp; Uses Ex. D",#N/A,FALSE,"Sources &amp; Uses"}</definedName>
    <definedName name="wrn.Sources._.and._.Uses." localSheetId="15" hidden="1">{"Sources and Uses",#N/A,FALSE,"Sources &amp; Uses";"Construction Sources &amp; Uses Ex. D",#N/A,FALSE,"Sources &amp; Uses"}</definedName>
    <definedName name="wrn.Sources._.and._.Uses." localSheetId="24" hidden="1">{"Sources and Uses",#N/A,FALSE,"Sources &amp; Uses";"Construction Sources &amp; Uses Ex. D",#N/A,FALSE,"Sources &amp; Uses"}</definedName>
    <definedName name="wrn.Sources._.and._.Uses." localSheetId="0" hidden="1">{"Sources and Uses",#N/A,FALSE,"Sources &amp; Uses";"Construction Sources &amp; Uses Ex. D",#N/A,FALSE,"Sources &amp; Uses"}</definedName>
    <definedName name="wrn.Sources._.and._.Uses." localSheetId="25" hidden="1">{"Sources and Uses",#N/A,FALSE,"Sources &amp; Uses";"Construction Sources &amp; Uses Ex. D",#N/A,FALSE,"Sources &amp; Uses"}</definedName>
    <definedName name="wrn.Sources._.and._.Uses." hidden="1">{"Sources and Uses",#N/A,FALSE,"Sources &amp; Uses";"Construction Sources &amp; Uses Ex. D",#N/A,FALSE,"Sources &amp; Uses"}</definedName>
    <definedName name="wrn.Subsidy._.Costs._.to._.CalHFA." localSheetId="8" hidden="1">{"Subsidy",#N/A,FALSE,"Subisdy"}</definedName>
    <definedName name="wrn.Subsidy._.Costs._.to._.CalHFA." localSheetId="15" hidden="1">{"Subsidy",#N/A,FALSE,"Subisdy"}</definedName>
    <definedName name="wrn.Subsidy._.Costs._.to._.CalHFA." localSheetId="24" hidden="1">{"Subsidy",#N/A,FALSE,"Subisdy"}</definedName>
    <definedName name="wrn.Subsidy._.Costs._.to._.CalHFA." localSheetId="0" hidden="1">{"Subsidy",#N/A,FALSE,"Subisdy"}</definedName>
    <definedName name="wrn.Subsidy._.Costs._.to._.CalHFA." localSheetId="25" hidden="1">{"Subsidy",#N/A,FALSE,"Subisdy"}</definedName>
    <definedName name="wrn.Subsidy._.Costs._.to._.CalHFA." hidden="1">{"Subsidy",#N/A,FALSE,"Subisdy"}</definedName>
    <definedName name="wrn.TEFRA._.INFO." localSheetId="8" hidden="1">{"TEFRA INFO",#N/A,FALSE,"Input"}</definedName>
    <definedName name="wrn.TEFRA._.INFO." localSheetId="15" hidden="1">{"TEFRA INFO",#N/A,FALSE,"Input"}</definedName>
    <definedName name="wrn.TEFRA._.INFO." localSheetId="24" hidden="1">{"TEFRA INFO",#N/A,FALSE,"Input"}</definedName>
    <definedName name="wrn.TEFRA._.INFO." localSheetId="0" hidden="1">{"TEFRA INFO",#N/A,FALSE,"Input"}</definedName>
    <definedName name="wrn.TEFRA._.INFO." localSheetId="25" hidden="1">{"TEFRA INFO",#N/A,FALSE,"Input"}</definedName>
    <definedName name="wrn.TEFRA._.INFO." hidden="1">{"TEFRA INFO",#N/A,FALSE,"Input"}</definedName>
    <definedName name="wrn.Underwriting._.View." localSheetId="8" hidden="1">{"Project Summary",#N/A,FALSE,"Project Summary";"Rent Summary",#N/A,FALSE,"Rent Summary";"Regulated Units by Agency",#N/A,FALSE,"Rent Calcs";"Rent Calcs - all rents and two subsidies",#N/A,FALSE,"Rent Calcs";"Rent Calcs - CalHFA and TCAC",#N/A,FALSE,"Rent Calcs";"Sources and Uses with Eligible Basis",#N/A,FALSE,"Sources &amp; Uses";"Construction Sources &amp; Uses Ex. D",#N/A,FALSE,"Construction S &amp; U";"Operating Budget Detail",#N/A,FALSE,"Operations";"Cash Flow",#N/A,FALSE,"Cash Flow";"Input Pages 1 and 2",#N/A,FALSE,"Input";"Input Pages 3 and 4",#N/A,FALSE,"Input";"Bridge Loan",#N/A,FALSE,"Bridge Loan"}</definedName>
    <definedName name="wrn.Underwriting._.View." localSheetId="15" hidden="1">{"Project Summary",#N/A,FALSE,"Project Summary";"Rent Summary",#N/A,FALSE,"Rent Summary";"Regulated Units by Agency",#N/A,FALSE,"Rent Calcs";"Rent Calcs - all rents and two subsidies",#N/A,FALSE,"Rent Calcs";"Rent Calcs - CalHFA and TCAC",#N/A,FALSE,"Rent Calcs";"Sources and Uses with Eligible Basis",#N/A,FALSE,"Sources &amp; Uses";"Construction Sources &amp; Uses Ex. D",#N/A,FALSE,"Construction S &amp; U";"Operating Budget Detail",#N/A,FALSE,"Operations";"Cash Flow",#N/A,FALSE,"Cash Flow";"Input Pages 1 and 2",#N/A,FALSE,"Input";"Input Pages 3 and 4",#N/A,FALSE,"Input";"Bridge Loan",#N/A,FALSE,"Bridge Loan"}</definedName>
    <definedName name="wrn.Underwriting._.View." localSheetId="24" hidden="1">{"Project Summary",#N/A,FALSE,"Project Summary";"Rent Summary",#N/A,FALSE,"Rent Summary";"Regulated Units by Agency",#N/A,FALSE,"Rent Calcs";"Rent Calcs - all rents and two subsidies",#N/A,FALSE,"Rent Calcs";"Rent Calcs - CalHFA and TCAC",#N/A,FALSE,"Rent Calcs";"Sources and Uses with Eligible Basis",#N/A,FALSE,"Sources &amp; Uses";"Construction Sources &amp; Uses Ex. D",#N/A,FALSE,"Construction S &amp; U";"Operating Budget Detail",#N/A,FALSE,"Operations";"Cash Flow",#N/A,FALSE,"Cash Flow";"Input Pages 1 and 2",#N/A,FALSE,"Input";"Input Pages 3 and 4",#N/A,FALSE,"Input";"Bridge Loan",#N/A,FALSE,"Bridge Loan"}</definedName>
    <definedName name="wrn.Underwriting._.View." localSheetId="0" hidden="1">{"Project Summary",#N/A,FALSE,"Project Summary";"Rent Summary",#N/A,FALSE,"Rent Summary";"Regulated Units by Agency",#N/A,FALSE,"Rent Calcs";"Rent Calcs - all rents and two subsidies",#N/A,FALSE,"Rent Calcs";"Rent Calcs - CalHFA and TCAC",#N/A,FALSE,"Rent Calcs";"Sources and Uses with Eligible Basis",#N/A,FALSE,"Sources &amp; Uses";"Construction Sources &amp; Uses Ex. D",#N/A,FALSE,"Construction S &amp; U";"Operating Budget Detail",#N/A,FALSE,"Operations";"Cash Flow",#N/A,FALSE,"Cash Flow";"Input Pages 1 and 2",#N/A,FALSE,"Input";"Input Pages 3 and 4",#N/A,FALSE,"Input";"Bridge Loan",#N/A,FALSE,"Bridge Loan"}</definedName>
    <definedName name="wrn.Underwriting._.View." localSheetId="25" hidden="1">{"Project Summary",#N/A,FALSE,"Project Summary";"Rent Summary",#N/A,FALSE,"Rent Summary";"Regulated Units by Agency",#N/A,FALSE,"Rent Calcs";"Rent Calcs - all rents and two subsidies",#N/A,FALSE,"Rent Calcs";"Rent Calcs - CalHFA and TCAC",#N/A,FALSE,"Rent Calcs";"Sources and Uses with Eligible Basis",#N/A,FALSE,"Sources &amp; Uses";"Construction Sources &amp; Uses Ex. D",#N/A,FALSE,"Construction S &amp; U";"Operating Budget Detail",#N/A,FALSE,"Operations";"Cash Flow",#N/A,FALSE,"Cash Flow";"Input Pages 1 and 2",#N/A,FALSE,"Input";"Input Pages 3 and 4",#N/A,FALSE,"Input";"Bridge Loan",#N/A,FALSE,"Bridge Loan"}</definedName>
    <definedName name="wrn.Underwriting._.View." hidden="1">{"Project Summary",#N/A,FALSE,"Project Summary";"Rent Summary",#N/A,FALSE,"Rent Summary";"Regulated Units by Agency",#N/A,FALSE,"Rent Calcs";"Rent Calcs - all rents and two subsidies",#N/A,FALSE,"Rent Calcs";"Rent Calcs - CalHFA and TCAC",#N/A,FALSE,"Rent Calcs";"Sources and Uses with Eligible Basis",#N/A,FALSE,"Sources &amp; Uses";"Construction Sources &amp; Uses Ex. D",#N/A,FALSE,"Construction S &amp; U";"Operating Budget Detail",#N/A,FALSE,"Operations";"Cash Flow",#N/A,FALSE,"Cash Flow";"Input Pages 1 and 2",#N/A,FALSE,"Input";"Input Pages 3 and 4",#N/A,FALSE,"Input";"Bridge Loan",#N/A,FALSE,"Bridge Loan"}</definedName>
    <definedName name="YesNo" localSheetId="24">#REF!</definedName>
    <definedName name="YesNo" localSheetId="0">#REF!</definedName>
    <definedName name="YesNo" localSheetId="25">#REF!</definedName>
    <definedName name="YesNo">Lists!$V$3:$V$4</definedName>
    <definedName name="Z_0143EE5C_119A_422C_9F8E_B8F2C96B0859_.wvu.Cols" localSheetId="13" hidden="1">'7a.20YrDetails'!$D:$D,'7a.20YrDetails'!$BP:$XFD</definedName>
    <definedName name="Z_0143EE5C_119A_422C_9F8E_B8F2C96B0859_.wvu.PrintArea" localSheetId="13" hidden="1">'7a.20YrDetails'!$C$1:$BO$188</definedName>
    <definedName name="Z_0143EE5C_119A_422C_9F8E_B8F2C96B0859_.wvu.PrintTitles" localSheetId="13" hidden="1">'7a.20YrDetails'!$C:$G,'7a.20YrDetails'!$1:$8</definedName>
    <definedName name="Z_0143EE5C_119A_422C_9F8E_B8F2C96B0859_.wvu.Rows" localSheetId="13" hidden="1">'7a.20YrDetails'!$208:$1048576,'7a.20YrDetails'!$1:$1,'7a.20YrDetails'!$23:$23,'7a.20YrDetails'!$127:$139,'7a.20YrDetails'!$198:$209</definedName>
    <definedName name="Z_332023D0_60C3_4A29_9DCC_CDA10E0C090D_.wvu.Cols" localSheetId="1" hidden="1">'1.GeneralProjectInfo'!#REF!,'1.GeneralProjectInfo'!$M:$M</definedName>
    <definedName name="Z_332023D0_60C3_4A29_9DCC_CDA10E0C090D_.wvu.Cols" localSheetId="2" hidden="1">'2.Utilities&amp;OtherIncome'!$M:$XFD</definedName>
    <definedName name="Z_332023D0_60C3_4A29_9DCC_CDA10E0C090D_.wvu.Cols" localSheetId="3" hidden="1">'3a.NewProj-Rent&amp;UnitMix'!$N:$N,'3a.NewProj-Rent&amp;UnitMix'!$S:$XFD</definedName>
    <definedName name="Z_332023D0_60C3_4A29_9DCC_CDA10E0C090D_.wvu.Cols" localSheetId="4" hidden="1">'3b.ExistingProj-RentRoll'!$BP:$XFD</definedName>
    <definedName name="Z_332023D0_60C3_4A29_9DCC_CDA10E0C090D_.wvu.Cols" localSheetId="9" hidden="1">'5.CommOp.Budget'!$B:$B,'5.CommOp.Budget'!$Y:$XFD</definedName>
    <definedName name="Z_332023D0_60C3_4A29_9DCC_CDA10E0C090D_.wvu.Cols" localSheetId="13" hidden="1">'7a.20YrDetails'!$D:$D,'7a.20YrDetails'!$H:$I,'7a.20YrDetails'!$K:$L,'7a.20YrDetails'!$N:$O,'7a.20YrDetails'!$Q:$R,'7a.20YrDetails'!$T:$U,'7a.20YrDetails'!$W:$X,'7a.20YrDetails'!$Z:$AA,'7a.20YrDetails'!$AC:$AD,'7a.20YrDetails'!$AF:$AG,'7a.20YrDetails'!$AI:$AJ,'7a.20YrDetails'!$AL:$AM,'7a.20YrDetails'!$AO:$AP,'7a.20YrDetails'!$AR:$AS,'7a.20YrDetails'!$AU:$AV,'7a.20YrDetails'!$AX:$AY,'7a.20YrDetails'!$BA:$BB,'7a.20YrDetails'!$BD:$BE,'7a.20YrDetails'!$BG:$BH,'7a.20YrDetails'!$BJ:$BK,'7a.20YrDetails'!$BM:$BN</definedName>
    <definedName name="Z_332023D0_60C3_4A29_9DCC_CDA10E0C090D_.wvu.Cols" localSheetId="14" hidden="1">'7b.20YrSummary'!$D:$D,'7b.20YrSummary'!$G:$G,'7b.20YrSummary'!$BP:$XFD</definedName>
    <definedName name="Z_332023D0_60C3_4A29_9DCC_CDA10E0C090D_.wvu.FilterData" localSheetId="4" hidden="1">'3b.ExistingProj-RentRoll'!$BR$12:$BU$412</definedName>
    <definedName name="Z_332023D0_60C3_4A29_9DCC_CDA10E0C090D_.wvu.PrintArea" localSheetId="2" hidden="1">'2.Utilities&amp;OtherIncome'!$A$1:$L$46</definedName>
    <definedName name="Z_332023D0_60C3_4A29_9DCC_CDA10E0C090D_.wvu.PrintArea" localSheetId="3" hidden="1">'3a.NewProj-Rent&amp;UnitMix'!$A$1:$K$68,'3a.NewProj-Rent&amp;UnitMix'!$A$71:$O$172</definedName>
    <definedName name="Z_332023D0_60C3_4A29_9DCC_CDA10E0C090D_.wvu.PrintArea" localSheetId="4" hidden="1">'3b.ExistingProj-RentRoll'!$AW$5:$BO$23,'3b.ExistingProj-RentRoll'!$A$2:$AI$412</definedName>
    <definedName name="Z_332023D0_60C3_4A29_9DCC_CDA10E0C090D_.wvu.PrintArea" localSheetId="9" hidden="1">'5.CommOp.Budget'!$A$3:$X$168</definedName>
    <definedName name="Z_332023D0_60C3_4A29_9DCC_CDA10E0C090D_.wvu.PrintArea" localSheetId="13" hidden="1">'7a.20YrDetails'!$C$2:$BO$188</definedName>
    <definedName name="Z_332023D0_60C3_4A29_9DCC_CDA10E0C090D_.wvu.PrintArea" localSheetId="0" hidden="1">Instructions!$A$1:$D$72</definedName>
    <definedName name="Z_332023D0_60C3_4A29_9DCC_CDA10E0C090D_.wvu.PrintTitles" localSheetId="3" hidden="1">'3a.NewProj-Rent&amp;UnitMix'!$1:$5</definedName>
    <definedName name="Z_332023D0_60C3_4A29_9DCC_CDA10E0C090D_.wvu.PrintTitles" localSheetId="9" hidden="1">'5.CommOp.Budget'!$A:$D,'5.CommOp.Budget'!$3:$6</definedName>
    <definedName name="Z_332023D0_60C3_4A29_9DCC_CDA10E0C090D_.wvu.PrintTitles" localSheetId="13" hidden="1">'7a.20YrDetails'!$C:$G,'7a.20YrDetails'!$1:$8</definedName>
    <definedName name="Z_332023D0_60C3_4A29_9DCC_CDA10E0C090D_.wvu.Rows" localSheetId="2" hidden="1">'2.Utilities&amp;OtherIncome'!$188:$1048576,'2.Utilities&amp;OtherIncome'!$48:$185</definedName>
    <definedName name="Z_332023D0_60C3_4A29_9DCC_CDA10E0C090D_.wvu.Rows" localSheetId="3" hidden="1">'3a.NewProj-Rent&amp;UnitMix'!$261:$1048576,'3a.NewProj-Rent&amp;UnitMix'!#REF!,'3a.NewProj-Rent&amp;UnitMix'!#REF!,'3a.NewProj-Rent&amp;UnitMix'!$173:$259</definedName>
    <definedName name="Z_332023D0_60C3_4A29_9DCC_CDA10E0C090D_.wvu.Rows" localSheetId="4" hidden="1">'3b.ExistingProj-RentRoll'!$416:$1048576,'3b.ExistingProj-RentRoll'!$413:$415</definedName>
    <definedName name="Z_332023D0_60C3_4A29_9DCC_CDA10E0C090D_.wvu.Rows" localSheetId="9" hidden="1">'5.CommOp.Budget'!$195:$1048576,'5.CommOp.Budget'!$1:$1,'5.CommOp.Budget'!$5:$5,'5.CommOp.Budget'!$14:$14,'5.CommOp.Budget'!$20:$40,'5.CommOp.Budget'!$68:$69,'5.CommOp.Budget'!$72:$73,'5.CommOp.Budget'!$89:$89,'5.CommOp.Budget'!$92:$97,'5.CommOp.Budget'!$100:$141,'5.CommOp.Budget'!$169:$193</definedName>
    <definedName name="Z_332023D0_60C3_4A29_9DCC_CDA10E0C090D_.wvu.Rows" localSheetId="13" hidden="1">'7a.20YrDetails'!$208:$1048576,'7a.20YrDetails'!$1:$1,'7a.20YrDetails'!$3:$6,'7a.20YrDetails'!$23:$23,'7a.20YrDetails'!$127:$139,'7a.20YrDetails'!$198:$209</definedName>
    <definedName name="Z_332023D0_60C3_4A29_9DCC_CDA10E0C090D_.wvu.Rows" localSheetId="14" hidden="1">'7b.20YrSummary'!$189:$1048576,'7b.20YrSummary'!$1:$1,'7b.20YrSummary'!$7:$7,'7b.20YrSummary'!$13:$22,'7b.20YrSummary'!$32:$34,'7b.20YrSummary'!$36:$41,'7b.20YrSummary'!$43:$51,'7b.20YrSummary'!$53:$57,'7b.20YrSummary'!$59:$62,'7b.20YrSummary'!$64:$68,'7b.20YrSummary'!$70:$79,'7b.20YrSummary'!$86:$93,'7b.20YrSummary'!$128:$128,'7b.20YrSummary'!$131:$136,'7b.20YrSummary'!$159:$166,'7b.20YrSummary'!$168:$173,'7b.20YrSummary'!$175:$180,'7b.20YrSummary'!$182:$187</definedName>
    <definedName name="Z_332023D0_60C3_4A29_9DCC_CDA10E0C090D_.wvu.Rows" localSheetId="20" hidden="1">'Fiscal Staging Area'!$10:$15,'Fiscal Staging Area'!$18:$52</definedName>
    <definedName name="Z_3FCD2E41_B3D6_4AD1_9CEC_423B2DF3E9BC_.wvu.PrintArea" localSheetId="9" hidden="1">'5.CommOp.Budget'!$A$3:$X$168</definedName>
    <definedName name="Z_3FCD2E41_B3D6_4AD1_9CEC_423B2DF3E9BC_.wvu.PrintArea" localSheetId="13" hidden="1">'7a.20YrDetails'!$C$1:$BO$188</definedName>
    <definedName name="Z_3FCD2E41_B3D6_4AD1_9CEC_423B2DF3E9BC_.wvu.PrintArea" localSheetId="0" hidden="1">Instructions!$B$1:$D$72</definedName>
    <definedName name="Z_3FCD2E41_B3D6_4AD1_9CEC_423B2DF3E9BC_.wvu.PrintTitles" localSheetId="9" hidden="1">'5.CommOp.Budget'!$A:$D,'5.CommOp.Budget'!$3:$6</definedName>
    <definedName name="Z_3FCD2E41_B3D6_4AD1_9CEC_423B2DF3E9BC_.wvu.PrintTitles" localSheetId="13" hidden="1">'7a.20YrDetails'!$C:$G,'7a.20YrDetails'!$1:$8</definedName>
    <definedName name="Z_5728A54A_2E9E_45EC_8FCB_0A9B459E0E09_.wvu.Cols" localSheetId="9" hidden="1">'5.CommOp.Budget'!$B:$B,'5.CommOp.Budget'!$AA:$XFD</definedName>
    <definedName name="Z_5728A54A_2E9E_45EC_8FCB_0A9B459E0E09_.wvu.PrintArea" localSheetId="9" hidden="1">'5.CommOp.Budget'!$A$3:$K$168</definedName>
    <definedName name="Z_5728A54A_2E9E_45EC_8FCB_0A9B459E0E09_.wvu.PrintTitles" localSheetId="9" hidden="1">'5.CommOp.Budget'!$A:$C,'5.CommOp.Budget'!$3:$6</definedName>
    <definedName name="Z_5728A54A_2E9E_45EC_8FCB_0A9B459E0E09_.wvu.Rows" localSheetId="9" hidden="1">'5.CommOp.Budget'!$170:$1048576</definedName>
    <definedName name="Z_B92ED4D4_4566_4043_8B76_FD708F820076_.wvu.Cols" localSheetId="1" hidden="1">'1.GeneralProjectInfo'!#REF!,'1.GeneralProjectInfo'!$M:$XFD</definedName>
    <definedName name="Z_B92ED4D4_4566_4043_8B76_FD708F820076_.wvu.Cols" localSheetId="2" hidden="1">'2.Utilities&amp;OtherIncome'!$M:$XFD</definedName>
    <definedName name="Z_B92ED4D4_4566_4043_8B76_FD708F820076_.wvu.Cols" localSheetId="3" hidden="1">'3a.NewProj-Rent&amp;UnitMix'!$N:$N,'3a.NewProj-Rent&amp;UnitMix'!$S:$XFD</definedName>
    <definedName name="Z_B92ED4D4_4566_4043_8B76_FD708F820076_.wvu.Cols" localSheetId="5" hidden="1">'4a.PredevS&amp;U'!$M:$XFD</definedName>
    <definedName name="Z_B92ED4D4_4566_4043_8B76_FD708F820076_.wvu.Cols" localSheetId="6" hidden="1">'4b.PermS&amp;U'!$M:$XFD</definedName>
    <definedName name="Z_B92ED4D4_4566_4043_8B76_FD708F820076_.wvu.Cols" localSheetId="9" hidden="1">'5.CommOp.Budget'!$B:$B,'5.CommOp.Budget'!$Y:$XFD</definedName>
    <definedName name="Z_B92ED4D4_4566_4043_8B76_FD708F820076_.wvu.Cols" localSheetId="13" hidden="1">'7a.20YrDetails'!$D:$D</definedName>
    <definedName name="Z_B92ED4D4_4566_4043_8B76_FD708F820076_.wvu.Cols" localSheetId="14" hidden="1">'7b.20YrSummary'!$D:$D,'7b.20YrSummary'!$G:$G,'7b.20YrSummary'!$BP:$XFD</definedName>
    <definedName name="Z_B92ED4D4_4566_4043_8B76_FD708F820076_.wvu.FilterData" localSheetId="4" hidden="1">'3b.ExistingProj-RentRoll'!$BR$12:$BU$412</definedName>
    <definedName name="Z_B92ED4D4_4566_4043_8B76_FD708F820076_.wvu.PrintArea" localSheetId="1" hidden="1">'1.GeneralProjectInfo'!$A$1:$L$69</definedName>
    <definedName name="Z_B92ED4D4_4566_4043_8B76_FD708F820076_.wvu.PrintArea" localSheetId="2" hidden="1">'2.Utilities&amp;OtherIncome'!$A$1:$L$46</definedName>
    <definedName name="Z_B92ED4D4_4566_4043_8B76_FD708F820076_.wvu.PrintArea" localSheetId="3" hidden="1">'3a.NewProj-Rent&amp;UnitMix'!$A$1:$K$68,'3a.NewProj-Rent&amp;UnitMix'!$A$71:$O$172</definedName>
    <definedName name="Z_B92ED4D4_4566_4043_8B76_FD708F820076_.wvu.PrintArea" localSheetId="4" hidden="1">'3b.ExistingProj-RentRoll'!$AW$9:$BO$23,'3b.ExistingProj-RentRoll'!$A$2:$AI$412</definedName>
    <definedName name="Z_B92ED4D4_4566_4043_8B76_FD708F820076_.wvu.PrintArea" localSheetId="9" hidden="1">'5.CommOp.Budget'!$A$3:$X$168</definedName>
    <definedName name="Z_B92ED4D4_4566_4043_8B76_FD708F820076_.wvu.PrintArea" localSheetId="13" hidden="1">'7a.20YrDetails'!$C$2:$BO$188</definedName>
    <definedName name="Z_B92ED4D4_4566_4043_8B76_FD708F820076_.wvu.PrintArea" localSheetId="0" hidden="1">Instructions!$A$1:$D$72</definedName>
    <definedName name="Z_B92ED4D4_4566_4043_8B76_FD708F820076_.wvu.PrintTitles" localSheetId="3" hidden="1">'3a.NewProj-Rent&amp;UnitMix'!$1:$5</definedName>
    <definedName name="Z_B92ED4D4_4566_4043_8B76_FD708F820076_.wvu.PrintTitles" localSheetId="9" hidden="1">'5.CommOp.Budget'!$A:$D,'5.CommOp.Budget'!$3:$6</definedName>
    <definedName name="Z_B92ED4D4_4566_4043_8B76_FD708F820076_.wvu.PrintTitles" localSheetId="13" hidden="1">'7a.20YrDetails'!$C:$G,'7a.20YrDetails'!$1:$8</definedName>
    <definedName name="Z_B92ED4D4_4566_4043_8B76_FD708F820076_.wvu.Rows" localSheetId="1" hidden="1">'1.GeneralProjectInfo'!$71:$1048576</definedName>
    <definedName name="Z_B92ED4D4_4566_4043_8B76_FD708F820076_.wvu.Rows" localSheetId="2" hidden="1">'2.Utilities&amp;OtherIncome'!$212:$1048576,'2.Utilities&amp;OtherIncome'!$48:$209</definedName>
    <definedName name="Z_B92ED4D4_4566_4043_8B76_FD708F820076_.wvu.Rows" localSheetId="3" hidden="1">'3a.NewProj-Rent&amp;UnitMix'!$269:$1048576,'3a.NewProj-Rent&amp;UnitMix'!$173:$259</definedName>
    <definedName name="Z_B92ED4D4_4566_4043_8B76_FD708F820076_.wvu.Rows" localSheetId="4" hidden="1">'3b.ExistingProj-RentRoll'!$416:$1048576,'3b.ExistingProj-RentRoll'!$413:$415</definedName>
    <definedName name="Z_B92ED4D4_4566_4043_8B76_FD708F820076_.wvu.Rows" localSheetId="5" hidden="1">'4a.PredevS&amp;U'!$475:$1048576,'4a.PredevS&amp;U'!$124:$474</definedName>
    <definedName name="Z_B92ED4D4_4566_4043_8B76_FD708F820076_.wvu.Rows" localSheetId="6" hidden="1">'4b.PermS&amp;U'!$475:$1048576,'4b.PermS&amp;U'!$124:$474</definedName>
    <definedName name="Z_B92ED4D4_4566_4043_8B76_FD708F820076_.wvu.Rows" localSheetId="9" hidden="1">'5.CommOp.Budget'!$195:$1048576,'5.CommOp.Budget'!$1:$1,'5.CommOp.Budget'!$5:$5,'5.CommOp.Budget'!$14:$14,'5.CommOp.Budget'!$20:$40,'5.CommOp.Budget'!$68:$69,'5.CommOp.Budget'!$72:$73,'5.CommOp.Budget'!$89:$89,'5.CommOp.Budget'!$92:$97,'5.CommOp.Budget'!$100:$141,'5.CommOp.Budget'!$169:$193</definedName>
    <definedName name="Z_B92ED4D4_4566_4043_8B76_FD708F820076_.wvu.Rows" localSheetId="13" hidden="1">'7a.20YrDetails'!$208:$1048576,'7a.20YrDetails'!$1:$1,'7a.20YrDetails'!$6:$8,'7a.20YrDetails'!$23:$23,'7a.20YrDetails'!$127:$139,'7a.20YrDetails'!$198:$209</definedName>
    <definedName name="Z_B92ED4D4_4566_4043_8B76_FD708F820076_.wvu.Rows" localSheetId="14" hidden="1">'7b.20YrSummary'!$189:$1048576,'7b.20YrSummary'!$1:$1,'7b.20YrSummary'!$7:$7,'7b.20YrSummary'!$13:$22,'7b.20YrSummary'!$32:$34,'7b.20YrSummary'!$36:$41,'7b.20YrSummary'!$43:$51,'7b.20YrSummary'!$53:$57,'7b.20YrSummary'!$59:$62,'7b.20YrSummary'!$64:$68,'7b.20YrSummary'!$70:$79,'7b.20YrSummary'!$86:$93,'7b.20YrSummary'!$128:$128,'7b.20YrSummary'!$131:$136,'7b.20YrSummary'!$159:$166,'7b.20YrSummary'!$168:$173,'7b.20YrSummary'!$175:$180,'7b.20YrSummary'!$182:$187</definedName>
    <definedName name="Z_B92ED4D4_4566_4043_8B76_FD708F820076_.wvu.Rows" localSheetId="20" hidden="1">'Fiscal Staging Area'!$10:$15,'Fiscal Staging Area'!$18:$52</definedName>
    <definedName name="Z_C8DD1FB6_7B01_40B9_BFB4_B21C0B0BB0A1_.wvu.PrintArea" localSheetId="9" hidden="1">'5.CommOp.Budget'!$A$3:$X$168</definedName>
    <definedName name="Z_C8DD1FB6_7B01_40B9_BFB4_B21C0B0BB0A1_.wvu.PrintArea" localSheetId="13" hidden="1">'7a.20YrDetails'!$C$1:$BO$188</definedName>
    <definedName name="Z_C8DD1FB6_7B01_40B9_BFB4_B21C0B0BB0A1_.wvu.PrintArea" localSheetId="0" hidden="1">Instructions!$A$1:$D$72</definedName>
    <definedName name="Z_C8DD1FB6_7B01_40B9_BFB4_B21C0B0BB0A1_.wvu.PrintTitles" localSheetId="9" hidden="1">'5.CommOp.Budget'!$A:$D,'5.CommOp.Budget'!$3:$6</definedName>
    <definedName name="Z_C8DD1FB6_7B01_40B9_BFB4_B21C0B0BB0A1_.wvu.PrintTitles" localSheetId="13" hidden="1">'7a.20YrDetails'!$C:$G,'7a.20YrDetails'!$1:$8</definedName>
    <definedName name="Z_D9224301_6086_492A_A02E_C1000EC017A3_.wvu.PrintArea" localSheetId="9" hidden="1">'5.CommOp.Budget'!$A$3:$X$168</definedName>
    <definedName name="Z_D9224301_6086_492A_A02E_C1000EC017A3_.wvu.PrintArea" localSheetId="13" hidden="1">'7a.20YrDetails'!$C$1:$BO$188</definedName>
    <definedName name="Z_D9224301_6086_492A_A02E_C1000EC017A3_.wvu.PrintArea" localSheetId="0" hidden="1">Instructions!$B$1:$D$72</definedName>
    <definedName name="Z_D9224301_6086_492A_A02E_C1000EC017A3_.wvu.PrintTitles" localSheetId="9" hidden="1">'5.CommOp.Budget'!$A:$D,'5.CommOp.Budget'!$3:$6</definedName>
    <definedName name="Z_D9224301_6086_492A_A02E_C1000EC017A3_.wvu.PrintTitles" localSheetId="13" hidden="1">'7a.20YrDetails'!$C:$G,'7a.20YrDetails'!$1:$8</definedName>
    <definedName name="Z_E6CC0A4E_F930_49CF_9945_EC2E8926E122_.wvu.PrintArea" localSheetId="9" hidden="1">'5.CommOp.Budget'!$A$3:$X$168</definedName>
    <definedName name="Z_E6CC0A4E_F930_49CF_9945_EC2E8926E122_.wvu.PrintArea" localSheetId="13" hidden="1">'7a.20YrDetails'!$C$1:$BO$188</definedName>
    <definedName name="Z_E6CC0A4E_F930_49CF_9945_EC2E8926E122_.wvu.PrintArea" localSheetId="0" hidden="1">Instructions!$B$1:$D$72</definedName>
    <definedName name="Z_E6CC0A4E_F930_49CF_9945_EC2E8926E122_.wvu.PrintTitles" localSheetId="9" hidden="1">'5.CommOp.Budget'!$A:$D,'5.CommOp.Budget'!$3:$6</definedName>
    <definedName name="Z_E6CC0A4E_F930_49CF_9945_EC2E8926E122_.wvu.PrintTitles" localSheetId="13" hidden="1">'7a.20YrDetails'!$C:$G,'7a.20YrDetails'!$1:$8</definedName>
  </definedNames>
  <calcPr calcId="191029"/>
  <customWorkbookViews>
    <customWorkbookView name="20YrDetail-2pg" guid="{E6CC0A4E-F930-49CF-9945-EC2E8926E122}" includeHiddenRowCol="0" xWindow="9" yWindow="31" windowWidth="1229" windowHeight="732" tabRatio="876" activeSheetId="23"/>
    <customWorkbookView name="1stYrOpBudget - 1pg" guid="{3FCD2E41-B3D6-4AD1-9CEC-423B2DF3E9BC}" includeHiddenRowCol="0" xWindow="9" yWindow="31" windowWidth="1229" windowHeight="732" tabRatio="876" activeSheetId="2"/>
    <customWorkbookView name="1stYrOpBudget - for Loan Docs" guid="{D9224301-6086-492A-A02E-C1000EC017A3}" includeHiddenRowCol="0" xWindow="9" yWindow="31" windowWidth="1229" windowHeight="732" tabRatio="876" activeSheetId="2"/>
    <customWorkbookView name="20YrDetail -for loan docs" guid="{C8DD1FB6-7B01-40B9-BFB4-B21C0B0BB0A1}" includeHiddenRowCol="0" maximized="1" windowWidth="1266" windowHeight="763" tabRatio="876" activeSheetId="23"/>
    <customWorkbookView name="20 Yr Totals" guid="{332023D0-60C3-4A29-9DCC-CDA10E0C090D}" xWindow="9" yWindow="31" windowWidth="1229" windowHeight="731" tabRatio="876" activeSheetId="30"/>
    <customWorkbookView name="20 Yr LOSP" guid="{B92ED4D4-4566-4043-8B76-FD708F820076}" xWindow="19" yWindow="37" windowWidth="1244" windowHeight="731" tabRatio="905" activeSheetId="30"/>
  </customWorkbookViews>
  <pivotCaches>
    <pivotCache cacheId="0" r:id="rId3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8" i="52" l="1"/>
  <c r="C118" i="52"/>
  <c r="D118" i="52"/>
  <c r="B119" i="52"/>
  <c r="C119" i="52"/>
  <c r="D119" i="52"/>
  <c r="B120" i="52"/>
  <c r="C120" i="52"/>
  <c r="D120" i="52"/>
  <c r="B121" i="52"/>
  <c r="C121" i="52"/>
  <c r="D121" i="52"/>
  <c r="B122" i="52"/>
  <c r="C122" i="52"/>
  <c r="D122" i="52"/>
  <c r="B123" i="52"/>
  <c r="C123" i="52"/>
  <c r="D123" i="52"/>
  <c r="B124" i="52"/>
  <c r="C124" i="52"/>
  <c r="D124" i="52"/>
  <c r="B125" i="52"/>
  <c r="C125" i="52"/>
  <c r="D125" i="52"/>
  <c r="B126" i="52"/>
  <c r="C126" i="52"/>
  <c r="D126" i="52"/>
  <c r="B127" i="52"/>
  <c r="C127" i="52"/>
  <c r="D127" i="52"/>
  <c r="B128" i="52"/>
  <c r="C128" i="52"/>
  <c r="D128" i="52"/>
  <c r="B129" i="52"/>
  <c r="C129" i="52"/>
  <c r="D129" i="52"/>
  <c r="B130" i="52"/>
  <c r="C130" i="52"/>
  <c r="D130" i="52"/>
  <c r="B131" i="52"/>
  <c r="C131" i="52"/>
  <c r="D131" i="52"/>
  <c r="B132" i="52"/>
  <c r="C132" i="52"/>
  <c r="D132" i="52"/>
  <c r="B133" i="52"/>
  <c r="C133" i="52"/>
  <c r="D133" i="52"/>
  <c r="B134" i="52"/>
  <c r="C134" i="52"/>
  <c r="D134" i="52"/>
  <c r="B135" i="52"/>
  <c r="C135" i="52"/>
  <c r="D135" i="52"/>
  <c r="B136" i="52"/>
  <c r="C136" i="52"/>
  <c r="D136" i="52"/>
  <c r="B137" i="52"/>
  <c r="C137" i="52"/>
  <c r="D137" i="52"/>
  <c r="B138" i="52"/>
  <c r="C138" i="52"/>
  <c r="D138" i="52"/>
  <c r="B139" i="52"/>
  <c r="C139" i="52"/>
  <c r="D139" i="52"/>
  <c r="B140" i="52"/>
  <c r="C140" i="52"/>
  <c r="D140" i="52"/>
  <c r="B141" i="52"/>
  <c r="C141" i="52"/>
  <c r="D141" i="52"/>
  <c r="B142" i="52"/>
  <c r="C142" i="52"/>
  <c r="D142" i="52"/>
  <c r="B143" i="52"/>
  <c r="C143" i="52"/>
  <c r="D143" i="52"/>
  <c r="B144" i="52"/>
  <c r="C144" i="52"/>
  <c r="D144" i="52"/>
  <c r="B145" i="52"/>
  <c r="C145" i="52"/>
  <c r="D145" i="52"/>
  <c r="B146" i="52"/>
  <c r="C146" i="52"/>
  <c r="D146" i="52"/>
  <c r="B147" i="52"/>
  <c r="C147" i="52"/>
  <c r="D147" i="52"/>
  <c r="B148" i="52"/>
  <c r="C148" i="52"/>
  <c r="D148" i="52"/>
  <c r="E148" i="52"/>
  <c r="B149" i="52"/>
  <c r="C149" i="52"/>
  <c r="D149" i="52"/>
  <c r="E149" i="52"/>
  <c r="B150" i="52"/>
  <c r="C150" i="52"/>
  <c r="D150" i="52"/>
  <c r="E150" i="52"/>
  <c r="B151" i="52"/>
  <c r="C151" i="52"/>
  <c r="D151" i="52"/>
  <c r="E151" i="52"/>
  <c r="B152" i="52"/>
  <c r="C152" i="52"/>
  <c r="D152" i="52"/>
  <c r="E152" i="52"/>
  <c r="B153" i="52"/>
  <c r="C153" i="52"/>
  <c r="D153" i="52"/>
  <c r="E153" i="52"/>
  <c r="B154" i="52"/>
  <c r="C154" i="52"/>
  <c r="D154" i="52"/>
  <c r="E154" i="52"/>
  <c r="B155" i="52"/>
  <c r="C155" i="52"/>
  <c r="D155" i="52"/>
  <c r="E155" i="52"/>
  <c r="B156" i="52"/>
  <c r="C156" i="52"/>
  <c r="D156" i="52"/>
  <c r="E156" i="52"/>
  <c r="B157" i="52"/>
  <c r="C157" i="52"/>
  <c r="D157" i="52"/>
  <c r="E157" i="52"/>
  <c r="B158" i="52"/>
  <c r="C158" i="52"/>
  <c r="D158" i="52"/>
  <c r="E158" i="52"/>
  <c r="B159" i="52"/>
  <c r="C159" i="52"/>
  <c r="D159" i="52"/>
  <c r="E159" i="52"/>
  <c r="B160" i="52"/>
  <c r="C160" i="52"/>
  <c r="D160" i="52"/>
  <c r="E160" i="52"/>
  <c r="B161" i="52"/>
  <c r="C161" i="52"/>
  <c r="D161" i="52"/>
  <c r="E161" i="52"/>
  <c r="B162" i="52"/>
  <c r="C162" i="52"/>
  <c r="D162" i="52"/>
  <c r="E162" i="52"/>
  <c r="B163" i="52"/>
  <c r="C163" i="52"/>
  <c r="D163" i="52"/>
  <c r="E163" i="52"/>
  <c r="B164" i="52"/>
  <c r="C164" i="52"/>
  <c r="D164" i="52"/>
  <c r="E164" i="52"/>
  <c r="B165" i="52"/>
  <c r="C165" i="52"/>
  <c r="D165" i="52"/>
  <c r="E165" i="52"/>
  <c r="B166" i="52"/>
  <c r="C166" i="52"/>
  <c r="D166" i="52"/>
  <c r="E166" i="52"/>
  <c r="B167" i="52"/>
  <c r="C167" i="52"/>
  <c r="D167" i="52"/>
  <c r="E167" i="52"/>
  <c r="B168" i="52"/>
  <c r="C168" i="52"/>
  <c r="D168" i="52"/>
  <c r="E168" i="52"/>
  <c r="B169" i="52"/>
  <c r="C169" i="52"/>
  <c r="D169" i="52"/>
  <c r="E169" i="52"/>
  <c r="B170" i="52"/>
  <c r="C170" i="52"/>
  <c r="D170" i="52"/>
  <c r="E170" i="52"/>
  <c r="B171" i="52"/>
  <c r="C171" i="52"/>
  <c r="D171" i="52"/>
  <c r="E171" i="52"/>
  <c r="B172" i="52"/>
  <c r="C172" i="52"/>
  <c r="D172" i="52"/>
  <c r="E172" i="52"/>
  <c r="B173" i="52"/>
  <c r="C173" i="52"/>
  <c r="D173" i="52"/>
  <c r="E173" i="52"/>
  <c r="B174" i="52"/>
  <c r="C174" i="52"/>
  <c r="D174" i="52"/>
  <c r="E174" i="52"/>
  <c r="B175" i="52"/>
  <c r="C175" i="52"/>
  <c r="D175" i="52"/>
  <c r="E175" i="52"/>
  <c r="B176" i="52"/>
  <c r="C176" i="52"/>
  <c r="D176" i="52"/>
  <c r="E176" i="52"/>
  <c r="B177" i="52"/>
  <c r="C177" i="52"/>
  <c r="D177" i="52"/>
  <c r="E177" i="52"/>
  <c r="C104" i="52"/>
  <c r="J130" i="26"/>
  <c r="J129" i="26"/>
  <c r="J128" i="26"/>
  <c r="J126" i="26"/>
  <c r="J125" i="26"/>
  <c r="J124" i="26"/>
  <c r="G130" i="26"/>
  <c r="G129" i="26"/>
  <c r="G128" i="26"/>
  <c r="G127" i="26"/>
  <c r="J127" i="26" s="1"/>
  <c r="G126" i="26"/>
  <c r="G125" i="26"/>
  <c r="G124" i="26"/>
  <c r="J120" i="26"/>
  <c r="J119" i="26"/>
  <c r="J118" i="26"/>
  <c r="J117" i="26"/>
  <c r="J116" i="26"/>
  <c r="J115" i="26"/>
  <c r="J114" i="26"/>
  <c r="G120" i="26"/>
  <c r="G119" i="26"/>
  <c r="G118" i="26"/>
  <c r="G117" i="26"/>
  <c r="G116" i="26"/>
  <c r="G115" i="26"/>
  <c r="G114" i="26"/>
  <c r="C106" i="52"/>
  <c r="C109" i="52" s="1"/>
  <c r="C105" i="52"/>
  <c r="C110" i="52" s="1"/>
  <c r="C108" i="52"/>
  <c r="E100" i="52"/>
  <c r="D100" i="52"/>
  <c r="C100" i="52"/>
  <c r="E99" i="52"/>
  <c r="D99" i="52"/>
  <c r="C99" i="52"/>
  <c r="E98" i="52"/>
  <c r="D98" i="52"/>
  <c r="C98" i="52"/>
  <c r="B100" i="52"/>
  <c r="B98" i="52"/>
  <c r="B99" i="52"/>
  <c r="G10" i="57"/>
  <c r="C111" i="52" l="1"/>
  <c r="H74" i="59"/>
  <c r="I32" i="59" s="1"/>
  <c r="F3" i="59"/>
  <c r="G7" i="59" s="1"/>
  <c r="D7" i="59"/>
  <c r="D8" i="59" s="1"/>
  <c r="D9" i="59" s="1"/>
  <c r="D10" i="59" s="1"/>
  <c r="D11" i="59" s="1"/>
  <c r="D12" i="59" s="1"/>
  <c r="D13" i="59" s="1"/>
  <c r="D14" i="59" s="1"/>
  <c r="D15" i="59" s="1"/>
  <c r="D16" i="59" s="1"/>
  <c r="D17" i="59" s="1"/>
  <c r="D18" i="59" s="1"/>
  <c r="D19" i="59" s="1"/>
  <c r="D20" i="59" s="1"/>
  <c r="C33" i="59"/>
  <c r="I36" i="59"/>
  <c r="I44" i="59"/>
  <c r="C43" i="59" s="1"/>
  <c r="F54" i="59"/>
  <c r="G54" i="59"/>
  <c r="H54" i="59"/>
  <c r="I54" i="59"/>
  <c r="J54" i="59"/>
  <c r="G55" i="59"/>
  <c r="H55" i="59"/>
  <c r="I55" i="59"/>
  <c r="J55" i="59"/>
  <c r="G56" i="59"/>
  <c r="H56" i="59"/>
  <c r="I56" i="59"/>
  <c r="J56" i="59"/>
  <c r="E58" i="59"/>
  <c r="F58" i="59"/>
  <c r="G58" i="59"/>
  <c r="H58" i="59"/>
  <c r="I58" i="59"/>
  <c r="J58" i="59"/>
  <c r="E59" i="59"/>
  <c r="E60" i="59" s="1"/>
  <c r="F59" i="59"/>
  <c r="F60" i="59" s="1"/>
  <c r="G59" i="59"/>
  <c r="G60" i="59" s="1"/>
  <c r="H59" i="59"/>
  <c r="H60" i="59" s="1"/>
  <c r="I59" i="59"/>
  <c r="I60" i="59" s="1"/>
  <c r="J59" i="59"/>
  <c r="J60" i="59" s="1"/>
  <c r="E62" i="59"/>
  <c r="F62" i="59"/>
  <c r="G62" i="59"/>
  <c r="H62" i="59"/>
  <c r="I62" i="59"/>
  <c r="J62" i="59"/>
  <c r="E63" i="59"/>
  <c r="E64" i="59" s="1"/>
  <c r="F63" i="59"/>
  <c r="F64" i="59" s="1"/>
  <c r="G63" i="59"/>
  <c r="G64" i="59" s="1"/>
  <c r="H63" i="59"/>
  <c r="H64" i="59" s="1"/>
  <c r="H65" i="59" s="1"/>
  <c r="I63" i="59"/>
  <c r="I64" i="59" s="1"/>
  <c r="J63" i="59"/>
  <c r="J64" i="59" s="1"/>
  <c r="E72" i="59"/>
  <c r="F72" i="59"/>
  <c r="G72" i="59"/>
  <c r="H72" i="59"/>
  <c r="I72" i="59"/>
  <c r="J72" i="59"/>
  <c r="G65" i="59" l="1"/>
  <c r="J61" i="59"/>
  <c r="I61" i="59"/>
  <c r="G8" i="59"/>
  <c r="G9" i="59" s="1"/>
  <c r="G10" i="59" s="1"/>
  <c r="G11" i="59" s="1"/>
  <c r="G12" i="59" s="1"/>
  <c r="G13" i="59" s="1"/>
  <c r="G14" i="59" s="1"/>
  <c r="G15" i="59" s="1"/>
  <c r="G16" i="59" s="1"/>
  <c r="G17" i="59" s="1"/>
  <c r="G18" i="59" s="1"/>
  <c r="G19" i="59" s="1"/>
  <c r="G20" i="59" s="1"/>
  <c r="G68" i="59"/>
  <c r="E6" i="59"/>
  <c r="E7" i="59" s="1"/>
  <c r="E8" i="59" s="1"/>
  <c r="F29" i="59"/>
  <c r="I29" i="59"/>
  <c r="C28" i="59" s="1"/>
  <c r="G70" i="59"/>
  <c r="G6" i="59" s="1"/>
  <c r="G61" i="59"/>
  <c r="E61" i="59"/>
  <c r="H61" i="59"/>
  <c r="F65" i="59"/>
  <c r="J65" i="59"/>
  <c r="I65" i="59"/>
  <c r="H7" i="59" l="1"/>
  <c r="H6" i="59" s="1"/>
  <c r="H8" i="59"/>
  <c r="E9" i="59"/>
  <c r="H9" i="59" l="1"/>
  <c r="E10" i="59"/>
  <c r="H10" i="59" l="1"/>
  <c r="E11" i="59"/>
  <c r="E12" i="59" l="1"/>
  <c r="H11" i="59"/>
  <c r="E13" i="59" l="1"/>
  <c r="H12" i="59"/>
  <c r="E14" i="59" l="1"/>
  <c r="H13" i="59"/>
  <c r="H14" i="59" l="1"/>
  <c r="E15" i="59"/>
  <c r="H15" i="59" l="1"/>
  <c r="E16" i="59"/>
  <c r="H16" i="59" l="1"/>
  <c r="E17" i="59"/>
  <c r="E18" i="59" l="1"/>
  <c r="H17" i="59"/>
  <c r="E19" i="59" l="1"/>
  <c r="H18" i="59"/>
  <c r="E20" i="59" l="1"/>
  <c r="H20" i="59" s="1"/>
  <c r="H19" i="59"/>
  <c r="D51" i="53" l="1"/>
  <c r="D52" i="53"/>
  <c r="G52" i="53"/>
  <c r="D38" i="53"/>
  <c r="D39" i="53"/>
  <c r="D40" i="53"/>
  <c r="D41" i="53"/>
  <c r="D42" i="53"/>
  <c r="D43" i="53"/>
  <c r="D44" i="53"/>
  <c r="D5" i="53"/>
  <c r="D6" i="53"/>
  <c r="D7" i="53"/>
  <c r="D8" i="53"/>
  <c r="D9" i="53"/>
  <c r="D10" i="53"/>
  <c r="D11" i="53"/>
  <c r="G5" i="53"/>
  <c r="G6" i="53"/>
  <c r="G7" i="53"/>
  <c r="G8" i="53"/>
  <c r="G9" i="53"/>
  <c r="G10" i="53"/>
  <c r="G11" i="53"/>
  <c r="C5" i="28" l="1"/>
  <c r="C3" i="28"/>
  <c r="C157" i="30"/>
  <c r="J156" i="30"/>
  <c r="C156" i="30"/>
  <c r="C155" i="30"/>
  <c r="C154" i="30"/>
  <c r="C152" i="30"/>
  <c r="C151" i="30"/>
  <c r="C150" i="30"/>
  <c r="C148" i="30"/>
  <c r="C146" i="30"/>
  <c r="C145" i="30"/>
  <c r="C144" i="30"/>
  <c r="C143" i="30"/>
  <c r="C142" i="30"/>
  <c r="C141" i="30"/>
  <c r="C130" i="30"/>
  <c r="C129" i="30"/>
  <c r="C126" i="30"/>
  <c r="C124" i="30"/>
  <c r="J122" i="30"/>
  <c r="A122" i="30"/>
  <c r="J121" i="30"/>
  <c r="J120" i="30"/>
  <c r="A120" i="30"/>
  <c r="J119" i="30"/>
  <c r="C119" i="30"/>
  <c r="A119" i="30"/>
  <c r="J118" i="30"/>
  <c r="C118" i="30"/>
  <c r="J117" i="30"/>
  <c r="C117" i="30"/>
  <c r="J116" i="30"/>
  <c r="C116" i="30"/>
  <c r="C115" i="30"/>
  <c r="C114" i="30"/>
  <c r="C111" i="30"/>
  <c r="A111" i="30"/>
  <c r="C109" i="30"/>
  <c r="C107" i="30"/>
  <c r="C105" i="30"/>
  <c r="C104" i="30"/>
  <c r="C103" i="30"/>
  <c r="A103" i="30"/>
  <c r="A102" i="30"/>
  <c r="A101" i="30"/>
  <c r="C100" i="30"/>
  <c r="A100" i="30"/>
  <c r="C99" i="30"/>
  <c r="C97" i="30"/>
  <c r="C95" i="30"/>
  <c r="C93" i="30"/>
  <c r="I92" i="30"/>
  <c r="H92" i="30"/>
  <c r="C92" i="30"/>
  <c r="J91" i="30"/>
  <c r="C91" i="30"/>
  <c r="J90" i="30"/>
  <c r="C90" i="30"/>
  <c r="A90" i="30"/>
  <c r="J89" i="30"/>
  <c r="C89" i="30"/>
  <c r="A89" i="30"/>
  <c r="J88" i="30"/>
  <c r="C88" i="30"/>
  <c r="A88" i="30"/>
  <c r="J87" i="30"/>
  <c r="C87" i="30"/>
  <c r="C86" i="30"/>
  <c r="C85" i="30"/>
  <c r="C83" i="30"/>
  <c r="C81" i="30"/>
  <c r="C80" i="30"/>
  <c r="A80" i="30"/>
  <c r="C78" i="30"/>
  <c r="J77" i="30"/>
  <c r="C77" i="30"/>
  <c r="J76" i="30"/>
  <c r="C76" i="30"/>
  <c r="J75" i="30"/>
  <c r="C75" i="30"/>
  <c r="C74" i="30"/>
  <c r="A74" i="30"/>
  <c r="J73" i="30"/>
  <c r="C73" i="30"/>
  <c r="J72" i="30"/>
  <c r="C72" i="30"/>
  <c r="A72" i="30"/>
  <c r="J71" i="30"/>
  <c r="C71" i="30"/>
  <c r="A71" i="30"/>
  <c r="C70" i="30"/>
  <c r="A70" i="30"/>
  <c r="C69" i="30"/>
  <c r="C68" i="30"/>
  <c r="J67" i="30"/>
  <c r="C67" i="30"/>
  <c r="J66" i="30"/>
  <c r="C66" i="30"/>
  <c r="A66" i="30"/>
  <c r="J65" i="30"/>
  <c r="C65" i="30"/>
  <c r="J64" i="30"/>
  <c r="C64" i="30"/>
  <c r="C63" i="30"/>
  <c r="C62" i="30"/>
  <c r="J61" i="30"/>
  <c r="C61" i="30"/>
  <c r="J60" i="30"/>
  <c r="C60" i="30"/>
  <c r="A60" i="30"/>
  <c r="J59" i="30"/>
  <c r="C59" i="30"/>
  <c r="A59" i="30"/>
  <c r="C58" i="30"/>
  <c r="C57" i="30"/>
  <c r="J56" i="30"/>
  <c r="C56" i="30"/>
  <c r="J55" i="30"/>
  <c r="C55" i="30"/>
  <c r="J54" i="30"/>
  <c r="C54" i="30"/>
  <c r="J53" i="30"/>
  <c r="C53" i="30"/>
  <c r="C52" i="30"/>
  <c r="C51" i="30"/>
  <c r="J50" i="30"/>
  <c r="C50" i="30"/>
  <c r="J49" i="30"/>
  <c r="C49" i="30"/>
  <c r="J48" i="30"/>
  <c r="C48" i="30"/>
  <c r="J47" i="30"/>
  <c r="C47" i="30"/>
  <c r="J46" i="30"/>
  <c r="C46" i="30"/>
  <c r="J45" i="30"/>
  <c r="C45" i="30"/>
  <c r="J44" i="30"/>
  <c r="C44" i="30"/>
  <c r="J43" i="30"/>
  <c r="C43" i="30"/>
  <c r="C42" i="30"/>
  <c r="C41" i="30"/>
  <c r="J40" i="30"/>
  <c r="C40" i="30"/>
  <c r="A40" i="30"/>
  <c r="J39" i="30"/>
  <c r="C39" i="30"/>
  <c r="A39" i="30"/>
  <c r="J38" i="30"/>
  <c r="C38" i="30"/>
  <c r="A38" i="30"/>
  <c r="C37" i="30"/>
  <c r="A37" i="30"/>
  <c r="C36" i="30"/>
  <c r="A36" i="30"/>
  <c r="C35" i="30"/>
  <c r="C34" i="30"/>
  <c r="J33" i="30"/>
  <c r="C33" i="30"/>
  <c r="A33" i="30"/>
  <c r="J32" i="30"/>
  <c r="C32" i="30"/>
  <c r="A32" i="30"/>
  <c r="C31" i="30"/>
  <c r="C30" i="30"/>
  <c r="C28" i="30"/>
  <c r="C27" i="30"/>
  <c r="C26" i="30"/>
  <c r="C25" i="30"/>
  <c r="C24" i="30"/>
  <c r="C23" i="30"/>
  <c r="J22" i="30"/>
  <c r="C22" i="30"/>
  <c r="A22" i="30"/>
  <c r="C21" i="30"/>
  <c r="C20" i="30"/>
  <c r="C19" i="30"/>
  <c r="C18" i="30"/>
  <c r="C17" i="30"/>
  <c r="J16" i="30"/>
  <c r="C16" i="30"/>
  <c r="A16" i="30"/>
  <c r="C15" i="30"/>
  <c r="C14" i="30"/>
  <c r="C13" i="30"/>
  <c r="C12" i="30"/>
  <c r="C11" i="30"/>
  <c r="A11" i="30"/>
  <c r="H9" i="30"/>
  <c r="C9" i="30"/>
  <c r="C8" i="30"/>
  <c r="C5" i="30"/>
  <c r="C3" i="30"/>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3" i="16"/>
  <c r="A112" i="16"/>
  <c r="A111" i="16"/>
  <c r="A110" i="16"/>
  <c r="A109" i="16"/>
  <c r="A108" i="16"/>
  <c r="A107" i="16"/>
  <c r="A101" i="16"/>
  <c r="A98" i="16"/>
  <c r="E96" i="16"/>
  <c r="A96" i="16"/>
  <c r="E95" i="16"/>
  <c r="A95" i="16"/>
  <c r="E94" i="16"/>
  <c r="A94" i="16"/>
  <c r="E93" i="16"/>
  <c r="A93" i="16"/>
  <c r="A92" i="16"/>
  <c r="A90" i="16"/>
  <c r="A89" i="16"/>
  <c r="A88" i="16"/>
  <c r="A85" i="16"/>
  <c r="A84"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0" i="16"/>
  <c r="A18" i="16"/>
  <c r="A16" i="16"/>
  <c r="A15" i="16"/>
  <c r="A13" i="16"/>
  <c r="A12" i="16"/>
  <c r="A6" i="16"/>
  <c r="A4" i="16"/>
  <c r="A149" i="57"/>
  <c r="C149" i="30" s="1"/>
  <c r="H139" i="57"/>
  <c r="G151" i="57" s="1"/>
  <c r="H138" i="57"/>
  <c r="G150" i="57" s="1"/>
  <c r="H137" i="57"/>
  <c r="I137" i="57" s="1"/>
  <c r="F149" i="30" s="1"/>
  <c r="A137" i="57"/>
  <c r="F136" i="57"/>
  <c r="S135" i="57"/>
  <c r="N135" i="57"/>
  <c r="F130" i="57"/>
  <c r="G131" i="57" s="1"/>
  <c r="G133" i="30" s="1"/>
  <c r="I129" i="57"/>
  <c r="F129" i="57"/>
  <c r="F129" i="30" s="1"/>
  <c r="F124" i="57"/>
  <c r="J124" i="30" s="1"/>
  <c r="F123" i="57"/>
  <c r="S122" i="57"/>
  <c r="L122" i="57"/>
  <c r="B122" i="30" s="1"/>
  <c r="J122" i="57"/>
  <c r="D122" i="57"/>
  <c r="E122" i="57" s="1"/>
  <c r="K131" i="57" s="1"/>
  <c r="N121" i="57"/>
  <c r="S121" i="57" s="1"/>
  <c r="N120" i="57"/>
  <c r="S120" i="57" s="1"/>
  <c r="L120" i="57"/>
  <c r="B120" i="30" s="1"/>
  <c r="J120" i="57"/>
  <c r="N119" i="57"/>
  <c r="S119" i="57" s="1"/>
  <c r="L119" i="57"/>
  <c r="B119" i="30" s="1"/>
  <c r="J119" i="57"/>
  <c r="N118" i="57"/>
  <c r="S118" i="57" s="1"/>
  <c r="N117" i="57"/>
  <c r="S117" i="57" s="1"/>
  <c r="N116" i="57"/>
  <c r="S116" i="57" s="1"/>
  <c r="L111" i="57"/>
  <c r="B111" i="30" s="1"/>
  <c r="J111" i="57"/>
  <c r="G104" i="57"/>
  <c r="S103" i="57"/>
  <c r="L103" i="57"/>
  <c r="B103" i="30" s="1"/>
  <c r="J103" i="57"/>
  <c r="F103" i="57"/>
  <c r="J103" i="30" s="1"/>
  <c r="S102" i="57"/>
  <c r="L102" i="57"/>
  <c r="B102" i="30" s="1"/>
  <c r="F102" i="57"/>
  <c r="J102" i="30" s="1"/>
  <c r="A102" i="57"/>
  <c r="J102" i="57" s="1"/>
  <c r="S101" i="57"/>
  <c r="L101" i="57"/>
  <c r="B101" i="30" s="1"/>
  <c r="F101" i="57"/>
  <c r="J101" i="30" s="1"/>
  <c r="A101" i="57"/>
  <c r="C101" i="30" s="1"/>
  <c r="S100" i="57"/>
  <c r="L100" i="57"/>
  <c r="B100" i="30" s="1"/>
  <c r="J100" i="57"/>
  <c r="F100" i="57"/>
  <c r="J100" i="30" s="1"/>
  <c r="I98" i="57"/>
  <c r="G92" i="57"/>
  <c r="R91" i="57"/>
  <c r="R90" i="57"/>
  <c r="L90" i="57"/>
  <c r="B90" i="30" s="1"/>
  <c r="J90" i="57"/>
  <c r="U89" i="57"/>
  <c r="L89" i="57"/>
  <c r="B89" i="30" s="1"/>
  <c r="J89" i="57"/>
  <c r="U88" i="57"/>
  <c r="L88" i="57"/>
  <c r="B88" i="30" s="1"/>
  <c r="J88" i="57"/>
  <c r="U86" i="57"/>
  <c r="G86" i="57"/>
  <c r="F86" i="57"/>
  <c r="J86" i="30" s="1"/>
  <c r="U83" i="57"/>
  <c r="G81" i="57"/>
  <c r="U80" i="57"/>
  <c r="L80" i="57"/>
  <c r="B80" i="30" s="1"/>
  <c r="J80" i="57"/>
  <c r="U77" i="57"/>
  <c r="V77" i="57" s="1"/>
  <c r="U76" i="57"/>
  <c r="V76" i="57" s="1"/>
  <c r="U75" i="57"/>
  <c r="V75" i="57" s="1"/>
  <c r="U74" i="57"/>
  <c r="L74" i="57"/>
  <c r="B74" i="30" s="1"/>
  <c r="J74" i="57"/>
  <c r="U73" i="57"/>
  <c r="W73" i="57" s="1"/>
  <c r="U72" i="57"/>
  <c r="W72" i="57" s="1"/>
  <c r="L72" i="57"/>
  <c r="B72" i="30" s="1"/>
  <c r="J72" i="57"/>
  <c r="U71" i="57"/>
  <c r="W71" i="57" s="1"/>
  <c r="L71" i="57"/>
  <c r="B71" i="30" s="1"/>
  <c r="J71" i="57"/>
  <c r="U70" i="57"/>
  <c r="U78" i="57" s="1"/>
  <c r="L70" i="57"/>
  <c r="B70" i="30" s="1"/>
  <c r="J70" i="57"/>
  <c r="F68" i="57"/>
  <c r="J68" i="30" s="1"/>
  <c r="U67" i="57"/>
  <c r="W67" i="57" s="1"/>
  <c r="U66" i="57"/>
  <c r="W66" i="57" s="1"/>
  <c r="L66" i="57"/>
  <c r="B66" i="30" s="1"/>
  <c r="J66" i="57"/>
  <c r="U65" i="57"/>
  <c r="W65" i="57" s="1"/>
  <c r="U64" i="57"/>
  <c r="U68" i="57" s="1"/>
  <c r="W68" i="57" s="1"/>
  <c r="F62" i="57"/>
  <c r="J62" i="30" s="1"/>
  <c r="U61" i="57"/>
  <c r="W61" i="57" s="1"/>
  <c r="U60" i="57"/>
  <c r="W60" i="57" s="1"/>
  <c r="L60" i="57"/>
  <c r="B60" i="30" s="1"/>
  <c r="J60" i="57"/>
  <c r="U59" i="57"/>
  <c r="W59" i="57" s="1"/>
  <c r="L59" i="57"/>
  <c r="B59" i="30" s="1"/>
  <c r="J59" i="57"/>
  <c r="F57" i="57"/>
  <c r="J57" i="30" s="1"/>
  <c r="U56" i="57"/>
  <c r="W56" i="57" s="1"/>
  <c r="U55" i="57"/>
  <c r="V55" i="57" s="1"/>
  <c r="U54" i="57"/>
  <c r="W54" i="57" s="1"/>
  <c r="U53" i="57"/>
  <c r="W53" i="57" s="1"/>
  <c r="L53" i="57"/>
  <c r="B53" i="30" s="1"/>
  <c r="K53" i="57"/>
  <c r="A53" i="30" s="1"/>
  <c r="J53" i="57"/>
  <c r="F51" i="57"/>
  <c r="J51" i="30" s="1"/>
  <c r="U50" i="57"/>
  <c r="V50" i="57" s="1"/>
  <c r="U49" i="57"/>
  <c r="V49" i="57" s="1"/>
  <c r="L49" i="57"/>
  <c r="B49" i="30" s="1"/>
  <c r="K49" i="57"/>
  <c r="A49" i="30" s="1"/>
  <c r="J49" i="57"/>
  <c r="U48" i="57"/>
  <c r="W48" i="57" s="1"/>
  <c r="U47" i="57"/>
  <c r="W47" i="57" s="1"/>
  <c r="U46" i="57"/>
  <c r="V46" i="57" s="1"/>
  <c r="L46" i="57"/>
  <c r="B46" i="30" s="1"/>
  <c r="K46" i="57"/>
  <c r="A46" i="30" s="1"/>
  <c r="J46" i="57"/>
  <c r="U45" i="57"/>
  <c r="V45" i="57" s="1"/>
  <c r="U44" i="57"/>
  <c r="V44" i="57" s="1"/>
  <c r="U43" i="57"/>
  <c r="V43" i="57" s="1"/>
  <c r="U40" i="57"/>
  <c r="L40" i="57"/>
  <c r="B40" i="30" s="1"/>
  <c r="J40" i="57"/>
  <c r="U39" i="57"/>
  <c r="V39" i="57" s="1"/>
  <c r="L39" i="57"/>
  <c r="B39" i="30" s="1"/>
  <c r="J39" i="57"/>
  <c r="U38" i="57"/>
  <c r="V38" i="57" s="1"/>
  <c r="L38" i="57"/>
  <c r="B38" i="30" s="1"/>
  <c r="J38" i="57"/>
  <c r="U37" i="57"/>
  <c r="L37" i="57"/>
  <c r="B37" i="30" s="1"/>
  <c r="J37" i="57"/>
  <c r="U36" i="57"/>
  <c r="U41" i="57" s="1"/>
  <c r="L36" i="57"/>
  <c r="B36" i="30" s="1"/>
  <c r="J36" i="57"/>
  <c r="F34" i="57"/>
  <c r="J34" i="30" s="1"/>
  <c r="U33" i="57"/>
  <c r="V33" i="57" s="1"/>
  <c r="L33" i="57"/>
  <c r="B33" i="30" s="1"/>
  <c r="J33" i="57"/>
  <c r="U32" i="57"/>
  <c r="V32" i="57" s="1"/>
  <c r="L32" i="57"/>
  <c r="B32" i="30" s="1"/>
  <c r="J32" i="57"/>
  <c r="G27" i="57"/>
  <c r="U25" i="57"/>
  <c r="D25" i="57"/>
  <c r="H25" i="30" s="1"/>
  <c r="V23" i="57"/>
  <c r="L22" i="57"/>
  <c r="B22" i="30" s="1"/>
  <c r="J22" i="57"/>
  <c r="G21" i="57"/>
  <c r="U20" i="57"/>
  <c r="U19" i="57"/>
  <c r="J19" i="57"/>
  <c r="U18" i="57"/>
  <c r="U17" i="57"/>
  <c r="U16" i="57"/>
  <c r="W16" i="57" s="1"/>
  <c r="L16" i="57"/>
  <c r="B16" i="30" s="1"/>
  <c r="J16" i="57"/>
  <c r="U15" i="57"/>
  <c r="U14" i="57"/>
  <c r="U13" i="57"/>
  <c r="G13" i="57"/>
  <c r="F13" i="57"/>
  <c r="J13" i="30" s="1"/>
  <c r="U11" i="57"/>
  <c r="L11" i="57"/>
  <c r="B11" i="30" s="1"/>
  <c r="J11" i="57"/>
  <c r="U9" i="57"/>
  <c r="U24" i="57" s="1"/>
  <c r="U28" i="57" s="1"/>
  <c r="G9" i="57"/>
  <c r="G11" i="57" s="1"/>
  <c r="G7" i="57"/>
  <c r="P2" i="30" s="1"/>
  <c r="A7" i="57"/>
  <c r="U6" i="57"/>
  <c r="H6" i="57"/>
  <c r="B6" i="57"/>
  <c r="H5" i="57"/>
  <c r="D5" i="57"/>
  <c r="D7" i="57" s="1"/>
  <c r="D120" i="57" s="1"/>
  <c r="E120" i="57" s="1"/>
  <c r="I120" i="30" s="1"/>
  <c r="B5" i="57"/>
  <c r="H105" i="57" s="1"/>
  <c r="H4" i="57"/>
  <c r="A2" i="27" s="1"/>
  <c r="E4" i="57"/>
  <c r="F4" i="28" s="1"/>
  <c r="D4" i="57"/>
  <c r="E5" i="30" s="1"/>
  <c r="B4" i="57"/>
  <c r="E4" i="28" l="1"/>
  <c r="C102" i="30"/>
  <c r="F130" i="30"/>
  <c r="C4" i="28"/>
  <c r="G149" i="57"/>
  <c r="A1" i="16"/>
  <c r="C2" i="30"/>
  <c r="A4" i="24"/>
  <c r="C2" i="28"/>
  <c r="A2" i="26"/>
  <c r="J101" i="57"/>
  <c r="H41" i="57"/>
  <c r="N72" i="57"/>
  <c r="N91" i="57"/>
  <c r="H57" i="57"/>
  <c r="N65" i="57"/>
  <c r="N86" i="57"/>
  <c r="C4" i="16"/>
  <c r="O53" i="57"/>
  <c r="N38" i="57"/>
  <c r="N44" i="57"/>
  <c r="N54" i="57"/>
  <c r="N73" i="57"/>
  <c r="C6" i="28"/>
  <c r="O32" i="57"/>
  <c r="N43" i="57"/>
  <c r="C6" i="30"/>
  <c r="N16" i="57"/>
  <c r="N49" i="57"/>
  <c r="F3" i="30"/>
  <c r="N32" i="57"/>
  <c r="G41" i="57"/>
  <c r="N45" i="57"/>
  <c r="H62" i="57"/>
  <c r="F3" i="28"/>
  <c r="N50" i="57"/>
  <c r="N53" i="57"/>
  <c r="N64" i="57"/>
  <c r="H19" i="53"/>
  <c r="H54" i="53"/>
  <c r="H45" i="53"/>
  <c r="H34" i="53"/>
  <c r="H12" i="53"/>
  <c r="E7" i="30"/>
  <c r="E7" i="28"/>
  <c r="H120" i="30"/>
  <c r="D100" i="57"/>
  <c r="E100" i="57" s="1"/>
  <c r="I100" i="30" s="1"/>
  <c r="F5" i="30"/>
  <c r="H122" i="30"/>
  <c r="I122" i="30"/>
  <c r="W45" i="57"/>
  <c r="V60" i="57"/>
  <c r="V56" i="57"/>
  <c r="V48" i="57"/>
  <c r="W49" i="57"/>
  <c r="W46" i="57"/>
  <c r="V54" i="57"/>
  <c r="W33" i="57"/>
  <c r="W50" i="57"/>
  <c r="V71" i="57"/>
  <c r="U51" i="57"/>
  <c r="W51" i="57" s="1"/>
  <c r="V59" i="57"/>
  <c r="W44" i="57"/>
  <c r="V47" i="57"/>
  <c r="V61" i="57"/>
  <c r="V66" i="57"/>
  <c r="W77" i="57"/>
  <c r="W32" i="57"/>
  <c r="U34" i="57"/>
  <c r="V34" i="57" s="1"/>
  <c r="W39" i="57"/>
  <c r="V53" i="57"/>
  <c r="W55" i="57"/>
  <c r="U57" i="57"/>
  <c r="W57" i="57" s="1"/>
  <c r="W13" i="57"/>
  <c r="V67" i="57"/>
  <c r="W75" i="57"/>
  <c r="W38" i="57"/>
  <c r="W43" i="57"/>
  <c r="U62" i="57"/>
  <c r="V62" i="57" s="1"/>
  <c r="W76" i="57"/>
  <c r="D119" i="57"/>
  <c r="E5" i="57"/>
  <c r="E7" i="57" s="1"/>
  <c r="D116" i="57"/>
  <c r="H116" i="30" s="1"/>
  <c r="D55" i="57"/>
  <c r="D121" i="57"/>
  <c r="D60" i="57"/>
  <c r="V13" i="57"/>
  <c r="N13" i="57"/>
  <c r="V68" i="57"/>
  <c r="D103" i="57"/>
  <c r="D102" i="57"/>
  <c r="D91" i="57"/>
  <c r="D90" i="57"/>
  <c r="D89" i="57"/>
  <c r="D88" i="57"/>
  <c r="D71" i="57"/>
  <c r="D54" i="57"/>
  <c r="D50" i="57"/>
  <c r="D46" i="57"/>
  <c r="D45" i="57"/>
  <c r="D44" i="57"/>
  <c r="D43" i="57"/>
  <c r="H43" i="30" s="1"/>
  <c r="D39" i="57"/>
  <c r="D33" i="57"/>
  <c r="D40" i="57"/>
  <c r="D117" i="57"/>
  <c r="D101" i="57"/>
  <c r="D73" i="57"/>
  <c r="D66" i="57"/>
  <c r="D65" i="57"/>
  <c r="D64" i="57"/>
  <c r="H64" i="30" s="1"/>
  <c r="D59" i="57"/>
  <c r="H59" i="30" s="1"/>
  <c r="D38" i="57"/>
  <c r="D16" i="57"/>
  <c r="D75" i="57"/>
  <c r="D118" i="57"/>
  <c r="D87" i="57"/>
  <c r="D86" i="57"/>
  <c r="H86" i="30" s="1"/>
  <c r="D72" i="57"/>
  <c r="D61" i="57"/>
  <c r="D49" i="57"/>
  <c r="D48" i="57"/>
  <c r="D47" i="57"/>
  <c r="D32" i="57"/>
  <c r="H32" i="30" s="1"/>
  <c r="D77" i="57"/>
  <c r="D76" i="57"/>
  <c r="D56" i="57"/>
  <c r="D53" i="57"/>
  <c r="H53" i="30" s="1"/>
  <c r="D22" i="57"/>
  <c r="V40" i="57"/>
  <c r="W40" i="57"/>
  <c r="D67" i="57"/>
  <c r="G51" i="57"/>
  <c r="O54" i="57"/>
  <c r="N55" i="57"/>
  <c r="N59" i="57"/>
  <c r="V64" i="57"/>
  <c r="V65" i="57"/>
  <c r="N66" i="57"/>
  <c r="N67" i="57"/>
  <c r="V72" i="57"/>
  <c r="V73" i="57"/>
  <c r="G124" i="57"/>
  <c r="I138" i="57"/>
  <c r="F150" i="30" s="1"/>
  <c r="V16" i="57"/>
  <c r="G28" i="57"/>
  <c r="N33" i="57"/>
  <c r="N39" i="57"/>
  <c r="H51" i="57"/>
  <c r="O55" i="57"/>
  <c r="N56" i="57"/>
  <c r="W64" i="57"/>
  <c r="G68" i="57"/>
  <c r="N75" i="57"/>
  <c r="N76" i="57"/>
  <c r="N77" i="57"/>
  <c r="G83" i="57"/>
  <c r="N88" i="57"/>
  <c r="N89" i="57"/>
  <c r="N90" i="57"/>
  <c r="G93" i="57"/>
  <c r="H124" i="57"/>
  <c r="N22" i="57"/>
  <c r="G34" i="57"/>
  <c r="N46" i="57"/>
  <c r="N47" i="57"/>
  <c r="N48" i="57"/>
  <c r="O56" i="57"/>
  <c r="N60" i="57"/>
  <c r="N61" i="57"/>
  <c r="H68" i="57"/>
  <c r="N71" i="57"/>
  <c r="G78" i="57"/>
  <c r="N87" i="57"/>
  <c r="G105" i="57"/>
  <c r="I139" i="57"/>
  <c r="F151" i="30" s="1"/>
  <c r="H34" i="57"/>
  <c r="N40" i="57"/>
  <c r="G57" i="57"/>
  <c r="G62" i="57"/>
  <c r="H78" i="57"/>
  <c r="H100" i="30" l="1"/>
  <c r="E45" i="57"/>
  <c r="I45" i="30" s="1"/>
  <c r="H45" i="30"/>
  <c r="E22" i="57"/>
  <c r="I22" i="30" s="1"/>
  <c r="H22" i="30"/>
  <c r="E77" i="57"/>
  <c r="I77" i="30" s="1"/>
  <c r="H77" i="30"/>
  <c r="E61" i="57"/>
  <c r="I61" i="30" s="1"/>
  <c r="H61" i="30"/>
  <c r="E75" i="57"/>
  <c r="I75" i="30" s="1"/>
  <c r="H75" i="30"/>
  <c r="E54" i="57"/>
  <c r="I54" i="30" s="1"/>
  <c r="H54" i="30"/>
  <c r="E86" i="57"/>
  <c r="I86" i="30" s="1"/>
  <c r="E121" i="57"/>
  <c r="I121" i="30" s="1"/>
  <c r="H121" i="30"/>
  <c r="E67" i="57"/>
  <c r="I67" i="30" s="1"/>
  <c r="H67" i="30"/>
  <c r="E16" i="57"/>
  <c r="I16" i="30" s="1"/>
  <c r="H16" i="30"/>
  <c r="E65" i="57"/>
  <c r="I65" i="30" s="1"/>
  <c r="H65" i="30"/>
  <c r="E117" i="57"/>
  <c r="I117" i="30" s="1"/>
  <c r="H117" i="30"/>
  <c r="E71" i="57"/>
  <c r="I71" i="30" s="1"/>
  <c r="H71" i="30"/>
  <c r="E103" i="57"/>
  <c r="I103" i="30" s="1"/>
  <c r="H103" i="30"/>
  <c r="E60" i="57"/>
  <c r="I60" i="30" s="1"/>
  <c r="H60" i="30"/>
  <c r="E55" i="57"/>
  <c r="I55" i="30" s="1"/>
  <c r="H55" i="30"/>
  <c r="E72" i="57"/>
  <c r="I72" i="30" s="1"/>
  <c r="H72" i="30"/>
  <c r="E66" i="57"/>
  <c r="I66" i="30" s="1"/>
  <c r="H66" i="30"/>
  <c r="E40" i="57"/>
  <c r="I40" i="30" s="1"/>
  <c r="H40" i="30"/>
  <c r="E44" i="57"/>
  <c r="I44" i="30" s="1"/>
  <c r="H44" i="30"/>
  <c r="F7" i="28"/>
  <c r="F7" i="30"/>
  <c r="E73" i="57"/>
  <c r="I73" i="30" s="1"/>
  <c r="H73" i="30"/>
  <c r="E56" i="57"/>
  <c r="I56" i="30" s="1"/>
  <c r="H56" i="30"/>
  <c r="E87" i="57"/>
  <c r="I87" i="30" s="1"/>
  <c r="H87" i="30"/>
  <c r="E46" i="57"/>
  <c r="I46" i="30" s="1"/>
  <c r="H46" i="30"/>
  <c r="E47" i="57"/>
  <c r="I47" i="30" s="1"/>
  <c r="H47" i="30"/>
  <c r="E48" i="57"/>
  <c r="I48" i="30" s="1"/>
  <c r="H48" i="30"/>
  <c r="E90" i="57"/>
  <c r="I90" i="30" s="1"/>
  <c r="H90" i="30"/>
  <c r="E76" i="57"/>
  <c r="I76" i="30" s="1"/>
  <c r="H76" i="30"/>
  <c r="E49" i="57"/>
  <c r="I49" i="30" s="1"/>
  <c r="H49" i="30"/>
  <c r="E118" i="57"/>
  <c r="I118" i="30" s="1"/>
  <c r="H118" i="30"/>
  <c r="E33" i="57"/>
  <c r="I33" i="30" s="1"/>
  <c r="H33" i="30"/>
  <c r="E50" i="57"/>
  <c r="I50" i="30" s="1"/>
  <c r="H50" i="30"/>
  <c r="E91" i="57"/>
  <c r="I91" i="30" s="1"/>
  <c r="H91" i="30"/>
  <c r="D105" i="57"/>
  <c r="H105" i="30" s="1"/>
  <c r="H101" i="30"/>
  <c r="E39" i="57"/>
  <c r="I39" i="30" s="1"/>
  <c r="H39" i="30"/>
  <c r="E102" i="57"/>
  <c r="I102" i="30" s="1"/>
  <c r="H102" i="30"/>
  <c r="E88" i="57"/>
  <c r="I88" i="30" s="1"/>
  <c r="H88" i="30"/>
  <c r="E119" i="57"/>
  <c r="I119" i="30" s="1"/>
  <c r="H119" i="30"/>
  <c r="E38" i="57"/>
  <c r="I38" i="30" s="1"/>
  <c r="H38" i="30"/>
  <c r="E89" i="57"/>
  <c r="I89" i="30" s="1"/>
  <c r="H89" i="30"/>
  <c r="V57" i="57"/>
  <c r="W34" i="57"/>
  <c r="V51" i="57"/>
  <c r="W62" i="57"/>
  <c r="E59" i="57"/>
  <c r="D62" i="57"/>
  <c r="H62" i="30" s="1"/>
  <c r="D124" i="57"/>
  <c r="H124" i="30" s="1"/>
  <c r="E116" i="57"/>
  <c r="E64" i="57"/>
  <c r="D68" i="57"/>
  <c r="H68" i="30" s="1"/>
  <c r="D34" i="57"/>
  <c r="H34" i="30" s="1"/>
  <c r="E32" i="57"/>
  <c r="D51" i="57"/>
  <c r="H51" i="30" s="1"/>
  <c r="E43" i="57"/>
  <c r="E101" i="57"/>
  <c r="D57" i="57"/>
  <c r="H57" i="30" s="1"/>
  <c r="E53" i="57"/>
  <c r="D93" i="57"/>
  <c r="H93" i="30" s="1"/>
  <c r="D4" i="53"/>
  <c r="G4" i="53"/>
  <c r="E57" i="57" l="1"/>
  <c r="I57" i="30" s="1"/>
  <c r="I53" i="30"/>
  <c r="E51" i="57"/>
  <c r="I51" i="30" s="1"/>
  <c r="I43" i="30"/>
  <c r="E124" i="57"/>
  <c r="I124" i="30" s="1"/>
  <c r="I116" i="30"/>
  <c r="E68" i="57"/>
  <c r="I68" i="30" s="1"/>
  <c r="I64" i="30"/>
  <c r="E105" i="57"/>
  <c r="I105" i="30" s="1"/>
  <c r="I101" i="30"/>
  <c r="E62" i="57"/>
  <c r="I62" i="30" s="1"/>
  <c r="I59" i="30"/>
  <c r="E93" i="57"/>
  <c r="I93" i="30" s="1"/>
  <c r="E34" i="57"/>
  <c r="I34" i="30" s="1"/>
  <c r="I32" i="30"/>
  <c r="N10" i="28" l="1"/>
  <c r="Q10" i="28" s="1"/>
  <c r="T10" i="28" s="1"/>
  <c r="W10" i="28" s="1"/>
  <c r="Z10" i="28" s="1"/>
  <c r="AC10" i="28" s="1"/>
  <c r="AF10" i="28" s="1"/>
  <c r="AI10" i="28" s="1"/>
  <c r="AL10" i="28" s="1"/>
  <c r="AO10" i="28" s="1"/>
  <c r="AR10" i="28" s="1"/>
  <c r="AU10" i="28" s="1"/>
  <c r="AX10" i="28" s="1"/>
  <c r="BA10" i="28" s="1"/>
  <c r="BD10" i="28" s="1"/>
  <c r="BG10" i="28" s="1"/>
  <c r="BJ10" i="28" s="1"/>
  <c r="BM10" i="28" s="1"/>
  <c r="O10" i="28"/>
  <c r="R10" i="28" s="1"/>
  <c r="U10" i="28" s="1"/>
  <c r="X10" i="28" s="1"/>
  <c r="AA10" i="28" s="1"/>
  <c r="AD10" i="28" s="1"/>
  <c r="AG10" i="28" s="1"/>
  <c r="AJ10" i="28" s="1"/>
  <c r="AM10" i="28" s="1"/>
  <c r="AP10" i="28" s="1"/>
  <c r="AS10" i="28" s="1"/>
  <c r="AV10" i="28" s="1"/>
  <c r="AY10" i="28" s="1"/>
  <c r="BB10" i="28" s="1"/>
  <c r="BE10" i="28" s="1"/>
  <c r="BH10" i="28" s="1"/>
  <c r="BK10" i="28" s="1"/>
  <c r="BN10" i="28" s="1"/>
  <c r="N10" i="30"/>
  <c r="Q10" i="30" s="1"/>
  <c r="T10" i="30" s="1"/>
  <c r="W10" i="30" s="1"/>
  <c r="Z10" i="30" s="1"/>
  <c r="AC10" i="30" s="1"/>
  <c r="AF10" i="30" s="1"/>
  <c r="AI10" i="30" s="1"/>
  <c r="AL10" i="30" s="1"/>
  <c r="AO10" i="30" s="1"/>
  <c r="AR10" i="30" s="1"/>
  <c r="AU10" i="30" s="1"/>
  <c r="AX10" i="30" s="1"/>
  <c r="BA10" i="30" s="1"/>
  <c r="BD10" i="30" s="1"/>
  <c r="BG10" i="30" s="1"/>
  <c r="BJ10" i="30" s="1"/>
  <c r="BM10" i="30" s="1"/>
  <c r="O10" i="30"/>
  <c r="R10" i="30" s="1"/>
  <c r="U10" i="30" s="1"/>
  <c r="X10" i="30" s="1"/>
  <c r="AA10" i="30" s="1"/>
  <c r="AD10" i="30" s="1"/>
  <c r="AG10" i="30" s="1"/>
  <c r="AJ10" i="30" s="1"/>
  <c r="AM10" i="30" s="1"/>
  <c r="AP10" i="30" s="1"/>
  <c r="AS10" i="30" s="1"/>
  <c r="AV10" i="30" s="1"/>
  <c r="AY10" i="30" s="1"/>
  <c r="BB10" i="30" s="1"/>
  <c r="BE10" i="30" s="1"/>
  <c r="BH10" i="30" s="1"/>
  <c r="BK10" i="30" s="1"/>
  <c r="BN10" i="30" s="1"/>
  <c r="F54" i="53" l="1"/>
  <c r="F61" i="53"/>
  <c r="G60" i="53"/>
  <c r="G59" i="53"/>
  <c r="G58" i="53"/>
  <c r="G57" i="53"/>
  <c r="G56" i="53"/>
  <c r="G55" i="53"/>
  <c r="G53" i="53"/>
  <c r="G51" i="53"/>
  <c r="G50" i="53"/>
  <c r="G44" i="53"/>
  <c r="G43" i="53"/>
  <c r="G42" i="53"/>
  <c r="G41" i="53"/>
  <c r="G40" i="53"/>
  <c r="G39" i="53"/>
  <c r="G38" i="53"/>
  <c r="D60" i="53"/>
  <c r="D59" i="53"/>
  <c r="D58" i="53"/>
  <c r="D57" i="53"/>
  <c r="D56" i="53"/>
  <c r="D55" i="53"/>
  <c r="D61" i="53" s="1"/>
  <c r="D53" i="53"/>
  <c r="D50" i="53"/>
  <c r="G37" i="53"/>
  <c r="D37" i="53"/>
  <c r="D32" i="53"/>
  <c r="D31" i="53"/>
  <c r="D30" i="53"/>
  <c r="G32" i="53"/>
  <c r="G31" i="53"/>
  <c r="G30" i="53"/>
  <c r="G29" i="53"/>
  <c r="G28" i="53"/>
  <c r="G27" i="53"/>
  <c r="G25" i="53"/>
  <c r="G24" i="53"/>
  <c r="G23" i="53"/>
  <c r="G22" i="53"/>
  <c r="G21" i="53"/>
  <c r="G20" i="53"/>
  <c r="G18" i="53"/>
  <c r="G17" i="53"/>
  <c r="G16" i="53"/>
  <c r="G15" i="53"/>
  <c r="G14" i="53"/>
  <c r="G13" i="53"/>
  <c r="D35" i="53"/>
  <c r="D29" i="53"/>
  <c r="D28" i="53"/>
  <c r="D27" i="53"/>
  <c r="D25" i="53"/>
  <c r="D24" i="53"/>
  <c r="D23" i="53"/>
  <c r="D22" i="53"/>
  <c r="D21" i="53"/>
  <c r="D20" i="53"/>
  <c r="D18" i="53"/>
  <c r="D17" i="53"/>
  <c r="D16" i="53"/>
  <c r="D15" i="53"/>
  <c r="D14" i="53"/>
  <c r="D13" i="53"/>
  <c r="F33" i="53"/>
  <c r="F26" i="53"/>
  <c r="F12" i="53"/>
  <c r="F19" i="53"/>
  <c r="F63" i="53" l="1"/>
  <c r="E74" i="59"/>
  <c r="D54" i="53"/>
  <c r="G61" i="53"/>
  <c r="G54" i="53"/>
  <c r="F80" i="57" s="1"/>
  <c r="F34" i="53"/>
  <c r="D33" i="53"/>
  <c r="G35" i="53"/>
  <c r="G33" i="53"/>
  <c r="D19" i="53"/>
  <c r="G26" i="53"/>
  <c r="D26" i="53"/>
  <c r="G19" i="53"/>
  <c r="F37" i="57" s="1"/>
  <c r="J37" i="30" l="1"/>
  <c r="V37" i="57"/>
  <c r="W37" i="57"/>
  <c r="N37" i="57"/>
  <c r="D37" i="57"/>
  <c r="H37" i="30" s="1"/>
  <c r="J80" i="30"/>
  <c r="V80" i="57"/>
  <c r="N80" i="57"/>
  <c r="D80" i="57"/>
  <c r="H80" i="30" s="1"/>
  <c r="W80" i="57"/>
  <c r="G63" i="53"/>
  <c r="G34" i="53"/>
  <c r="F70" i="57" s="1"/>
  <c r="D34" i="53"/>
  <c r="E37" i="57" l="1"/>
  <c r="I37" i="30" s="1"/>
  <c r="J70" i="30"/>
  <c r="V70" i="57"/>
  <c r="D70" i="57"/>
  <c r="N70" i="57"/>
  <c r="W70" i="57"/>
  <c r="E80" i="57"/>
  <c r="I80" i="30" s="1"/>
  <c r="E84" i="52"/>
  <c r="J84" i="52"/>
  <c r="K84" i="52"/>
  <c r="H70" i="30" l="1"/>
  <c r="E70" i="57"/>
  <c r="L63" i="29"/>
  <c r="I70" i="30" l="1"/>
  <c r="D135" i="32"/>
  <c r="D46" i="52" l="1"/>
  <c r="D45" i="52"/>
  <c r="D44" i="52"/>
  <c r="D43" i="52"/>
  <c r="D42" i="52"/>
  <c r="D41" i="52"/>
  <c r="D40" i="52" l="1"/>
  <c r="B46" i="52" l="1"/>
  <c r="B45" i="52"/>
  <c r="B44" i="52"/>
  <c r="B43" i="52"/>
  <c r="B42" i="52"/>
  <c r="B41" i="52"/>
  <c r="B40" i="52"/>
  <c r="C36" i="52"/>
  <c r="C37" i="52"/>
  <c r="C35" i="52" l="1"/>
  <c r="D12" i="53" l="1"/>
  <c r="G12" i="53"/>
  <c r="D36" i="53"/>
  <c r="D45" i="53" s="1"/>
  <c r="E45" i="53"/>
  <c r="G36" i="53"/>
  <c r="G45" i="53" s="1"/>
  <c r="F74" i="57" s="1"/>
  <c r="F45" i="53"/>
  <c r="F46" i="53" s="1"/>
  <c r="F36" i="57" l="1"/>
  <c r="G46" i="53"/>
  <c r="J74" i="30"/>
  <c r="D74" i="57"/>
  <c r="E74" i="57" s="1"/>
  <c r="V74" i="57"/>
  <c r="N74" i="57"/>
  <c r="W74" i="57"/>
  <c r="F78" i="57"/>
  <c r="F41" i="57"/>
  <c r="J36" i="30"/>
  <c r="N36" i="57"/>
  <c r="W36" i="57"/>
  <c r="V36" i="57"/>
  <c r="D36" i="57"/>
  <c r="E36" i="57" s="1"/>
  <c r="B20" i="52"/>
  <c r="B19" i="52"/>
  <c r="B18" i="52"/>
  <c r="B17" i="52"/>
  <c r="B16" i="52"/>
  <c r="B15" i="52"/>
  <c r="B10" i="52"/>
  <c r="B9" i="52"/>
  <c r="B8" i="52"/>
  <c r="B7" i="52"/>
  <c r="B6" i="52"/>
  <c r="B5" i="52"/>
  <c r="I74" i="30" l="1"/>
  <c r="E78" i="57"/>
  <c r="I78" i="30" s="1"/>
  <c r="H74" i="30"/>
  <c r="D78" i="57"/>
  <c r="H78" i="30" s="1"/>
  <c r="J78" i="30"/>
  <c r="W78" i="57"/>
  <c r="V78" i="57"/>
  <c r="E41" i="57"/>
  <c r="I36" i="30"/>
  <c r="J41" i="30"/>
  <c r="W41" i="57"/>
  <c r="V41" i="57"/>
  <c r="H36" i="30"/>
  <c r="D41" i="57"/>
  <c r="G95" i="57" l="1"/>
  <c r="H41" i="30"/>
  <c r="D95" i="57"/>
  <c r="H95" i="30" s="1"/>
  <c r="D83" i="57"/>
  <c r="I41" i="30"/>
  <c r="E95" i="57"/>
  <c r="E83" i="57"/>
  <c r="I83" i="30" s="1"/>
  <c r="B74" i="15"/>
  <c r="B73" i="15"/>
  <c r="B72" i="15"/>
  <c r="B71" i="15"/>
  <c r="B70" i="15"/>
  <c r="B69" i="15"/>
  <c r="B68" i="15"/>
  <c r="B67" i="15"/>
  <c r="B64" i="15"/>
  <c r="B62" i="15"/>
  <c r="I95" i="30" l="1"/>
  <c r="H83" i="30"/>
  <c r="B41" i="48"/>
  <c r="B40" i="48"/>
  <c r="B42" i="48" s="1"/>
  <c r="E47" i="48" l="1"/>
  <c r="F47" i="48" s="1"/>
  <c r="E46" i="48"/>
  <c r="E45" i="48"/>
  <c r="G47" i="48" l="1"/>
  <c r="I47" i="48" s="1"/>
  <c r="D17" i="48" l="1"/>
  <c r="M17" i="48" s="1"/>
  <c r="D16" i="48"/>
  <c r="M16" i="48" s="1"/>
  <c r="D15" i="48"/>
  <c r="M15" i="48" s="1"/>
  <c r="B17" i="51" l="1"/>
  <c r="E14" i="51"/>
  <c r="E15" i="51" s="1"/>
  <c r="E16" i="51" s="1"/>
  <c r="AU412" i="24"/>
  <c r="AU411" i="24"/>
  <c r="AU410" i="24"/>
  <c r="AU409" i="24"/>
  <c r="AU408" i="24"/>
  <c r="AU407" i="24"/>
  <c r="AU406" i="24"/>
  <c r="AU405" i="24"/>
  <c r="AU404" i="24"/>
  <c r="AU403" i="24"/>
  <c r="AU402" i="24"/>
  <c r="AU401" i="24"/>
  <c r="AU400" i="24"/>
  <c r="AU399" i="24"/>
  <c r="AU398" i="24"/>
  <c r="AU397" i="24"/>
  <c r="AU396" i="24"/>
  <c r="AU395" i="24"/>
  <c r="AU394" i="24"/>
  <c r="AU393" i="24"/>
  <c r="AU392" i="24"/>
  <c r="AU391" i="24"/>
  <c r="AU390" i="24"/>
  <c r="AU389" i="24"/>
  <c r="AU388" i="24"/>
  <c r="AU387" i="24"/>
  <c r="AU386" i="24"/>
  <c r="AU385" i="24"/>
  <c r="AU384" i="24"/>
  <c r="AU383" i="24"/>
  <c r="AU382" i="24"/>
  <c r="AU381" i="24"/>
  <c r="AU380" i="24"/>
  <c r="AU379" i="24"/>
  <c r="AU378" i="24"/>
  <c r="AU377" i="24"/>
  <c r="AU376" i="24"/>
  <c r="AU375" i="24"/>
  <c r="AU374" i="24"/>
  <c r="AU373" i="24"/>
  <c r="AU372" i="24"/>
  <c r="AU371" i="24"/>
  <c r="AU370" i="24"/>
  <c r="AU369" i="24"/>
  <c r="AU368" i="24"/>
  <c r="AU367" i="24"/>
  <c r="AU366" i="24"/>
  <c r="AU365" i="24"/>
  <c r="AU364" i="24"/>
  <c r="AU363" i="24"/>
  <c r="AU362" i="24"/>
  <c r="AU361" i="24"/>
  <c r="AU360" i="24"/>
  <c r="AU359" i="24"/>
  <c r="AU358" i="24"/>
  <c r="AU357" i="24"/>
  <c r="AU356" i="24"/>
  <c r="AU355" i="24"/>
  <c r="AU354" i="24"/>
  <c r="AU353" i="24"/>
  <c r="AU352" i="24"/>
  <c r="AU351" i="24"/>
  <c r="AU350" i="24"/>
  <c r="AU349" i="24"/>
  <c r="AU348" i="24"/>
  <c r="AU347" i="24"/>
  <c r="AU346" i="24"/>
  <c r="AU345" i="24"/>
  <c r="AU344" i="24"/>
  <c r="AU343" i="24"/>
  <c r="AU342" i="24"/>
  <c r="AU341" i="24"/>
  <c r="AU340" i="24"/>
  <c r="AU339" i="24"/>
  <c r="AU338" i="24"/>
  <c r="AU337" i="24"/>
  <c r="AU336" i="24"/>
  <c r="AU335" i="24"/>
  <c r="AU334" i="24"/>
  <c r="AU333" i="24"/>
  <c r="AU332" i="24"/>
  <c r="AU331" i="24"/>
  <c r="AU330" i="24"/>
  <c r="AU329" i="24"/>
  <c r="AU328" i="24"/>
  <c r="AU327" i="24"/>
  <c r="AU326" i="24"/>
  <c r="AU325" i="24"/>
  <c r="AU324" i="24"/>
  <c r="AU323" i="24"/>
  <c r="AU322" i="24"/>
  <c r="AU321" i="24"/>
  <c r="AU320" i="24"/>
  <c r="AU319" i="24"/>
  <c r="AU318" i="24"/>
  <c r="AU317" i="24"/>
  <c r="AU316" i="24"/>
  <c r="AU315" i="24"/>
  <c r="AU314" i="24"/>
  <c r="AU313" i="24"/>
  <c r="AU312" i="24"/>
  <c r="AU311" i="24"/>
  <c r="AU310" i="24"/>
  <c r="AU309" i="24"/>
  <c r="AU308" i="24"/>
  <c r="AU307" i="24"/>
  <c r="AU306" i="24"/>
  <c r="AU305" i="24"/>
  <c r="AU304" i="24"/>
  <c r="AU303" i="24"/>
  <c r="AU302" i="24"/>
  <c r="AU301" i="24"/>
  <c r="AU300" i="24"/>
  <c r="AU299" i="24"/>
  <c r="AU298" i="24"/>
  <c r="AU297" i="24"/>
  <c r="AU296" i="24"/>
  <c r="AU295" i="24"/>
  <c r="AU294" i="24"/>
  <c r="AU293" i="24"/>
  <c r="AU292" i="24"/>
  <c r="AU291" i="24"/>
  <c r="AU290" i="24"/>
  <c r="AU289" i="24"/>
  <c r="AU288" i="24"/>
  <c r="AU287" i="24"/>
  <c r="AU286" i="24"/>
  <c r="AU285" i="24"/>
  <c r="AU284" i="24"/>
  <c r="AU283" i="24"/>
  <c r="AU282" i="24"/>
  <c r="AU281" i="24"/>
  <c r="AU280" i="24"/>
  <c r="AU279" i="24"/>
  <c r="AU278" i="24"/>
  <c r="AU277" i="24"/>
  <c r="AU276" i="24"/>
  <c r="AU275" i="24"/>
  <c r="AU274" i="24"/>
  <c r="AU273" i="24"/>
  <c r="AU272" i="24"/>
  <c r="AU271" i="24"/>
  <c r="AU270" i="24"/>
  <c r="AU269" i="24"/>
  <c r="AU268" i="24"/>
  <c r="AU267" i="24"/>
  <c r="AU266" i="24"/>
  <c r="AU265" i="24"/>
  <c r="AU264" i="24"/>
  <c r="AU263" i="24"/>
  <c r="AU262" i="24"/>
  <c r="AU261" i="24"/>
  <c r="AU260" i="24"/>
  <c r="AU259" i="24"/>
  <c r="AU258" i="24"/>
  <c r="AU257" i="24"/>
  <c r="AU256" i="24"/>
  <c r="AU255" i="24"/>
  <c r="AU254" i="24"/>
  <c r="AU253" i="24"/>
  <c r="AU252" i="24"/>
  <c r="AU251" i="24"/>
  <c r="AU250" i="24"/>
  <c r="AU249" i="24"/>
  <c r="AU248" i="24"/>
  <c r="AU247" i="24"/>
  <c r="AU246" i="24"/>
  <c r="AU245" i="24"/>
  <c r="AU244" i="24"/>
  <c r="AU243" i="24"/>
  <c r="AU242" i="24"/>
  <c r="AU241" i="24"/>
  <c r="AU240" i="24"/>
  <c r="AU239" i="24"/>
  <c r="AU238" i="24"/>
  <c r="AU237" i="24"/>
  <c r="AU236" i="24"/>
  <c r="AU235" i="24"/>
  <c r="AU234" i="24"/>
  <c r="AU233" i="24"/>
  <c r="AU232" i="24"/>
  <c r="AU231" i="24"/>
  <c r="AU230" i="24"/>
  <c r="AU229" i="24"/>
  <c r="AU228" i="24"/>
  <c r="AU227" i="24"/>
  <c r="AU226" i="24"/>
  <c r="AU225" i="24"/>
  <c r="AU224" i="24"/>
  <c r="AU223" i="24"/>
  <c r="AU222" i="24"/>
  <c r="AU221" i="24"/>
  <c r="AU220" i="24"/>
  <c r="AU219" i="24"/>
  <c r="AU218" i="24"/>
  <c r="AU217" i="24"/>
  <c r="AU216" i="24"/>
  <c r="AU215" i="24"/>
  <c r="AU214" i="24"/>
  <c r="AU213" i="24"/>
  <c r="AU212" i="24"/>
  <c r="AU211" i="24"/>
  <c r="AU210" i="24"/>
  <c r="AU209" i="24"/>
  <c r="AU208" i="24"/>
  <c r="AU207" i="24"/>
  <c r="AU206" i="24"/>
  <c r="AU205" i="24"/>
  <c r="AU204" i="24"/>
  <c r="AU203" i="24"/>
  <c r="AU202" i="24"/>
  <c r="AU201" i="24"/>
  <c r="AU200" i="24"/>
  <c r="AU199" i="24"/>
  <c r="AU198" i="24"/>
  <c r="AU197" i="24"/>
  <c r="AU196" i="24"/>
  <c r="AU195" i="24"/>
  <c r="AU194" i="24"/>
  <c r="AU193" i="24"/>
  <c r="AU192" i="24"/>
  <c r="AU191" i="24"/>
  <c r="AU190" i="24"/>
  <c r="AU189" i="24"/>
  <c r="AU188" i="24"/>
  <c r="AU187" i="24"/>
  <c r="AU186" i="24"/>
  <c r="AU185" i="24"/>
  <c r="AU184" i="24"/>
  <c r="AU183" i="24"/>
  <c r="AU182" i="24"/>
  <c r="AU181" i="24"/>
  <c r="AU180" i="24"/>
  <c r="AU179" i="24"/>
  <c r="AU178" i="24"/>
  <c r="AU177" i="24"/>
  <c r="AU176" i="24"/>
  <c r="AU175" i="24"/>
  <c r="AU174" i="24"/>
  <c r="AU173" i="24"/>
  <c r="AU172" i="24"/>
  <c r="AU171" i="24"/>
  <c r="AU170" i="24"/>
  <c r="AU169" i="24"/>
  <c r="AU168" i="24"/>
  <c r="AU167" i="24"/>
  <c r="AU166" i="24"/>
  <c r="AU165" i="24"/>
  <c r="AU164" i="24"/>
  <c r="AU163" i="24"/>
  <c r="AU162" i="24"/>
  <c r="AU161" i="24"/>
  <c r="AU160" i="24"/>
  <c r="AU159" i="24"/>
  <c r="AU158" i="24"/>
  <c r="AU157" i="24"/>
  <c r="AU156" i="24"/>
  <c r="AU155" i="24"/>
  <c r="AU154" i="24"/>
  <c r="AU153" i="24"/>
  <c r="AU152" i="24"/>
  <c r="AU151" i="24"/>
  <c r="AU150" i="24"/>
  <c r="AU149" i="24"/>
  <c r="AU148" i="24"/>
  <c r="AU147" i="24"/>
  <c r="AU146" i="24"/>
  <c r="AU145" i="24"/>
  <c r="AU144" i="24"/>
  <c r="AU143" i="24"/>
  <c r="AU142" i="24"/>
  <c r="AU141" i="24"/>
  <c r="AU140" i="24"/>
  <c r="AU139" i="24"/>
  <c r="AU138" i="24"/>
  <c r="AU137" i="24"/>
  <c r="AU136" i="24"/>
  <c r="AU135" i="24"/>
  <c r="AU134" i="24"/>
  <c r="AU133" i="24"/>
  <c r="AU132" i="24"/>
  <c r="AU131" i="24"/>
  <c r="AU130" i="24"/>
  <c r="AU129" i="24"/>
  <c r="AU128" i="24"/>
  <c r="AU127" i="24"/>
  <c r="AU126" i="24"/>
  <c r="AU125" i="24"/>
  <c r="AU124" i="24"/>
  <c r="AU123" i="24"/>
  <c r="AU122" i="24"/>
  <c r="AU121" i="24"/>
  <c r="AU120" i="24"/>
  <c r="AU119" i="24"/>
  <c r="AU118" i="24"/>
  <c r="AU117" i="24"/>
  <c r="AU116" i="24"/>
  <c r="AU115" i="24"/>
  <c r="AU114" i="24"/>
  <c r="AU113" i="24"/>
  <c r="AU112" i="24"/>
  <c r="AU111" i="24"/>
  <c r="AU110" i="24"/>
  <c r="AU109" i="24"/>
  <c r="AU108" i="24"/>
  <c r="AU107" i="24"/>
  <c r="AU106" i="24"/>
  <c r="AU105" i="24"/>
  <c r="AU104" i="24"/>
  <c r="AU103" i="24"/>
  <c r="AU102" i="24"/>
  <c r="AU101" i="24"/>
  <c r="AU100" i="24"/>
  <c r="AU99" i="24"/>
  <c r="AU98" i="24"/>
  <c r="AU97" i="24"/>
  <c r="AU96" i="24"/>
  <c r="AU95" i="24"/>
  <c r="AU94" i="24"/>
  <c r="AU93" i="24"/>
  <c r="AU92" i="24"/>
  <c r="AU91" i="24"/>
  <c r="AU90" i="24"/>
  <c r="AU89" i="24"/>
  <c r="AU88" i="24"/>
  <c r="AU87" i="24"/>
  <c r="AU86" i="24"/>
  <c r="AU85" i="24"/>
  <c r="AU84" i="24"/>
  <c r="AU83" i="24"/>
  <c r="AU82" i="24"/>
  <c r="AU81" i="24"/>
  <c r="AU80" i="24"/>
  <c r="AU79" i="24"/>
  <c r="AU78" i="24"/>
  <c r="AU77" i="24"/>
  <c r="AU76" i="24"/>
  <c r="AU75" i="24"/>
  <c r="AU74" i="24"/>
  <c r="AU73" i="24"/>
  <c r="AU72" i="24"/>
  <c r="AU71" i="24"/>
  <c r="AU70" i="24"/>
  <c r="AU69" i="24"/>
  <c r="AU68" i="24"/>
  <c r="AU67" i="24"/>
  <c r="AU66" i="24"/>
  <c r="AU65" i="24"/>
  <c r="AU64" i="24"/>
  <c r="AU63" i="24"/>
  <c r="AU62" i="24"/>
  <c r="AU61" i="24"/>
  <c r="AU60" i="24"/>
  <c r="AU59" i="24"/>
  <c r="AU58" i="24"/>
  <c r="AU57" i="24"/>
  <c r="AU56" i="24"/>
  <c r="AU55" i="24"/>
  <c r="AU54" i="24"/>
  <c r="AU53" i="24"/>
  <c r="AU52" i="24"/>
  <c r="AU51" i="24"/>
  <c r="AU50" i="24"/>
  <c r="AU49" i="24"/>
  <c r="AU48" i="24"/>
  <c r="AU47" i="24"/>
  <c r="AU46" i="24"/>
  <c r="AU45" i="24"/>
  <c r="AU44" i="24"/>
  <c r="AU43" i="24"/>
  <c r="AU42" i="24"/>
  <c r="AU41" i="24"/>
  <c r="AU40" i="24"/>
  <c r="AU39" i="24"/>
  <c r="AU38" i="24"/>
  <c r="AU37" i="24"/>
  <c r="AU36" i="24"/>
  <c r="AU35" i="24"/>
  <c r="AU34" i="24"/>
  <c r="AU33" i="24"/>
  <c r="AU32" i="24"/>
  <c r="AU31" i="24"/>
  <c r="AU30" i="24"/>
  <c r="AU29" i="24"/>
  <c r="AU28" i="24"/>
  <c r="AU27" i="24"/>
  <c r="AU26" i="24"/>
  <c r="AU25" i="24"/>
  <c r="AU24" i="24"/>
  <c r="AU23" i="24"/>
  <c r="AU22" i="24"/>
  <c r="AU21" i="24"/>
  <c r="AU20" i="24"/>
  <c r="AU19" i="24"/>
  <c r="AU18" i="24"/>
  <c r="AU17" i="24"/>
  <c r="AU16" i="24"/>
  <c r="AU15" i="24"/>
  <c r="AU14" i="24"/>
  <c r="AU13" i="24"/>
  <c r="E17" i="51" l="1"/>
  <c r="E18" i="51" l="1"/>
  <c r="E19" i="51" l="1"/>
  <c r="E20" i="51" l="1"/>
  <c r="E21" i="51" l="1"/>
  <c r="E22" i="51" l="1"/>
  <c r="E23" i="51" l="1"/>
  <c r="E24" i="51" l="1"/>
  <c r="E25" i="51" l="1"/>
  <c r="E26" i="51" l="1"/>
  <c r="E27" i="51" l="1"/>
  <c r="E28" i="51" l="1"/>
  <c r="E29" i="51" l="1"/>
  <c r="E30" i="51" l="1"/>
  <c r="E31" i="51" l="1"/>
  <c r="E32" i="51" l="1"/>
  <c r="E33" i="51" l="1"/>
  <c r="D23" i="48" l="1"/>
  <c r="F6" i="48"/>
  <c r="H19" i="48" l="1"/>
  <c r="F15" i="48"/>
  <c r="B6" i="49" s="1"/>
  <c r="G15" i="48"/>
  <c r="B6" i="50" s="1"/>
  <c r="H15" i="48"/>
  <c r="B7" i="48"/>
  <c r="B6" i="48"/>
  <c r="B2" i="49" s="1"/>
  <c r="B5" i="48"/>
  <c r="B1" i="50" s="1"/>
  <c r="B1" i="49" l="1"/>
  <c r="B2" i="50"/>
  <c r="A14" i="49"/>
  <c r="A14" i="50"/>
  <c r="A15" i="49" l="1"/>
  <c r="A15" i="50"/>
  <c r="A16" i="49" l="1"/>
  <c r="A16" i="50"/>
  <c r="A17" i="49" l="1"/>
  <c r="A17" i="50"/>
  <c r="A18" i="49" l="1"/>
  <c r="A18" i="50"/>
  <c r="A19" i="49" l="1"/>
  <c r="A19" i="50"/>
  <c r="A20" i="49" l="1"/>
  <c r="A20" i="50"/>
  <c r="A21" i="49" l="1"/>
  <c r="A21" i="50"/>
  <c r="A22" i="49" l="1"/>
  <c r="A22" i="50"/>
  <c r="A23" i="49" l="1"/>
  <c r="A23" i="50"/>
  <c r="A24" i="49" l="1"/>
  <c r="A24" i="50"/>
  <c r="A25" i="49" l="1"/>
  <c r="A25" i="50"/>
  <c r="A26" i="49" l="1"/>
  <c r="A26" i="50"/>
  <c r="A27" i="49" l="1"/>
  <c r="A27" i="50"/>
  <c r="A28" i="49" l="1"/>
  <c r="A28" i="50"/>
  <c r="A29" i="49" l="1"/>
  <c r="A29" i="50"/>
  <c r="A30" i="49" l="1"/>
  <c r="A30" i="50"/>
  <c r="A31" i="49" l="1"/>
  <c r="A31" i="50"/>
  <c r="A32" i="49" l="1"/>
  <c r="A32" i="50"/>
  <c r="A33" i="49" l="1"/>
  <c r="A33" i="50"/>
  <c r="A34" i="49" l="1"/>
  <c r="A34" i="50"/>
  <c r="A35" i="49" l="1"/>
  <c r="A35" i="50"/>
  <c r="A36" i="49" l="1"/>
  <c r="A36" i="50"/>
  <c r="A37" i="49" l="1"/>
  <c r="A37" i="50"/>
  <c r="A38" i="49" l="1"/>
  <c r="A38" i="50"/>
  <c r="A39" i="49" l="1"/>
  <c r="A39" i="50"/>
  <c r="A40" i="49" l="1"/>
  <c r="A40" i="50"/>
  <c r="A41" i="49" l="1"/>
  <c r="A41" i="50"/>
  <c r="A42" i="49" l="1"/>
  <c r="A42" i="50"/>
  <c r="A43" i="49" l="1"/>
  <c r="A43" i="50"/>
  <c r="A44" i="49" l="1"/>
  <c r="A44" i="50"/>
  <c r="A45" i="49" l="1"/>
  <c r="A45" i="50"/>
  <c r="A46" i="49" l="1"/>
  <c r="A46" i="50"/>
  <c r="A47" i="49" l="1"/>
  <c r="A47" i="50"/>
  <c r="A48" i="49" l="1"/>
  <c r="A48" i="50"/>
  <c r="A49" i="49" l="1"/>
  <c r="A49" i="50"/>
  <c r="A50" i="49" l="1"/>
  <c r="A50" i="50"/>
  <c r="A51" i="49" l="1"/>
  <c r="A51" i="50"/>
  <c r="A52" i="49" l="1"/>
  <c r="A52" i="50"/>
  <c r="A53" i="49" l="1"/>
  <c r="A53" i="50"/>
  <c r="A54" i="49" l="1"/>
  <c r="A54" i="50"/>
  <c r="A55" i="49" l="1"/>
  <c r="A55" i="50"/>
  <c r="A56" i="49" l="1"/>
  <c r="A56" i="50"/>
  <c r="A57" i="49" l="1"/>
  <c r="A57" i="50"/>
  <c r="A58" i="49" l="1"/>
  <c r="A58" i="50"/>
  <c r="A59" i="49" l="1"/>
  <c r="A59" i="50"/>
  <c r="A60" i="49" l="1"/>
  <c r="A60" i="50"/>
  <c r="A61" i="49" l="1"/>
  <c r="A61" i="50"/>
  <c r="A62" i="49" l="1"/>
  <c r="A62" i="50"/>
  <c r="A63" i="49" l="1"/>
  <c r="A63" i="50"/>
  <c r="A64" i="49" l="1"/>
  <c r="A64" i="50"/>
  <c r="A65" i="49" l="1"/>
  <c r="A65" i="50"/>
  <c r="A66" i="49" l="1"/>
  <c r="A66" i="50"/>
  <c r="A67" i="49" l="1"/>
  <c r="A67" i="50"/>
  <c r="A68" i="49" l="1"/>
  <c r="A68" i="50"/>
  <c r="A69" i="49" l="1"/>
  <c r="A69" i="50"/>
  <c r="A70" i="49" l="1"/>
  <c r="A70" i="50"/>
  <c r="A71" i="49" l="1"/>
  <c r="A71" i="50"/>
  <c r="A72" i="49" l="1"/>
  <c r="A72" i="50"/>
  <c r="A73" i="49" l="1"/>
  <c r="A73" i="50"/>
  <c r="A74" i="49" l="1"/>
  <c r="A74" i="50"/>
  <c r="A75" i="49" l="1"/>
  <c r="A75" i="50"/>
  <c r="A76" i="49" l="1"/>
  <c r="A76" i="50"/>
  <c r="A77" i="49" l="1"/>
  <c r="A77" i="50"/>
  <c r="A78" i="49" l="1"/>
  <c r="A78" i="50"/>
  <c r="A79" i="49" l="1"/>
  <c r="A79" i="50"/>
  <c r="A80" i="49" l="1"/>
  <c r="A80" i="50"/>
  <c r="A81" i="49" l="1"/>
  <c r="A81" i="50"/>
  <c r="A82" i="49" l="1"/>
  <c r="A82" i="50"/>
  <c r="A83" i="49" l="1"/>
  <c r="A83" i="50"/>
  <c r="A84" i="49" l="1"/>
  <c r="A84" i="50"/>
  <c r="A85" i="49" l="1"/>
  <c r="A85" i="50"/>
  <c r="A86" i="49" l="1"/>
  <c r="A86" i="50"/>
  <c r="A87" i="49" l="1"/>
  <c r="A87" i="50"/>
  <c r="A88" i="49" l="1"/>
  <c r="A88" i="50"/>
  <c r="A89" i="49" l="1"/>
  <c r="A89" i="50"/>
  <c r="A90" i="49" l="1"/>
  <c r="A90" i="50"/>
  <c r="A91" i="49" l="1"/>
  <c r="A91" i="50"/>
  <c r="A92" i="49" l="1"/>
  <c r="A92" i="50"/>
  <c r="A93" i="49" l="1"/>
  <c r="A93" i="50"/>
  <c r="A94" i="49" l="1"/>
  <c r="A94" i="50"/>
  <c r="A95" i="49" l="1"/>
  <c r="A95" i="50"/>
  <c r="A96" i="49" l="1"/>
  <c r="A96" i="50"/>
  <c r="A97" i="49" l="1"/>
  <c r="A97" i="50"/>
  <c r="A98" i="49" l="1"/>
  <c r="A98" i="50"/>
  <c r="A99" i="49" l="1"/>
  <c r="A99" i="50"/>
  <c r="A100" i="49" l="1"/>
  <c r="A100" i="50"/>
  <c r="A101" i="49" l="1"/>
  <c r="A101" i="50"/>
  <c r="A102" i="49" l="1"/>
  <c r="A102" i="50"/>
  <c r="A103" i="49" l="1"/>
  <c r="A103" i="50"/>
  <c r="A104" i="49" l="1"/>
  <c r="A104" i="50"/>
  <c r="A105" i="49" l="1"/>
  <c r="A105" i="50"/>
  <c r="A106" i="49" l="1"/>
  <c r="A106" i="50"/>
  <c r="A107" i="49" l="1"/>
  <c r="A107" i="50"/>
  <c r="A108" i="49" l="1"/>
  <c r="A108" i="50"/>
  <c r="A109" i="49" l="1"/>
  <c r="A109" i="50"/>
  <c r="A110" i="49" l="1"/>
  <c r="A110" i="50"/>
  <c r="A111" i="49" l="1"/>
  <c r="A111" i="50"/>
  <c r="A112" i="49" l="1"/>
  <c r="A112" i="50"/>
  <c r="A113" i="49" l="1"/>
  <c r="A113" i="50"/>
  <c r="A114" i="49" l="1"/>
  <c r="A114" i="50"/>
  <c r="A115" i="49" l="1"/>
  <c r="A115" i="50"/>
  <c r="A116" i="49" l="1"/>
  <c r="A116" i="50"/>
  <c r="A117" i="49" l="1"/>
  <c r="A117" i="50"/>
  <c r="A118" i="49" l="1"/>
  <c r="A118" i="50"/>
  <c r="A119" i="49" l="1"/>
  <c r="A119" i="50"/>
  <c r="A120" i="49" l="1"/>
  <c r="A120" i="50"/>
  <c r="A121" i="49" l="1"/>
  <c r="A121" i="50"/>
  <c r="A122" i="49" l="1"/>
  <c r="A122" i="50"/>
  <c r="A123" i="49" l="1"/>
  <c r="A123" i="50"/>
  <c r="A124" i="49" l="1"/>
  <c r="A124" i="50"/>
  <c r="A125" i="49" l="1"/>
  <c r="A125" i="50"/>
  <c r="A126" i="49" l="1"/>
  <c r="A126" i="50"/>
  <c r="A127" i="49" l="1"/>
  <c r="A127" i="50"/>
  <c r="A128" i="49" l="1"/>
  <c r="A128" i="50"/>
  <c r="A129" i="49" l="1"/>
  <c r="A129" i="50"/>
  <c r="A130" i="49" l="1"/>
  <c r="A130" i="50"/>
  <c r="A131" i="49" l="1"/>
  <c r="A131" i="50"/>
  <c r="A132" i="49" l="1"/>
  <c r="A132" i="50"/>
  <c r="A133" i="49" l="1"/>
  <c r="A133" i="50"/>
  <c r="A134" i="49" l="1"/>
  <c r="A134" i="50"/>
  <c r="A135" i="49" l="1"/>
  <c r="A135" i="50"/>
  <c r="A136" i="49" l="1"/>
  <c r="A136" i="50"/>
  <c r="A137" i="49" l="1"/>
  <c r="A137" i="50"/>
  <c r="A138" i="49" l="1"/>
  <c r="A138" i="50"/>
  <c r="A139" i="49" l="1"/>
  <c r="A139" i="50"/>
  <c r="A140" i="49" l="1"/>
  <c r="A140" i="50"/>
  <c r="A141" i="49" l="1"/>
  <c r="A141" i="50"/>
  <c r="A142" i="49" l="1"/>
  <c r="A142" i="50"/>
  <c r="A143" i="49" l="1"/>
  <c r="A143" i="50"/>
  <c r="A144" i="49" l="1"/>
  <c r="A144" i="50"/>
  <c r="A145" i="49" l="1"/>
  <c r="A145" i="50"/>
  <c r="A146" i="49" l="1"/>
  <c r="A146" i="50"/>
  <c r="A147" i="49" l="1"/>
  <c r="A147" i="50"/>
  <c r="A148" i="49" l="1"/>
  <c r="A148" i="50"/>
  <c r="A149" i="49" l="1"/>
  <c r="A149" i="50"/>
  <c r="A150" i="49" l="1"/>
  <c r="A150" i="50"/>
  <c r="A151" i="49" l="1"/>
  <c r="A151" i="50"/>
  <c r="A152" i="49" l="1"/>
  <c r="A152" i="50"/>
  <c r="A153" i="49" l="1"/>
  <c r="A153" i="50"/>
  <c r="A154" i="49" l="1"/>
  <c r="A154" i="50"/>
  <c r="A155" i="49" l="1"/>
  <c r="A155" i="50"/>
  <c r="A156" i="49" l="1"/>
  <c r="A156" i="50"/>
  <c r="A157" i="49" l="1"/>
  <c r="A157" i="50"/>
  <c r="A158" i="49" l="1"/>
  <c r="A158" i="50"/>
  <c r="A159" i="49" l="1"/>
  <c r="A159" i="50"/>
  <c r="A160" i="49" l="1"/>
  <c r="A160" i="50"/>
  <c r="A161" i="49" l="1"/>
  <c r="A161" i="50"/>
  <c r="A162" i="49" l="1"/>
  <c r="A162" i="50"/>
  <c r="A163" i="49" l="1"/>
  <c r="A163" i="50"/>
  <c r="A164" i="49" l="1"/>
  <c r="A164" i="50"/>
  <c r="A165" i="49" l="1"/>
  <c r="A165" i="50"/>
  <c r="A166" i="49" l="1"/>
  <c r="A166" i="50"/>
  <c r="A167" i="49" l="1"/>
  <c r="A167" i="50"/>
  <c r="A168" i="49" l="1"/>
  <c r="A168" i="50"/>
  <c r="A169" i="49" l="1"/>
  <c r="A169" i="50"/>
  <c r="A170" i="49" l="1"/>
  <c r="A170" i="50"/>
  <c r="A171" i="49" l="1"/>
  <c r="A171" i="50"/>
  <c r="A172" i="49" l="1"/>
  <c r="A172" i="50"/>
  <c r="A173" i="49" l="1"/>
  <c r="A173" i="50"/>
  <c r="A174" i="49" l="1"/>
  <c r="A174" i="50"/>
  <c r="A175" i="49" l="1"/>
  <c r="A175" i="50"/>
  <c r="A176" i="49" l="1"/>
  <c r="A176" i="50"/>
  <c r="A177" i="49" l="1"/>
  <c r="A177" i="50"/>
  <c r="A178" i="49" l="1"/>
  <c r="A178" i="50"/>
  <c r="A179" i="49" l="1"/>
  <c r="A179" i="50"/>
  <c r="A180" i="49" l="1"/>
  <c r="A180" i="50"/>
  <c r="A181" i="49" l="1"/>
  <c r="A181" i="50"/>
  <c r="A182" i="49" l="1"/>
  <c r="A182" i="50"/>
  <c r="A183" i="49" l="1"/>
  <c r="A183" i="50"/>
  <c r="A184" i="49" l="1"/>
  <c r="A184" i="50"/>
  <c r="A185" i="49" l="1"/>
  <c r="A185" i="50"/>
  <c r="A186" i="49" l="1"/>
  <c r="A186" i="50"/>
  <c r="A187" i="49" l="1"/>
  <c r="A187" i="50"/>
  <c r="A188" i="49" l="1"/>
  <c r="A188" i="50"/>
  <c r="A189" i="49" l="1"/>
  <c r="A189" i="50"/>
  <c r="A190" i="49" l="1"/>
  <c r="A190" i="50"/>
  <c r="A191" i="49" l="1"/>
  <c r="A191" i="50"/>
  <c r="A192" i="49" l="1"/>
  <c r="A192" i="50"/>
  <c r="A193" i="49" l="1"/>
  <c r="A193" i="50"/>
  <c r="A194" i="49" l="1"/>
  <c r="A194" i="50"/>
  <c r="A195" i="49" l="1"/>
  <c r="A195" i="50"/>
  <c r="A196" i="49" l="1"/>
  <c r="A196" i="50"/>
  <c r="A197" i="49" l="1"/>
  <c r="A197" i="50"/>
  <c r="A198" i="49" l="1"/>
  <c r="A198" i="50"/>
  <c r="A199" i="49" l="1"/>
  <c r="A199" i="50"/>
  <c r="A200" i="49" l="1"/>
  <c r="A200" i="50"/>
  <c r="A201" i="49" l="1"/>
  <c r="A201" i="50"/>
  <c r="A202" i="49" l="1"/>
  <c r="A202" i="50"/>
  <c r="A203" i="49" l="1"/>
  <c r="A203" i="50"/>
  <c r="A204" i="49" l="1"/>
  <c r="A204" i="50"/>
  <c r="A205" i="49" l="1"/>
  <c r="A205" i="50"/>
  <c r="A206" i="49" l="1"/>
  <c r="A206" i="50"/>
  <c r="A207" i="49" l="1"/>
  <c r="A207" i="50"/>
  <c r="A208" i="49" l="1"/>
  <c r="A208" i="50"/>
  <c r="A209" i="49" l="1"/>
  <c r="A209" i="50"/>
  <c r="A210" i="49" l="1"/>
  <c r="A210" i="50"/>
  <c r="A211" i="49" l="1"/>
  <c r="A211" i="50"/>
  <c r="A212" i="49" l="1"/>
  <c r="A212" i="50"/>
  <c r="A213" i="49" l="1"/>
  <c r="A213" i="50"/>
  <c r="A214" i="49" l="1"/>
  <c r="A214" i="50"/>
  <c r="A215" i="49" l="1"/>
  <c r="A215" i="50"/>
  <c r="A216" i="49" l="1"/>
  <c r="A216" i="50"/>
  <c r="A217" i="49" l="1"/>
  <c r="A217" i="50"/>
  <c r="A218" i="49" l="1"/>
  <c r="A218" i="50"/>
  <c r="A219" i="49" l="1"/>
  <c r="A219" i="50"/>
  <c r="A220" i="49" l="1"/>
  <c r="A220" i="50"/>
  <c r="A221" i="49" l="1"/>
  <c r="A221" i="50"/>
  <c r="A222" i="49" l="1"/>
  <c r="A222" i="50"/>
  <c r="A223" i="49" l="1"/>
  <c r="A223" i="50"/>
  <c r="A224" i="49" l="1"/>
  <c r="A224" i="50"/>
  <c r="A225" i="49" l="1"/>
  <c r="A225" i="50"/>
  <c r="A226" i="49" l="1"/>
  <c r="A226" i="50"/>
  <c r="A227" i="49" l="1"/>
  <c r="A227" i="50"/>
  <c r="A228" i="49" l="1"/>
  <c r="A228" i="50"/>
  <c r="A229" i="49" l="1"/>
  <c r="A229" i="50"/>
  <c r="A230" i="49" l="1"/>
  <c r="A230" i="50"/>
  <c r="A231" i="49" l="1"/>
  <c r="A231" i="50"/>
  <c r="A232" i="49" l="1"/>
  <c r="A232" i="50"/>
  <c r="A233" i="49" l="1"/>
  <c r="A233" i="50"/>
  <c r="A234" i="49" l="1"/>
  <c r="A234" i="50"/>
  <c r="A235" i="49" l="1"/>
  <c r="A235" i="50"/>
  <c r="A236" i="49" l="1"/>
  <c r="A236" i="50"/>
  <c r="A237" i="49" l="1"/>
  <c r="A237" i="50"/>
  <c r="A238" i="49" l="1"/>
  <c r="A238" i="50"/>
  <c r="A239" i="49" l="1"/>
  <c r="A239" i="50"/>
  <c r="A240" i="49" l="1"/>
  <c r="A240" i="50"/>
  <c r="A241" i="49" l="1"/>
  <c r="A241" i="50"/>
  <c r="A242" i="49" l="1"/>
  <c r="A242" i="50"/>
  <c r="A243" i="49" l="1"/>
  <c r="A243" i="50"/>
  <c r="A244" i="49" l="1"/>
  <c r="A244" i="50"/>
  <c r="A245" i="49" l="1"/>
  <c r="A245" i="50"/>
  <c r="A246" i="49" l="1"/>
  <c r="A246" i="50"/>
  <c r="A247" i="49" l="1"/>
  <c r="A247" i="50"/>
  <c r="A248" i="49" l="1"/>
  <c r="A248" i="50"/>
  <c r="A249" i="49" l="1"/>
  <c r="A249" i="50"/>
  <c r="A250" i="49" l="1"/>
  <c r="A250" i="50"/>
  <c r="A251" i="49" l="1"/>
  <c r="A251" i="50"/>
  <c r="A252" i="49" l="1"/>
  <c r="A252" i="50"/>
  <c r="A253" i="49" l="1"/>
  <c r="A253" i="50"/>
  <c r="A254" i="49" l="1"/>
  <c r="A254" i="50"/>
  <c r="A255" i="49" l="1"/>
  <c r="A255" i="50"/>
  <c r="A256" i="49" l="1"/>
  <c r="A256" i="50"/>
  <c r="A257" i="49" l="1"/>
  <c r="A257" i="50"/>
  <c r="A258" i="49" l="1"/>
  <c r="A258" i="50"/>
  <c r="A259" i="49" l="1"/>
  <c r="A259" i="50"/>
  <c r="A260" i="49" l="1"/>
  <c r="A260" i="50"/>
  <c r="A261" i="49" l="1"/>
  <c r="A261" i="50"/>
  <c r="A262" i="49" l="1"/>
  <c r="A262" i="50"/>
  <c r="A263" i="49" l="1"/>
  <c r="A263" i="50"/>
  <c r="A264" i="49" l="1"/>
  <c r="A264" i="50"/>
  <c r="A265" i="49" l="1"/>
  <c r="A265" i="50"/>
  <c r="A266" i="49" l="1"/>
  <c r="A266" i="50"/>
  <c r="A267" i="49" l="1"/>
  <c r="A267" i="50"/>
  <c r="A268" i="49" l="1"/>
  <c r="A268" i="50"/>
  <c r="A269" i="49" l="1"/>
  <c r="A269" i="50"/>
  <c r="A270" i="49" l="1"/>
  <c r="A270" i="50"/>
  <c r="A271" i="49" l="1"/>
  <c r="A271" i="50"/>
  <c r="A272" i="49" l="1"/>
  <c r="A272" i="50"/>
  <c r="A273" i="49" l="1"/>
  <c r="A273" i="50"/>
  <c r="A274" i="49" l="1"/>
  <c r="A274" i="50"/>
  <c r="A275" i="49" l="1"/>
  <c r="A275" i="50"/>
  <c r="A276" i="49" l="1"/>
  <c r="A276" i="50"/>
  <c r="A277" i="49" l="1"/>
  <c r="A277" i="50"/>
  <c r="A278" i="49" l="1"/>
  <c r="A278" i="50"/>
  <c r="A279" i="49" l="1"/>
  <c r="A279" i="50"/>
  <c r="A280" i="49" l="1"/>
  <c r="A280" i="50"/>
  <c r="A281" i="49" l="1"/>
  <c r="A281" i="50"/>
  <c r="A282" i="49" l="1"/>
  <c r="A282" i="50"/>
  <c r="A283" i="49" l="1"/>
  <c r="A283" i="50"/>
  <c r="A284" i="49" l="1"/>
  <c r="A284" i="50"/>
  <c r="A285" i="49" l="1"/>
  <c r="A285" i="50"/>
  <c r="A286" i="49" l="1"/>
  <c r="A286" i="50"/>
  <c r="A287" i="49" l="1"/>
  <c r="A287" i="50"/>
  <c r="A288" i="49" l="1"/>
  <c r="A288" i="50"/>
  <c r="A289" i="49" l="1"/>
  <c r="A289" i="50"/>
  <c r="A290" i="49" l="1"/>
  <c r="A290" i="50"/>
  <c r="A291" i="49" l="1"/>
  <c r="A291" i="50"/>
  <c r="A292" i="49" l="1"/>
  <c r="A292" i="50"/>
  <c r="A293" i="49" l="1"/>
  <c r="A293" i="50"/>
  <c r="A294" i="49" l="1"/>
  <c r="A294" i="50"/>
  <c r="A295" i="49" l="1"/>
  <c r="A295" i="50"/>
  <c r="A296" i="49" l="1"/>
  <c r="A296" i="50"/>
  <c r="A297" i="49" l="1"/>
  <c r="A297" i="50"/>
  <c r="A298" i="49" l="1"/>
  <c r="A298" i="50"/>
  <c r="A299" i="49" l="1"/>
  <c r="A299" i="50"/>
  <c r="A300" i="49" l="1"/>
  <c r="A300" i="50"/>
  <c r="A301" i="49" l="1"/>
  <c r="A301" i="50"/>
  <c r="A302" i="49" l="1"/>
  <c r="A302" i="50"/>
  <c r="A303" i="49" l="1"/>
  <c r="A303" i="50"/>
  <c r="A304" i="49" l="1"/>
  <c r="A304" i="50"/>
  <c r="A305" i="49" l="1"/>
  <c r="A305" i="50"/>
  <c r="A306" i="49" l="1"/>
  <c r="A306" i="50"/>
  <c r="A307" i="49" l="1"/>
  <c r="A307" i="50"/>
  <c r="A308" i="49" l="1"/>
  <c r="A308" i="50"/>
  <c r="A309" i="49" l="1"/>
  <c r="A309" i="50"/>
  <c r="A310" i="49" l="1"/>
  <c r="A310" i="50"/>
  <c r="A311" i="49" l="1"/>
  <c r="A311" i="50"/>
  <c r="A312" i="49" l="1"/>
  <c r="A312" i="50"/>
  <c r="A313" i="49" l="1"/>
  <c r="A313" i="50"/>
  <c r="A314" i="49" l="1"/>
  <c r="A314" i="50"/>
  <c r="A315" i="49" l="1"/>
  <c r="A315" i="50"/>
  <c r="A316" i="49" l="1"/>
  <c r="A316" i="50"/>
  <c r="A317" i="49" l="1"/>
  <c r="A317" i="50"/>
  <c r="A318" i="49" l="1"/>
  <c r="A318" i="50"/>
  <c r="A319" i="49" l="1"/>
  <c r="A319" i="50"/>
  <c r="A320" i="49" l="1"/>
  <c r="A320" i="50"/>
  <c r="A321" i="49" l="1"/>
  <c r="A321" i="50"/>
  <c r="A322" i="49" l="1"/>
  <c r="A322" i="50"/>
  <c r="A323" i="49" l="1"/>
  <c r="A323" i="50"/>
  <c r="A324" i="49" l="1"/>
  <c r="A324" i="50"/>
  <c r="A325" i="49" l="1"/>
  <c r="A325" i="50"/>
  <c r="A326" i="49" l="1"/>
  <c r="A326" i="50"/>
  <c r="A327" i="49" l="1"/>
  <c r="A327" i="50"/>
  <c r="A328" i="49" l="1"/>
  <c r="A328" i="50"/>
  <c r="A329" i="49" l="1"/>
  <c r="A329" i="50"/>
  <c r="A330" i="49" l="1"/>
  <c r="A330" i="50"/>
  <c r="A331" i="49" l="1"/>
  <c r="A331" i="50"/>
  <c r="A332" i="49" l="1"/>
  <c r="A332" i="50"/>
  <c r="A333" i="49" l="1"/>
  <c r="A333" i="50"/>
  <c r="A334" i="49" l="1"/>
  <c r="A334" i="50"/>
  <c r="A335" i="49" l="1"/>
  <c r="A335" i="50"/>
  <c r="A336" i="49" l="1"/>
  <c r="A336" i="50"/>
  <c r="A337" i="49" l="1"/>
  <c r="A337" i="50"/>
  <c r="A338" i="49" l="1"/>
  <c r="A338" i="50"/>
  <c r="A339" i="49" l="1"/>
  <c r="A339" i="50"/>
  <c r="A340" i="49" l="1"/>
  <c r="A340" i="50"/>
  <c r="A341" i="49" l="1"/>
  <c r="A341" i="50"/>
  <c r="A342" i="49" l="1"/>
  <c r="A342" i="50"/>
  <c r="A343" i="49" l="1"/>
  <c r="A343" i="50"/>
  <c r="A344" i="49" l="1"/>
  <c r="A344" i="50"/>
  <c r="A345" i="49" l="1"/>
  <c r="A345" i="50"/>
  <c r="A346" i="49" l="1"/>
  <c r="A346" i="50"/>
  <c r="A347" i="49" l="1"/>
  <c r="A347" i="50"/>
  <c r="A348" i="49" l="1"/>
  <c r="A348" i="50"/>
  <c r="A349" i="49" l="1"/>
  <c r="A349" i="50"/>
  <c r="A350" i="49" l="1"/>
  <c r="A350" i="50"/>
  <c r="A351" i="49" l="1"/>
  <c r="A351" i="50"/>
  <c r="A352" i="49" l="1"/>
  <c r="A352" i="50"/>
  <c r="A353" i="49" l="1"/>
  <c r="A353" i="50"/>
  <c r="A354" i="49" l="1"/>
  <c r="A354" i="50"/>
  <c r="A355" i="49" l="1"/>
  <c r="A355" i="50"/>
  <c r="A356" i="49" l="1"/>
  <c r="A356" i="50"/>
  <c r="A357" i="49" l="1"/>
  <c r="A357" i="50"/>
  <c r="A358" i="49" l="1"/>
  <c r="A358" i="50"/>
  <c r="A359" i="49" l="1"/>
  <c r="A359" i="50"/>
  <c r="A360" i="49" l="1"/>
  <c r="A360" i="50"/>
  <c r="A361" i="49" l="1"/>
  <c r="A361" i="50"/>
  <c r="A362" i="49" l="1"/>
  <c r="A362" i="50"/>
  <c r="A363" i="49" l="1"/>
  <c r="A363" i="50"/>
  <c r="A364" i="49" l="1"/>
  <c r="A364" i="50"/>
  <c r="A365" i="49" l="1"/>
  <c r="A365" i="50"/>
  <c r="A366" i="49" l="1"/>
  <c r="A366" i="50"/>
  <c r="A367" i="49" l="1"/>
  <c r="A367" i="50"/>
  <c r="A368" i="49" l="1"/>
  <c r="A368" i="50"/>
  <c r="A369" i="49" l="1"/>
  <c r="A369" i="50"/>
  <c r="A370" i="49" l="1"/>
  <c r="A370" i="50"/>
  <c r="A371" i="49" l="1"/>
  <c r="A371" i="50"/>
  <c r="A372" i="49" l="1"/>
  <c r="A372" i="50"/>
  <c r="A373" i="49" l="1"/>
  <c r="A373" i="50"/>
  <c r="A374" i="49" l="1"/>
  <c r="A374" i="50"/>
  <c r="A375" i="49" l="1"/>
  <c r="A375" i="50"/>
  <c r="A376" i="49" l="1"/>
  <c r="A376" i="50"/>
  <c r="A377" i="49" l="1"/>
  <c r="A377" i="50"/>
  <c r="A378" i="49" l="1"/>
  <c r="A378" i="50"/>
  <c r="A379" i="49" l="1"/>
  <c r="A379" i="50"/>
  <c r="A380" i="49" l="1"/>
  <c r="A380" i="50"/>
  <c r="A381" i="49" l="1"/>
  <c r="A381" i="50"/>
  <c r="A382" i="49" l="1"/>
  <c r="A382" i="50"/>
  <c r="A383" i="49" l="1"/>
  <c r="A383" i="50"/>
  <c r="A384" i="49" l="1"/>
  <c r="A384" i="50"/>
  <c r="A385" i="49" l="1"/>
  <c r="A385" i="50"/>
  <c r="A386" i="49" l="1"/>
  <c r="A386" i="50"/>
  <c r="A387" i="49" l="1"/>
  <c r="A387" i="50"/>
  <c r="A388" i="49" l="1"/>
  <c r="A388" i="50"/>
  <c r="A389" i="49" l="1"/>
  <c r="A389" i="50"/>
  <c r="A390" i="49" l="1"/>
  <c r="A390" i="50"/>
  <c r="A391" i="49" l="1"/>
  <c r="A391" i="50"/>
  <c r="A392" i="49" l="1"/>
  <c r="A392" i="50"/>
  <c r="A393" i="49" l="1"/>
  <c r="A393" i="50"/>
  <c r="A394" i="49" l="1"/>
  <c r="A394" i="50"/>
  <c r="A395" i="49" l="1"/>
  <c r="A395" i="50"/>
  <c r="A396" i="49" l="1"/>
  <c r="A396" i="50"/>
  <c r="A397" i="49" l="1"/>
  <c r="A397" i="50"/>
  <c r="A398" i="49" l="1"/>
  <c r="A398" i="50"/>
  <c r="A399" i="49" l="1"/>
  <c r="A399" i="50"/>
  <c r="A400" i="49" l="1"/>
  <c r="A400" i="50"/>
  <c r="A401" i="49" l="1"/>
  <c r="A401" i="50"/>
  <c r="A402" i="49" l="1"/>
  <c r="A402" i="50"/>
  <c r="A403" i="49" l="1"/>
  <c r="A403" i="50"/>
  <c r="A404" i="49" l="1"/>
  <c r="A404" i="50"/>
  <c r="A405" i="49" l="1"/>
  <c r="A405" i="50"/>
  <c r="A406" i="49" l="1"/>
  <c r="A406" i="50"/>
  <c r="A407" i="49" l="1"/>
  <c r="A407" i="50"/>
  <c r="A408" i="49" l="1"/>
  <c r="A408" i="50"/>
  <c r="A409" i="49" l="1"/>
  <c r="A409" i="50"/>
  <c r="A410" i="49" l="1"/>
  <c r="A410" i="50"/>
  <c r="A411" i="49" l="1"/>
  <c r="A411" i="50"/>
  <c r="A412" i="49" l="1"/>
  <c r="A412" i="50"/>
  <c r="A413" i="49" l="1"/>
  <c r="A413" i="50"/>
  <c r="A414" i="49" l="1"/>
  <c r="A414" i="50"/>
  <c r="A415" i="49" l="1"/>
  <c r="A415" i="50"/>
  <c r="A416" i="49" l="1"/>
  <c r="A416" i="50"/>
  <c r="A417" i="49" l="1"/>
  <c r="A417" i="50"/>
  <c r="A418" i="49" l="1"/>
  <c r="A418" i="50"/>
  <c r="A419" i="49" l="1"/>
  <c r="A419" i="50"/>
  <c r="A420" i="49" l="1"/>
  <c r="A420" i="50"/>
  <c r="A421" i="49" l="1"/>
  <c r="A421" i="50"/>
  <c r="A422" i="49" l="1"/>
  <c r="A422" i="50"/>
  <c r="A423" i="49" l="1"/>
  <c r="A423" i="50"/>
  <c r="A424" i="49" l="1"/>
  <c r="A424" i="50"/>
  <c r="A425" i="49" l="1"/>
  <c r="A425" i="50"/>
  <c r="A426" i="49" l="1"/>
  <c r="A426" i="50"/>
  <c r="A427" i="49" l="1"/>
  <c r="A427" i="50"/>
  <c r="A428" i="49" l="1"/>
  <c r="A428" i="50"/>
  <c r="A429" i="49" l="1"/>
  <c r="A429" i="50"/>
  <c r="A430" i="49" l="1"/>
  <c r="A430" i="50"/>
  <c r="A431" i="49" l="1"/>
  <c r="A431" i="50"/>
  <c r="A432" i="49" l="1"/>
  <c r="A432" i="50"/>
  <c r="A433" i="49" l="1"/>
  <c r="A433" i="50"/>
  <c r="A434" i="49" l="1"/>
  <c r="A434" i="50"/>
  <c r="A435" i="49" l="1"/>
  <c r="A435" i="50"/>
  <c r="A436" i="49" l="1"/>
  <c r="A436" i="50"/>
  <c r="A437" i="49" l="1"/>
  <c r="A437" i="50"/>
  <c r="A438" i="49" l="1"/>
  <c r="A438" i="50"/>
  <c r="A439" i="49" l="1"/>
  <c r="A439" i="50"/>
  <c r="A440" i="49" l="1"/>
  <c r="A440" i="50"/>
  <c r="A441" i="49" l="1"/>
  <c r="A441" i="50"/>
  <c r="A442" i="49" l="1"/>
  <c r="A442" i="50"/>
  <c r="A443" i="49" l="1"/>
  <c r="A443" i="50"/>
  <c r="A444" i="49" l="1"/>
  <c r="A444" i="50"/>
  <c r="A445" i="49" l="1"/>
  <c r="A445" i="50"/>
  <c r="A446" i="49" l="1"/>
  <c r="A446" i="50"/>
  <c r="A447" i="49" l="1"/>
  <c r="A447" i="50"/>
  <c r="A448" i="49" l="1"/>
  <c r="A448" i="50"/>
  <c r="A449" i="49" l="1"/>
  <c r="A449" i="50"/>
  <c r="A450" i="49" l="1"/>
  <c r="A450" i="50"/>
  <c r="A451" i="49" l="1"/>
  <c r="A451" i="50"/>
  <c r="A452" i="49" l="1"/>
  <c r="A452" i="50"/>
  <c r="A453" i="49" l="1"/>
  <c r="A453" i="50"/>
  <c r="A454" i="49" l="1"/>
  <c r="A454" i="50"/>
  <c r="A455" i="49" l="1"/>
  <c r="A455" i="50"/>
  <c r="A456" i="49" l="1"/>
  <c r="A456" i="50"/>
  <c r="A457" i="49" l="1"/>
  <c r="A457" i="50"/>
  <c r="A458" i="49" l="1"/>
  <c r="A458" i="50"/>
  <c r="A459" i="49" l="1"/>
  <c r="A459" i="50"/>
  <c r="A460" i="49" l="1"/>
  <c r="A460" i="50"/>
  <c r="A461" i="49" l="1"/>
  <c r="A461" i="50"/>
  <c r="A462" i="49" l="1"/>
  <c r="A462" i="50"/>
  <c r="A463" i="49" l="1"/>
  <c r="A463" i="50"/>
  <c r="A464" i="49" l="1"/>
  <c r="A464" i="50"/>
  <c r="A465" i="49" l="1"/>
  <c r="A465" i="50"/>
  <c r="A466" i="49" l="1"/>
  <c r="A466" i="50"/>
  <c r="A467" i="49" l="1"/>
  <c r="A467" i="50"/>
  <c r="A468" i="49" l="1"/>
  <c r="A468" i="50"/>
  <c r="A469" i="49" l="1"/>
  <c r="A469" i="50"/>
  <c r="A470" i="49" l="1"/>
  <c r="A470" i="50"/>
  <c r="A471" i="49" l="1"/>
  <c r="A471" i="50"/>
  <c r="A472" i="49" l="1"/>
  <c r="A472" i="50"/>
  <c r="A473" i="49" l="1"/>
  <c r="A473" i="50"/>
  <c r="A474" i="49" l="1"/>
  <c r="A474" i="50"/>
  <c r="A475" i="49" l="1"/>
  <c r="A475" i="50"/>
  <c r="A476" i="49" l="1"/>
  <c r="A476" i="50"/>
  <c r="A477" i="49" l="1"/>
  <c r="A477" i="50"/>
  <c r="A478" i="49" l="1"/>
  <c r="A478" i="50"/>
  <c r="A479" i="49" l="1"/>
  <c r="A479" i="50"/>
  <c r="A480" i="49" l="1"/>
  <c r="A480" i="50"/>
  <c r="A481" i="49" l="1"/>
  <c r="A481" i="50"/>
  <c r="A482" i="49" l="1"/>
  <c r="A482" i="50"/>
  <c r="A483" i="49" l="1"/>
  <c r="A483" i="50"/>
  <c r="A484" i="49" l="1"/>
  <c r="A484" i="50"/>
  <c r="A485" i="49" l="1"/>
  <c r="A485" i="50"/>
  <c r="A486" i="49" l="1"/>
  <c r="A486" i="50"/>
  <c r="A487" i="49" l="1"/>
  <c r="A487" i="50"/>
  <c r="A488" i="49" l="1"/>
  <c r="A488" i="50"/>
  <c r="A489" i="49" l="1"/>
  <c r="A489" i="50"/>
  <c r="A490" i="49" l="1"/>
  <c r="A490" i="50"/>
  <c r="A491" i="49" l="1"/>
  <c r="A491" i="50"/>
  <c r="A492" i="49" l="1"/>
  <c r="A492" i="50"/>
  <c r="D24" i="48" l="1"/>
  <c r="M24" i="48" s="1"/>
  <c r="M23" i="48"/>
  <c r="C21" i="48"/>
  <c r="H17" i="48" s="1"/>
  <c r="H13" i="48"/>
  <c r="G13" i="48"/>
  <c r="F13" i="48"/>
  <c r="I36" i="48"/>
  <c r="H36" i="48" s="1"/>
  <c r="I35" i="48"/>
  <c r="H35" i="48" s="1"/>
  <c r="I34" i="48"/>
  <c r="I31" i="48"/>
  <c r="G31" i="48" s="1"/>
  <c r="I29" i="48"/>
  <c r="G29" i="48" s="1"/>
  <c r="I27" i="48"/>
  <c r="H16" i="48"/>
  <c r="G16" i="48"/>
  <c r="B7" i="50" s="1"/>
  <c r="F16" i="48"/>
  <c r="B7" i="49" s="1"/>
  <c r="C16" i="48"/>
  <c r="B12" i="51" l="1"/>
  <c r="C47" i="48"/>
  <c r="H31" i="48"/>
  <c r="H37" i="48"/>
  <c r="H29" i="48"/>
  <c r="F35" i="48"/>
  <c r="F36" i="48"/>
  <c r="F31" i="48"/>
  <c r="G36" i="48"/>
  <c r="F7" i="48"/>
  <c r="B13" i="50"/>
  <c r="B14" i="50" s="1"/>
  <c r="B15" i="50" s="1"/>
  <c r="B16" i="50" s="1"/>
  <c r="B17" i="50" s="1"/>
  <c r="B18" i="50" s="1"/>
  <c r="B19" i="50" s="1"/>
  <c r="B20" i="50" s="1"/>
  <c r="B21" i="50" s="1"/>
  <c r="B22" i="50" s="1"/>
  <c r="B23" i="50" s="1"/>
  <c r="B24" i="50" s="1"/>
  <c r="B25" i="50" s="1"/>
  <c r="B26" i="50" s="1"/>
  <c r="B27" i="50" s="1"/>
  <c r="B28" i="50" s="1"/>
  <c r="B29" i="50" s="1"/>
  <c r="B30" i="50" s="1"/>
  <c r="B31" i="50" s="1"/>
  <c r="B32" i="50" s="1"/>
  <c r="B33" i="50" s="1"/>
  <c r="B34" i="50" s="1"/>
  <c r="B35" i="50" s="1"/>
  <c r="B36" i="50" s="1"/>
  <c r="B37" i="50" s="1"/>
  <c r="B38" i="50" s="1"/>
  <c r="B39" i="50" s="1"/>
  <c r="B40" i="50" s="1"/>
  <c r="B41" i="50" s="1"/>
  <c r="B42" i="50" s="1"/>
  <c r="B43" i="50" s="1"/>
  <c r="B44" i="50" s="1"/>
  <c r="B45" i="50" s="1"/>
  <c r="B46" i="50" s="1"/>
  <c r="B47" i="50" s="1"/>
  <c r="B48" i="50" s="1"/>
  <c r="B49" i="50" s="1"/>
  <c r="B50" i="50" s="1"/>
  <c r="B51" i="50" s="1"/>
  <c r="B52" i="50" s="1"/>
  <c r="B53" i="50" s="1"/>
  <c r="B54" i="50" s="1"/>
  <c r="B55" i="50" s="1"/>
  <c r="B56" i="50" s="1"/>
  <c r="B57" i="50" s="1"/>
  <c r="B58" i="50" s="1"/>
  <c r="B59" i="50" s="1"/>
  <c r="B60" i="50" s="1"/>
  <c r="B61" i="50" s="1"/>
  <c r="B62" i="50" s="1"/>
  <c r="B63" i="50" s="1"/>
  <c r="B64" i="50" s="1"/>
  <c r="B65" i="50" s="1"/>
  <c r="B66" i="50" s="1"/>
  <c r="B67" i="50" s="1"/>
  <c r="B68" i="50" s="1"/>
  <c r="B69" i="50" s="1"/>
  <c r="B70" i="50" s="1"/>
  <c r="B71" i="50" s="1"/>
  <c r="B72" i="50" s="1"/>
  <c r="B73" i="50" s="1"/>
  <c r="B74" i="50" s="1"/>
  <c r="B75" i="50" s="1"/>
  <c r="B76" i="50" s="1"/>
  <c r="B77" i="50" s="1"/>
  <c r="B78" i="50" s="1"/>
  <c r="B79" i="50" s="1"/>
  <c r="B80" i="50" s="1"/>
  <c r="B81" i="50" s="1"/>
  <c r="B82" i="50" s="1"/>
  <c r="B83" i="50" s="1"/>
  <c r="B84" i="50" s="1"/>
  <c r="B85" i="50" s="1"/>
  <c r="B86" i="50" s="1"/>
  <c r="B87" i="50" s="1"/>
  <c r="B88" i="50" s="1"/>
  <c r="B89" i="50" s="1"/>
  <c r="B90" i="50" s="1"/>
  <c r="B91" i="50" s="1"/>
  <c r="B92" i="50" s="1"/>
  <c r="B93" i="50" s="1"/>
  <c r="B94" i="50" s="1"/>
  <c r="B95" i="50" s="1"/>
  <c r="B96" i="50" s="1"/>
  <c r="B97" i="50" s="1"/>
  <c r="B98" i="50" s="1"/>
  <c r="B99" i="50" s="1"/>
  <c r="B100" i="50" s="1"/>
  <c r="B101" i="50" s="1"/>
  <c r="B102" i="50" s="1"/>
  <c r="B103" i="50" s="1"/>
  <c r="B104" i="50" s="1"/>
  <c r="B105" i="50" s="1"/>
  <c r="B106" i="50" s="1"/>
  <c r="B107" i="50" s="1"/>
  <c r="B108" i="50" s="1"/>
  <c r="B109" i="50" s="1"/>
  <c r="B110" i="50" s="1"/>
  <c r="B111" i="50" s="1"/>
  <c r="B112" i="50" s="1"/>
  <c r="B113" i="50" s="1"/>
  <c r="B114" i="50" s="1"/>
  <c r="B115" i="50" s="1"/>
  <c r="B116" i="50" s="1"/>
  <c r="B117" i="50" s="1"/>
  <c r="B118" i="50" s="1"/>
  <c r="B119" i="50" s="1"/>
  <c r="B120" i="50" s="1"/>
  <c r="B121" i="50" s="1"/>
  <c r="B122" i="50" s="1"/>
  <c r="B123" i="50" s="1"/>
  <c r="B124" i="50" s="1"/>
  <c r="B125" i="50" s="1"/>
  <c r="B126" i="50" s="1"/>
  <c r="B127" i="50" s="1"/>
  <c r="B128" i="50" s="1"/>
  <c r="B129" i="50" s="1"/>
  <c r="B130" i="50" s="1"/>
  <c r="B131" i="50" s="1"/>
  <c r="B132" i="50" s="1"/>
  <c r="B133" i="50" s="1"/>
  <c r="B134" i="50" s="1"/>
  <c r="B135" i="50" s="1"/>
  <c r="B136" i="50" s="1"/>
  <c r="B137" i="50" s="1"/>
  <c r="B138" i="50" s="1"/>
  <c r="B139" i="50" s="1"/>
  <c r="B140" i="50" s="1"/>
  <c r="B141" i="50" s="1"/>
  <c r="B142" i="50" s="1"/>
  <c r="B143" i="50" s="1"/>
  <c r="B144" i="50" s="1"/>
  <c r="B145" i="50" s="1"/>
  <c r="B146" i="50" s="1"/>
  <c r="B147" i="50" s="1"/>
  <c r="B148" i="50" s="1"/>
  <c r="B149" i="50" s="1"/>
  <c r="B150" i="50" s="1"/>
  <c r="B151" i="50" s="1"/>
  <c r="B152" i="50" s="1"/>
  <c r="B153" i="50" s="1"/>
  <c r="B154" i="50" s="1"/>
  <c r="B155" i="50" s="1"/>
  <c r="B156" i="50" s="1"/>
  <c r="B157" i="50" s="1"/>
  <c r="B158" i="50" s="1"/>
  <c r="B159" i="50" s="1"/>
  <c r="B160" i="50" s="1"/>
  <c r="B161" i="50" s="1"/>
  <c r="B162" i="50" s="1"/>
  <c r="B163" i="50" s="1"/>
  <c r="B164" i="50" s="1"/>
  <c r="B165" i="50" s="1"/>
  <c r="B166" i="50" s="1"/>
  <c r="B167" i="50" s="1"/>
  <c r="B168" i="50" s="1"/>
  <c r="B169" i="50" s="1"/>
  <c r="B170" i="50" s="1"/>
  <c r="B171" i="50" s="1"/>
  <c r="B172" i="50" s="1"/>
  <c r="B173" i="50" s="1"/>
  <c r="B174" i="50" s="1"/>
  <c r="B175" i="50" s="1"/>
  <c r="B176" i="50" s="1"/>
  <c r="B177" i="50" s="1"/>
  <c r="B178" i="50" s="1"/>
  <c r="B179" i="50" s="1"/>
  <c r="B180" i="50" s="1"/>
  <c r="B181" i="50" s="1"/>
  <c r="B182" i="50" s="1"/>
  <c r="B183" i="50" s="1"/>
  <c r="B184" i="50" s="1"/>
  <c r="B185" i="50" s="1"/>
  <c r="B186" i="50" s="1"/>
  <c r="B187" i="50" s="1"/>
  <c r="B188" i="50" s="1"/>
  <c r="B189" i="50" s="1"/>
  <c r="B190" i="50" s="1"/>
  <c r="B191" i="50" s="1"/>
  <c r="B192" i="50" s="1"/>
  <c r="B193" i="50" s="1"/>
  <c r="B194" i="50" s="1"/>
  <c r="B195" i="50" s="1"/>
  <c r="B196" i="50" s="1"/>
  <c r="B197" i="50" s="1"/>
  <c r="B198" i="50" s="1"/>
  <c r="B199" i="50" s="1"/>
  <c r="B200" i="50" s="1"/>
  <c r="B201" i="50" s="1"/>
  <c r="B202" i="50" s="1"/>
  <c r="B203" i="50" s="1"/>
  <c r="B204" i="50" s="1"/>
  <c r="B205" i="50" s="1"/>
  <c r="B206" i="50" s="1"/>
  <c r="B207" i="50" s="1"/>
  <c r="B208" i="50" s="1"/>
  <c r="B209" i="50" s="1"/>
  <c r="B210" i="50" s="1"/>
  <c r="B211" i="50" s="1"/>
  <c r="B212" i="50" s="1"/>
  <c r="B213" i="50" s="1"/>
  <c r="B214" i="50" s="1"/>
  <c r="B215" i="50" s="1"/>
  <c r="B216" i="50" s="1"/>
  <c r="B217" i="50" s="1"/>
  <c r="B218" i="50" s="1"/>
  <c r="B219" i="50" s="1"/>
  <c r="B220" i="50" s="1"/>
  <c r="B221" i="50" s="1"/>
  <c r="B222" i="50" s="1"/>
  <c r="B223" i="50" s="1"/>
  <c r="B224" i="50" s="1"/>
  <c r="B225" i="50" s="1"/>
  <c r="B226" i="50" s="1"/>
  <c r="B227" i="50" s="1"/>
  <c r="B228" i="50" s="1"/>
  <c r="B229" i="50" s="1"/>
  <c r="B230" i="50" s="1"/>
  <c r="B231" i="50" s="1"/>
  <c r="B232" i="50" s="1"/>
  <c r="B233" i="50" s="1"/>
  <c r="B234" i="50" s="1"/>
  <c r="B235" i="50" s="1"/>
  <c r="B236" i="50" s="1"/>
  <c r="B237" i="50" s="1"/>
  <c r="B238" i="50" s="1"/>
  <c r="B239" i="50" s="1"/>
  <c r="B240" i="50" s="1"/>
  <c r="B241" i="50" s="1"/>
  <c r="B242" i="50" s="1"/>
  <c r="B243" i="50" s="1"/>
  <c r="B244" i="50" s="1"/>
  <c r="B245" i="50" s="1"/>
  <c r="B246" i="50" s="1"/>
  <c r="B247" i="50" s="1"/>
  <c r="B248" i="50" s="1"/>
  <c r="B249" i="50" s="1"/>
  <c r="B250" i="50" s="1"/>
  <c r="B251" i="50" s="1"/>
  <c r="B252" i="50" s="1"/>
  <c r="B253" i="50" s="1"/>
  <c r="B254" i="50" s="1"/>
  <c r="B255" i="50" s="1"/>
  <c r="B256" i="50" s="1"/>
  <c r="B257" i="50" s="1"/>
  <c r="B258" i="50" s="1"/>
  <c r="B259" i="50" s="1"/>
  <c r="B260" i="50" s="1"/>
  <c r="B261" i="50" s="1"/>
  <c r="B262" i="50" s="1"/>
  <c r="B263" i="50" s="1"/>
  <c r="B264" i="50" s="1"/>
  <c r="B265" i="50" s="1"/>
  <c r="B266" i="50" s="1"/>
  <c r="B267" i="50" s="1"/>
  <c r="B268" i="50" s="1"/>
  <c r="B269" i="50" s="1"/>
  <c r="B270" i="50" s="1"/>
  <c r="B271" i="50" s="1"/>
  <c r="B272" i="50" s="1"/>
  <c r="B273" i="50" s="1"/>
  <c r="B274" i="50" s="1"/>
  <c r="B275" i="50" s="1"/>
  <c r="B276" i="50" s="1"/>
  <c r="B277" i="50" s="1"/>
  <c r="B278" i="50" s="1"/>
  <c r="B279" i="50" s="1"/>
  <c r="B280" i="50" s="1"/>
  <c r="B281" i="50" s="1"/>
  <c r="B282" i="50" s="1"/>
  <c r="B283" i="50" s="1"/>
  <c r="B284" i="50" s="1"/>
  <c r="B285" i="50" s="1"/>
  <c r="B286" i="50" s="1"/>
  <c r="B287" i="50" s="1"/>
  <c r="B288" i="50" s="1"/>
  <c r="B289" i="50" s="1"/>
  <c r="B290" i="50" s="1"/>
  <c r="B291" i="50" s="1"/>
  <c r="B292" i="50" s="1"/>
  <c r="B293" i="50" s="1"/>
  <c r="B294" i="50" s="1"/>
  <c r="B295" i="50" s="1"/>
  <c r="B296" i="50" s="1"/>
  <c r="B297" i="50" s="1"/>
  <c r="B298" i="50" s="1"/>
  <c r="B299" i="50" s="1"/>
  <c r="B300" i="50" s="1"/>
  <c r="B301" i="50" s="1"/>
  <c r="B302" i="50" s="1"/>
  <c r="B303" i="50" s="1"/>
  <c r="B304" i="50" s="1"/>
  <c r="B305" i="50" s="1"/>
  <c r="B306" i="50" s="1"/>
  <c r="B307" i="50" s="1"/>
  <c r="B308" i="50" s="1"/>
  <c r="B309" i="50" s="1"/>
  <c r="B310" i="50" s="1"/>
  <c r="B311" i="50" s="1"/>
  <c r="B312" i="50" s="1"/>
  <c r="B313" i="50" s="1"/>
  <c r="B314" i="50" s="1"/>
  <c r="B315" i="50" s="1"/>
  <c r="B316" i="50" s="1"/>
  <c r="B317" i="50" s="1"/>
  <c r="B318" i="50" s="1"/>
  <c r="B319" i="50" s="1"/>
  <c r="B320" i="50" s="1"/>
  <c r="B321" i="50" s="1"/>
  <c r="B322" i="50" s="1"/>
  <c r="B323" i="50" s="1"/>
  <c r="B324" i="50" s="1"/>
  <c r="B325" i="50" s="1"/>
  <c r="B326" i="50" s="1"/>
  <c r="B327" i="50" s="1"/>
  <c r="B328" i="50" s="1"/>
  <c r="B329" i="50" s="1"/>
  <c r="B330" i="50" s="1"/>
  <c r="B331" i="50" s="1"/>
  <c r="B332" i="50" s="1"/>
  <c r="B333" i="50" s="1"/>
  <c r="B334" i="50" s="1"/>
  <c r="B335" i="50" s="1"/>
  <c r="B336" i="50" s="1"/>
  <c r="B337" i="50" s="1"/>
  <c r="B338" i="50" s="1"/>
  <c r="B339" i="50" s="1"/>
  <c r="B340" i="50" s="1"/>
  <c r="B341" i="50" s="1"/>
  <c r="B342" i="50" s="1"/>
  <c r="B343" i="50" s="1"/>
  <c r="B344" i="50" s="1"/>
  <c r="B345" i="50" s="1"/>
  <c r="B346" i="50" s="1"/>
  <c r="B347" i="50" s="1"/>
  <c r="B348" i="50" s="1"/>
  <c r="B349" i="50" s="1"/>
  <c r="B350" i="50" s="1"/>
  <c r="B351" i="50" s="1"/>
  <c r="B352" i="50" s="1"/>
  <c r="B353" i="50" s="1"/>
  <c r="B354" i="50" s="1"/>
  <c r="B355" i="50" s="1"/>
  <c r="B356" i="50" s="1"/>
  <c r="B357" i="50" s="1"/>
  <c r="B358" i="50" s="1"/>
  <c r="B359" i="50" s="1"/>
  <c r="B360" i="50" s="1"/>
  <c r="B361" i="50" s="1"/>
  <c r="B362" i="50" s="1"/>
  <c r="B363" i="50" s="1"/>
  <c r="B364" i="50" s="1"/>
  <c r="B365" i="50" s="1"/>
  <c r="B366" i="50" s="1"/>
  <c r="B367" i="50" s="1"/>
  <c r="B368" i="50" s="1"/>
  <c r="B369" i="50" s="1"/>
  <c r="B370" i="50" s="1"/>
  <c r="B371" i="50" s="1"/>
  <c r="B372" i="50" s="1"/>
  <c r="B373" i="50" s="1"/>
  <c r="B374" i="50" s="1"/>
  <c r="B375" i="50" s="1"/>
  <c r="B376" i="50" s="1"/>
  <c r="B377" i="50" s="1"/>
  <c r="B378" i="50" s="1"/>
  <c r="B379" i="50" s="1"/>
  <c r="B380" i="50" s="1"/>
  <c r="B381" i="50" s="1"/>
  <c r="B382" i="50" s="1"/>
  <c r="B383" i="50" s="1"/>
  <c r="B384" i="50" s="1"/>
  <c r="B385" i="50" s="1"/>
  <c r="B386" i="50" s="1"/>
  <c r="B387" i="50" s="1"/>
  <c r="B388" i="50" s="1"/>
  <c r="B389" i="50" s="1"/>
  <c r="B390" i="50" s="1"/>
  <c r="B391" i="50" s="1"/>
  <c r="B392" i="50" s="1"/>
  <c r="B393" i="50" s="1"/>
  <c r="B394" i="50" s="1"/>
  <c r="B395" i="50" s="1"/>
  <c r="B396" i="50" s="1"/>
  <c r="B397" i="50" s="1"/>
  <c r="B398" i="50" s="1"/>
  <c r="B399" i="50" s="1"/>
  <c r="B400" i="50" s="1"/>
  <c r="B401" i="50" s="1"/>
  <c r="B402" i="50" s="1"/>
  <c r="B403" i="50" s="1"/>
  <c r="B404" i="50" s="1"/>
  <c r="B405" i="50" s="1"/>
  <c r="B406" i="50" s="1"/>
  <c r="B407" i="50" s="1"/>
  <c r="B408" i="50" s="1"/>
  <c r="B409" i="50" s="1"/>
  <c r="B410" i="50" s="1"/>
  <c r="B411" i="50" s="1"/>
  <c r="B412" i="50" s="1"/>
  <c r="B413" i="50" s="1"/>
  <c r="B414" i="50" s="1"/>
  <c r="B415" i="50" s="1"/>
  <c r="B416" i="50" s="1"/>
  <c r="B417" i="50" s="1"/>
  <c r="B418" i="50" s="1"/>
  <c r="B419" i="50" s="1"/>
  <c r="B420" i="50" s="1"/>
  <c r="B421" i="50" s="1"/>
  <c r="B422" i="50" s="1"/>
  <c r="B423" i="50" s="1"/>
  <c r="B424" i="50" s="1"/>
  <c r="B425" i="50" s="1"/>
  <c r="B426" i="50" s="1"/>
  <c r="B427" i="50" s="1"/>
  <c r="B428" i="50" s="1"/>
  <c r="B429" i="50" s="1"/>
  <c r="B430" i="50" s="1"/>
  <c r="B431" i="50" s="1"/>
  <c r="B432" i="50" s="1"/>
  <c r="B433" i="50" s="1"/>
  <c r="B434" i="50" s="1"/>
  <c r="B435" i="50" s="1"/>
  <c r="B436" i="50" s="1"/>
  <c r="B437" i="50" s="1"/>
  <c r="B438" i="50" s="1"/>
  <c r="B439" i="50" s="1"/>
  <c r="B440" i="50" s="1"/>
  <c r="B441" i="50" s="1"/>
  <c r="B442" i="50" s="1"/>
  <c r="B443" i="50" s="1"/>
  <c r="B444" i="50" s="1"/>
  <c r="B445" i="50" s="1"/>
  <c r="B446" i="50" s="1"/>
  <c r="B447" i="50" s="1"/>
  <c r="B448" i="50" s="1"/>
  <c r="B449" i="50" s="1"/>
  <c r="B450" i="50" s="1"/>
  <c r="B451" i="50" s="1"/>
  <c r="B452" i="50" s="1"/>
  <c r="B453" i="50" s="1"/>
  <c r="B454" i="50" s="1"/>
  <c r="B455" i="50" s="1"/>
  <c r="B456" i="50" s="1"/>
  <c r="B457" i="50" s="1"/>
  <c r="B458" i="50" s="1"/>
  <c r="B459" i="50" s="1"/>
  <c r="B460" i="50" s="1"/>
  <c r="B461" i="50" s="1"/>
  <c r="B462" i="50" s="1"/>
  <c r="B463" i="50" s="1"/>
  <c r="B464" i="50" s="1"/>
  <c r="B465" i="50" s="1"/>
  <c r="B466" i="50" s="1"/>
  <c r="B467" i="50" s="1"/>
  <c r="B468" i="50" s="1"/>
  <c r="B469" i="50" s="1"/>
  <c r="B470" i="50" s="1"/>
  <c r="B471" i="50" s="1"/>
  <c r="B472" i="50" s="1"/>
  <c r="B473" i="50" s="1"/>
  <c r="B474" i="50" s="1"/>
  <c r="B475" i="50" s="1"/>
  <c r="B476" i="50" s="1"/>
  <c r="B477" i="50" s="1"/>
  <c r="B478" i="50" s="1"/>
  <c r="B479" i="50" s="1"/>
  <c r="B480" i="50" s="1"/>
  <c r="B481" i="50" s="1"/>
  <c r="B482" i="50" s="1"/>
  <c r="B483" i="50" s="1"/>
  <c r="B484" i="50" s="1"/>
  <c r="B485" i="50" s="1"/>
  <c r="B486" i="50" s="1"/>
  <c r="B487" i="50" s="1"/>
  <c r="B488" i="50" s="1"/>
  <c r="B489" i="50" s="1"/>
  <c r="B490" i="50" s="1"/>
  <c r="B491" i="50" s="1"/>
  <c r="B492" i="50" s="1"/>
  <c r="B13" i="49"/>
  <c r="B14" i="49" s="1"/>
  <c r="B15" i="49" s="1"/>
  <c r="B16" i="49" s="1"/>
  <c r="B17" i="49" s="1"/>
  <c r="B18" i="49" s="1"/>
  <c r="B19" i="49" s="1"/>
  <c r="B20" i="49" s="1"/>
  <c r="B21" i="49" s="1"/>
  <c r="B22" i="49" s="1"/>
  <c r="B23" i="49" s="1"/>
  <c r="B24" i="49" s="1"/>
  <c r="B25" i="49" s="1"/>
  <c r="B26" i="49" s="1"/>
  <c r="B27" i="49" s="1"/>
  <c r="B28" i="49" s="1"/>
  <c r="B29" i="49" s="1"/>
  <c r="B30" i="49" s="1"/>
  <c r="B31" i="49" s="1"/>
  <c r="B32" i="49" s="1"/>
  <c r="B33" i="49" s="1"/>
  <c r="B34" i="49" s="1"/>
  <c r="B35" i="49" s="1"/>
  <c r="B36" i="49" s="1"/>
  <c r="B37" i="49" s="1"/>
  <c r="B38" i="49" s="1"/>
  <c r="B39" i="49" s="1"/>
  <c r="B40" i="49" s="1"/>
  <c r="B41" i="49" s="1"/>
  <c r="B42" i="49" s="1"/>
  <c r="B43" i="49" s="1"/>
  <c r="B44" i="49" s="1"/>
  <c r="B45" i="49" s="1"/>
  <c r="B46" i="49" s="1"/>
  <c r="B47" i="49" s="1"/>
  <c r="B48" i="49" s="1"/>
  <c r="B49" i="49" s="1"/>
  <c r="B50" i="49" s="1"/>
  <c r="B51" i="49" s="1"/>
  <c r="B52" i="49" s="1"/>
  <c r="B53" i="49" s="1"/>
  <c r="B54" i="49" s="1"/>
  <c r="B55" i="49" s="1"/>
  <c r="B56" i="49" s="1"/>
  <c r="B57" i="49" s="1"/>
  <c r="B58" i="49" s="1"/>
  <c r="B59" i="49" s="1"/>
  <c r="B60" i="49" s="1"/>
  <c r="B61" i="49" s="1"/>
  <c r="B62" i="49" s="1"/>
  <c r="B63" i="49" s="1"/>
  <c r="B64" i="49" s="1"/>
  <c r="B65" i="49" s="1"/>
  <c r="B66" i="49" s="1"/>
  <c r="B67" i="49" s="1"/>
  <c r="B68" i="49" s="1"/>
  <c r="B69" i="49" s="1"/>
  <c r="B70" i="49" s="1"/>
  <c r="B71" i="49" s="1"/>
  <c r="B72" i="49" s="1"/>
  <c r="B73" i="49" s="1"/>
  <c r="B74" i="49" s="1"/>
  <c r="B75" i="49" s="1"/>
  <c r="B76" i="49" s="1"/>
  <c r="B77" i="49" s="1"/>
  <c r="B78" i="49" s="1"/>
  <c r="B79" i="49" s="1"/>
  <c r="B80" i="49" s="1"/>
  <c r="B81" i="49" s="1"/>
  <c r="B82" i="49" s="1"/>
  <c r="B83" i="49" s="1"/>
  <c r="B84" i="49" s="1"/>
  <c r="B85" i="49" s="1"/>
  <c r="B86" i="49" s="1"/>
  <c r="B87" i="49" s="1"/>
  <c r="B88" i="49" s="1"/>
  <c r="B89" i="49" s="1"/>
  <c r="B90" i="49" s="1"/>
  <c r="B91" i="49" s="1"/>
  <c r="B92" i="49" s="1"/>
  <c r="B93" i="49" s="1"/>
  <c r="B94" i="49" s="1"/>
  <c r="B95" i="49" s="1"/>
  <c r="B96" i="49" s="1"/>
  <c r="B97" i="49" s="1"/>
  <c r="B98" i="49" s="1"/>
  <c r="B99" i="49" s="1"/>
  <c r="B100" i="49" s="1"/>
  <c r="B101" i="49" s="1"/>
  <c r="B102" i="49" s="1"/>
  <c r="B103" i="49" s="1"/>
  <c r="B104" i="49" s="1"/>
  <c r="B105" i="49" s="1"/>
  <c r="B106" i="49" s="1"/>
  <c r="B107" i="49" s="1"/>
  <c r="B108" i="49" s="1"/>
  <c r="B109" i="49" s="1"/>
  <c r="B110" i="49" s="1"/>
  <c r="B111" i="49" s="1"/>
  <c r="B112" i="49" s="1"/>
  <c r="B113" i="49" s="1"/>
  <c r="B114" i="49" s="1"/>
  <c r="B115" i="49" s="1"/>
  <c r="B116" i="49" s="1"/>
  <c r="B117" i="49" s="1"/>
  <c r="B118" i="49" s="1"/>
  <c r="B119" i="49" s="1"/>
  <c r="B120" i="49" s="1"/>
  <c r="B121" i="49" s="1"/>
  <c r="B122" i="49" s="1"/>
  <c r="B123" i="49" s="1"/>
  <c r="B124" i="49" s="1"/>
  <c r="B125" i="49" s="1"/>
  <c r="B126" i="49" s="1"/>
  <c r="B127" i="49" s="1"/>
  <c r="B128" i="49" s="1"/>
  <c r="B129" i="49" s="1"/>
  <c r="B130" i="49" s="1"/>
  <c r="B131" i="49" s="1"/>
  <c r="B132" i="49" s="1"/>
  <c r="B133" i="49" s="1"/>
  <c r="B134" i="49" s="1"/>
  <c r="B135" i="49" s="1"/>
  <c r="B136" i="49" s="1"/>
  <c r="B137" i="49" s="1"/>
  <c r="B138" i="49" s="1"/>
  <c r="B139" i="49" s="1"/>
  <c r="B140" i="49" s="1"/>
  <c r="B141" i="49" s="1"/>
  <c r="B142" i="49" s="1"/>
  <c r="B143" i="49" s="1"/>
  <c r="B144" i="49" s="1"/>
  <c r="B145" i="49" s="1"/>
  <c r="B146" i="49" s="1"/>
  <c r="B147" i="49" s="1"/>
  <c r="B148" i="49" s="1"/>
  <c r="B149" i="49" s="1"/>
  <c r="B150" i="49" s="1"/>
  <c r="B151" i="49" s="1"/>
  <c r="B152" i="49" s="1"/>
  <c r="B153" i="49" s="1"/>
  <c r="B154" i="49" s="1"/>
  <c r="B155" i="49" s="1"/>
  <c r="B156" i="49" s="1"/>
  <c r="B157" i="49" s="1"/>
  <c r="B158" i="49" s="1"/>
  <c r="B159" i="49" s="1"/>
  <c r="B160" i="49" s="1"/>
  <c r="B161" i="49" s="1"/>
  <c r="B162" i="49" s="1"/>
  <c r="B163" i="49" s="1"/>
  <c r="B164" i="49" s="1"/>
  <c r="B165" i="49" s="1"/>
  <c r="B166" i="49" s="1"/>
  <c r="B167" i="49" s="1"/>
  <c r="B168" i="49" s="1"/>
  <c r="B169" i="49" s="1"/>
  <c r="B170" i="49" s="1"/>
  <c r="B171" i="49" s="1"/>
  <c r="B172" i="49" s="1"/>
  <c r="B173" i="49" s="1"/>
  <c r="B174" i="49" s="1"/>
  <c r="B175" i="49" s="1"/>
  <c r="B176" i="49" s="1"/>
  <c r="B177" i="49" s="1"/>
  <c r="B178" i="49" s="1"/>
  <c r="B179" i="49" s="1"/>
  <c r="B180" i="49" s="1"/>
  <c r="B181" i="49" s="1"/>
  <c r="B182" i="49" s="1"/>
  <c r="B183" i="49" s="1"/>
  <c r="B184" i="49" s="1"/>
  <c r="B185" i="49" s="1"/>
  <c r="B186" i="49" s="1"/>
  <c r="B187" i="49" s="1"/>
  <c r="B188" i="49" s="1"/>
  <c r="B189" i="49" s="1"/>
  <c r="B190" i="49" s="1"/>
  <c r="B191" i="49" s="1"/>
  <c r="B192" i="49" s="1"/>
  <c r="B193" i="49" s="1"/>
  <c r="B194" i="49" s="1"/>
  <c r="B195" i="49" s="1"/>
  <c r="B196" i="49" s="1"/>
  <c r="B197" i="49" s="1"/>
  <c r="B198" i="49" s="1"/>
  <c r="B199" i="49" s="1"/>
  <c r="B200" i="49" s="1"/>
  <c r="B201" i="49" s="1"/>
  <c r="B202" i="49" s="1"/>
  <c r="B203" i="49" s="1"/>
  <c r="B204" i="49" s="1"/>
  <c r="B205" i="49" s="1"/>
  <c r="B206" i="49" s="1"/>
  <c r="B207" i="49" s="1"/>
  <c r="B208" i="49" s="1"/>
  <c r="B209" i="49" s="1"/>
  <c r="B210" i="49" s="1"/>
  <c r="B211" i="49" s="1"/>
  <c r="B212" i="49" s="1"/>
  <c r="B213" i="49" s="1"/>
  <c r="B214" i="49" s="1"/>
  <c r="B215" i="49" s="1"/>
  <c r="B216" i="49" s="1"/>
  <c r="B217" i="49" s="1"/>
  <c r="B218" i="49" s="1"/>
  <c r="B219" i="49" s="1"/>
  <c r="B220" i="49" s="1"/>
  <c r="B221" i="49" s="1"/>
  <c r="B222" i="49" s="1"/>
  <c r="B223" i="49" s="1"/>
  <c r="B224" i="49" s="1"/>
  <c r="B225" i="49" s="1"/>
  <c r="B226" i="49" s="1"/>
  <c r="B227" i="49" s="1"/>
  <c r="B228" i="49" s="1"/>
  <c r="B229" i="49" s="1"/>
  <c r="B230" i="49" s="1"/>
  <c r="B231" i="49" s="1"/>
  <c r="B232" i="49" s="1"/>
  <c r="B233" i="49" s="1"/>
  <c r="B234" i="49" s="1"/>
  <c r="B235" i="49" s="1"/>
  <c r="B236" i="49" s="1"/>
  <c r="B237" i="49" s="1"/>
  <c r="B238" i="49" s="1"/>
  <c r="B239" i="49" s="1"/>
  <c r="B240" i="49" s="1"/>
  <c r="B241" i="49" s="1"/>
  <c r="B242" i="49" s="1"/>
  <c r="B243" i="49" s="1"/>
  <c r="B244" i="49" s="1"/>
  <c r="B245" i="49" s="1"/>
  <c r="B246" i="49" s="1"/>
  <c r="B247" i="49" s="1"/>
  <c r="B248" i="49" s="1"/>
  <c r="B249" i="49" s="1"/>
  <c r="B250" i="49" s="1"/>
  <c r="B251" i="49" s="1"/>
  <c r="B252" i="49" s="1"/>
  <c r="B253" i="49" s="1"/>
  <c r="B254" i="49" s="1"/>
  <c r="B255" i="49" s="1"/>
  <c r="B256" i="49" s="1"/>
  <c r="B257" i="49" s="1"/>
  <c r="B258" i="49" s="1"/>
  <c r="B259" i="49" s="1"/>
  <c r="B260" i="49" s="1"/>
  <c r="B261" i="49" s="1"/>
  <c r="B262" i="49" s="1"/>
  <c r="B263" i="49" s="1"/>
  <c r="B264" i="49" s="1"/>
  <c r="B265" i="49" s="1"/>
  <c r="B266" i="49" s="1"/>
  <c r="B267" i="49" s="1"/>
  <c r="B268" i="49" s="1"/>
  <c r="B269" i="49" s="1"/>
  <c r="B270" i="49" s="1"/>
  <c r="B271" i="49" s="1"/>
  <c r="B272" i="49" s="1"/>
  <c r="B273" i="49" s="1"/>
  <c r="B274" i="49" s="1"/>
  <c r="B275" i="49" s="1"/>
  <c r="B276" i="49" s="1"/>
  <c r="B277" i="49" s="1"/>
  <c r="B278" i="49" s="1"/>
  <c r="B279" i="49" s="1"/>
  <c r="B280" i="49" s="1"/>
  <c r="B281" i="49" s="1"/>
  <c r="B282" i="49" s="1"/>
  <c r="B283" i="49" s="1"/>
  <c r="B284" i="49" s="1"/>
  <c r="B285" i="49" s="1"/>
  <c r="B286" i="49" s="1"/>
  <c r="B287" i="49" s="1"/>
  <c r="B288" i="49" s="1"/>
  <c r="B289" i="49" s="1"/>
  <c r="B290" i="49" s="1"/>
  <c r="B291" i="49" s="1"/>
  <c r="B292" i="49" s="1"/>
  <c r="B293" i="49" s="1"/>
  <c r="B294" i="49" s="1"/>
  <c r="B295" i="49" s="1"/>
  <c r="B296" i="49" s="1"/>
  <c r="B297" i="49" s="1"/>
  <c r="B298" i="49" s="1"/>
  <c r="B299" i="49" s="1"/>
  <c r="B300" i="49" s="1"/>
  <c r="B301" i="49" s="1"/>
  <c r="B302" i="49" s="1"/>
  <c r="B303" i="49" s="1"/>
  <c r="B304" i="49" s="1"/>
  <c r="B305" i="49" s="1"/>
  <c r="B306" i="49" s="1"/>
  <c r="B307" i="49" s="1"/>
  <c r="B308" i="49" s="1"/>
  <c r="B309" i="49" s="1"/>
  <c r="B310" i="49" s="1"/>
  <c r="B311" i="49" s="1"/>
  <c r="B312" i="49" s="1"/>
  <c r="B313" i="49" s="1"/>
  <c r="B314" i="49" s="1"/>
  <c r="B315" i="49" s="1"/>
  <c r="B316" i="49" s="1"/>
  <c r="B317" i="49" s="1"/>
  <c r="B318" i="49" s="1"/>
  <c r="B319" i="49" s="1"/>
  <c r="B320" i="49" s="1"/>
  <c r="B321" i="49" s="1"/>
  <c r="B322" i="49" s="1"/>
  <c r="B323" i="49" s="1"/>
  <c r="B324" i="49" s="1"/>
  <c r="B325" i="49" s="1"/>
  <c r="B326" i="49" s="1"/>
  <c r="B327" i="49" s="1"/>
  <c r="B328" i="49" s="1"/>
  <c r="B329" i="49" s="1"/>
  <c r="B330" i="49" s="1"/>
  <c r="B331" i="49" s="1"/>
  <c r="B332" i="49" s="1"/>
  <c r="B333" i="49" s="1"/>
  <c r="B334" i="49" s="1"/>
  <c r="B335" i="49" s="1"/>
  <c r="B336" i="49" s="1"/>
  <c r="B337" i="49" s="1"/>
  <c r="B338" i="49" s="1"/>
  <c r="B339" i="49" s="1"/>
  <c r="B340" i="49" s="1"/>
  <c r="B341" i="49" s="1"/>
  <c r="B342" i="49" s="1"/>
  <c r="B343" i="49" s="1"/>
  <c r="B344" i="49" s="1"/>
  <c r="B345" i="49" s="1"/>
  <c r="B346" i="49" s="1"/>
  <c r="B347" i="49" s="1"/>
  <c r="B348" i="49" s="1"/>
  <c r="B349" i="49" s="1"/>
  <c r="B350" i="49" s="1"/>
  <c r="B351" i="49" s="1"/>
  <c r="B352" i="49" s="1"/>
  <c r="B353" i="49" s="1"/>
  <c r="B354" i="49" s="1"/>
  <c r="B355" i="49" s="1"/>
  <c r="B356" i="49" s="1"/>
  <c r="B357" i="49" s="1"/>
  <c r="B358" i="49" s="1"/>
  <c r="B359" i="49" s="1"/>
  <c r="B360" i="49" s="1"/>
  <c r="B361" i="49" s="1"/>
  <c r="B362" i="49" s="1"/>
  <c r="B363" i="49" s="1"/>
  <c r="B364" i="49" s="1"/>
  <c r="B365" i="49" s="1"/>
  <c r="B366" i="49" s="1"/>
  <c r="B367" i="49" s="1"/>
  <c r="B368" i="49" s="1"/>
  <c r="B369" i="49" s="1"/>
  <c r="B370" i="49" s="1"/>
  <c r="B371" i="49" s="1"/>
  <c r="B372" i="49" s="1"/>
  <c r="B373" i="49" s="1"/>
  <c r="B374" i="49" s="1"/>
  <c r="B375" i="49" s="1"/>
  <c r="B376" i="49" s="1"/>
  <c r="B377" i="49" s="1"/>
  <c r="B378" i="49" s="1"/>
  <c r="B379" i="49" s="1"/>
  <c r="B380" i="49" s="1"/>
  <c r="B381" i="49" s="1"/>
  <c r="B382" i="49" s="1"/>
  <c r="B383" i="49" s="1"/>
  <c r="B384" i="49" s="1"/>
  <c r="B385" i="49" s="1"/>
  <c r="B386" i="49" s="1"/>
  <c r="B387" i="49" s="1"/>
  <c r="B388" i="49" s="1"/>
  <c r="B389" i="49" s="1"/>
  <c r="B390" i="49" s="1"/>
  <c r="B391" i="49" s="1"/>
  <c r="B392" i="49" s="1"/>
  <c r="B393" i="49" s="1"/>
  <c r="B394" i="49" s="1"/>
  <c r="B395" i="49" s="1"/>
  <c r="B396" i="49" s="1"/>
  <c r="B397" i="49" s="1"/>
  <c r="B398" i="49" s="1"/>
  <c r="B399" i="49" s="1"/>
  <c r="B400" i="49" s="1"/>
  <c r="B401" i="49" s="1"/>
  <c r="B402" i="49" s="1"/>
  <c r="B403" i="49" s="1"/>
  <c r="B404" i="49" s="1"/>
  <c r="B405" i="49" s="1"/>
  <c r="B406" i="49" s="1"/>
  <c r="B407" i="49" s="1"/>
  <c r="B408" i="49" s="1"/>
  <c r="B409" i="49" s="1"/>
  <c r="B410" i="49" s="1"/>
  <c r="B411" i="49" s="1"/>
  <c r="B412" i="49" s="1"/>
  <c r="B413" i="49" s="1"/>
  <c r="B414" i="49" s="1"/>
  <c r="B415" i="49" s="1"/>
  <c r="B416" i="49" s="1"/>
  <c r="B417" i="49" s="1"/>
  <c r="B418" i="49" s="1"/>
  <c r="B419" i="49" s="1"/>
  <c r="B420" i="49" s="1"/>
  <c r="B421" i="49" s="1"/>
  <c r="B422" i="49" s="1"/>
  <c r="B423" i="49" s="1"/>
  <c r="B424" i="49" s="1"/>
  <c r="B425" i="49" s="1"/>
  <c r="B426" i="49" s="1"/>
  <c r="B427" i="49" s="1"/>
  <c r="B428" i="49" s="1"/>
  <c r="B429" i="49" s="1"/>
  <c r="B430" i="49" s="1"/>
  <c r="B431" i="49" s="1"/>
  <c r="B432" i="49" s="1"/>
  <c r="B433" i="49" s="1"/>
  <c r="B434" i="49" s="1"/>
  <c r="B435" i="49" s="1"/>
  <c r="B436" i="49" s="1"/>
  <c r="B437" i="49" s="1"/>
  <c r="B438" i="49" s="1"/>
  <c r="B439" i="49" s="1"/>
  <c r="B440" i="49" s="1"/>
  <c r="B441" i="49" s="1"/>
  <c r="B442" i="49" s="1"/>
  <c r="B443" i="49" s="1"/>
  <c r="B444" i="49" s="1"/>
  <c r="B445" i="49" s="1"/>
  <c r="B446" i="49" s="1"/>
  <c r="B447" i="49" s="1"/>
  <c r="B448" i="49" s="1"/>
  <c r="B449" i="49" s="1"/>
  <c r="B450" i="49" s="1"/>
  <c r="B451" i="49" s="1"/>
  <c r="B452" i="49" s="1"/>
  <c r="B453" i="49" s="1"/>
  <c r="B454" i="49" s="1"/>
  <c r="B455" i="49" s="1"/>
  <c r="B456" i="49" s="1"/>
  <c r="B457" i="49" s="1"/>
  <c r="B458" i="49" s="1"/>
  <c r="B459" i="49" s="1"/>
  <c r="B460" i="49" s="1"/>
  <c r="B461" i="49" s="1"/>
  <c r="B462" i="49" s="1"/>
  <c r="B463" i="49" s="1"/>
  <c r="B464" i="49" s="1"/>
  <c r="B465" i="49" s="1"/>
  <c r="B466" i="49" s="1"/>
  <c r="B467" i="49" s="1"/>
  <c r="B468" i="49" s="1"/>
  <c r="B469" i="49" s="1"/>
  <c r="B470" i="49" s="1"/>
  <c r="B471" i="49" s="1"/>
  <c r="B472" i="49" s="1"/>
  <c r="B473" i="49" s="1"/>
  <c r="B474" i="49" s="1"/>
  <c r="B475" i="49" s="1"/>
  <c r="B476" i="49" s="1"/>
  <c r="B477" i="49" s="1"/>
  <c r="B478" i="49" s="1"/>
  <c r="B479" i="49" s="1"/>
  <c r="B480" i="49" s="1"/>
  <c r="B481" i="49" s="1"/>
  <c r="B482" i="49" s="1"/>
  <c r="B483" i="49" s="1"/>
  <c r="B484" i="49" s="1"/>
  <c r="B485" i="49" s="1"/>
  <c r="B486" i="49" s="1"/>
  <c r="B487" i="49" s="1"/>
  <c r="B488" i="49" s="1"/>
  <c r="B489" i="49" s="1"/>
  <c r="B490" i="49" s="1"/>
  <c r="B491" i="49" s="1"/>
  <c r="B492" i="49" s="1"/>
  <c r="I13" i="48"/>
  <c r="F17" i="48"/>
  <c r="C45" i="48" s="1"/>
  <c r="G35" i="48"/>
  <c r="I37" i="48"/>
  <c r="G17" i="48"/>
  <c r="C46" i="48" s="1"/>
  <c r="F29" i="48"/>
  <c r="B5" i="50" l="1"/>
  <c r="B11" i="51"/>
  <c r="B5" i="49"/>
  <c r="B10" i="51"/>
  <c r="F37" i="48"/>
  <c r="C22" i="48"/>
  <c r="G37" i="48"/>
  <c r="G104" i="30" l="1"/>
  <c r="G92" i="30"/>
  <c r="G81" i="30"/>
  <c r="G21" i="30"/>
  <c r="G13" i="30"/>
  <c r="BO21" i="30" l="1"/>
  <c r="BL21" i="30"/>
  <c r="BI21" i="30"/>
  <c r="BF21" i="30"/>
  <c r="BC21" i="30"/>
  <c r="AZ21" i="30"/>
  <c r="AW21" i="30"/>
  <c r="AT21" i="30"/>
  <c r="AQ21" i="30"/>
  <c r="AN21" i="30"/>
  <c r="AK21" i="30"/>
  <c r="AH21" i="30"/>
  <c r="AE21" i="30"/>
  <c r="AB21" i="30"/>
  <c r="Y21" i="30"/>
  <c r="V21" i="30"/>
  <c r="S21" i="30"/>
  <c r="P21" i="30"/>
  <c r="M21" i="30"/>
  <c r="BO13" i="30"/>
  <c r="BL13" i="30"/>
  <c r="BI13" i="30"/>
  <c r="BF13" i="30"/>
  <c r="BC13" i="30"/>
  <c r="AZ13" i="30"/>
  <c r="AW13" i="30"/>
  <c r="AT13" i="30"/>
  <c r="AQ13" i="30"/>
  <c r="AN13" i="30"/>
  <c r="AK13" i="30"/>
  <c r="AH13" i="30"/>
  <c r="AE13" i="30"/>
  <c r="AB13" i="30"/>
  <c r="Y13" i="30"/>
  <c r="V13" i="30"/>
  <c r="S13" i="30"/>
  <c r="P13" i="30"/>
  <c r="M13" i="30"/>
  <c r="D1" i="16" l="1"/>
  <c r="E6" i="30" l="1"/>
  <c r="D41" i="47" l="1"/>
  <c r="D40" i="47"/>
  <c r="D14" i="47" l="1"/>
  <c r="J119" i="32" l="1"/>
  <c r="D4" i="46"/>
  <c r="D3" i="46"/>
  <c r="D2" i="46"/>
  <c r="D1" i="46"/>
  <c r="D44" i="47" l="1"/>
  <c r="P52" i="47" l="1"/>
  <c r="O52" i="47"/>
  <c r="N52" i="47"/>
  <c r="M52" i="47"/>
  <c r="L52" i="47"/>
  <c r="K52" i="47"/>
  <c r="J52" i="47"/>
  <c r="I52" i="47"/>
  <c r="H52" i="47"/>
  <c r="G52" i="47"/>
  <c r="F50" i="47"/>
  <c r="D45" i="47"/>
  <c r="B41" i="47"/>
  <c r="B40" i="47"/>
  <c r="B39" i="47"/>
  <c r="C33" i="47"/>
  <c r="D32" i="47"/>
  <c r="D31" i="47"/>
  <c r="D30" i="47"/>
  <c r="D29" i="47"/>
  <c r="C26" i="47"/>
  <c r="D21" i="47"/>
  <c r="D20" i="47"/>
  <c r="D19" i="47"/>
  <c r="D18" i="47"/>
  <c r="D17" i="47"/>
  <c r="D16" i="47"/>
  <c r="C15" i="47"/>
  <c r="C22" i="47" s="1"/>
  <c r="D8" i="47"/>
  <c r="D10" i="47" l="1"/>
  <c r="C7" i="47"/>
  <c r="C6" i="47"/>
  <c r="C4" i="47"/>
  <c r="C3" i="47"/>
  <c r="C5" i="47"/>
  <c r="G50" i="47"/>
  <c r="H50" i="47" s="1"/>
  <c r="I50" i="47" s="1"/>
  <c r="J50" i="47" s="1"/>
  <c r="K50" i="47" s="1"/>
  <c r="L50" i="47" s="1"/>
  <c r="M50" i="47" s="1"/>
  <c r="N50" i="47" s="1"/>
  <c r="O50" i="47" s="1"/>
  <c r="P50" i="47" s="1"/>
  <c r="D33" i="47"/>
  <c r="D22" i="47"/>
  <c r="I18" i="47"/>
  <c r="D23" i="47"/>
  <c r="D24" i="47"/>
  <c r="D25" i="47"/>
  <c r="E146" i="46"/>
  <c r="F144" i="46"/>
  <c r="E140" i="46"/>
  <c r="E139" i="46"/>
  <c r="E138" i="46"/>
  <c r="H126" i="46"/>
  <c r="G126" i="46"/>
  <c r="F126" i="46"/>
  <c r="E126" i="46"/>
  <c r="D126" i="46"/>
  <c r="I125" i="46"/>
  <c r="I124" i="46"/>
  <c r="I123" i="46"/>
  <c r="H120" i="46"/>
  <c r="G120" i="46"/>
  <c r="F120" i="46"/>
  <c r="E120" i="46"/>
  <c r="D120" i="46"/>
  <c r="I119" i="46"/>
  <c r="I118" i="46"/>
  <c r="I117" i="46"/>
  <c r="I116" i="46"/>
  <c r="I115" i="46"/>
  <c r="I111" i="46"/>
  <c r="H109" i="46"/>
  <c r="G109" i="46"/>
  <c r="F109" i="46"/>
  <c r="E109" i="46"/>
  <c r="D109" i="46"/>
  <c r="I108" i="46"/>
  <c r="I107" i="46"/>
  <c r="I106" i="46"/>
  <c r="I105" i="46"/>
  <c r="I104" i="46"/>
  <c r="I103" i="46"/>
  <c r="I102" i="46"/>
  <c r="I101" i="46"/>
  <c r="I100" i="46"/>
  <c r="I99" i="46"/>
  <c r="I98" i="46"/>
  <c r="I97" i="46"/>
  <c r="I96" i="46"/>
  <c r="I95" i="46"/>
  <c r="I94" i="46"/>
  <c r="I93" i="46"/>
  <c r="I92" i="46"/>
  <c r="I91" i="46"/>
  <c r="H89" i="46"/>
  <c r="G89" i="46"/>
  <c r="F89" i="46"/>
  <c r="E89" i="46"/>
  <c r="D89" i="46"/>
  <c r="I88" i="46"/>
  <c r="I87" i="46"/>
  <c r="I86" i="46"/>
  <c r="I85" i="46"/>
  <c r="I84" i="46"/>
  <c r="I83" i="46"/>
  <c r="I82" i="46"/>
  <c r="H79" i="46"/>
  <c r="G79" i="46"/>
  <c r="F79" i="46"/>
  <c r="E79" i="46"/>
  <c r="D79" i="46"/>
  <c r="I78" i="46"/>
  <c r="I77" i="46"/>
  <c r="I76" i="46"/>
  <c r="I75" i="46"/>
  <c r="H73" i="46"/>
  <c r="G73" i="46"/>
  <c r="F73" i="46"/>
  <c r="E73" i="46"/>
  <c r="D73" i="46"/>
  <c r="I72" i="46"/>
  <c r="I71" i="46"/>
  <c r="I70" i="46"/>
  <c r="I69" i="46"/>
  <c r="I68" i="46"/>
  <c r="I67" i="46"/>
  <c r="I66" i="46"/>
  <c r="H63" i="46"/>
  <c r="G63" i="46"/>
  <c r="F63" i="46"/>
  <c r="E63" i="46"/>
  <c r="D63" i="46"/>
  <c r="I62" i="46"/>
  <c r="I61" i="46"/>
  <c r="I60" i="46"/>
  <c r="I59" i="46"/>
  <c r="I58" i="46"/>
  <c r="I57" i="46"/>
  <c r="I56" i="46"/>
  <c r="I53" i="46"/>
  <c r="H52" i="46"/>
  <c r="H54" i="46" s="1"/>
  <c r="G52" i="46"/>
  <c r="G54" i="46" s="1"/>
  <c r="F52" i="46"/>
  <c r="F54" i="46" s="1"/>
  <c r="E52" i="46"/>
  <c r="E54" i="46" s="1"/>
  <c r="D52" i="46"/>
  <c r="I51" i="46"/>
  <c r="I50" i="46"/>
  <c r="I49" i="46"/>
  <c r="I48" i="46"/>
  <c r="I47" i="46"/>
  <c r="I46" i="46"/>
  <c r="H41" i="46"/>
  <c r="G41" i="46"/>
  <c r="F41" i="46"/>
  <c r="E41" i="46"/>
  <c r="D41" i="46"/>
  <c r="I40" i="46"/>
  <c r="I39" i="46"/>
  <c r="I38" i="46"/>
  <c r="I37" i="46"/>
  <c r="H36" i="46"/>
  <c r="G36" i="46"/>
  <c r="F36" i="46"/>
  <c r="E36" i="46"/>
  <c r="D36" i="46"/>
  <c r="D42" i="46" s="1"/>
  <c r="D134" i="46" s="1"/>
  <c r="I35" i="46"/>
  <c r="I34" i="46"/>
  <c r="I33" i="46"/>
  <c r="I32" i="46"/>
  <c r="I31" i="46"/>
  <c r="I30" i="46"/>
  <c r="I29" i="46"/>
  <c r="I28" i="46"/>
  <c r="I27" i="46"/>
  <c r="I26" i="46"/>
  <c r="I25" i="46"/>
  <c r="I24" i="46"/>
  <c r="H20" i="46"/>
  <c r="H132" i="46" s="1"/>
  <c r="G20" i="46"/>
  <c r="G132" i="46" s="1"/>
  <c r="F20" i="46"/>
  <c r="F132" i="46" s="1"/>
  <c r="E20" i="46"/>
  <c r="E132" i="46" s="1"/>
  <c r="D20" i="46"/>
  <c r="D132" i="46" s="1"/>
  <c r="I19" i="46"/>
  <c r="I18" i="46"/>
  <c r="I17" i="46"/>
  <c r="I16" i="46"/>
  <c r="I8" i="46"/>
  <c r="E5" i="46"/>
  <c r="G42" i="46" l="1"/>
  <c r="H42" i="46"/>
  <c r="E80" i="46"/>
  <c r="E112" i="46" s="1"/>
  <c r="D80" i="46"/>
  <c r="G80" i="46"/>
  <c r="G112" i="46" s="1"/>
  <c r="G128" i="46" s="1"/>
  <c r="K33" i="46"/>
  <c r="K37" i="46"/>
  <c r="K38" i="46"/>
  <c r="K35" i="46"/>
  <c r="K39" i="46"/>
  <c r="K40" i="46"/>
  <c r="F80" i="46"/>
  <c r="F112" i="46" s="1"/>
  <c r="K34" i="46"/>
  <c r="I79" i="46"/>
  <c r="I41" i="46"/>
  <c r="I52" i="46"/>
  <c r="I54" i="46" s="1"/>
  <c r="I63" i="46"/>
  <c r="I109" i="46"/>
  <c r="I126" i="46"/>
  <c r="I89" i="46"/>
  <c r="I36" i="46"/>
  <c r="E42" i="46"/>
  <c r="E135" i="46" s="1"/>
  <c r="H80" i="46"/>
  <c r="H112" i="46" s="1"/>
  <c r="H128" i="46" s="1"/>
  <c r="I120" i="46"/>
  <c r="I20" i="46"/>
  <c r="I132" i="46" s="1"/>
  <c r="A146" i="46"/>
  <c r="D26" i="47"/>
  <c r="D35" i="47" s="1"/>
  <c r="C8" i="47"/>
  <c r="D144" i="46"/>
  <c r="E144" i="46"/>
  <c r="I144" i="46"/>
  <c r="A144" i="46"/>
  <c r="G135" i="46"/>
  <c r="G134" i="46"/>
  <c r="H135" i="46"/>
  <c r="H134" i="46"/>
  <c r="D54" i="46"/>
  <c r="D112" i="46" s="1"/>
  <c r="D128" i="46" s="1"/>
  <c r="F42" i="46"/>
  <c r="I73" i="46"/>
  <c r="I80" i="46" s="1"/>
  <c r="A143" i="46"/>
  <c r="G144" i="46"/>
  <c r="I143" i="46"/>
  <c r="H144" i="46"/>
  <c r="D135" i="46"/>
  <c r="I42" i="46" l="1"/>
  <c r="I135" i="46" s="1"/>
  <c r="E128" i="46"/>
  <c r="E129" i="46" s="1"/>
  <c r="E134" i="46"/>
  <c r="K111" i="46"/>
  <c r="D11" i="46"/>
  <c r="D129" i="46"/>
  <c r="G11" i="46"/>
  <c r="G129" i="46"/>
  <c r="H129" i="46"/>
  <c r="H11" i="46"/>
  <c r="F135" i="46"/>
  <c r="F134" i="46"/>
  <c r="F128" i="46"/>
  <c r="I112" i="46"/>
  <c r="D135" i="41"/>
  <c r="E11" i="46" l="1"/>
  <c r="I134" i="46"/>
  <c r="I128" i="46"/>
  <c r="I129" i="46" s="1"/>
  <c r="I130" i="46" s="1"/>
  <c r="F11" i="46"/>
  <c r="I11" i="46" s="1"/>
  <c r="F129" i="46"/>
  <c r="F130" i="46" s="1"/>
  <c r="P412" i="24"/>
  <c r="P411" i="24"/>
  <c r="P410" i="24"/>
  <c r="P409" i="24"/>
  <c r="P408" i="24"/>
  <c r="P407" i="24"/>
  <c r="P406" i="24"/>
  <c r="P405" i="24"/>
  <c r="P404" i="24"/>
  <c r="P403" i="24"/>
  <c r="P402" i="24"/>
  <c r="P401" i="24"/>
  <c r="P400" i="24"/>
  <c r="P399" i="24"/>
  <c r="P398" i="24"/>
  <c r="P397" i="24"/>
  <c r="P396" i="24"/>
  <c r="P395" i="24"/>
  <c r="P394" i="24"/>
  <c r="P393" i="24"/>
  <c r="P392" i="24"/>
  <c r="P391" i="24"/>
  <c r="P390" i="24"/>
  <c r="P389" i="24"/>
  <c r="P388" i="24"/>
  <c r="P387" i="24"/>
  <c r="P386" i="24"/>
  <c r="P385" i="24"/>
  <c r="P384" i="24"/>
  <c r="P383" i="24"/>
  <c r="P382" i="24"/>
  <c r="P381" i="24"/>
  <c r="P380" i="24"/>
  <c r="P379" i="24"/>
  <c r="P378" i="24"/>
  <c r="P377" i="24"/>
  <c r="P376" i="24"/>
  <c r="P375" i="24"/>
  <c r="P374" i="24"/>
  <c r="P373" i="24"/>
  <c r="P372" i="24"/>
  <c r="P371" i="24"/>
  <c r="P370" i="24"/>
  <c r="P369" i="24"/>
  <c r="P368" i="24"/>
  <c r="P367" i="24"/>
  <c r="P366" i="24"/>
  <c r="P365" i="24"/>
  <c r="P364" i="24"/>
  <c r="P363" i="24"/>
  <c r="P362" i="24"/>
  <c r="P361" i="24"/>
  <c r="P360" i="24"/>
  <c r="P359" i="24"/>
  <c r="P358" i="24"/>
  <c r="P357" i="24"/>
  <c r="P356" i="24"/>
  <c r="P355" i="24"/>
  <c r="P354" i="24"/>
  <c r="P353" i="24"/>
  <c r="P352" i="24"/>
  <c r="P351" i="24"/>
  <c r="P350" i="24"/>
  <c r="P349" i="24"/>
  <c r="P348" i="24"/>
  <c r="P347" i="24"/>
  <c r="P346" i="24"/>
  <c r="P345" i="24"/>
  <c r="P344" i="24"/>
  <c r="P343" i="24"/>
  <c r="P342" i="24"/>
  <c r="P341" i="24"/>
  <c r="P340" i="24"/>
  <c r="P339" i="24"/>
  <c r="P338" i="24"/>
  <c r="P337" i="24"/>
  <c r="P336" i="24"/>
  <c r="P335" i="24"/>
  <c r="P334" i="24"/>
  <c r="P333" i="24"/>
  <c r="P332" i="24"/>
  <c r="P331" i="24"/>
  <c r="P330" i="24"/>
  <c r="P329" i="24"/>
  <c r="P328" i="24"/>
  <c r="P327" i="24"/>
  <c r="P326" i="24"/>
  <c r="P325" i="24"/>
  <c r="P324" i="24"/>
  <c r="P323" i="24"/>
  <c r="P322" i="24"/>
  <c r="P321" i="24"/>
  <c r="P320" i="24"/>
  <c r="P319" i="24"/>
  <c r="P318" i="24"/>
  <c r="P317" i="24"/>
  <c r="P316" i="24"/>
  <c r="P315" i="24"/>
  <c r="P314" i="24"/>
  <c r="P313" i="24"/>
  <c r="P312" i="24"/>
  <c r="P311" i="24"/>
  <c r="P310" i="24"/>
  <c r="P309" i="24"/>
  <c r="P308" i="24"/>
  <c r="P307" i="24"/>
  <c r="P306" i="24"/>
  <c r="P305" i="24"/>
  <c r="P304" i="24"/>
  <c r="P303" i="24"/>
  <c r="P302" i="24"/>
  <c r="P301" i="24"/>
  <c r="P300" i="24"/>
  <c r="P299" i="24"/>
  <c r="P298" i="24"/>
  <c r="P297" i="24"/>
  <c r="P296" i="24"/>
  <c r="P295" i="24"/>
  <c r="P294" i="24"/>
  <c r="P293" i="24"/>
  <c r="P292" i="24"/>
  <c r="P291" i="24"/>
  <c r="P290" i="24"/>
  <c r="P289" i="24"/>
  <c r="P288" i="24"/>
  <c r="P287" i="24"/>
  <c r="P286" i="24"/>
  <c r="P285" i="24"/>
  <c r="P284" i="24"/>
  <c r="P283" i="24"/>
  <c r="P282" i="24"/>
  <c r="P281" i="24"/>
  <c r="P280" i="24"/>
  <c r="P279" i="24"/>
  <c r="P278" i="24"/>
  <c r="P277" i="24"/>
  <c r="P276" i="24"/>
  <c r="P275" i="24"/>
  <c r="P274" i="24"/>
  <c r="P273" i="24"/>
  <c r="P272" i="24"/>
  <c r="P271" i="24"/>
  <c r="P270" i="24"/>
  <c r="P269" i="24"/>
  <c r="P268" i="24"/>
  <c r="P267" i="24"/>
  <c r="P266" i="24"/>
  <c r="P265" i="24"/>
  <c r="P264" i="24"/>
  <c r="P263" i="24"/>
  <c r="P262" i="24"/>
  <c r="P261" i="24"/>
  <c r="P260" i="24"/>
  <c r="P259" i="24"/>
  <c r="P258" i="24"/>
  <c r="P257" i="24"/>
  <c r="P256" i="24"/>
  <c r="P255" i="24"/>
  <c r="P254" i="24"/>
  <c r="P253" i="24"/>
  <c r="P252" i="24"/>
  <c r="P251" i="24"/>
  <c r="P250" i="24"/>
  <c r="P249" i="24"/>
  <c r="P248" i="24"/>
  <c r="P247" i="24"/>
  <c r="P246" i="24"/>
  <c r="P245" i="24"/>
  <c r="P244" i="24"/>
  <c r="P243" i="24"/>
  <c r="P242" i="24"/>
  <c r="P241" i="24"/>
  <c r="P240" i="24"/>
  <c r="P239" i="24"/>
  <c r="P238" i="24"/>
  <c r="P237" i="24"/>
  <c r="P236" i="24"/>
  <c r="P235" i="24"/>
  <c r="P234" i="24"/>
  <c r="P233" i="24"/>
  <c r="P232" i="24"/>
  <c r="P231" i="24"/>
  <c r="P230" i="24"/>
  <c r="P229" i="24"/>
  <c r="P228" i="24"/>
  <c r="P227" i="24"/>
  <c r="P226" i="24"/>
  <c r="P225" i="24"/>
  <c r="P224" i="24"/>
  <c r="P223" i="24"/>
  <c r="P222" i="24"/>
  <c r="P221" i="24"/>
  <c r="P220" i="24"/>
  <c r="P219" i="24"/>
  <c r="P218" i="24"/>
  <c r="P217" i="24"/>
  <c r="P216" i="24"/>
  <c r="P215" i="24"/>
  <c r="P214" i="24"/>
  <c r="P213" i="24"/>
  <c r="P212" i="24"/>
  <c r="P211" i="24"/>
  <c r="P210" i="24"/>
  <c r="P209" i="24"/>
  <c r="P208" i="24"/>
  <c r="P207" i="24"/>
  <c r="P206" i="24"/>
  <c r="P205" i="24"/>
  <c r="P204" i="24"/>
  <c r="P203" i="24"/>
  <c r="P202" i="24"/>
  <c r="P201" i="24"/>
  <c r="P200" i="24"/>
  <c r="P199" i="24"/>
  <c r="P198" i="24"/>
  <c r="P197" i="24"/>
  <c r="P196" i="24"/>
  <c r="P195" i="24"/>
  <c r="P194" i="24"/>
  <c r="P193" i="24"/>
  <c r="P192" i="24"/>
  <c r="P191" i="24"/>
  <c r="P190" i="24"/>
  <c r="P189" i="24"/>
  <c r="P188" i="24"/>
  <c r="P187" i="24"/>
  <c r="P186" i="24"/>
  <c r="P185" i="24"/>
  <c r="P184" i="24"/>
  <c r="P183" i="24"/>
  <c r="P182" i="24"/>
  <c r="P181" i="24"/>
  <c r="P180" i="24"/>
  <c r="P179" i="24"/>
  <c r="P178" i="24"/>
  <c r="P177" i="24"/>
  <c r="P176" i="24"/>
  <c r="P175" i="24"/>
  <c r="P174" i="24"/>
  <c r="P173" i="24"/>
  <c r="P172" i="24"/>
  <c r="P171" i="24"/>
  <c r="P170" i="24"/>
  <c r="P169" i="24"/>
  <c r="P168" i="24"/>
  <c r="P167" i="24"/>
  <c r="P166" i="24"/>
  <c r="P165" i="24"/>
  <c r="P164" i="24"/>
  <c r="P163" i="24"/>
  <c r="P162" i="24"/>
  <c r="P161" i="24"/>
  <c r="P160" i="24"/>
  <c r="P159" i="24"/>
  <c r="P158" i="24"/>
  <c r="P157" i="24"/>
  <c r="P156" i="24"/>
  <c r="P155" i="24"/>
  <c r="P154" i="24"/>
  <c r="P153" i="24"/>
  <c r="P152" i="24"/>
  <c r="P151" i="24"/>
  <c r="P150" i="24"/>
  <c r="P149" i="24"/>
  <c r="P148" i="24"/>
  <c r="P147" i="24"/>
  <c r="P146" i="24"/>
  <c r="P145" i="24"/>
  <c r="P144" i="24"/>
  <c r="P143" i="24"/>
  <c r="P142" i="24"/>
  <c r="P141" i="24"/>
  <c r="P140" i="24"/>
  <c r="P139" i="24"/>
  <c r="P138" i="24"/>
  <c r="P137" i="24"/>
  <c r="P136" i="24"/>
  <c r="P135" i="24"/>
  <c r="P134" i="24"/>
  <c r="P133" i="24"/>
  <c r="P132" i="24"/>
  <c r="P131" i="24"/>
  <c r="P130" i="24"/>
  <c r="P129" i="24"/>
  <c r="P128" i="24"/>
  <c r="P127" i="24"/>
  <c r="P126" i="24"/>
  <c r="P125" i="24"/>
  <c r="P124" i="24"/>
  <c r="P123" i="24"/>
  <c r="P122" i="24"/>
  <c r="P121" i="24"/>
  <c r="P120" i="24"/>
  <c r="P119" i="24"/>
  <c r="P118" i="24"/>
  <c r="P117" i="24"/>
  <c r="P116" i="24"/>
  <c r="P115" i="24"/>
  <c r="P114" i="24"/>
  <c r="P113" i="24"/>
  <c r="P112" i="24"/>
  <c r="P111" i="24"/>
  <c r="P110" i="24"/>
  <c r="P109" i="24"/>
  <c r="P108" i="24"/>
  <c r="P107" i="24"/>
  <c r="P106" i="24"/>
  <c r="P105" i="24"/>
  <c r="P104" i="24"/>
  <c r="P103" i="24"/>
  <c r="P102" i="24"/>
  <c r="P101" i="24"/>
  <c r="P100" i="24"/>
  <c r="P99" i="24"/>
  <c r="P98" i="24"/>
  <c r="P97" i="24"/>
  <c r="P96" i="24"/>
  <c r="P95" i="24"/>
  <c r="P94" i="24"/>
  <c r="P93" i="24"/>
  <c r="P92" i="24"/>
  <c r="P91" i="24"/>
  <c r="P90" i="24"/>
  <c r="P89" i="24"/>
  <c r="P88" i="24"/>
  <c r="P87" i="24"/>
  <c r="P86" i="24"/>
  <c r="P85" i="24"/>
  <c r="P84" i="24"/>
  <c r="P83" i="24"/>
  <c r="P82" i="24"/>
  <c r="P81" i="24"/>
  <c r="P80" i="24"/>
  <c r="P79" i="24"/>
  <c r="P78" i="24"/>
  <c r="P77" i="24"/>
  <c r="P76" i="24"/>
  <c r="P75" i="24"/>
  <c r="P74" i="24"/>
  <c r="P73" i="24"/>
  <c r="P72" i="24"/>
  <c r="P71" i="24"/>
  <c r="P70" i="24"/>
  <c r="P69" i="24"/>
  <c r="P68" i="24"/>
  <c r="P67" i="24"/>
  <c r="P66" i="24"/>
  <c r="P65" i="24"/>
  <c r="P64" i="24"/>
  <c r="P63" i="24"/>
  <c r="P62" i="24"/>
  <c r="P61" i="24"/>
  <c r="P60" i="24"/>
  <c r="P59" i="24"/>
  <c r="P58" i="24"/>
  <c r="P57" i="24"/>
  <c r="P56" i="24"/>
  <c r="P55" i="24"/>
  <c r="P54" i="24"/>
  <c r="P53" i="24"/>
  <c r="P52" i="24"/>
  <c r="P51" i="24"/>
  <c r="P50" i="24"/>
  <c r="P49" i="24"/>
  <c r="P48" i="24"/>
  <c r="P47" i="24"/>
  <c r="P46" i="24"/>
  <c r="P45" i="24"/>
  <c r="P44" i="24"/>
  <c r="P43" i="24"/>
  <c r="P42" i="24"/>
  <c r="P41" i="24"/>
  <c r="P40" i="24"/>
  <c r="P39" i="24"/>
  <c r="P38" i="24"/>
  <c r="P37" i="24"/>
  <c r="P36" i="24"/>
  <c r="P35" i="24"/>
  <c r="P34" i="24"/>
  <c r="P33" i="24"/>
  <c r="P32" i="24"/>
  <c r="P31" i="24"/>
  <c r="P30" i="24"/>
  <c r="P29" i="24"/>
  <c r="P28" i="24"/>
  <c r="P27" i="24"/>
  <c r="P26" i="24"/>
  <c r="P25" i="24"/>
  <c r="P24" i="24"/>
  <c r="P23" i="24"/>
  <c r="P22" i="24"/>
  <c r="P21" i="24"/>
  <c r="P20" i="24"/>
  <c r="P19" i="24"/>
  <c r="P18" i="24"/>
  <c r="P17" i="24"/>
  <c r="P16" i="24"/>
  <c r="P15" i="24"/>
  <c r="O412" i="24"/>
  <c r="O411" i="24"/>
  <c r="O410" i="24"/>
  <c r="O409" i="24"/>
  <c r="O408" i="24"/>
  <c r="O407" i="24"/>
  <c r="O406" i="24"/>
  <c r="O405" i="24"/>
  <c r="O404" i="24"/>
  <c r="O403" i="24"/>
  <c r="O402" i="24"/>
  <c r="O401" i="24"/>
  <c r="O400" i="24"/>
  <c r="O399" i="24"/>
  <c r="O398" i="24"/>
  <c r="O397" i="24"/>
  <c r="O396" i="24"/>
  <c r="O395" i="24"/>
  <c r="O394" i="24"/>
  <c r="O393" i="24"/>
  <c r="O392" i="24"/>
  <c r="O391" i="24"/>
  <c r="O390" i="24"/>
  <c r="O389" i="24"/>
  <c r="O388" i="24"/>
  <c r="O387" i="24"/>
  <c r="O386" i="24"/>
  <c r="O385" i="24"/>
  <c r="O384" i="24"/>
  <c r="O383" i="24"/>
  <c r="O382" i="24"/>
  <c r="O381" i="24"/>
  <c r="O380" i="24"/>
  <c r="O379" i="24"/>
  <c r="O378" i="24"/>
  <c r="O377" i="24"/>
  <c r="O376" i="24"/>
  <c r="O375" i="24"/>
  <c r="O374" i="24"/>
  <c r="O373" i="24"/>
  <c r="O372" i="24"/>
  <c r="O371" i="24"/>
  <c r="O370" i="24"/>
  <c r="O369" i="24"/>
  <c r="O368" i="24"/>
  <c r="O367" i="24"/>
  <c r="O366" i="24"/>
  <c r="O365" i="24"/>
  <c r="O364" i="24"/>
  <c r="O363" i="24"/>
  <c r="O362" i="24"/>
  <c r="O361" i="24"/>
  <c r="O360" i="24"/>
  <c r="O359" i="24"/>
  <c r="O358" i="24"/>
  <c r="O357" i="24"/>
  <c r="O356" i="24"/>
  <c r="O355" i="24"/>
  <c r="O354" i="24"/>
  <c r="O353" i="24"/>
  <c r="O352" i="24"/>
  <c r="O351" i="24"/>
  <c r="O350" i="24"/>
  <c r="O349" i="24"/>
  <c r="O348" i="24"/>
  <c r="O347" i="24"/>
  <c r="O346" i="24"/>
  <c r="O345" i="24"/>
  <c r="O344" i="24"/>
  <c r="O343" i="24"/>
  <c r="O342" i="24"/>
  <c r="O341" i="24"/>
  <c r="O340" i="24"/>
  <c r="O339" i="24"/>
  <c r="O338" i="24"/>
  <c r="O337" i="24"/>
  <c r="O336" i="24"/>
  <c r="O335" i="24"/>
  <c r="O334" i="24"/>
  <c r="O333" i="24"/>
  <c r="O332" i="24"/>
  <c r="O331" i="24"/>
  <c r="O330" i="24"/>
  <c r="O329" i="24"/>
  <c r="O328" i="24"/>
  <c r="O327" i="24"/>
  <c r="O326" i="24"/>
  <c r="O325" i="24"/>
  <c r="O324" i="24"/>
  <c r="O323" i="24"/>
  <c r="O322" i="24"/>
  <c r="O321" i="24"/>
  <c r="O320" i="24"/>
  <c r="O319" i="24"/>
  <c r="O318" i="24"/>
  <c r="O317" i="24"/>
  <c r="O316" i="24"/>
  <c r="O315" i="24"/>
  <c r="O314" i="24"/>
  <c r="O313" i="24"/>
  <c r="O312" i="24"/>
  <c r="O311" i="24"/>
  <c r="O310" i="24"/>
  <c r="O309" i="24"/>
  <c r="O308" i="24"/>
  <c r="O307" i="24"/>
  <c r="O306" i="24"/>
  <c r="O305" i="24"/>
  <c r="O304" i="24"/>
  <c r="O303" i="24"/>
  <c r="O302" i="24"/>
  <c r="O301" i="24"/>
  <c r="O300" i="24"/>
  <c r="O299" i="24"/>
  <c r="O298" i="24"/>
  <c r="O297" i="24"/>
  <c r="O296" i="24"/>
  <c r="O295" i="24"/>
  <c r="O294" i="24"/>
  <c r="O293" i="24"/>
  <c r="O292" i="24"/>
  <c r="O291" i="24"/>
  <c r="O290" i="24"/>
  <c r="O289" i="24"/>
  <c r="O288" i="24"/>
  <c r="O287" i="24"/>
  <c r="O286" i="24"/>
  <c r="O285" i="24"/>
  <c r="O284" i="24"/>
  <c r="O283" i="24"/>
  <c r="O282" i="24"/>
  <c r="O281" i="24"/>
  <c r="O280" i="24"/>
  <c r="O279" i="24"/>
  <c r="O278" i="24"/>
  <c r="O277" i="24"/>
  <c r="O276" i="24"/>
  <c r="O275" i="24"/>
  <c r="O274" i="24"/>
  <c r="O273" i="24"/>
  <c r="O272" i="24"/>
  <c r="O271" i="24"/>
  <c r="O270" i="24"/>
  <c r="O269" i="24"/>
  <c r="O268" i="24"/>
  <c r="O267" i="24"/>
  <c r="O266" i="24"/>
  <c r="O265" i="24"/>
  <c r="O264" i="24"/>
  <c r="O263" i="24"/>
  <c r="O262" i="24"/>
  <c r="O261" i="24"/>
  <c r="O260" i="24"/>
  <c r="O259" i="24"/>
  <c r="O258" i="24"/>
  <c r="O257" i="24"/>
  <c r="O256" i="24"/>
  <c r="O255" i="24"/>
  <c r="O254" i="24"/>
  <c r="O253" i="24"/>
  <c r="O252" i="24"/>
  <c r="O251" i="24"/>
  <c r="O250" i="24"/>
  <c r="O249" i="24"/>
  <c r="O248" i="24"/>
  <c r="O247" i="24"/>
  <c r="O246" i="24"/>
  <c r="O245" i="24"/>
  <c r="O244" i="24"/>
  <c r="O243" i="24"/>
  <c r="O242" i="24"/>
  <c r="O241" i="24"/>
  <c r="O240" i="24"/>
  <c r="O239" i="24"/>
  <c r="O238" i="24"/>
  <c r="O237" i="24"/>
  <c r="O236" i="24"/>
  <c r="O235" i="24"/>
  <c r="O234" i="24"/>
  <c r="O233" i="24"/>
  <c r="O232" i="24"/>
  <c r="O231" i="24"/>
  <c r="O230" i="24"/>
  <c r="O229" i="24"/>
  <c r="O228" i="24"/>
  <c r="O227" i="24"/>
  <c r="O226" i="24"/>
  <c r="O225" i="24"/>
  <c r="O224" i="24"/>
  <c r="O223" i="24"/>
  <c r="O222" i="24"/>
  <c r="O221" i="24"/>
  <c r="O220" i="24"/>
  <c r="O219" i="24"/>
  <c r="O218" i="24"/>
  <c r="O217" i="24"/>
  <c r="O216" i="24"/>
  <c r="O215" i="24"/>
  <c r="O214" i="24"/>
  <c r="O213" i="24"/>
  <c r="O212" i="24"/>
  <c r="O211" i="24"/>
  <c r="O210" i="24"/>
  <c r="O209" i="24"/>
  <c r="O208" i="24"/>
  <c r="O207" i="24"/>
  <c r="O206" i="24"/>
  <c r="O205" i="24"/>
  <c r="O204" i="24"/>
  <c r="O203" i="24"/>
  <c r="O202" i="24"/>
  <c r="O201" i="24"/>
  <c r="O200" i="24"/>
  <c r="O199" i="24"/>
  <c r="O198" i="24"/>
  <c r="O197" i="24"/>
  <c r="O196" i="24"/>
  <c r="O195" i="24"/>
  <c r="O194" i="24"/>
  <c r="O193" i="24"/>
  <c r="O192" i="24"/>
  <c r="O191" i="24"/>
  <c r="O190" i="24"/>
  <c r="O189" i="24"/>
  <c r="O188" i="24"/>
  <c r="O187" i="24"/>
  <c r="O186" i="24"/>
  <c r="O185" i="24"/>
  <c r="O184" i="24"/>
  <c r="O183" i="24"/>
  <c r="O182" i="24"/>
  <c r="O181" i="24"/>
  <c r="O180" i="24"/>
  <c r="O179" i="24"/>
  <c r="O178" i="24"/>
  <c r="O177" i="24"/>
  <c r="O176" i="24"/>
  <c r="O175" i="24"/>
  <c r="O174" i="24"/>
  <c r="O173" i="24"/>
  <c r="O172" i="24"/>
  <c r="O171" i="24"/>
  <c r="O170" i="24"/>
  <c r="O169" i="24"/>
  <c r="O168" i="24"/>
  <c r="O167" i="24"/>
  <c r="O166" i="24"/>
  <c r="O165" i="24"/>
  <c r="O164" i="24"/>
  <c r="O163" i="24"/>
  <c r="O162" i="24"/>
  <c r="O161" i="24"/>
  <c r="O160" i="24"/>
  <c r="O159" i="24"/>
  <c r="O158" i="24"/>
  <c r="O157" i="24"/>
  <c r="O156" i="24"/>
  <c r="O155" i="24"/>
  <c r="O154" i="24"/>
  <c r="O153" i="24"/>
  <c r="O152" i="24"/>
  <c r="O151" i="24"/>
  <c r="O150" i="24"/>
  <c r="O149" i="24"/>
  <c r="O148" i="24"/>
  <c r="O147" i="24"/>
  <c r="O146" i="24"/>
  <c r="O145" i="24"/>
  <c r="O144" i="24"/>
  <c r="O143" i="24"/>
  <c r="O142" i="24"/>
  <c r="O141" i="24"/>
  <c r="O140" i="24"/>
  <c r="O139" i="24"/>
  <c r="O138" i="24"/>
  <c r="O137" i="24"/>
  <c r="O136" i="24"/>
  <c r="O135" i="24"/>
  <c r="O134" i="24"/>
  <c r="O133" i="24"/>
  <c r="O132" i="24"/>
  <c r="O131" i="24"/>
  <c r="O130" i="24"/>
  <c r="O129" i="24"/>
  <c r="O128" i="24"/>
  <c r="O127" i="24"/>
  <c r="O126" i="24"/>
  <c r="O125" i="24"/>
  <c r="O124" i="24"/>
  <c r="O123" i="24"/>
  <c r="O122" i="24"/>
  <c r="O121" i="24"/>
  <c r="O120" i="24"/>
  <c r="O119" i="24"/>
  <c r="O118" i="24"/>
  <c r="O117" i="24"/>
  <c r="O116" i="24"/>
  <c r="O115" i="24"/>
  <c r="O114" i="24"/>
  <c r="O113" i="24"/>
  <c r="O112" i="24"/>
  <c r="O111" i="24"/>
  <c r="O110" i="24"/>
  <c r="O109" i="24"/>
  <c r="O108" i="24"/>
  <c r="O107" i="24"/>
  <c r="O106" i="24"/>
  <c r="O105" i="24"/>
  <c r="O104" i="24"/>
  <c r="O103" i="24"/>
  <c r="O102" i="24"/>
  <c r="O101" i="24"/>
  <c r="O100" i="24"/>
  <c r="O99" i="24"/>
  <c r="O98" i="24"/>
  <c r="O97" i="24"/>
  <c r="O96" i="24"/>
  <c r="O95" i="24"/>
  <c r="O94" i="24"/>
  <c r="O93" i="24"/>
  <c r="O92" i="24"/>
  <c r="O91" i="24"/>
  <c r="O90" i="24"/>
  <c r="O89" i="24"/>
  <c r="O88" i="24"/>
  <c r="O87" i="24"/>
  <c r="O86" i="24"/>
  <c r="O85" i="24"/>
  <c r="O84" i="24"/>
  <c r="O83" i="24"/>
  <c r="O82" i="24"/>
  <c r="O81" i="24"/>
  <c r="O80" i="24"/>
  <c r="O79" i="24"/>
  <c r="O78" i="24"/>
  <c r="O77" i="24"/>
  <c r="O76" i="24"/>
  <c r="O75" i="24"/>
  <c r="O74" i="24"/>
  <c r="O73" i="24"/>
  <c r="O72" i="24"/>
  <c r="O71" i="24"/>
  <c r="O70" i="24"/>
  <c r="O69" i="24"/>
  <c r="O68" i="24"/>
  <c r="O67" i="24"/>
  <c r="O66" i="24"/>
  <c r="O65" i="24"/>
  <c r="O64" i="24"/>
  <c r="O63" i="24"/>
  <c r="O62" i="24"/>
  <c r="O61" i="24"/>
  <c r="O60" i="24"/>
  <c r="O59" i="24"/>
  <c r="O58" i="24"/>
  <c r="O57" i="24"/>
  <c r="O56" i="24"/>
  <c r="O55" i="24"/>
  <c r="O54" i="24"/>
  <c r="O53" i="24"/>
  <c r="O52" i="24"/>
  <c r="O51" i="24"/>
  <c r="O50" i="24"/>
  <c r="O49" i="24"/>
  <c r="O48" i="24"/>
  <c r="O47" i="24"/>
  <c r="O46" i="24"/>
  <c r="O45" i="24"/>
  <c r="O44" i="24"/>
  <c r="O43" i="24"/>
  <c r="O42" i="24"/>
  <c r="O41" i="24"/>
  <c r="O40" i="24"/>
  <c r="O39" i="24"/>
  <c r="O38" i="24"/>
  <c r="O37" i="24"/>
  <c r="O36" i="24"/>
  <c r="O35" i="24"/>
  <c r="O34" i="24"/>
  <c r="O33" i="24"/>
  <c r="O32" i="24"/>
  <c r="O31" i="24"/>
  <c r="O30" i="24"/>
  <c r="O29" i="24"/>
  <c r="O28" i="24"/>
  <c r="O27" i="24"/>
  <c r="O26" i="24"/>
  <c r="O25" i="24"/>
  <c r="O24" i="24"/>
  <c r="O23" i="24"/>
  <c r="O22" i="24"/>
  <c r="O21" i="24"/>
  <c r="O20" i="24"/>
  <c r="O19" i="24"/>
  <c r="O18" i="24"/>
  <c r="O17" i="24"/>
  <c r="O16" i="24"/>
  <c r="O15" i="24"/>
  <c r="H130" i="46" l="1"/>
  <c r="E130" i="46"/>
  <c r="D130" i="46"/>
  <c r="G130" i="46"/>
  <c r="P130" i="26"/>
  <c r="P129" i="26"/>
  <c r="P128" i="26"/>
  <c r="P127" i="26"/>
  <c r="P126" i="26"/>
  <c r="P125" i="26"/>
  <c r="P124" i="26"/>
  <c r="P120" i="26"/>
  <c r="P119" i="26"/>
  <c r="P118" i="26"/>
  <c r="P117" i="26"/>
  <c r="P116" i="26"/>
  <c r="P115" i="26"/>
  <c r="P114" i="26"/>
  <c r="P110" i="26"/>
  <c r="P109" i="26"/>
  <c r="P108" i="26"/>
  <c r="P107" i="26"/>
  <c r="P106" i="26"/>
  <c r="P105" i="26"/>
  <c r="P104" i="26"/>
  <c r="P100" i="26"/>
  <c r="P99" i="26"/>
  <c r="P98" i="26"/>
  <c r="P97" i="26"/>
  <c r="P96" i="26"/>
  <c r="P95" i="26"/>
  <c r="P94" i="26"/>
  <c r="P90" i="26"/>
  <c r="P89" i="26"/>
  <c r="P88" i="26"/>
  <c r="P87" i="26"/>
  <c r="P84" i="26"/>
  <c r="P80" i="26"/>
  <c r="P79" i="26"/>
  <c r="P78" i="26"/>
  <c r="P77" i="26"/>
  <c r="P74" i="26"/>
  <c r="F65" i="26" l="1"/>
  <c r="F64" i="26"/>
  <c r="F63" i="26"/>
  <c r="F62" i="26"/>
  <c r="F61" i="26"/>
  <c r="F60" i="26"/>
  <c r="F59" i="26"/>
  <c r="F55" i="26"/>
  <c r="F54" i="26"/>
  <c r="F53" i="26"/>
  <c r="F52" i="26"/>
  <c r="F51" i="26"/>
  <c r="F50" i="26"/>
  <c r="F49" i="26"/>
  <c r="C26" i="15"/>
  <c r="D26" i="15"/>
  <c r="E26" i="15"/>
  <c r="F26" i="15"/>
  <c r="G26" i="15"/>
  <c r="H26" i="15"/>
  <c r="B26" i="15" l="1"/>
  <c r="J120" i="32"/>
  <c r="J121" i="32"/>
  <c r="K170" i="26" l="1"/>
  <c r="J170" i="26"/>
  <c r="K169" i="26"/>
  <c r="J169" i="26"/>
  <c r="K168" i="26"/>
  <c r="J168" i="26"/>
  <c r="K167" i="26"/>
  <c r="J167" i="26"/>
  <c r="K166" i="26"/>
  <c r="J166" i="26"/>
  <c r="K165" i="26"/>
  <c r="J165" i="26"/>
  <c r="L180" i="26"/>
  <c r="K180" i="26"/>
  <c r="L179" i="26"/>
  <c r="K179" i="26"/>
  <c r="L178" i="26"/>
  <c r="K178" i="26"/>
  <c r="L177" i="26"/>
  <c r="K177" i="26"/>
  <c r="L176" i="26"/>
  <c r="K176" i="26"/>
  <c r="L175" i="26"/>
  <c r="K175" i="26"/>
  <c r="L174" i="26"/>
  <c r="K174" i="26"/>
  <c r="K164" i="26"/>
  <c r="J164" i="26"/>
  <c r="K163" i="26"/>
  <c r="J163" i="26"/>
  <c r="E185" i="26"/>
  <c r="F185" i="26"/>
  <c r="A185" i="26"/>
  <c r="A186" i="26"/>
  <c r="A187" i="26"/>
  <c r="A188" i="26"/>
  <c r="A189" i="26"/>
  <c r="A190" i="26"/>
  <c r="A191" i="26"/>
  <c r="A192" i="26"/>
  <c r="A193" i="26"/>
  <c r="A173" i="26"/>
  <c r="A174" i="26"/>
  <c r="A175" i="26"/>
  <c r="A176" i="26"/>
  <c r="A177" i="26"/>
  <c r="A178" i="26"/>
  <c r="A179" i="26"/>
  <c r="A180" i="26"/>
  <c r="A181" i="26"/>
  <c r="K171" i="26" l="1"/>
  <c r="K181" i="26"/>
  <c r="L181" i="26"/>
  <c r="J171" i="26"/>
  <c r="H131" i="26"/>
  <c r="E131" i="26"/>
  <c r="AC130" i="26"/>
  <c r="AB130" i="26"/>
  <c r="AA130" i="26"/>
  <c r="Z130" i="26"/>
  <c r="K130" i="26"/>
  <c r="I130" i="26"/>
  <c r="AC129" i="26"/>
  <c r="AB129" i="26"/>
  <c r="AA129" i="26"/>
  <c r="Z129" i="26"/>
  <c r="K129" i="26"/>
  <c r="I129" i="26"/>
  <c r="AC128" i="26"/>
  <c r="AB128" i="26"/>
  <c r="AA128" i="26"/>
  <c r="Z128" i="26"/>
  <c r="W128" i="26"/>
  <c r="K128" i="26"/>
  <c r="I128" i="26"/>
  <c r="AC127" i="26"/>
  <c r="AB127" i="26"/>
  <c r="AA127" i="26"/>
  <c r="Z127" i="26"/>
  <c r="K127" i="26"/>
  <c r="I127" i="26"/>
  <c r="AA126" i="26"/>
  <c r="Z126" i="26"/>
  <c r="AB126" i="26" s="1"/>
  <c r="AC126" i="26" s="1"/>
  <c r="I126" i="26"/>
  <c r="K126" i="26" s="1"/>
  <c r="AC125" i="26"/>
  <c r="AB125" i="26"/>
  <c r="AA125" i="26"/>
  <c r="Z125" i="26"/>
  <c r="K125" i="26"/>
  <c r="I125" i="26"/>
  <c r="AC124" i="26"/>
  <c r="AB124" i="26"/>
  <c r="AA124" i="26"/>
  <c r="K124" i="26"/>
  <c r="I124" i="26"/>
  <c r="C124" i="26"/>
  <c r="L173" i="26" s="1"/>
  <c r="F123" i="26"/>
  <c r="H121" i="26"/>
  <c r="E121" i="26"/>
  <c r="AC120" i="26"/>
  <c r="AB120" i="26"/>
  <c r="AA120" i="26"/>
  <c r="Z120" i="26"/>
  <c r="K120" i="26"/>
  <c r="I120" i="26"/>
  <c r="AC119" i="26"/>
  <c r="AB119" i="26"/>
  <c r="AA119" i="26"/>
  <c r="Z119" i="26"/>
  <c r="K119" i="26"/>
  <c r="I119" i="26"/>
  <c r="AC118" i="26"/>
  <c r="AB118" i="26"/>
  <c r="AA118" i="26"/>
  <c r="Z118" i="26"/>
  <c r="W118" i="26"/>
  <c r="K118" i="26"/>
  <c r="I118" i="26"/>
  <c r="AC117" i="26"/>
  <c r="AB117" i="26"/>
  <c r="AA117" i="26"/>
  <c r="Z117" i="26"/>
  <c r="K117" i="26"/>
  <c r="I117" i="26"/>
  <c r="AC116" i="26"/>
  <c r="AB116" i="26"/>
  <c r="AA116" i="26"/>
  <c r="Z116" i="26"/>
  <c r="K116" i="26"/>
  <c r="I116" i="26"/>
  <c r="AC115" i="26"/>
  <c r="AB115" i="26"/>
  <c r="AA115" i="26"/>
  <c r="Z115" i="26"/>
  <c r="K115" i="26"/>
  <c r="I115" i="26"/>
  <c r="AC114" i="26"/>
  <c r="AB114" i="26"/>
  <c r="AA114" i="26"/>
  <c r="K114" i="26"/>
  <c r="I114" i="26"/>
  <c r="C114" i="26"/>
  <c r="F113" i="26"/>
  <c r="A131" i="26" l="1"/>
  <c r="K173" i="26"/>
  <c r="A121" i="26"/>
  <c r="P121" i="26"/>
  <c r="I121" i="26"/>
  <c r="K121" i="26"/>
  <c r="AC121" i="26"/>
  <c r="AC131" i="26"/>
  <c r="I131" i="26"/>
  <c r="K131" i="26"/>
  <c r="P131" i="26"/>
  <c r="J131" i="26"/>
  <c r="J121" i="26"/>
  <c r="AG23" i="36" l="1"/>
  <c r="AA23" i="36"/>
  <c r="AG22" i="36"/>
  <c r="AA22" i="36"/>
  <c r="AG21" i="36"/>
  <c r="AA21" i="36"/>
  <c r="AG20" i="36"/>
  <c r="AA20" i="36"/>
  <c r="AG19" i="36"/>
  <c r="AA19" i="36"/>
  <c r="AG18" i="36"/>
  <c r="AA18" i="36"/>
  <c r="AG17" i="36"/>
  <c r="AA17" i="36"/>
  <c r="AG16" i="36"/>
  <c r="AA16" i="36"/>
  <c r="AG15" i="36"/>
  <c r="AA15" i="36"/>
  <c r="AG14" i="36"/>
  <c r="AA14" i="36"/>
  <c r="AG13" i="36"/>
  <c r="AA13" i="36"/>
  <c r="AG12" i="36"/>
  <c r="AA12" i="36"/>
  <c r="AG11" i="36"/>
  <c r="AA11" i="36"/>
  <c r="Y11" i="36"/>
  <c r="Y12" i="36" s="1"/>
  <c r="Y13" i="36" s="1"/>
  <c r="Y14" i="36" s="1"/>
  <c r="Y15" i="36" s="1"/>
  <c r="Y16" i="36" s="1"/>
  <c r="Y17" i="36" s="1"/>
  <c r="Y18" i="36" s="1"/>
  <c r="Y19" i="36" s="1"/>
  <c r="Y20" i="36" s="1"/>
  <c r="Y21" i="36" s="1"/>
  <c r="Y22" i="36" s="1"/>
  <c r="Y23" i="36" s="1"/>
  <c r="AG10" i="36"/>
  <c r="AE10" i="36"/>
  <c r="AE11" i="36" s="1"/>
  <c r="AE12" i="36" s="1"/>
  <c r="AE13" i="36" s="1"/>
  <c r="AE14" i="36" s="1"/>
  <c r="AE15" i="36" s="1"/>
  <c r="AE16" i="36" s="1"/>
  <c r="AE17" i="36" s="1"/>
  <c r="AE18" i="36" s="1"/>
  <c r="AE19" i="36" s="1"/>
  <c r="AE20" i="36" s="1"/>
  <c r="AE21" i="36" s="1"/>
  <c r="AE22" i="36" s="1"/>
  <c r="AE23" i="36" s="1"/>
  <c r="AA10" i="36"/>
  <c r="AG9" i="36"/>
  <c r="C9" i="41" l="1"/>
  <c r="D9" i="32"/>
  <c r="C9" i="32"/>
  <c r="D10" i="41"/>
  <c r="K10" i="32" s="1"/>
  <c r="C10" i="41"/>
  <c r="K11" i="32" l="1"/>
  <c r="H56" i="26"/>
  <c r="E56" i="26"/>
  <c r="A56" i="26"/>
  <c r="J55" i="26"/>
  <c r="H55" i="26"/>
  <c r="K55" i="26" s="1"/>
  <c r="G55" i="26"/>
  <c r="J54" i="26"/>
  <c r="G54" i="26"/>
  <c r="H54" i="26" s="1"/>
  <c r="K54" i="26" s="1"/>
  <c r="J53" i="26"/>
  <c r="G53" i="26"/>
  <c r="H53" i="26" s="1"/>
  <c r="K53" i="26" s="1"/>
  <c r="J52" i="26"/>
  <c r="G52" i="26"/>
  <c r="H52" i="26" s="1"/>
  <c r="K52" i="26" s="1"/>
  <c r="J51" i="26"/>
  <c r="G51" i="26"/>
  <c r="H51" i="26" s="1"/>
  <c r="K51" i="26" s="1"/>
  <c r="J50" i="26"/>
  <c r="G50" i="26"/>
  <c r="H50" i="26" s="1"/>
  <c r="K50" i="26" s="1"/>
  <c r="J49" i="26"/>
  <c r="G49" i="26"/>
  <c r="H49" i="26" s="1"/>
  <c r="K49" i="26" s="1"/>
  <c r="K56" i="26" l="1"/>
  <c r="J56" i="26"/>
  <c r="B57" i="15"/>
  <c r="B56" i="15"/>
  <c r="B55" i="15"/>
  <c r="B54" i="15"/>
  <c r="B53" i="15"/>
  <c r="B52" i="15"/>
  <c r="B18" i="25" l="1"/>
  <c r="B17" i="25" s="1"/>
  <c r="U81" i="57" s="1"/>
  <c r="B19" i="25"/>
  <c r="B20" i="25"/>
  <c r="B21" i="25"/>
  <c r="B22" i="25"/>
  <c r="B23" i="25"/>
  <c r="B24" i="25"/>
  <c r="B25" i="25"/>
  <c r="B26" i="25"/>
  <c r="B27" i="25"/>
  <c r="B28" i="25"/>
  <c r="B29" i="25"/>
  <c r="B30" i="25"/>
  <c r="B31" i="25"/>
  <c r="B32" i="25"/>
  <c r="B33" i="25"/>
  <c r="B34" i="25"/>
  <c r="B35" i="25"/>
  <c r="B36" i="25"/>
  <c r="B37" i="25"/>
  <c r="B38" i="25"/>
  <c r="B39" i="25"/>
  <c r="B40" i="25"/>
  <c r="B41" i="25"/>
  <c r="B42" i="25"/>
  <c r="B43" i="25"/>
  <c r="B44" i="25"/>
  <c r="B45" i="25"/>
  <c r="B46" i="25"/>
  <c r="B47" i="25"/>
  <c r="B48" i="25"/>
  <c r="B49" i="25"/>
  <c r="B50" i="25"/>
  <c r="B51" i="25"/>
  <c r="B52" i="25"/>
  <c r="B15" i="25"/>
  <c r="B14" i="25"/>
  <c r="B13" i="25"/>
  <c r="B54" i="25"/>
  <c r="B11" i="25"/>
  <c r="B10" i="25"/>
  <c r="B9" i="25" s="1"/>
  <c r="U21" i="57" s="1"/>
  <c r="H77" i="15"/>
  <c r="G77" i="15"/>
  <c r="F77" i="15"/>
  <c r="E77" i="15"/>
  <c r="D77" i="15"/>
  <c r="C77" i="15"/>
  <c r="B77" i="15" s="1"/>
  <c r="H76" i="15"/>
  <c r="G76" i="15"/>
  <c r="F76" i="15"/>
  <c r="E76" i="15"/>
  <c r="D76" i="15"/>
  <c r="C76" i="15"/>
  <c r="B76" i="15" s="1"/>
  <c r="H75" i="15"/>
  <c r="G75" i="15"/>
  <c r="F75" i="15"/>
  <c r="E75" i="15"/>
  <c r="D75" i="15"/>
  <c r="C75" i="15"/>
  <c r="B75" i="15" s="1"/>
  <c r="H66" i="15"/>
  <c r="G66" i="15"/>
  <c r="F66" i="15"/>
  <c r="E66" i="15"/>
  <c r="D66" i="15"/>
  <c r="C66" i="15"/>
  <c r="B66" i="15" s="1"/>
  <c r="H65" i="15"/>
  <c r="G65" i="15"/>
  <c r="F65" i="15"/>
  <c r="E65" i="15"/>
  <c r="D65" i="15"/>
  <c r="C65" i="15"/>
  <c r="B65" i="15" s="1"/>
  <c r="H63" i="15"/>
  <c r="G63" i="15"/>
  <c r="F63" i="15"/>
  <c r="E63" i="15"/>
  <c r="D63" i="15"/>
  <c r="C63" i="15"/>
  <c r="B63" i="15" s="1"/>
  <c r="I57" i="15"/>
  <c r="H57" i="15"/>
  <c r="G57" i="15"/>
  <c r="F57" i="15"/>
  <c r="E57" i="15"/>
  <c r="D57" i="15"/>
  <c r="C57" i="15"/>
  <c r="I56" i="15"/>
  <c r="H56" i="15"/>
  <c r="G56" i="15"/>
  <c r="F56" i="15"/>
  <c r="E56" i="15"/>
  <c r="D56" i="15"/>
  <c r="C56" i="15"/>
  <c r="I55" i="15"/>
  <c r="H55" i="15"/>
  <c r="G55" i="15"/>
  <c r="F55" i="15"/>
  <c r="E55" i="15"/>
  <c r="D55" i="15"/>
  <c r="C55" i="15"/>
  <c r="I54" i="15"/>
  <c r="H54" i="15"/>
  <c r="G54" i="15"/>
  <c r="F54" i="15"/>
  <c r="E54" i="15"/>
  <c r="D54" i="15"/>
  <c r="C54" i="15"/>
  <c r="I53" i="15"/>
  <c r="H53" i="15"/>
  <c r="G53" i="15"/>
  <c r="F53" i="15"/>
  <c r="E53" i="15"/>
  <c r="D53" i="15"/>
  <c r="C53" i="15"/>
  <c r="I52" i="15"/>
  <c r="H52" i="15"/>
  <c r="G52" i="15"/>
  <c r="F52" i="15"/>
  <c r="E52" i="15"/>
  <c r="D52" i="15"/>
  <c r="C52" i="15"/>
  <c r="H35" i="15"/>
  <c r="G35" i="15"/>
  <c r="F35" i="15"/>
  <c r="E35" i="15"/>
  <c r="D35" i="15"/>
  <c r="B35" i="15"/>
  <c r="H34" i="15"/>
  <c r="G34" i="15"/>
  <c r="F34" i="15"/>
  <c r="E34" i="15"/>
  <c r="D34" i="15"/>
  <c r="B34" i="15"/>
  <c r="H33" i="15"/>
  <c r="G33" i="15"/>
  <c r="F33" i="15"/>
  <c r="E33" i="15"/>
  <c r="D33" i="15"/>
  <c r="B33" i="15"/>
  <c r="H32" i="15"/>
  <c r="G32" i="15"/>
  <c r="F32" i="15"/>
  <c r="E32" i="15"/>
  <c r="D32" i="15"/>
  <c r="C32" i="15"/>
  <c r="H31" i="15"/>
  <c r="G31" i="15"/>
  <c r="F31" i="15"/>
  <c r="E31" i="15"/>
  <c r="D31" i="15"/>
  <c r="C31" i="15"/>
  <c r="H29" i="15"/>
  <c r="G29" i="15"/>
  <c r="F29" i="15"/>
  <c r="E29" i="15"/>
  <c r="D29" i="15"/>
  <c r="H28" i="15"/>
  <c r="G28" i="15"/>
  <c r="F28" i="15"/>
  <c r="E28" i="15"/>
  <c r="D28" i="15"/>
  <c r="B28" i="15"/>
  <c r="H27" i="15"/>
  <c r="G27" i="15"/>
  <c r="F27" i="15"/>
  <c r="E27" i="15"/>
  <c r="D27" i="15"/>
  <c r="B27" i="15"/>
  <c r="H25" i="15"/>
  <c r="G25" i="15"/>
  <c r="F25" i="15"/>
  <c r="E25" i="15"/>
  <c r="D25" i="15"/>
  <c r="B25" i="15"/>
  <c r="H24" i="15"/>
  <c r="G24" i="15"/>
  <c r="F24" i="15"/>
  <c r="E24" i="15"/>
  <c r="D24" i="15"/>
  <c r="B24" i="15"/>
  <c r="H23" i="15"/>
  <c r="G23" i="15"/>
  <c r="F23" i="15"/>
  <c r="E23" i="15"/>
  <c r="D23" i="15"/>
  <c r="H22" i="15"/>
  <c r="G22" i="15"/>
  <c r="F22" i="15"/>
  <c r="E22" i="15"/>
  <c r="D22" i="15"/>
  <c r="C22" i="15"/>
  <c r="H21" i="15"/>
  <c r="G21" i="15"/>
  <c r="F21" i="15"/>
  <c r="E21" i="15"/>
  <c r="D21" i="15"/>
  <c r="B21" i="15"/>
  <c r="H20" i="15"/>
  <c r="G20" i="15"/>
  <c r="F20" i="15"/>
  <c r="E20" i="15"/>
  <c r="D20" i="15"/>
  <c r="C20" i="15"/>
  <c r="H19" i="15"/>
  <c r="G19" i="15"/>
  <c r="F19" i="15"/>
  <c r="E19" i="15"/>
  <c r="D19" i="15"/>
  <c r="H18" i="15"/>
  <c r="G18" i="15"/>
  <c r="F18" i="15"/>
  <c r="E18" i="15"/>
  <c r="D18" i="15"/>
  <c r="H17" i="15"/>
  <c r="G17" i="15"/>
  <c r="F17" i="15"/>
  <c r="E17" i="15"/>
  <c r="D17" i="15"/>
  <c r="B17" i="15"/>
  <c r="H16" i="15"/>
  <c r="G16" i="15"/>
  <c r="F16" i="15"/>
  <c r="E16" i="15"/>
  <c r="D16" i="15"/>
  <c r="B16" i="15"/>
  <c r="H15" i="15"/>
  <c r="G15" i="15"/>
  <c r="F15" i="15"/>
  <c r="E15" i="15"/>
  <c r="D15" i="15"/>
  <c r="H14" i="15"/>
  <c r="G14" i="15"/>
  <c r="F14" i="15"/>
  <c r="E14" i="15"/>
  <c r="D14" i="15"/>
  <c r="E9" i="15"/>
  <c r="H9" i="15" s="1"/>
  <c r="C8" i="15"/>
  <c r="D8" i="15" s="1"/>
  <c r="E8" i="15" s="1"/>
  <c r="F8" i="15" s="1"/>
  <c r="G4" i="36"/>
  <c r="E32" i="36" s="1"/>
  <c r="E50" i="36" s="1"/>
  <c r="K50" i="36" s="1"/>
  <c r="E21" i="27"/>
  <c r="E22" i="27" s="1"/>
  <c r="F14" i="57" s="1"/>
  <c r="E33" i="27"/>
  <c r="E47" i="27"/>
  <c r="E48" i="27" s="1"/>
  <c r="F17" i="57" s="1"/>
  <c r="E38" i="27"/>
  <c r="F18" i="57" s="1"/>
  <c r="L24" i="27"/>
  <c r="L25" i="27" s="1"/>
  <c r="F19" i="57" s="1"/>
  <c r="L37" i="27"/>
  <c r="L38" i="27" s="1"/>
  <c r="F20" i="57" s="1"/>
  <c r="H25" i="28"/>
  <c r="L47" i="27"/>
  <c r="L48" i="27" s="1"/>
  <c r="E12" i="16" s="1"/>
  <c r="E15" i="16"/>
  <c r="F27" i="57" s="1"/>
  <c r="E23" i="16"/>
  <c r="E46" i="16"/>
  <c r="E51" i="16"/>
  <c r="E57" i="16"/>
  <c r="E67" i="16"/>
  <c r="E78" i="16"/>
  <c r="F92" i="57" s="1"/>
  <c r="E90" i="16"/>
  <c r="F104" i="57" s="1"/>
  <c r="F105" i="57" s="1"/>
  <c r="M101" i="30"/>
  <c r="M103" i="30"/>
  <c r="H116" i="28"/>
  <c r="E9" i="30"/>
  <c r="E9" i="28" s="1"/>
  <c r="M16" i="30"/>
  <c r="S15" i="16"/>
  <c r="AZ27" i="30" s="1"/>
  <c r="F21" i="16"/>
  <c r="G21" i="16" s="1"/>
  <c r="F42" i="16"/>
  <c r="G42" i="16" s="1"/>
  <c r="H42" i="16" s="1"/>
  <c r="I42" i="16" s="1"/>
  <c r="F43" i="16"/>
  <c r="G43" i="16" s="1"/>
  <c r="F44" i="16"/>
  <c r="G44" i="16" s="1"/>
  <c r="H44" i="16" s="1"/>
  <c r="I44" i="16" s="1"/>
  <c r="J44" i="16" s="1"/>
  <c r="K44" i="16" s="1"/>
  <c r="L44" i="16" s="1"/>
  <c r="M44" i="16" s="1"/>
  <c r="N44" i="16" s="1"/>
  <c r="O44" i="16" s="1"/>
  <c r="P44" i="16" s="1"/>
  <c r="Q44" i="16" s="1"/>
  <c r="R44" i="16" s="1"/>
  <c r="S44" i="16" s="1"/>
  <c r="T44" i="16" s="1"/>
  <c r="U44" i="16" s="1"/>
  <c r="V44" i="16" s="1"/>
  <c r="W44" i="16" s="1"/>
  <c r="X44" i="16" s="1"/>
  <c r="F45" i="16"/>
  <c r="F48" i="16"/>
  <c r="G48" i="16" s="1"/>
  <c r="F49" i="16"/>
  <c r="G49" i="16" s="1"/>
  <c r="H49" i="16" s="1"/>
  <c r="I49" i="16" s="1"/>
  <c r="J49" i="16" s="1"/>
  <c r="K49" i="16" s="1"/>
  <c r="L49" i="16" s="1"/>
  <c r="M49" i="16" s="1"/>
  <c r="N49" i="16" s="1"/>
  <c r="O49" i="16" s="1"/>
  <c r="P49" i="16" s="1"/>
  <c r="Q49" i="16" s="1"/>
  <c r="R49" i="16" s="1"/>
  <c r="S49" i="16" s="1"/>
  <c r="T49" i="16" s="1"/>
  <c r="U49" i="16" s="1"/>
  <c r="V49" i="16" s="1"/>
  <c r="W49" i="16" s="1"/>
  <c r="X49" i="16" s="1"/>
  <c r="F50" i="16"/>
  <c r="G50" i="16" s="1"/>
  <c r="H50" i="16" s="1"/>
  <c r="I50" i="16" s="1"/>
  <c r="J50" i="16" s="1"/>
  <c r="K50" i="16" s="1"/>
  <c r="L50" i="16" s="1"/>
  <c r="M50" i="16" s="1"/>
  <c r="N50" i="16" s="1"/>
  <c r="O50" i="16" s="1"/>
  <c r="P50" i="16" s="1"/>
  <c r="Q50" i="16" s="1"/>
  <c r="R50" i="16" s="1"/>
  <c r="S50" i="16" s="1"/>
  <c r="T50" i="16" s="1"/>
  <c r="U50" i="16" s="1"/>
  <c r="V50" i="16" s="1"/>
  <c r="W50" i="16" s="1"/>
  <c r="X50" i="16" s="1"/>
  <c r="F53" i="16"/>
  <c r="G53" i="16" s="1"/>
  <c r="H53" i="16" s="1"/>
  <c r="I53" i="16" s="1"/>
  <c r="J53" i="16" s="1"/>
  <c r="K53" i="16" s="1"/>
  <c r="L53" i="16" s="1"/>
  <c r="M53" i="16" s="1"/>
  <c r="N53" i="16" s="1"/>
  <c r="O53" i="16" s="1"/>
  <c r="P53" i="16" s="1"/>
  <c r="Q53" i="16" s="1"/>
  <c r="R53" i="16" s="1"/>
  <c r="S53" i="16" s="1"/>
  <c r="T53" i="16" s="1"/>
  <c r="U53" i="16" s="1"/>
  <c r="V53" i="16" s="1"/>
  <c r="F54" i="16"/>
  <c r="G54" i="16" s="1"/>
  <c r="H54" i="16" s="1"/>
  <c r="F55" i="16"/>
  <c r="G55" i="16" s="1"/>
  <c r="H55" i="16" s="1"/>
  <c r="I55" i="16" s="1"/>
  <c r="J55" i="16" s="1"/>
  <c r="K55" i="16" s="1"/>
  <c r="L55" i="16" s="1"/>
  <c r="M55" i="16" s="1"/>
  <c r="N55" i="16" s="1"/>
  <c r="O55" i="16" s="1"/>
  <c r="P55" i="16" s="1"/>
  <c r="Q55" i="16" s="1"/>
  <c r="R55" i="16" s="1"/>
  <c r="S55" i="16" s="1"/>
  <c r="T55" i="16" s="1"/>
  <c r="U55" i="16" s="1"/>
  <c r="V55" i="16" s="1"/>
  <c r="W55" i="16" s="1"/>
  <c r="X55" i="16" s="1"/>
  <c r="F56" i="16"/>
  <c r="G56" i="16" s="1"/>
  <c r="H56" i="16" s="1"/>
  <c r="I56" i="16" s="1"/>
  <c r="J56" i="16" s="1"/>
  <c r="K56" i="16" s="1"/>
  <c r="L56" i="16" s="1"/>
  <c r="M56" i="16" s="1"/>
  <c r="N56" i="16" s="1"/>
  <c r="O56" i="16" s="1"/>
  <c r="P56" i="16" s="1"/>
  <c r="Q56" i="16" s="1"/>
  <c r="R56" i="16" s="1"/>
  <c r="S56" i="16" s="1"/>
  <c r="T56" i="16" s="1"/>
  <c r="U56" i="16" s="1"/>
  <c r="V56" i="16" s="1"/>
  <c r="W56" i="16" s="1"/>
  <c r="X56" i="16" s="1"/>
  <c r="F59" i="16"/>
  <c r="G59" i="16" s="1"/>
  <c r="H59" i="16" s="1"/>
  <c r="I59" i="16" s="1"/>
  <c r="J59" i="16" s="1"/>
  <c r="K59" i="16" s="1"/>
  <c r="L59" i="16" s="1"/>
  <c r="M59" i="16" s="1"/>
  <c r="N59" i="16" s="1"/>
  <c r="O59" i="16" s="1"/>
  <c r="P59" i="16" s="1"/>
  <c r="F60" i="16"/>
  <c r="G60" i="16" s="1"/>
  <c r="H60" i="16" s="1"/>
  <c r="I60" i="16" s="1"/>
  <c r="J60" i="16" s="1"/>
  <c r="K60" i="16" s="1"/>
  <c r="F61" i="16"/>
  <c r="F62" i="16"/>
  <c r="G62" i="16" s="1"/>
  <c r="H62" i="16" s="1"/>
  <c r="I62" i="16" s="1"/>
  <c r="J62" i="16" s="1"/>
  <c r="K62" i="16" s="1"/>
  <c r="L62" i="16" s="1"/>
  <c r="M62" i="16" s="1"/>
  <c r="N62" i="16" s="1"/>
  <c r="O62" i="16" s="1"/>
  <c r="P62" i="16" s="1"/>
  <c r="Q62" i="16" s="1"/>
  <c r="R62" i="16" s="1"/>
  <c r="S62" i="16" s="1"/>
  <c r="T62" i="16" s="1"/>
  <c r="U62" i="16" s="1"/>
  <c r="V62" i="16" s="1"/>
  <c r="W62" i="16" s="1"/>
  <c r="X62" i="16" s="1"/>
  <c r="F63" i="16"/>
  <c r="G63" i="16" s="1"/>
  <c r="H63" i="16" s="1"/>
  <c r="I63" i="16" s="1"/>
  <c r="J63" i="16" s="1"/>
  <c r="K63" i="16" s="1"/>
  <c r="L63" i="16" s="1"/>
  <c r="M63" i="16" s="1"/>
  <c r="N63" i="16" s="1"/>
  <c r="O63" i="16" s="1"/>
  <c r="P63" i="16" s="1"/>
  <c r="Q63" i="16" s="1"/>
  <c r="R63" i="16" s="1"/>
  <c r="S63" i="16" s="1"/>
  <c r="T63" i="16" s="1"/>
  <c r="U63" i="16" s="1"/>
  <c r="V63" i="16" s="1"/>
  <c r="W63" i="16" s="1"/>
  <c r="X63" i="16" s="1"/>
  <c r="F64" i="16"/>
  <c r="G64" i="16" s="1"/>
  <c r="H64" i="16" s="1"/>
  <c r="I64" i="16" s="1"/>
  <c r="J64" i="16" s="1"/>
  <c r="K64" i="16" s="1"/>
  <c r="L64" i="16" s="1"/>
  <c r="M64" i="16" s="1"/>
  <c r="N64" i="16" s="1"/>
  <c r="O64" i="16" s="1"/>
  <c r="P64" i="16" s="1"/>
  <c r="Q64" i="16" s="1"/>
  <c r="R64" i="16" s="1"/>
  <c r="S64" i="16" s="1"/>
  <c r="T64" i="16" s="1"/>
  <c r="U64" i="16" s="1"/>
  <c r="V64" i="16" s="1"/>
  <c r="W64" i="16" s="1"/>
  <c r="X64" i="16" s="1"/>
  <c r="F65" i="16"/>
  <c r="G65" i="16" s="1"/>
  <c r="H65" i="16" s="1"/>
  <c r="I65" i="16" s="1"/>
  <c r="J65" i="16" s="1"/>
  <c r="K65" i="16" s="1"/>
  <c r="L65" i="16" s="1"/>
  <c r="M65" i="16" s="1"/>
  <c r="N65" i="16" s="1"/>
  <c r="O65" i="16" s="1"/>
  <c r="P65" i="16" s="1"/>
  <c r="Q65" i="16" s="1"/>
  <c r="R65" i="16" s="1"/>
  <c r="S65" i="16" s="1"/>
  <c r="T65" i="16" s="1"/>
  <c r="U65" i="16" s="1"/>
  <c r="V65" i="16" s="1"/>
  <c r="W65" i="16" s="1"/>
  <c r="X65" i="16" s="1"/>
  <c r="F66" i="16"/>
  <c r="G66" i="16" s="1"/>
  <c r="H66" i="16" s="1"/>
  <c r="I66" i="16" s="1"/>
  <c r="J66" i="16" s="1"/>
  <c r="K66" i="16" s="1"/>
  <c r="L66" i="16" s="1"/>
  <c r="M66" i="16" s="1"/>
  <c r="N66" i="16" s="1"/>
  <c r="O66" i="16" s="1"/>
  <c r="P66" i="16" s="1"/>
  <c r="Q66" i="16" s="1"/>
  <c r="R66" i="16" s="1"/>
  <c r="S66" i="16" s="1"/>
  <c r="T66" i="16" s="1"/>
  <c r="U66" i="16" s="1"/>
  <c r="V66" i="16" s="1"/>
  <c r="W66" i="16" s="1"/>
  <c r="X66" i="16" s="1"/>
  <c r="S78" i="16"/>
  <c r="AZ92" i="30" s="1"/>
  <c r="AZ92" i="28" s="1"/>
  <c r="S90" i="16"/>
  <c r="M33" i="30"/>
  <c r="P33" i="30" s="1"/>
  <c r="S33" i="30" s="1"/>
  <c r="V33" i="30" s="1"/>
  <c r="M36" i="30"/>
  <c r="M36" i="28" s="1"/>
  <c r="M37" i="30"/>
  <c r="P37" i="30" s="1"/>
  <c r="S37" i="30" s="1"/>
  <c r="V37" i="30" s="1"/>
  <c r="Y37" i="30" s="1"/>
  <c r="AB37" i="30" s="1"/>
  <c r="AE37" i="30" s="1"/>
  <c r="AH37" i="30" s="1"/>
  <c r="AK37" i="30" s="1"/>
  <c r="AN37" i="30" s="1"/>
  <c r="AQ37" i="30" s="1"/>
  <c r="AT37" i="30" s="1"/>
  <c r="M38" i="30"/>
  <c r="P38" i="30" s="1"/>
  <c r="S38" i="30" s="1"/>
  <c r="M39" i="30"/>
  <c r="P39" i="30" s="1"/>
  <c r="S39" i="30" s="1"/>
  <c r="M40" i="30"/>
  <c r="P40" i="30" s="1"/>
  <c r="M43" i="30"/>
  <c r="M43" i="28" s="1"/>
  <c r="M44" i="30"/>
  <c r="P44" i="30" s="1"/>
  <c r="S44" i="30" s="1"/>
  <c r="V44" i="30" s="1"/>
  <c r="Y44" i="30" s="1"/>
  <c r="M45" i="30"/>
  <c r="P45" i="30" s="1"/>
  <c r="S45" i="30" s="1"/>
  <c r="M46" i="30"/>
  <c r="P46" i="30" s="1"/>
  <c r="S46" i="30" s="1"/>
  <c r="V46" i="30" s="1"/>
  <c r="Y46" i="30" s="1"/>
  <c r="AB46" i="30" s="1"/>
  <c r="AE46" i="30" s="1"/>
  <c r="AH46" i="30" s="1"/>
  <c r="AK46" i="30" s="1"/>
  <c r="AN46" i="30" s="1"/>
  <c r="AQ46" i="30" s="1"/>
  <c r="AT46" i="30" s="1"/>
  <c r="AW46" i="30" s="1"/>
  <c r="AZ46" i="30" s="1"/>
  <c r="BC46" i="30" s="1"/>
  <c r="BC46" i="28" s="1"/>
  <c r="M47" i="30"/>
  <c r="P47" i="30" s="1"/>
  <c r="S47" i="30" s="1"/>
  <c r="V47" i="30" s="1"/>
  <c r="M48" i="30"/>
  <c r="M49" i="30"/>
  <c r="M50" i="30"/>
  <c r="M53" i="30"/>
  <c r="P53" i="30" s="1"/>
  <c r="S53" i="30" s="1"/>
  <c r="S53" i="28" s="1"/>
  <c r="M54" i="30"/>
  <c r="P54" i="30" s="1"/>
  <c r="S54" i="30" s="1"/>
  <c r="V54" i="30" s="1"/>
  <c r="Y54" i="30" s="1"/>
  <c r="AB54" i="30" s="1"/>
  <c r="AE54" i="30" s="1"/>
  <c r="AH54" i="30" s="1"/>
  <c r="AK54" i="30" s="1"/>
  <c r="AN54" i="30" s="1"/>
  <c r="AQ54" i="30" s="1"/>
  <c r="AT54" i="30" s="1"/>
  <c r="AW54" i="30" s="1"/>
  <c r="AZ54" i="30" s="1"/>
  <c r="BC54" i="30" s="1"/>
  <c r="BF54" i="30" s="1"/>
  <c r="BI54" i="30" s="1"/>
  <c r="BL54" i="30" s="1"/>
  <c r="M55" i="30"/>
  <c r="M56" i="30"/>
  <c r="P56" i="30" s="1"/>
  <c r="S56" i="30" s="1"/>
  <c r="V56" i="30" s="1"/>
  <c r="Y56" i="30" s="1"/>
  <c r="AB56" i="30" s="1"/>
  <c r="AE56" i="30" s="1"/>
  <c r="AH56" i="30" s="1"/>
  <c r="AK56" i="30" s="1"/>
  <c r="AN56" i="30" s="1"/>
  <c r="AQ56" i="30" s="1"/>
  <c r="AT56" i="30" s="1"/>
  <c r="AW56" i="30" s="1"/>
  <c r="AW56" i="28" s="1"/>
  <c r="M59" i="30"/>
  <c r="M60" i="30"/>
  <c r="P60" i="30" s="1"/>
  <c r="S60" i="30" s="1"/>
  <c r="V60" i="30" s="1"/>
  <c r="Y60" i="30" s="1"/>
  <c r="AB60" i="30" s="1"/>
  <c r="AE60" i="30" s="1"/>
  <c r="AH60" i="30" s="1"/>
  <c r="AK60" i="30" s="1"/>
  <c r="AN60" i="30" s="1"/>
  <c r="AQ60" i="30" s="1"/>
  <c r="AT60" i="30" s="1"/>
  <c r="AW60" i="30" s="1"/>
  <c r="AZ60" i="30" s="1"/>
  <c r="BC60" i="30" s="1"/>
  <c r="BF60" i="30" s="1"/>
  <c r="BI60" i="30" s="1"/>
  <c r="BL60" i="30" s="1"/>
  <c r="BO60" i="30" s="1"/>
  <c r="BO60" i="28" s="1"/>
  <c r="M61" i="30"/>
  <c r="P61" i="30" s="1"/>
  <c r="S61" i="30" s="1"/>
  <c r="V61" i="30" s="1"/>
  <c r="Y61" i="30" s="1"/>
  <c r="AB61" i="30" s="1"/>
  <c r="AE61" i="30" s="1"/>
  <c r="AH61" i="30" s="1"/>
  <c r="AK61" i="30" s="1"/>
  <c r="AN61" i="30" s="1"/>
  <c r="AQ61" i="30" s="1"/>
  <c r="AT61" i="30" s="1"/>
  <c r="AW61" i="30" s="1"/>
  <c r="AZ61" i="30" s="1"/>
  <c r="BC61" i="30" s="1"/>
  <c r="BF61" i="30" s="1"/>
  <c r="M64" i="30"/>
  <c r="M65" i="30"/>
  <c r="M66" i="30"/>
  <c r="P66" i="30" s="1"/>
  <c r="M67" i="30"/>
  <c r="P67" i="30" s="1"/>
  <c r="P67" i="28" s="1"/>
  <c r="M70" i="30"/>
  <c r="P70" i="30" s="1"/>
  <c r="S70" i="30" s="1"/>
  <c r="V70" i="30" s="1"/>
  <c r="V70" i="28" s="1"/>
  <c r="M71" i="30"/>
  <c r="P71" i="30" s="1"/>
  <c r="S71" i="30" s="1"/>
  <c r="V71" i="30" s="1"/>
  <c r="M72" i="30"/>
  <c r="P72" i="30" s="1"/>
  <c r="S72" i="30" s="1"/>
  <c r="V72" i="30" s="1"/>
  <c r="M73" i="30"/>
  <c r="M74" i="30"/>
  <c r="M75" i="30"/>
  <c r="M77" i="30"/>
  <c r="M80" i="30"/>
  <c r="J161" i="30"/>
  <c r="J161" i="28" s="1"/>
  <c r="M91" i="30"/>
  <c r="P91" i="30" s="1"/>
  <c r="AX122" i="30"/>
  <c r="AY122" i="30" s="1"/>
  <c r="AY116" i="28" s="1"/>
  <c r="H47" i="36"/>
  <c r="K46" i="36"/>
  <c r="R15" i="16"/>
  <c r="AW27" i="30" s="1"/>
  <c r="AW27" i="28" s="1"/>
  <c r="R78" i="16"/>
  <c r="R90" i="16"/>
  <c r="R101" i="16" s="1"/>
  <c r="K45" i="36"/>
  <c r="Q15" i="16"/>
  <c r="AT27" i="30" s="1"/>
  <c r="AT27" i="28" s="1"/>
  <c r="Q78" i="16"/>
  <c r="AT92" i="30" s="1"/>
  <c r="Q90" i="16"/>
  <c r="K44" i="36"/>
  <c r="P15" i="16"/>
  <c r="P78" i="16"/>
  <c r="AQ92" i="30" s="1"/>
  <c r="P90" i="16"/>
  <c r="AQ104" i="30" s="1"/>
  <c r="AQ104" i="28" s="1"/>
  <c r="K43" i="36"/>
  <c r="O15" i="16"/>
  <c r="O78" i="16"/>
  <c r="O90" i="16"/>
  <c r="AN104" i="30" s="1"/>
  <c r="AN104" i="28" s="1"/>
  <c r="K42" i="36"/>
  <c r="N15" i="16"/>
  <c r="AK27" i="30" s="1"/>
  <c r="AK27" i="28" s="1"/>
  <c r="N78" i="16"/>
  <c r="AK92" i="30" s="1"/>
  <c r="N90" i="16"/>
  <c r="AK104" i="30" s="1"/>
  <c r="AK104" i="28" s="1"/>
  <c r="K41" i="36"/>
  <c r="M15" i="16"/>
  <c r="AH27" i="30" s="1"/>
  <c r="AH27" i="28" s="1"/>
  <c r="M78" i="16"/>
  <c r="AH92" i="30" s="1"/>
  <c r="AH92" i="28" s="1"/>
  <c r="M90" i="16"/>
  <c r="AH104" i="30" s="1"/>
  <c r="AH104" i="28" s="1"/>
  <c r="K40" i="36"/>
  <c r="L15" i="16"/>
  <c r="L78" i="16"/>
  <c r="AE92" i="30" s="1"/>
  <c r="AE92" i="28" s="1"/>
  <c r="L90" i="16"/>
  <c r="AE104" i="30" s="1"/>
  <c r="AE104" i="28" s="1"/>
  <c r="K39" i="36"/>
  <c r="K15" i="16"/>
  <c r="K78" i="16"/>
  <c r="K90" i="16"/>
  <c r="AB104" i="30" s="1"/>
  <c r="AB104" i="28" s="1"/>
  <c r="K38" i="36"/>
  <c r="J15" i="16"/>
  <c r="J78" i="16"/>
  <c r="Y92" i="30" s="1"/>
  <c r="J90" i="16"/>
  <c r="K37" i="36"/>
  <c r="I15" i="16"/>
  <c r="I78" i="16"/>
  <c r="V92" i="30" s="1"/>
  <c r="V92" i="28" s="1"/>
  <c r="I90" i="16"/>
  <c r="I101" i="16" s="1"/>
  <c r="K36" i="36"/>
  <c r="H15" i="16"/>
  <c r="S27" i="30" s="1"/>
  <c r="S27" i="28" s="1"/>
  <c r="H78" i="16"/>
  <c r="H90" i="16"/>
  <c r="S104" i="30" s="1"/>
  <c r="S104" i="28" s="1"/>
  <c r="K35" i="36"/>
  <c r="G15" i="16"/>
  <c r="G78" i="16"/>
  <c r="P92" i="30" s="1"/>
  <c r="G90" i="16"/>
  <c r="K34" i="36"/>
  <c r="F15" i="16"/>
  <c r="F51" i="16"/>
  <c r="F78" i="16"/>
  <c r="F90" i="16"/>
  <c r="I33" i="36"/>
  <c r="H33" i="36"/>
  <c r="H9" i="36"/>
  <c r="I31" i="36" s="1"/>
  <c r="C31" i="36"/>
  <c r="C30" i="36"/>
  <c r="T15" i="16"/>
  <c r="BC27" i="30" s="1"/>
  <c r="BC27" i="28" s="1"/>
  <c r="T78" i="16"/>
  <c r="T90" i="16"/>
  <c r="N9" i="36"/>
  <c r="N10" i="36" s="1"/>
  <c r="N11" i="36" s="1"/>
  <c r="N12" i="36" s="1"/>
  <c r="N13" i="36" s="1"/>
  <c r="N14" i="36" s="1"/>
  <c r="N15" i="36" s="1"/>
  <c r="N16" i="36" s="1"/>
  <c r="N17" i="36" s="1"/>
  <c r="N18" i="36" s="1"/>
  <c r="N19" i="36" s="1"/>
  <c r="N20" i="36" s="1"/>
  <c r="N21" i="36" s="1"/>
  <c r="N22" i="36" s="1"/>
  <c r="N23" i="36" s="1"/>
  <c r="I9" i="36"/>
  <c r="G3" i="36"/>
  <c r="Q3" i="36" s="1"/>
  <c r="N2" i="36"/>
  <c r="J191" i="30"/>
  <c r="J191" i="28" s="1"/>
  <c r="F52" i="47"/>
  <c r="Q52" i="47" s="1"/>
  <c r="D52" i="47" s="1"/>
  <c r="M192" i="30"/>
  <c r="M192" i="28" s="1"/>
  <c r="P192" i="30"/>
  <c r="P192" i="28" s="1"/>
  <c r="S192" i="30"/>
  <c r="S192" i="28" s="1"/>
  <c r="V192" i="30"/>
  <c r="V192" i="28" s="1"/>
  <c r="Y192" i="30"/>
  <c r="Y192" i="28" s="1"/>
  <c r="AB192" i="30"/>
  <c r="AB192" i="28" s="1"/>
  <c r="AE192" i="30"/>
  <c r="AE192" i="28" s="1"/>
  <c r="AH192" i="30"/>
  <c r="AH192" i="28" s="1"/>
  <c r="AK192" i="30"/>
  <c r="AK192" i="28" s="1"/>
  <c r="AN192" i="30"/>
  <c r="AN192" i="28" s="1"/>
  <c r="AQ192" i="30"/>
  <c r="AQ192" i="28" s="1"/>
  <c r="AT192" i="30"/>
  <c r="AT192" i="28" s="1"/>
  <c r="AW192" i="30"/>
  <c r="AW192" i="28" s="1"/>
  <c r="AZ192" i="30"/>
  <c r="AZ192" i="28" s="1"/>
  <c r="BC192" i="30"/>
  <c r="BC192" i="28" s="1"/>
  <c r="BF192" i="30"/>
  <c r="BF192" i="28" s="1"/>
  <c r="BI192" i="30"/>
  <c r="BI192" i="28" s="1"/>
  <c r="BL192" i="30"/>
  <c r="BL192" i="28" s="1"/>
  <c r="BO192" i="30"/>
  <c r="BO192" i="28" s="1"/>
  <c r="C193" i="28"/>
  <c r="C192" i="28"/>
  <c r="C191" i="28"/>
  <c r="C190" i="28"/>
  <c r="C188" i="28"/>
  <c r="BO187" i="28"/>
  <c r="BL187" i="28"/>
  <c r="BI187" i="28"/>
  <c r="BF187" i="28"/>
  <c r="BC187" i="28"/>
  <c r="AZ187" i="28"/>
  <c r="AW187" i="28"/>
  <c r="AT187" i="28"/>
  <c r="AQ187" i="28"/>
  <c r="AN187" i="28"/>
  <c r="AK187" i="28"/>
  <c r="AH187" i="28"/>
  <c r="AE187" i="28"/>
  <c r="AB187" i="28"/>
  <c r="Y187" i="28"/>
  <c r="V187" i="28"/>
  <c r="S187" i="28"/>
  <c r="P187" i="28"/>
  <c r="M187" i="28"/>
  <c r="J187" i="28"/>
  <c r="G187" i="28"/>
  <c r="C187" i="28"/>
  <c r="BO186" i="28"/>
  <c r="BL186" i="28"/>
  <c r="BI186" i="28"/>
  <c r="BF186" i="28"/>
  <c r="BC186" i="28"/>
  <c r="AZ186" i="28"/>
  <c r="AW186" i="28"/>
  <c r="AT186" i="28"/>
  <c r="AQ186" i="28"/>
  <c r="AN186" i="28"/>
  <c r="AK186" i="28"/>
  <c r="AH186" i="28"/>
  <c r="AE186" i="28"/>
  <c r="AB186" i="28"/>
  <c r="Y186" i="28"/>
  <c r="V186" i="28"/>
  <c r="S186" i="28"/>
  <c r="P186" i="28"/>
  <c r="M186" i="28"/>
  <c r="J186" i="28"/>
  <c r="G186" i="28"/>
  <c r="C186" i="28"/>
  <c r="G185" i="28"/>
  <c r="C185" i="28"/>
  <c r="J184" i="28"/>
  <c r="G184" i="28"/>
  <c r="C184" i="28"/>
  <c r="C183" i="28"/>
  <c r="C181" i="28"/>
  <c r="BO180" i="28"/>
  <c r="BL180" i="28"/>
  <c r="BI180" i="28"/>
  <c r="BF180" i="28"/>
  <c r="BC180" i="28"/>
  <c r="AZ180" i="28"/>
  <c r="AW180" i="28"/>
  <c r="AT180" i="28"/>
  <c r="AQ180" i="28"/>
  <c r="AN180" i="28"/>
  <c r="AK180" i="28"/>
  <c r="AH180" i="28"/>
  <c r="AE180" i="28"/>
  <c r="AB180" i="28"/>
  <c r="Y180" i="28"/>
  <c r="V180" i="28"/>
  <c r="S180" i="28"/>
  <c r="P180" i="28"/>
  <c r="M180" i="28"/>
  <c r="J180" i="28"/>
  <c r="G180" i="28"/>
  <c r="C180" i="28"/>
  <c r="BO179" i="28"/>
  <c r="BL179" i="28"/>
  <c r="BI179" i="28"/>
  <c r="BF179" i="28"/>
  <c r="BC179" i="28"/>
  <c r="AZ179" i="28"/>
  <c r="AW179" i="28"/>
  <c r="AT179" i="28"/>
  <c r="AQ179" i="28"/>
  <c r="AN179" i="28"/>
  <c r="AK179" i="28"/>
  <c r="AH179" i="28"/>
  <c r="AE179" i="28"/>
  <c r="AB179" i="28"/>
  <c r="Y179" i="28"/>
  <c r="V179" i="28"/>
  <c r="S179" i="28"/>
  <c r="P179" i="28"/>
  <c r="M179" i="28"/>
  <c r="J179" i="28"/>
  <c r="G179" i="28"/>
  <c r="C179" i="28"/>
  <c r="G178" i="28"/>
  <c r="C178" i="28"/>
  <c r="J177" i="28"/>
  <c r="G177" i="28"/>
  <c r="C177" i="28"/>
  <c r="C176" i="28"/>
  <c r="J170" i="30"/>
  <c r="J170" i="28" s="1"/>
  <c r="C174" i="28"/>
  <c r="BO173" i="28"/>
  <c r="BL173" i="28"/>
  <c r="BI173" i="28"/>
  <c r="BF173" i="28"/>
  <c r="BC173" i="28"/>
  <c r="AZ173" i="28"/>
  <c r="AW173" i="28"/>
  <c r="AT173" i="28"/>
  <c r="AQ173" i="28"/>
  <c r="AN173" i="28"/>
  <c r="AK173" i="28"/>
  <c r="AH173" i="28"/>
  <c r="AE173" i="28"/>
  <c r="AB173" i="28"/>
  <c r="Y173" i="28"/>
  <c r="V173" i="28"/>
  <c r="S173" i="28"/>
  <c r="P173" i="28"/>
  <c r="M173" i="28"/>
  <c r="J173" i="28"/>
  <c r="G173" i="28"/>
  <c r="C173" i="28"/>
  <c r="BO172" i="28"/>
  <c r="BL172" i="28"/>
  <c r="BI172" i="28"/>
  <c r="BF172" i="28"/>
  <c r="BC172" i="28"/>
  <c r="AZ172" i="28"/>
  <c r="AW172" i="28"/>
  <c r="AT172" i="28"/>
  <c r="AQ172" i="28"/>
  <c r="AN172" i="28"/>
  <c r="AK172" i="28"/>
  <c r="AH172" i="28"/>
  <c r="AE172" i="28"/>
  <c r="AB172" i="28"/>
  <c r="Y172" i="28"/>
  <c r="V172" i="28"/>
  <c r="S172" i="28"/>
  <c r="P172" i="28"/>
  <c r="M172" i="28"/>
  <c r="J172" i="28"/>
  <c r="G172" i="28"/>
  <c r="C172" i="28"/>
  <c r="G171" i="28"/>
  <c r="C171" i="28"/>
  <c r="G170" i="28"/>
  <c r="C170" i="28"/>
  <c r="C169" i="28"/>
  <c r="C167" i="28"/>
  <c r="BO166" i="28"/>
  <c r="BL166" i="28"/>
  <c r="BI166" i="28"/>
  <c r="BF166" i="28"/>
  <c r="BC166" i="28"/>
  <c r="AZ166" i="28"/>
  <c r="AW166" i="28"/>
  <c r="AT166" i="28"/>
  <c r="AQ166" i="28"/>
  <c r="AN166" i="28"/>
  <c r="AK166" i="28"/>
  <c r="AH166" i="28"/>
  <c r="AE166" i="28"/>
  <c r="AB166" i="28"/>
  <c r="Y166" i="28"/>
  <c r="V166" i="28"/>
  <c r="S166" i="28"/>
  <c r="P166" i="28"/>
  <c r="M166" i="28"/>
  <c r="J166" i="28"/>
  <c r="G166" i="28"/>
  <c r="C166" i="28"/>
  <c r="G165" i="28"/>
  <c r="C165" i="28"/>
  <c r="C164" i="28"/>
  <c r="C163" i="28"/>
  <c r="J162" i="28"/>
  <c r="C162" i="28"/>
  <c r="G161" i="28"/>
  <c r="C161" i="28"/>
  <c r="G160" i="28"/>
  <c r="C160" i="28"/>
  <c r="C159" i="28"/>
  <c r="X15" i="16"/>
  <c r="BO27" i="30" s="1"/>
  <c r="BO27" i="28" s="1"/>
  <c r="X78" i="16"/>
  <c r="BO92" i="30" s="1"/>
  <c r="BO92" i="28" s="1"/>
  <c r="X90" i="16"/>
  <c r="BO104" i="30" s="1"/>
  <c r="BO26" i="30"/>
  <c r="BO124" i="30"/>
  <c r="BO123" i="28" s="1"/>
  <c r="F128" i="28"/>
  <c r="G134" i="30"/>
  <c r="H7" i="30"/>
  <c r="W15" i="16"/>
  <c r="W78" i="16"/>
  <c r="BL92" i="30" s="1"/>
  <c r="W90" i="16"/>
  <c r="BL104" i="30" s="1"/>
  <c r="BL104" i="28" s="1"/>
  <c r="BL13" i="28"/>
  <c r="BL26" i="30"/>
  <c r="BL26" i="28" s="1"/>
  <c r="BL124" i="30"/>
  <c r="BL123" i="28" s="1"/>
  <c r="V15" i="16"/>
  <c r="V78" i="16"/>
  <c r="BI92" i="30" s="1"/>
  <c r="V90" i="16"/>
  <c r="V101" i="16" s="1"/>
  <c r="BI26" i="30"/>
  <c r="BI26" i="28" s="1"/>
  <c r="BI124" i="30"/>
  <c r="BI123" i="28" s="1"/>
  <c r="U15" i="16"/>
  <c r="U78" i="16"/>
  <c r="BF92" i="30" s="1"/>
  <c r="BF92" i="28" s="1"/>
  <c r="U90" i="16"/>
  <c r="BF26" i="30"/>
  <c r="BF26" i="28" s="1"/>
  <c r="BF124" i="30"/>
  <c r="BF123" i="28" s="1"/>
  <c r="BC26" i="30"/>
  <c r="BC26" i="28" s="1"/>
  <c r="BC124" i="30"/>
  <c r="BC123" i="28" s="1"/>
  <c r="AZ26" i="30"/>
  <c r="AZ124" i="30"/>
  <c r="AZ123" i="28" s="1"/>
  <c r="AW13" i="28"/>
  <c r="AW26" i="30"/>
  <c r="AW26" i="28" s="1"/>
  <c r="AW124" i="30"/>
  <c r="AT26" i="30"/>
  <c r="AT26" i="28" s="1"/>
  <c r="AT124" i="30"/>
  <c r="AT123" i="28" s="1"/>
  <c r="AQ13" i="28"/>
  <c r="AQ26" i="30"/>
  <c r="AQ26" i="28" s="1"/>
  <c r="AQ124" i="30"/>
  <c r="AN13" i="28"/>
  <c r="AN26" i="30"/>
  <c r="AN26" i="28" s="1"/>
  <c r="AN124" i="30"/>
  <c r="AK26" i="30"/>
  <c r="AK26" i="28" s="1"/>
  <c r="AK124" i="30"/>
  <c r="AH26" i="30"/>
  <c r="AH26" i="28" s="1"/>
  <c r="AH124" i="30"/>
  <c r="AE26" i="30"/>
  <c r="AE26" i="28" s="1"/>
  <c r="AE124" i="30"/>
  <c r="M51" i="47" s="1"/>
  <c r="AB13" i="28"/>
  <c r="AB26" i="30"/>
  <c r="AB26" i="28" s="1"/>
  <c r="AB124" i="30"/>
  <c r="Y26" i="30"/>
  <c r="Y26" i="28" s="1"/>
  <c r="Y124" i="30"/>
  <c r="K51" i="47" s="1"/>
  <c r="V26" i="30"/>
  <c r="V26" i="28" s="1"/>
  <c r="V124" i="30"/>
  <c r="S26" i="30"/>
  <c r="S26" i="28" s="1"/>
  <c r="S124" i="30"/>
  <c r="I51" i="47" s="1"/>
  <c r="P13" i="28"/>
  <c r="P26" i="30"/>
  <c r="P26" i="28" s="1"/>
  <c r="P124" i="30"/>
  <c r="M13" i="28"/>
  <c r="M26" i="30"/>
  <c r="M26" i="28" s="1"/>
  <c r="M124" i="30"/>
  <c r="J41" i="28"/>
  <c r="J35" i="28" s="1"/>
  <c r="J57" i="28"/>
  <c r="J52" i="28" s="1"/>
  <c r="J62" i="28"/>
  <c r="J58" i="28" s="1"/>
  <c r="J68" i="28"/>
  <c r="J63" i="28" s="1"/>
  <c r="J78" i="28"/>
  <c r="J69" i="28" s="1"/>
  <c r="C157" i="28"/>
  <c r="BO156" i="28"/>
  <c r="BL156" i="28"/>
  <c r="BI156" i="28"/>
  <c r="BF156" i="28"/>
  <c r="BC156" i="28"/>
  <c r="AZ156" i="28"/>
  <c r="AW156" i="28"/>
  <c r="AT156" i="28"/>
  <c r="AQ156" i="28"/>
  <c r="AN156" i="28"/>
  <c r="AK156" i="28"/>
  <c r="AH156" i="28"/>
  <c r="AE156" i="28"/>
  <c r="AB156" i="28"/>
  <c r="Y156" i="28"/>
  <c r="V156" i="28"/>
  <c r="S156" i="28"/>
  <c r="P156" i="28"/>
  <c r="M156" i="28"/>
  <c r="J156" i="28"/>
  <c r="G156" i="28"/>
  <c r="C156" i="28"/>
  <c r="G155" i="28"/>
  <c r="C155" i="28"/>
  <c r="C154" i="28"/>
  <c r="C152" i="28"/>
  <c r="C151" i="28"/>
  <c r="C150" i="28"/>
  <c r="F149" i="28"/>
  <c r="C149" i="28"/>
  <c r="C148" i="28"/>
  <c r="G146" i="28"/>
  <c r="C146" i="28"/>
  <c r="C145" i="28"/>
  <c r="G144" i="28"/>
  <c r="C144" i="28"/>
  <c r="C143" i="28"/>
  <c r="C142" i="28"/>
  <c r="F141" i="28"/>
  <c r="C141" i="28"/>
  <c r="F137" i="28"/>
  <c r="L62" i="29"/>
  <c r="F61" i="29"/>
  <c r="C129" i="28"/>
  <c r="C128" i="28"/>
  <c r="C125" i="28"/>
  <c r="AW123" i="28"/>
  <c r="AQ123" i="28"/>
  <c r="S123" i="28"/>
  <c r="C123" i="28"/>
  <c r="BO122" i="28"/>
  <c r="BL122" i="28"/>
  <c r="BI122" i="28"/>
  <c r="BF122" i="28"/>
  <c r="BC122" i="28"/>
  <c r="AZ122" i="28"/>
  <c r="AW122" i="28"/>
  <c r="AT122" i="28"/>
  <c r="AQ122" i="28"/>
  <c r="AN122" i="28"/>
  <c r="AK122" i="28"/>
  <c r="AH122" i="28"/>
  <c r="AE122" i="28"/>
  <c r="AB122" i="28"/>
  <c r="Y122" i="28"/>
  <c r="V122" i="28"/>
  <c r="S122" i="28"/>
  <c r="P122" i="28"/>
  <c r="M122" i="28"/>
  <c r="J122" i="28"/>
  <c r="G122" i="28"/>
  <c r="C122" i="28"/>
  <c r="BO121" i="28"/>
  <c r="BL121" i="28"/>
  <c r="BI121" i="28"/>
  <c r="BF121" i="28"/>
  <c r="BC121" i="28"/>
  <c r="AZ121" i="28"/>
  <c r="AW121" i="28"/>
  <c r="AT121" i="28"/>
  <c r="AQ121" i="28"/>
  <c r="AN121" i="28"/>
  <c r="AK121" i="28"/>
  <c r="AH121" i="28"/>
  <c r="AE121" i="28"/>
  <c r="AB121" i="28"/>
  <c r="Y121" i="28"/>
  <c r="V121" i="28"/>
  <c r="S121" i="28"/>
  <c r="P121" i="28"/>
  <c r="M121" i="28"/>
  <c r="J121" i="28"/>
  <c r="G121" i="28"/>
  <c r="C121" i="28"/>
  <c r="BO120" i="28"/>
  <c r="BL120" i="28"/>
  <c r="BI120" i="28"/>
  <c r="BF120" i="28"/>
  <c r="BC120" i="28"/>
  <c r="AZ120" i="28"/>
  <c r="AW120" i="28"/>
  <c r="AT120" i="28"/>
  <c r="AQ120" i="28"/>
  <c r="AN120" i="28"/>
  <c r="AK120" i="28"/>
  <c r="AH120" i="28"/>
  <c r="AE120" i="28"/>
  <c r="AB120" i="28"/>
  <c r="Y120" i="28"/>
  <c r="V120" i="28"/>
  <c r="S120" i="28"/>
  <c r="P120" i="28"/>
  <c r="M120" i="28"/>
  <c r="J120" i="28"/>
  <c r="G120" i="28"/>
  <c r="C120" i="28"/>
  <c r="BO119" i="28"/>
  <c r="BL119" i="28"/>
  <c r="BI119" i="28"/>
  <c r="BF119" i="28"/>
  <c r="BC119" i="28"/>
  <c r="AZ119" i="28"/>
  <c r="AW119" i="28"/>
  <c r="AT119" i="28"/>
  <c r="AQ119" i="28"/>
  <c r="AN119" i="28"/>
  <c r="AK119" i="28"/>
  <c r="AH119" i="28"/>
  <c r="AE119" i="28"/>
  <c r="AB119" i="28"/>
  <c r="Y119" i="28"/>
  <c r="V119" i="28"/>
  <c r="S119" i="28"/>
  <c r="P119" i="28"/>
  <c r="M119" i="28"/>
  <c r="J119" i="28"/>
  <c r="G119" i="28"/>
  <c r="C119" i="28"/>
  <c r="BO118" i="28"/>
  <c r="BL118" i="28"/>
  <c r="BI118" i="28"/>
  <c r="BF118" i="28"/>
  <c r="BC118" i="28"/>
  <c r="AZ118" i="28"/>
  <c r="AW118" i="28"/>
  <c r="AT118" i="28"/>
  <c r="AQ118" i="28"/>
  <c r="AN118" i="28"/>
  <c r="AK118" i="28"/>
  <c r="AH118" i="28"/>
  <c r="AE118" i="28"/>
  <c r="AB118" i="28"/>
  <c r="Y118" i="28"/>
  <c r="V118" i="28"/>
  <c r="S118" i="28"/>
  <c r="P118" i="28"/>
  <c r="M118" i="28"/>
  <c r="J118" i="28"/>
  <c r="G118" i="28"/>
  <c r="F118" i="28"/>
  <c r="E117" i="30"/>
  <c r="E118" i="28" s="1"/>
  <c r="C118" i="28"/>
  <c r="BO117" i="28"/>
  <c r="BL117" i="28"/>
  <c r="BI117" i="28"/>
  <c r="BF117" i="28"/>
  <c r="BC117" i="28"/>
  <c r="AZ117" i="28"/>
  <c r="AW117" i="28"/>
  <c r="AT117" i="28"/>
  <c r="AQ117" i="28"/>
  <c r="AN117" i="28"/>
  <c r="AK117" i="28"/>
  <c r="AH117" i="28"/>
  <c r="AE117" i="28"/>
  <c r="AB117" i="28"/>
  <c r="Y117" i="28"/>
  <c r="V117" i="28"/>
  <c r="S117" i="28"/>
  <c r="P117" i="28"/>
  <c r="M117" i="28"/>
  <c r="J117" i="28"/>
  <c r="G117" i="28"/>
  <c r="F117" i="28"/>
  <c r="E116" i="30"/>
  <c r="E117" i="28" s="1"/>
  <c r="C117" i="28"/>
  <c r="BO116" i="28"/>
  <c r="BL116" i="28"/>
  <c r="BI116" i="28"/>
  <c r="BF116" i="28"/>
  <c r="BC116" i="28"/>
  <c r="AZ116" i="28"/>
  <c r="AW116" i="28"/>
  <c r="AT116" i="28"/>
  <c r="AQ116" i="28"/>
  <c r="AN116" i="28"/>
  <c r="AK116" i="28"/>
  <c r="AH116" i="28"/>
  <c r="AE116" i="28"/>
  <c r="AB116" i="28"/>
  <c r="Y116" i="28"/>
  <c r="V116" i="28"/>
  <c r="S116" i="28"/>
  <c r="P116" i="28"/>
  <c r="M116" i="28"/>
  <c r="G116" i="28"/>
  <c r="C116" i="28"/>
  <c r="C115" i="28"/>
  <c r="C114" i="28"/>
  <c r="C112" i="28"/>
  <c r="C111" i="28"/>
  <c r="G109" i="28"/>
  <c r="C109" i="28"/>
  <c r="G107" i="28"/>
  <c r="C107" i="28"/>
  <c r="C105" i="28"/>
  <c r="BO104" i="28"/>
  <c r="BN104" i="28"/>
  <c r="BM104" i="28"/>
  <c r="BK104" i="28"/>
  <c r="BJ104" i="28"/>
  <c r="BH104" i="28"/>
  <c r="BG104" i="28"/>
  <c r="BE104" i="28"/>
  <c r="BD104" i="28"/>
  <c r="BB104" i="28"/>
  <c r="BA104" i="28"/>
  <c r="AY104" i="28"/>
  <c r="AX104" i="28"/>
  <c r="AV104" i="28"/>
  <c r="AU104" i="28"/>
  <c r="AS104" i="28"/>
  <c r="AR104" i="28"/>
  <c r="AP104" i="28"/>
  <c r="AO104" i="28"/>
  <c r="AM104" i="28"/>
  <c r="AL104" i="28"/>
  <c r="AJ104" i="28"/>
  <c r="AI104" i="28"/>
  <c r="AG104" i="28"/>
  <c r="AF104" i="28"/>
  <c r="AD104" i="28"/>
  <c r="AC104" i="28"/>
  <c r="AA104" i="28"/>
  <c r="Z104" i="28"/>
  <c r="X104" i="28"/>
  <c r="W104" i="28"/>
  <c r="U104" i="28"/>
  <c r="T104" i="28"/>
  <c r="R104" i="28"/>
  <c r="Q104" i="28"/>
  <c r="O104" i="28"/>
  <c r="N104" i="28"/>
  <c r="L104" i="28"/>
  <c r="K104" i="28"/>
  <c r="I104" i="28"/>
  <c r="H104" i="28"/>
  <c r="G104" i="28"/>
  <c r="C104" i="28"/>
  <c r="G103" i="28"/>
  <c r="C103" i="28"/>
  <c r="G102" i="28"/>
  <c r="C102" i="28"/>
  <c r="G101" i="28"/>
  <c r="C101" i="28"/>
  <c r="G100" i="28"/>
  <c r="C100" i="28"/>
  <c r="C99" i="28"/>
  <c r="G97" i="28"/>
  <c r="C97" i="28"/>
  <c r="BO96" i="28"/>
  <c r="BL96" i="28"/>
  <c r="BI96" i="28"/>
  <c r="BF96" i="28"/>
  <c r="BC96" i="28"/>
  <c r="AZ96" i="28"/>
  <c r="AW96" i="28"/>
  <c r="AT96" i="28"/>
  <c r="AQ96" i="28"/>
  <c r="AN96" i="28"/>
  <c r="AK96" i="28"/>
  <c r="AH96" i="28"/>
  <c r="AE96" i="28"/>
  <c r="AB96" i="28"/>
  <c r="Y96" i="28"/>
  <c r="V96" i="28"/>
  <c r="S96" i="28"/>
  <c r="P96" i="28"/>
  <c r="M96" i="28"/>
  <c r="C96" i="28"/>
  <c r="C95" i="28"/>
  <c r="G93" i="28"/>
  <c r="C93" i="28"/>
  <c r="BL92" i="28"/>
  <c r="BI92" i="28"/>
  <c r="AT92" i="28"/>
  <c r="AQ92" i="28"/>
  <c r="AK92" i="28"/>
  <c r="Y92" i="28"/>
  <c r="P92" i="28"/>
  <c r="I92" i="28"/>
  <c r="H92" i="28"/>
  <c r="G92" i="28"/>
  <c r="C92" i="28"/>
  <c r="G91" i="28"/>
  <c r="C91" i="28"/>
  <c r="G90" i="28"/>
  <c r="C90" i="28"/>
  <c r="G89" i="28"/>
  <c r="C89" i="28"/>
  <c r="G88" i="28"/>
  <c r="C88" i="28"/>
  <c r="G87" i="28"/>
  <c r="C87" i="28"/>
  <c r="G86" i="28"/>
  <c r="C86" i="28"/>
  <c r="C85" i="28"/>
  <c r="BO84" i="28"/>
  <c r="BL84" i="28"/>
  <c r="BI84" i="28"/>
  <c r="BF84" i="28"/>
  <c r="BC84" i="28"/>
  <c r="AZ84" i="28"/>
  <c r="AW84" i="28"/>
  <c r="AT84" i="28"/>
  <c r="AQ84" i="28"/>
  <c r="AN84" i="28"/>
  <c r="AK84" i="28"/>
  <c r="AH84" i="28"/>
  <c r="AE84" i="28"/>
  <c r="AB84" i="28"/>
  <c r="Y84" i="28"/>
  <c r="V84" i="28"/>
  <c r="S84" i="28"/>
  <c r="P84" i="28"/>
  <c r="M84" i="28"/>
  <c r="C84" i="28"/>
  <c r="C83" i="28"/>
  <c r="BN81" i="28"/>
  <c r="BM81" i="28"/>
  <c r="BK81" i="28"/>
  <c r="BJ81" i="28"/>
  <c r="BH81" i="28"/>
  <c r="BG81" i="28"/>
  <c r="BE81" i="28"/>
  <c r="BD81" i="28"/>
  <c r="BB81" i="28"/>
  <c r="BA81" i="28"/>
  <c r="AY81" i="28"/>
  <c r="AX81" i="28"/>
  <c r="AV81" i="28"/>
  <c r="AU81" i="28"/>
  <c r="AS81" i="28"/>
  <c r="AR81" i="28"/>
  <c r="AP81" i="28"/>
  <c r="AO81" i="28"/>
  <c r="AM81" i="28"/>
  <c r="AL81" i="28"/>
  <c r="AJ81" i="28"/>
  <c r="AI81" i="28"/>
  <c r="AG81" i="28"/>
  <c r="AF81" i="28"/>
  <c r="AD81" i="28"/>
  <c r="AC81" i="28"/>
  <c r="AA81" i="28"/>
  <c r="Z81" i="28"/>
  <c r="X81" i="28"/>
  <c r="W81" i="28"/>
  <c r="U81" i="28"/>
  <c r="T81" i="28"/>
  <c r="R81" i="28"/>
  <c r="Q81" i="28"/>
  <c r="O81" i="28"/>
  <c r="N81" i="28"/>
  <c r="L81" i="28"/>
  <c r="K81" i="28"/>
  <c r="I81" i="28"/>
  <c r="H81" i="28"/>
  <c r="G81" i="28"/>
  <c r="D81" i="28"/>
  <c r="C81" i="28"/>
  <c r="G80" i="28"/>
  <c r="F80" i="28"/>
  <c r="E80" i="30"/>
  <c r="E80" i="28" s="1"/>
  <c r="D80" i="28"/>
  <c r="C80" i="28"/>
  <c r="C78" i="28"/>
  <c r="G77" i="28"/>
  <c r="F77" i="28"/>
  <c r="E77" i="30"/>
  <c r="E77" i="28" s="1"/>
  <c r="D77" i="28"/>
  <c r="C77" i="28"/>
  <c r="G76" i="28"/>
  <c r="F76" i="28"/>
  <c r="E76" i="30"/>
  <c r="E76" i="28" s="1"/>
  <c r="D76" i="28"/>
  <c r="C76" i="28"/>
  <c r="G75" i="28"/>
  <c r="F75" i="28"/>
  <c r="E75" i="30"/>
  <c r="E75" i="28" s="1"/>
  <c r="D75" i="28"/>
  <c r="C75" i="28"/>
  <c r="G74" i="28"/>
  <c r="F74" i="28"/>
  <c r="E74" i="30"/>
  <c r="E74" i="28" s="1"/>
  <c r="D74" i="28"/>
  <c r="C74" i="28"/>
  <c r="G73" i="28"/>
  <c r="F73" i="28"/>
  <c r="E73" i="30"/>
  <c r="E73" i="28" s="1"/>
  <c r="D73" i="28"/>
  <c r="C73" i="28"/>
  <c r="S72" i="28"/>
  <c r="G72" i="28"/>
  <c r="F72" i="28"/>
  <c r="E72" i="30"/>
  <c r="E72" i="28" s="1"/>
  <c r="D72" i="28"/>
  <c r="C72" i="28"/>
  <c r="G71" i="28"/>
  <c r="F71" i="28"/>
  <c r="E71" i="30"/>
  <c r="E71" i="28" s="1"/>
  <c r="D71" i="28"/>
  <c r="C71" i="28"/>
  <c r="G70" i="28"/>
  <c r="F70" i="28"/>
  <c r="F69" i="28" s="1"/>
  <c r="E70" i="30"/>
  <c r="E70" i="28" s="1"/>
  <c r="E69" i="28" s="1"/>
  <c r="D70" i="28"/>
  <c r="C70" i="28"/>
  <c r="C69" i="28"/>
  <c r="C68" i="28"/>
  <c r="G67" i="28"/>
  <c r="F67" i="28"/>
  <c r="E67" i="30"/>
  <c r="E67" i="28" s="1"/>
  <c r="D67" i="28"/>
  <c r="C67" i="28"/>
  <c r="G66" i="28"/>
  <c r="F66" i="28"/>
  <c r="E66" i="30"/>
  <c r="E66" i="28" s="1"/>
  <c r="D66" i="28"/>
  <c r="C66" i="28"/>
  <c r="J65" i="28"/>
  <c r="G65" i="28"/>
  <c r="F65" i="28"/>
  <c r="E65" i="30"/>
  <c r="E65" i="28" s="1"/>
  <c r="D65" i="28"/>
  <c r="C65" i="28"/>
  <c r="G64" i="28"/>
  <c r="F64" i="28"/>
  <c r="F63" i="28" s="1"/>
  <c r="E64" i="30"/>
  <c r="E64" i="28" s="1"/>
  <c r="E63" i="28" s="1"/>
  <c r="D64" i="28"/>
  <c r="C64" i="28"/>
  <c r="C63" i="28"/>
  <c r="C62" i="28"/>
  <c r="G61" i="28"/>
  <c r="F61" i="28"/>
  <c r="E61" i="30"/>
  <c r="E61" i="28" s="1"/>
  <c r="D61" i="28"/>
  <c r="C61" i="28"/>
  <c r="G60" i="28"/>
  <c r="F60" i="28"/>
  <c r="E60" i="30"/>
  <c r="E60" i="28" s="1"/>
  <c r="D60" i="28"/>
  <c r="C60" i="28"/>
  <c r="J59" i="28"/>
  <c r="G59" i="28"/>
  <c r="F59" i="28"/>
  <c r="F58" i="28" s="1"/>
  <c r="E59" i="30"/>
  <c r="E59" i="28" s="1"/>
  <c r="E58" i="28" s="1"/>
  <c r="D59" i="28"/>
  <c r="C59" i="28"/>
  <c r="C58" i="28"/>
  <c r="C57" i="28"/>
  <c r="G56" i="28"/>
  <c r="F56" i="28"/>
  <c r="E56" i="30"/>
  <c r="E56" i="28" s="1"/>
  <c r="D56" i="28"/>
  <c r="C56" i="28"/>
  <c r="G55" i="28"/>
  <c r="F55" i="28"/>
  <c r="E55" i="30"/>
  <c r="E55" i="28" s="1"/>
  <c r="D55" i="28"/>
  <c r="C55" i="28"/>
  <c r="G54" i="28"/>
  <c r="F54" i="28"/>
  <c r="E54" i="30"/>
  <c r="E54" i="28" s="1"/>
  <c r="D54" i="28"/>
  <c r="C54" i="28"/>
  <c r="G53" i="28"/>
  <c r="F53" i="28"/>
  <c r="F52" i="28" s="1"/>
  <c r="E53" i="30"/>
  <c r="E53" i="28" s="1"/>
  <c r="E52" i="28" s="1"/>
  <c r="D53" i="28"/>
  <c r="C53" i="28"/>
  <c r="C52" i="28"/>
  <c r="J51" i="28"/>
  <c r="J42" i="28" s="1"/>
  <c r="C51" i="28"/>
  <c r="G50" i="28"/>
  <c r="F50" i="28"/>
  <c r="E50" i="30"/>
  <c r="E50" i="28" s="1"/>
  <c r="D50" i="28"/>
  <c r="C50" i="28"/>
  <c r="G49" i="28"/>
  <c r="F49" i="28"/>
  <c r="E49" i="30"/>
  <c r="E49" i="28" s="1"/>
  <c r="D49" i="28"/>
  <c r="C49" i="28"/>
  <c r="G48" i="28"/>
  <c r="F48" i="28"/>
  <c r="E48" i="30"/>
  <c r="E48" i="28" s="1"/>
  <c r="D48" i="28"/>
  <c r="C48" i="28"/>
  <c r="G47" i="28"/>
  <c r="F47" i="28"/>
  <c r="E47" i="30"/>
  <c r="E47" i="28" s="1"/>
  <c r="D47" i="28"/>
  <c r="C47" i="28"/>
  <c r="G46" i="28"/>
  <c r="F46" i="28"/>
  <c r="E46" i="30"/>
  <c r="E46" i="28" s="1"/>
  <c r="D46" i="28"/>
  <c r="C46" i="28"/>
  <c r="G45" i="28"/>
  <c r="F45" i="28"/>
  <c r="E45" i="30"/>
  <c r="E45" i="28" s="1"/>
  <c r="D45" i="28"/>
  <c r="C45" i="28"/>
  <c r="G44" i="28"/>
  <c r="F44" i="28"/>
  <c r="E44" i="30"/>
  <c r="E44" i="28" s="1"/>
  <c r="D44" i="28"/>
  <c r="C44" i="28"/>
  <c r="G43" i="28"/>
  <c r="F43" i="28"/>
  <c r="F42" i="28" s="1"/>
  <c r="E43" i="30"/>
  <c r="E43" i="28" s="1"/>
  <c r="E42" i="28" s="1"/>
  <c r="D43" i="28"/>
  <c r="C43" i="28"/>
  <c r="C42" i="28"/>
  <c r="C41" i="28"/>
  <c r="G40" i="28"/>
  <c r="F40" i="28"/>
  <c r="E40" i="30"/>
  <c r="E40" i="28" s="1"/>
  <c r="D40" i="28"/>
  <c r="C40" i="28"/>
  <c r="G39" i="28"/>
  <c r="F39" i="28"/>
  <c r="E39" i="30"/>
  <c r="E39" i="28" s="1"/>
  <c r="D39" i="28"/>
  <c r="C39" i="28"/>
  <c r="G38" i="28"/>
  <c r="F38" i="28"/>
  <c r="E38" i="30"/>
  <c r="E38" i="28" s="1"/>
  <c r="D38" i="28"/>
  <c r="C38" i="28"/>
  <c r="V37" i="28"/>
  <c r="G37" i="28"/>
  <c r="F37" i="28"/>
  <c r="E37" i="30"/>
  <c r="E37" i="28" s="1"/>
  <c r="D37" i="28"/>
  <c r="C37" i="28"/>
  <c r="J36" i="28"/>
  <c r="G36" i="28"/>
  <c r="F36" i="28"/>
  <c r="F35" i="28" s="1"/>
  <c r="E36" i="30"/>
  <c r="E36" i="28" s="1"/>
  <c r="E35" i="28" s="1"/>
  <c r="D36" i="28"/>
  <c r="C36" i="28"/>
  <c r="C35" i="28"/>
  <c r="J34" i="28"/>
  <c r="J31" i="28" s="1"/>
  <c r="C34" i="28"/>
  <c r="G33" i="28"/>
  <c r="F33" i="28"/>
  <c r="E33" i="30"/>
  <c r="E33" i="28" s="1"/>
  <c r="D33" i="28"/>
  <c r="C33" i="28"/>
  <c r="G32" i="28"/>
  <c r="F32" i="28"/>
  <c r="F31" i="28" s="1"/>
  <c r="E32" i="30"/>
  <c r="E32" i="28" s="1"/>
  <c r="E31" i="28" s="1"/>
  <c r="D32" i="28"/>
  <c r="C32" i="28"/>
  <c r="C31" i="28"/>
  <c r="C30" i="28"/>
  <c r="C28" i="28"/>
  <c r="BN27" i="28"/>
  <c r="BM27" i="28"/>
  <c r="BK27" i="28"/>
  <c r="BJ27" i="28"/>
  <c r="BH27" i="28"/>
  <c r="BG27" i="28"/>
  <c r="BE27" i="28"/>
  <c r="BD27" i="28"/>
  <c r="BB27" i="28"/>
  <c r="BA27" i="28"/>
  <c r="AZ27" i="28"/>
  <c r="AY27" i="28"/>
  <c r="AX27" i="28"/>
  <c r="AV27" i="28"/>
  <c r="AU27" i="28"/>
  <c r="AS27" i="28"/>
  <c r="AR27" i="28"/>
  <c r="AP27" i="28"/>
  <c r="AO27" i="28"/>
  <c r="AM27" i="28"/>
  <c r="AL27" i="28"/>
  <c r="AJ27" i="28"/>
  <c r="AI27" i="28"/>
  <c r="AG27" i="28"/>
  <c r="AF27" i="28"/>
  <c r="AD27" i="28"/>
  <c r="AC27" i="28"/>
  <c r="AA27" i="28"/>
  <c r="Z27" i="28"/>
  <c r="X27" i="28"/>
  <c r="W27" i="28"/>
  <c r="U27" i="28"/>
  <c r="T27" i="28"/>
  <c r="R27" i="28"/>
  <c r="Q27" i="28"/>
  <c r="O27" i="28"/>
  <c r="N27" i="28"/>
  <c r="L27" i="28"/>
  <c r="K27" i="28"/>
  <c r="I27" i="28"/>
  <c r="H27" i="28"/>
  <c r="G27" i="28"/>
  <c r="F27" i="28"/>
  <c r="E27" i="28"/>
  <c r="D27" i="28"/>
  <c r="C27" i="28"/>
  <c r="BO26" i="28"/>
  <c r="AZ26" i="28"/>
  <c r="G26" i="28"/>
  <c r="F26" i="28"/>
  <c r="E26" i="28"/>
  <c r="D26" i="28"/>
  <c r="C26" i="28"/>
  <c r="G25" i="28"/>
  <c r="F25" i="28"/>
  <c r="E25" i="28"/>
  <c r="D25" i="28"/>
  <c r="C25" i="28"/>
  <c r="C24" i="28"/>
  <c r="BO23" i="28"/>
  <c r="BN23" i="28"/>
  <c r="BM23" i="28"/>
  <c r="BL23" i="28"/>
  <c r="BK23" i="28"/>
  <c r="BJ23" i="28"/>
  <c r="BI23" i="28"/>
  <c r="BH23" i="28"/>
  <c r="BG23" i="28"/>
  <c r="BF23" i="28"/>
  <c r="BE23" i="28"/>
  <c r="BD23" i="28"/>
  <c r="BC23" i="28"/>
  <c r="BB23" i="28"/>
  <c r="BA23" i="28"/>
  <c r="AZ23" i="28"/>
  <c r="AY23" i="28"/>
  <c r="AX23" i="28"/>
  <c r="AW23" i="28"/>
  <c r="AV23" i="28"/>
  <c r="AU23" i="28"/>
  <c r="AT23" i="28"/>
  <c r="AS23" i="28"/>
  <c r="AR23" i="28"/>
  <c r="AQ23" i="28"/>
  <c r="AP23" i="28"/>
  <c r="AO23" i="28"/>
  <c r="AN23" i="28"/>
  <c r="AM23" i="28"/>
  <c r="AL23" i="28"/>
  <c r="AK23" i="28"/>
  <c r="AJ23" i="28"/>
  <c r="AI23" i="28"/>
  <c r="AH23" i="28"/>
  <c r="AG23" i="28"/>
  <c r="AF23" i="28"/>
  <c r="AE23" i="28"/>
  <c r="AD23" i="28"/>
  <c r="AC23" i="28"/>
  <c r="AB23" i="28"/>
  <c r="AA23" i="28"/>
  <c r="Z23" i="28"/>
  <c r="Y23" i="28"/>
  <c r="X23" i="28"/>
  <c r="W23" i="28"/>
  <c r="V23" i="28"/>
  <c r="U23" i="28"/>
  <c r="T23" i="28"/>
  <c r="S23" i="28"/>
  <c r="R23" i="28"/>
  <c r="Q23" i="28"/>
  <c r="P23" i="28"/>
  <c r="O23" i="28"/>
  <c r="N23" i="28"/>
  <c r="M23" i="28"/>
  <c r="L23" i="28"/>
  <c r="K23" i="28"/>
  <c r="J23" i="28"/>
  <c r="I23" i="28"/>
  <c r="H23" i="28"/>
  <c r="G23" i="28"/>
  <c r="D23" i="28"/>
  <c r="C23" i="28"/>
  <c r="BO22" i="28"/>
  <c r="BL22" i="28"/>
  <c r="BI22" i="28"/>
  <c r="BF22" i="28"/>
  <c r="BC22" i="28"/>
  <c r="AZ22" i="28"/>
  <c r="AW22" i="28"/>
  <c r="AT22" i="28"/>
  <c r="AQ22" i="28"/>
  <c r="AN22" i="28"/>
  <c r="AK22" i="28"/>
  <c r="AH22" i="28"/>
  <c r="AE22" i="28"/>
  <c r="AB22" i="28"/>
  <c r="Y22" i="28"/>
  <c r="V22" i="28"/>
  <c r="S22" i="28"/>
  <c r="P22" i="28"/>
  <c r="M22" i="28"/>
  <c r="J22" i="28"/>
  <c r="G22" i="28"/>
  <c r="F22" i="28"/>
  <c r="E22" i="28"/>
  <c r="D22" i="28"/>
  <c r="C22" i="28"/>
  <c r="BN21" i="28"/>
  <c r="BM21" i="28"/>
  <c r="BK21" i="28"/>
  <c r="BJ21" i="28"/>
  <c r="BH21" i="28"/>
  <c r="BG21" i="28"/>
  <c r="BE21" i="28"/>
  <c r="BD21" i="28"/>
  <c r="BB21" i="28"/>
  <c r="BA21" i="28"/>
  <c r="AY21" i="28"/>
  <c r="AX21" i="28"/>
  <c r="AV21" i="28"/>
  <c r="AU21" i="28"/>
  <c r="AS21" i="28"/>
  <c r="AR21" i="28"/>
  <c r="AP21" i="28"/>
  <c r="AO21" i="28"/>
  <c r="AM21" i="28"/>
  <c r="AL21" i="28"/>
  <c r="AJ21" i="28"/>
  <c r="AI21" i="28"/>
  <c r="AG21" i="28"/>
  <c r="AF21" i="28"/>
  <c r="AD21" i="28"/>
  <c r="AC21" i="28"/>
  <c r="AA21" i="28"/>
  <c r="Z21" i="28"/>
  <c r="X21" i="28"/>
  <c r="W21" i="28"/>
  <c r="U21" i="28"/>
  <c r="T21" i="28"/>
  <c r="R21" i="28"/>
  <c r="Q21" i="28"/>
  <c r="O21" i="28"/>
  <c r="N21" i="28"/>
  <c r="L21" i="28"/>
  <c r="K21" i="28"/>
  <c r="I21" i="28"/>
  <c r="H21" i="28"/>
  <c r="G21" i="28"/>
  <c r="F21" i="30"/>
  <c r="F21" i="28" s="1"/>
  <c r="E21" i="28"/>
  <c r="D21" i="28"/>
  <c r="C21" i="28"/>
  <c r="G20" i="28"/>
  <c r="F20" i="28"/>
  <c r="E20" i="30"/>
  <c r="E20" i="28" s="1"/>
  <c r="D20" i="28"/>
  <c r="C20" i="28"/>
  <c r="G19" i="28"/>
  <c r="F19" i="28"/>
  <c r="E19" i="30"/>
  <c r="E19" i="28" s="1"/>
  <c r="D19" i="28"/>
  <c r="C19" i="28"/>
  <c r="G18" i="28"/>
  <c r="F18" i="28"/>
  <c r="E18" i="30"/>
  <c r="E18" i="28" s="1"/>
  <c r="D18" i="28"/>
  <c r="C18" i="28"/>
  <c r="G17" i="28"/>
  <c r="F17" i="28"/>
  <c r="E17" i="30"/>
  <c r="E17" i="28" s="1"/>
  <c r="D17" i="28"/>
  <c r="C17" i="28"/>
  <c r="G16" i="28"/>
  <c r="F16" i="28"/>
  <c r="E16" i="30"/>
  <c r="E16" i="28" s="1"/>
  <c r="D16" i="28"/>
  <c r="C16" i="28"/>
  <c r="G15" i="28"/>
  <c r="F15" i="28"/>
  <c r="E15" i="30"/>
  <c r="E15" i="28" s="1"/>
  <c r="D15" i="28"/>
  <c r="C15" i="28"/>
  <c r="G14" i="28"/>
  <c r="F14" i="28"/>
  <c r="E14" i="30"/>
  <c r="E14" i="28" s="1"/>
  <c r="D14" i="28"/>
  <c r="C14" i="28"/>
  <c r="BO13" i="28"/>
  <c r="BN13" i="28"/>
  <c r="BM13" i="28"/>
  <c r="BK13" i="28"/>
  <c r="BJ13" i="28"/>
  <c r="BI13" i="28"/>
  <c r="BH13" i="28"/>
  <c r="BG13" i="28"/>
  <c r="BF13" i="28"/>
  <c r="BE13" i="28"/>
  <c r="BD13" i="28"/>
  <c r="BC13" i="28"/>
  <c r="BB13" i="28"/>
  <c r="BA13" i="28"/>
  <c r="AZ13" i="28"/>
  <c r="AY13" i="28"/>
  <c r="AX13" i="28"/>
  <c r="AV13" i="28"/>
  <c r="AU13" i="28"/>
  <c r="AT13" i="28"/>
  <c r="AS13" i="28"/>
  <c r="AR13" i="28"/>
  <c r="AP13" i="28"/>
  <c r="AO13" i="28"/>
  <c r="AM13" i="28"/>
  <c r="AL13" i="28"/>
  <c r="AK13" i="28"/>
  <c r="AJ13" i="28"/>
  <c r="AI13" i="28"/>
  <c r="AH13" i="28"/>
  <c r="AG13" i="28"/>
  <c r="AF13" i="28"/>
  <c r="AE13" i="28"/>
  <c r="AD13" i="28"/>
  <c r="AC13" i="28"/>
  <c r="AA13" i="28"/>
  <c r="Z13" i="28"/>
  <c r="Y13" i="28"/>
  <c r="X13" i="28"/>
  <c r="W13" i="28"/>
  <c r="V13" i="28"/>
  <c r="U13" i="28"/>
  <c r="T13" i="28"/>
  <c r="S13" i="28"/>
  <c r="R13" i="28"/>
  <c r="Q13" i="28"/>
  <c r="O13" i="28"/>
  <c r="N13" i="28"/>
  <c r="L13" i="28"/>
  <c r="K13" i="28"/>
  <c r="J13" i="28"/>
  <c r="I13" i="28"/>
  <c r="H13" i="28"/>
  <c r="G13" i="28"/>
  <c r="F13" i="30"/>
  <c r="F13" i="28" s="1"/>
  <c r="E13" i="28"/>
  <c r="D13" i="28"/>
  <c r="C13" i="28"/>
  <c r="BN12" i="28"/>
  <c r="BK12" i="28"/>
  <c r="BH12" i="28"/>
  <c r="BE12" i="28"/>
  <c r="BB12" i="28"/>
  <c r="AY12" i="28"/>
  <c r="AV12" i="28"/>
  <c r="AS12" i="28"/>
  <c r="AP12" i="28"/>
  <c r="AM12" i="28"/>
  <c r="AJ12" i="28"/>
  <c r="AG12" i="28"/>
  <c r="AD12" i="28"/>
  <c r="AA12" i="28"/>
  <c r="X12" i="28"/>
  <c r="U12" i="28"/>
  <c r="R12" i="28"/>
  <c r="O12" i="28"/>
  <c r="L12" i="28"/>
  <c r="I12" i="28"/>
  <c r="G12" i="28"/>
  <c r="F12" i="28"/>
  <c r="E12" i="28"/>
  <c r="D12" i="28"/>
  <c r="C12" i="28"/>
  <c r="BO11" i="28"/>
  <c r="BL11" i="28"/>
  <c r="BI11" i="28"/>
  <c r="BF11" i="28"/>
  <c r="BC11" i="28"/>
  <c r="AZ11" i="28"/>
  <c r="AW11" i="28"/>
  <c r="AT11" i="28"/>
  <c r="AQ11" i="28"/>
  <c r="AN11" i="28"/>
  <c r="AK11" i="28"/>
  <c r="AH11" i="28"/>
  <c r="AE11" i="28"/>
  <c r="AB11" i="28"/>
  <c r="Y11" i="28"/>
  <c r="V11" i="28"/>
  <c r="S11" i="28"/>
  <c r="P11" i="28"/>
  <c r="M11" i="28"/>
  <c r="G11" i="28"/>
  <c r="F11" i="28"/>
  <c r="E11" i="28"/>
  <c r="D11" i="28"/>
  <c r="C11" i="28"/>
  <c r="G9" i="28"/>
  <c r="F9" i="28"/>
  <c r="D9" i="28"/>
  <c r="C9"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W8" i="28"/>
  <c r="V8" i="28"/>
  <c r="U8" i="28"/>
  <c r="T8" i="28"/>
  <c r="S8" i="28"/>
  <c r="R8" i="28"/>
  <c r="Q8" i="28"/>
  <c r="P8" i="28"/>
  <c r="O8" i="28"/>
  <c r="N8" i="28"/>
  <c r="M8" i="28"/>
  <c r="L8" i="28"/>
  <c r="K8" i="28"/>
  <c r="J8" i="28"/>
  <c r="I8" i="28"/>
  <c r="H8" i="28"/>
  <c r="G8" i="28"/>
  <c r="F8" i="28"/>
  <c r="E8" i="28"/>
  <c r="D8" i="28"/>
  <c r="C8" i="28"/>
  <c r="K6" i="30"/>
  <c r="N6" i="30" s="1"/>
  <c r="H6" i="28"/>
  <c r="E6" i="28"/>
  <c r="J5" i="30"/>
  <c r="M5" i="30" s="1"/>
  <c r="J4" i="30"/>
  <c r="K11" i="38" s="1"/>
  <c r="L11" i="38" s="1"/>
  <c r="M11" i="38" s="1"/>
  <c r="N11" i="38" s="1"/>
  <c r="O11" i="38" s="1"/>
  <c r="P11" i="38" s="1"/>
  <c r="Q11" i="38" s="1"/>
  <c r="R11" i="38" s="1"/>
  <c r="S11" i="38" s="1"/>
  <c r="T11" i="38" s="1"/>
  <c r="U11" i="38" s="1"/>
  <c r="V11" i="38" s="1"/>
  <c r="W11" i="38" s="1"/>
  <c r="X11" i="38" s="1"/>
  <c r="Y11" i="38" s="1"/>
  <c r="Z11" i="38" s="1"/>
  <c r="AA11" i="38" s="1"/>
  <c r="AB11" i="38" s="1"/>
  <c r="AC11" i="38" s="1"/>
  <c r="AD11" i="38" s="1"/>
  <c r="C4" i="30"/>
  <c r="F2" i="28" s="1"/>
  <c r="J203" i="30"/>
  <c r="M203" i="30" s="1"/>
  <c r="P203" i="30" s="1"/>
  <c r="S203" i="30" s="1"/>
  <c r="V203" i="30" s="1"/>
  <c r="Y203" i="30" s="1"/>
  <c r="AB203" i="30" s="1"/>
  <c r="AE203" i="30" s="1"/>
  <c r="AH203" i="30" s="1"/>
  <c r="AK203" i="30" s="1"/>
  <c r="AN203" i="30" s="1"/>
  <c r="AQ203" i="30" s="1"/>
  <c r="AT203" i="30" s="1"/>
  <c r="AW203" i="30" s="1"/>
  <c r="AZ203" i="30" s="1"/>
  <c r="BC203" i="30" s="1"/>
  <c r="BF203" i="30" s="1"/>
  <c r="BI203" i="30" s="1"/>
  <c r="BL203" i="30" s="1"/>
  <c r="BO203" i="30" s="1"/>
  <c r="R203" i="30"/>
  <c r="U203" i="30" s="1"/>
  <c r="BN204" i="30"/>
  <c r="BK204" i="30"/>
  <c r="BH204" i="30"/>
  <c r="BE204" i="30"/>
  <c r="BB204" i="30"/>
  <c r="AY204" i="30"/>
  <c r="AV204" i="30"/>
  <c r="AS204" i="30"/>
  <c r="AP204" i="30"/>
  <c r="AM204" i="30"/>
  <c r="AJ204" i="30"/>
  <c r="AG204" i="30"/>
  <c r="AD204" i="30"/>
  <c r="AA204" i="30"/>
  <c r="X204" i="30"/>
  <c r="U204" i="30"/>
  <c r="R204" i="30"/>
  <c r="Q203" i="30"/>
  <c r="T203" i="30" s="1"/>
  <c r="BM204" i="30"/>
  <c r="BJ204" i="30"/>
  <c r="BG204" i="30"/>
  <c r="BD204" i="30"/>
  <c r="BA204" i="30"/>
  <c r="AX204" i="30"/>
  <c r="AU204" i="30"/>
  <c r="AR204" i="30"/>
  <c r="AO204" i="30"/>
  <c r="AL204" i="30"/>
  <c r="AI204" i="30"/>
  <c r="AF204" i="30"/>
  <c r="AC204" i="30"/>
  <c r="Z204" i="30"/>
  <c r="W204" i="30"/>
  <c r="T204" i="30"/>
  <c r="Q204" i="30"/>
  <c r="O205" i="30"/>
  <c r="N205" i="30"/>
  <c r="L205" i="30"/>
  <c r="K205" i="30"/>
  <c r="J199" i="30"/>
  <c r="M199" i="30" s="1"/>
  <c r="P199" i="30" s="1"/>
  <c r="R199" i="30"/>
  <c r="U199" i="30" s="1"/>
  <c r="X199" i="30" s="1"/>
  <c r="AA199" i="30" s="1"/>
  <c r="AD199" i="30" s="1"/>
  <c r="AG199" i="30" s="1"/>
  <c r="AJ199" i="30" s="1"/>
  <c r="AM199" i="30" s="1"/>
  <c r="AP199" i="30" s="1"/>
  <c r="AS199" i="30" s="1"/>
  <c r="AV199" i="30" s="1"/>
  <c r="AY199" i="30" s="1"/>
  <c r="BB199" i="30" s="1"/>
  <c r="BE199" i="30" s="1"/>
  <c r="BH199" i="30" s="1"/>
  <c r="BK199" i="30" s="1"/>
  <c r="BN199" i="30" s="1"/>
  <c r="Q199" i="30"/>
  <c r="T199" i="30" s="1"/>
  <c r="W199" i="30" s="1"/>
  <c r="Z199" i="30" s="1"/>
  <c r="AC199" i="30" s="1"/>
  <c r="AF199" i="30" s="1"/>
  <c r="AI199" i="30" s="1"/>
  <c r="AL199" i="30" s="1"/>
  <c r="AO199" i="30" s="1"/>
  <c r="AR199" i="30" s="1"/>
  <c r="AU199" i="30" s="1"/>
  <c r="AX199" i="30" s="1"/>
  <c r="BA199" i="30" s="1"/>
  <c r="BD199" i="30" s="1"/>
  <c r="BG199" i="30" s="1"/>
  <c r="BJ199" i="30" s="1"/>
  <c r="BM199" i="30" s="1"/>
  <c r="O201" i="30"/>
  <c r="N201" i="30"/>
  <c r="L201" i="30"/>
  <c r="K201" i="30"/>
  <c r="E165" i="16"/>
  <c r="E168" i="16" s="1"/>
  <c r="F164" i="16" s="1"/>
  <c r="F165" i="16"/>
  <c r="G165" i="16"/>
  <c r="H165" i="16"/>
  <c r="I165" i="16"/>
  <c r="J165" i="16"/>
  <c r="K165" i="16"/>
  <c r="L165" i="16"/>
  <c r="M165" i="16"/>
  <c r="N165" i="16"/>
  <c r="O165" i="16"/>
  <c r="P165" i="16"/>
  <c r="Q165" i="16"/>
  <c r="R165" i="16"/>
  <c r="S165" i="16"/>
  <c r="T165" i="16"/>
  <c r="U165" i="16"/>
  <c r="V165" i="16"/>
  <c r="W165" i="16"/>
  <c r="X165" i="16"/>
  <c r="Y165" i="16"/>
  <c r="AB165" i="16"/>
  <c r="AE165" i="16"/>
  <c r="AH165" i="16"/>
  <c r="AK165" i="16"/>
  <c r="AN165" i="16"/>
  <c r="AQ165" i="16"/>
  <c r="AT165" i="16"/>
  <c r="AW165" i="16"/>
  <c r="AZ165" i="16"/>
  <c r="E158" i="16"/>
  <c r="E161" i="16" s="1"/>
  <c r="F157" i="16" s="1"/>
  <c r="F158" i="16"/>
  <c r="G158" i="16"/>
  <c r="H158" i="16"/>
  <c r="I158" i="16"/>
  <c r="J158" i="16"/>
  <c r="K158" i="16"/>
  <c r="L158" i="16"/>
  <c r="M158" i="16"/>
  <c r="N158" i="16"/>
  <c r="O158" i="16"/>
  <c r="P158" i="16"/>
  <c r="Q158" i="16"/>
  <c r="R158" i="16"/>
  <c r="S158" i="16"/>
  <c r="T158" i="16"/>
  <c r="U158" i="16"/>
  <c r="V158" i="16"/>
  <c r="W158" i="16"/>
  <c r="X158" i="16"/>
  <c r="Y158" i="16"/>
  <c r="AB158" i="16"/>
  <c r="AE158" i="16"/>
  <c r="AH158" i="16"/>
  <c r="AK158" i="16"/>
  <c r="AN158" i="16"/>
  <c r="AQ158" i="16"/>
  <c r="AT158" i="16"/>
  <c r="AW158" i="16"/>
  <c r="AZ158" i="16"/>
  <c r="E151" i="16"/>
  <c r="E154" i="16" s="1"/>
  <c r="F150" i="16" s="1"/>
  <c r="F151" i="16"/>
  <c r="G151" i="16"/>
  <c r="H151" i="16"/>
  <c r="I151" i="16"/>
  <c r="J151" i="16"/>
  <c r="K151" i="16"/>
  <c r="L151" i="16"/>
  <c r="M151" i="16"/>
  <c r="N151" i="16"/>
  <c r="O151" i="16"/>
  <c r="P151" i="16"/>
  <c r="Q151" i="16"/>
  <c r="R151" i="16"/>
  <c r="S151" i="16"/>
  <c r="T151" i="16"/>
  <c r="U151" i="16"/>
  <c r="V151" i="16"/>
  <c r="W151" i="16"/>
  <c r="X151" i="16"/>
  <c r="Y151" i="16"/>
  <c r="AB151" i="16"/>
  <c r="AE151" i="16"/>
  <c r="AH151" i="16"/>
  <c r="AK151" i="16"/>
  <c r="AN151" i="16"/>
  <c r="AQ151" i="16"/>
  <c r="AT151" i="16"/>
  <c r="AW151" i="16"/>
  <c r="AZ151" i="16"/>
  <c r="E145" i="16"/>
  <c r="E148" i="16" s="1"/>
  <c r="F144" i="16" s="1"/>
  <c r="F145" i="16"/>
  <c r="G145" i="16"/>
  <c r="H145" i="16"/>
  <c r="I145" i="16"/>
  <c r="J145" i="16"/>
  <c r="K145" i="16"/>
  <c r="L145" i="16"/>
  <c r="M145" i="16"/>
  <c r="N145" i="16"/>
  <c r="O145" i="16"/>
  <c r="P145" i="16"/>
  <c r="Q145" i="16"/>
  <c r="R145" i="16"/>
  <c r="S145" i="16"/>
  <c r="T145" i="16"/>
  <c r="U145" i="16"/>
  <c r="V145" i="16"/>
  <c r="W145" i="16"/>
  <c r="X145" i="16"/>
  <c r="Y145" i="16"/>
  <c r="AB145" i="16"/>
  <c r="AE145" i="16"/>
  <c r="AH145" i="16"/>
  <c r="AK145" i="16"/>
  <c r="AN145" i="16"/>
  <c r="AQ145" i="16"/>
  <c r="AT145" i="16"/>
  <c r="AW145" i="16"/>
  <c r="AZ145" i="16"/>
  <c r="AZ136" i="16"/>
  <c r="AZ137" i="16"/>
  <c r="AW136" i="16"/>
  <c r="AW137" i="16"/>
  <c r="AT136" i="16"/>
  <c r="AT137" i="16"/>
  <c r="AQ136" i="16"/>
  <c r="AQ137" i="16"/>
  <c r="AN136" i="16"/>
  <c r="AN137" i="16"/>
  <c r="AK136" i="16"/>
  <c r="AK137" i="16"/>
  <c r="AH136" i="16"/>
  <c r="AH137" i="16"/>
  <c r="AE136" i="16"/>
  <c r="AE137" i="16"/>
  <c r="AB136" i="16"/>
  <c r="AB137" i="16"/>
  <c r="Y136" i="16"/>
  <c r="Y137" i="16"/>
  <c r="X136" i="16"/>
  <c r="X137" i="16"/>
  <c r="W136" i="16"/>
  <c r="W137" i="16"/>
  <c r="V136" i="16"/>
  <c r="V137" i="16"/>
  <c r="U136" i="16"/>
  <c r="U137" i="16"/>
  <c r="T136" i="16"/>
  <c r="T137" i="16"/>
  <c r="S136" i="16"/>
  <c r="S137" i="16"/>
  <c r="R136" i="16"/>
  <c r="R137" i="16"/>
  <c r="Q136" i="16"/>
  <c r="Q137" i="16"/>
  <c r="P136" i="16"/>
  <c r="P137" i="16"/>
  <c r="O136" i="16"/>
  <c r="O137" i="16"/>
  <c r="N136" i="16"/>
  <c r="N137" i="16"/>
  <c r="M136" i="16"/>
  <c r="M137" i="16"/>
  <c r="L136" i="16"/>
  <c r="L137" i="16"/>
  <c r="K136" i="16"/>
  <c r="K137" i="16"/>
  <c r="J136" i="16"/>
  <c r="J137" i="16"/>
  <c r="I136" i="16"/>
  <c r="I137" i="16"/>
  <c r="H136" i="16"/>
  <c r="H137" i="16"/>
  <c r="G136" i="16"/>
  <c r="G137" i="16"/>
  <c r="F136" i="16"/>
  <c r="F137" i="16"/>
  <c r="AZ135" i="16"/>
  <c r="AW135" i="16"/>
  <c r="AT135" i="16"/>
  <c r="AQ135" i="16"/>
  <c r="AN135" i="16"/>
  <c r="AK135" i="16"/>
  <c r="AH135" i="16"/>
  <c r="AE135" i="16"/>
  <c r="AB135" i="16"/>
  <c r="Y135" i="16"/>
  <c r="X135" i="16"/>
  <c r="W135" i="16"/>
  <c r="V135" i="16"/>
  <c r="U135" i="16"/>
  <c r="T135" i="16"/>
  <c r="S135" i="16"/>
  <c r="R135" i="16"/>
  <c r="Q135" i="16"/>
  <c r="P135" i="16"/>
  <c r="O135" i="16"/>
  <c r="N135" i="16"/>
  <c r="M135" i="16"/>
  <c r="L135" i="16"/>
  <c r="K135" i="16"/>
  <c r="J135" i="16"/>
  <c r="I135" i="16"/>
  <c r="H135" i="16"/>
  <c r="G135" i="16"/>
  <c r="F135" i="16"/>
  <c r="E135" i="16"/>
  <c r="AZ98" i="16"/>
  <c r="AZ114" i="16"/>
  <c r="AZ122" i="16"/>
  <c r="AZ129" i="16" s="1"/>
  <c r="AW98" i="16"/>
  <c r="AW114" i="16"/>
  <c r="AW122" i="16"/>
  <c r="AW129" i="16" s="1"/>
  <c r="AT98" i="16"/>
  <c r="AT114" i="16"/>
  <c r="AT122" i="16"/>
  <c r="AT129" i="16" s="1"/>
  <c r="AQ98" i="16"/>
  <c r="AQ114" i="16"/>
  <c r="AQ122" i="16"/>
  <c r="AQ129" i="16" s="1"/>
  <c r="AN98" i="16"/>
  <c r="AN114" i="16"/>
  <c r="AN122" i="16"/>
  <c r="AN129" i="16" s="1"/>
  <c r="AK98" i="16"/>
  <c r="AK114" i="16"/>
  <c r="AK122" i="16"/>
  <c r="AK129" i="16" s="1"/>
  <c r="AH98" i="16"/>
  <c r="AH114" i="16"/>
  <c r="AH122" i="16"/>
  <c r="AH129" i="16" s="1"/>
  <c r="AE98" i="16"/>
  <c r="AE114" i="16"/>
  <c r="AE122" i="16"/>
  <c r="AE129" i="16" s="1"/>
  <c r="AB98" i="16"/>
  <c r="AB114" i="16"/>
  <c r="AB122" i="16"/>
  <c r="AB129" i="16" s="1"/>
  <c r="Y98" i="16"/>
  <c r="Y114" i="16"/>
  <c r="Y122" i="16"/>
  <c r="Y129" i="16" s="1"/>
  <c r="X114" i="16"/>
  <c r="X122" i="16"/>
  <c r="X129" i="16" s="1"/>
  <c r="W114" i="16"/>
  <c r="W122" i="16"/>
  <c r="W129" i="16" s="1"/>
  <c r="V114" i="16"/>
  <c r="V122" i="16"/>
  <c r="V129" i="16" s="1"/>
  <c r="U114" i="16"/>
  <c r="U122" i="16"/>
  <c r="U129" i="16" s="1"/>
  <c r="T114" i="16"/>
  <c r="T122" i="16"/>
  <c r="T129" i="16" s="1"/>
  <c r="S114" i="16"/>
  <c r="S122" i="16"/>
  <c r="S129" i="16" s="1"/>
  <c r="R114" i="16"/>
  <c r="R122" i="16"/>
  <c r="R129" i="16" s="1"/>
  <c r="Q114" i="16"/>
  <c r="Q122" i="16"/>
  <c r="Q129" i="16" s="1"/>
  <c r="P114" i="16"/>
  <c r="P122" i="16"/>
  <c r="P129" i="16" s="1"/>
  <c r="O114" i="16"/>
  <c r="O122" i="16"/>
  <c r="O129" i="16" s="1"/>
  <c r="N114" i="16"/>
  <c r="N122" i="16"/>
  <c r="N129" i="16" s="1"/>
  <c r="M114" i="16"/>
  <c r="M122" i="16"/>
  <c r="M129" i="16" s="1"/>
  <c r="L114" i="16"/>
  <c r="L122" i="16"/>
  <c r="L129" i="16" s="1"/>
  <c r="K114" i="16"/>
  <c r="K122" i="16"/>
  <c r="K129" i="16" s="1"/>
  <c r="J114" i="16"/>
  <c r="J122" i="16"/>
  <c r="J129" i="16" s="1"/>
  <c r="I114" i="16"/>
  <c r="I122" i="16"/>
  <c r="I129" i="16" s="1"/>
  <c r="H114" i="16"/>
  <c r="H122" i="16"/>
  <c r="H129" i="16" s="1"/>
  <c r="G114" i="16"/>
  <c r="G122" i="16"/>
  <c r="G129" i="16" s="1"/>
  <c r="F114" i="16"/>
  <c r="F122" i="16"/>
  <c r="F129" i="16" s="1"/>
  <c r="E114" i="16"/>
  <c r="AZ101" i="16"/>
  <c r="AW101" i="16"/>
  <c r="AT101" i="16"/>
  <c r="AQ101" i="16"/>
  <c r="AN101" i="16"/>
  <c r="AK101" i="16"/>
  <c r="AH101" i="16"/>
  <c r="AE101" i="16"/>
  <c r="AB101" i="16"/>
  <c r="Y101" i="16"/>
  <c r="U101" i="16"/>
  <c r="S101" i="16"/>
  <c r="Q101" i="16"/>
  <c r="O101" i="16"/>
  <c r="K101" i="16"/>
  <c r="H101" i="16"/>
  <c r="X96" i="16"/>
  <c r="W96" i="16"/>
  <c r="V96" i="16"/>
  <c r="U96" i="16"/>
  <c r="T96" i="16"/>
  <c r="S96" i="16"/>
  <c r="R96" i="16"/>
  <c r="Q96" i="16"/>
  <c r="P96" i="16"/>
  <c r="O96" i="16"/>
  <c r="N96" i="16"/>
  <c r="M96" i="16"/>
  <c r="L96" i="16"/>
  <c r="K96" i="16"/>
  <c r="J96" i="16"/>
  <c r="I96" i="16"/>
  <c r="H96" i="16"/>
  <c r="G96" i="16"/>
  <c r="F96" i="16"/>
  <c r="AZ78" i="16"/>
  <c r="AW78" i="16"/>
  <c r="AT78" i="16"/>
  <c r="AQ78" i="16"/>
  <c r="AN78" i="16"/>
  <c r="AK78" i="16"/>
  <c r="AH78" i="16"/>
  <c r="AE78" i="16"/>
  <c r="AB78" i="16"/>
  <c r="Y78" i="16"/>
  <c r="F32" i="16"/>
  <c r="F33" i="16"/>
  <c r="G33" i="16" s="1"/>
  <c r="H33" i="16" s="1"/>
  <c r="I33" i="16" s="1"/>
  <c r="J33" i="16" s="1"/>
  <c r="K33" i="16" s="1"/>
  <c r="L33" i="16" s="1"/>
  <c r="M33" i="16" s="1"/>
  <c r="N33" i="16" s="1"/>
  <c r="O33" i="16" s="1"/>
  <c r="P33" i="16" s="1"/>
  <c r="Q33" i="16" s="1"/>
  <c r="R33" i="16" s="1"/>
  <c r="S33" i="16" s="1"/>
  <c r="T33" i="16" s="1"/>
  <c r="U33" i="16" s="1"/>
  <c r="V33" i="16" s="1"/>
  <c r="W33" i="16" s="1"/>
  <c r="X33" i="16" s="1"/>
  <c r="F34" i="16"/>
  <c r="G34" i="16" s="1"/>
  <c r="H34" i="16" s="1"/>
  <c r="I34" i="16" s="1"/>
  <c r="J34" i="16" s="1"/>
  <c r="K34" i="16" s="1"/>
  <c r="L34" i="16" s="1"/>
  <c r="M34" i="16" s="1"/>
  <c r="N34" i="16" s="1"/>
  <c r="O34" i="16" s="1"/>
  <c r="P34" i="16" s="1"/>
  <c r="Q34" i="16" s="1"/>
  <c r="R34" i="16" s="1"/>
  <c r="S34" i="16" s="1"/>
  <c r="T34" i="16" s="1"/>
  <c r="U34" i="16" s="1"/>
  <c r="V34" i="16" s="1"/>
  <c r="W34" i="16" s="1"/>
  <c r="X34" i="16" s="1"/>
  <c r="F35" i="16"/>
  <c r="G35" i="16" s="1"/>
  <c r="H35" i="16" s="1"/>
  <c r="I35" i="16" s="1"/>
  <c r="J35" i="16" s="1"/>
  <c r="K35" i="16" s="1"/>
  <c r="L35" i="16" s="1"/>
  <c r="M35" i="16" s="1"/>
  <c r="N35" i="16" s="1"/>
  <c r="O35" i="16" s="1"/>
  <c r="P35" i="16" s="1"/>
  <c r="Q35" i="16" s="1"/>
  <c r="R35" i="16" s="1"/>
  <c r="S35" i="16" s="1"/>
  <c r="T35" i="16" s="1"/>
  <c r="U35" i="16" s="1"/>
  <c r="V35" i="16" s="1"/>
  <c r="W35" i="16" s="1"/>
  <c r="X35" i="16" s="1"/>
  <c r="F36" i="16"/>
  <c r="G36" i="16" s="1"/>
  <c r="H36" i="16" s="1"/>
  <c r="I36" i="16" s="1"/>
  <c r="J36" i="16" s="1"/>
  <c r="K36" i="16" s="1"/>
  <c r="L36" i="16" s="1"/>
  <c r="M36" i="16" s="1"/>
  <c r="N36" i="16" s="1"/>
  <c r="O36" i="16" s="1"/>
  <c r="P36" i="16" s="1"/>
  <c r="Q36" i="16" s="1"/>
  <c r="R36" i="16" s="1"/>
  <c r="S36" i="16" s="1"/>
  <c r="T36" i="16" s="1"/>
  <c r="U36" i="16" s="1"/>
  <c r="V36" i="16" s="1"/>
  <c r="W36" i="16" s="1"/>
  <c r="X36" i="16" s="1"/>
  <c r="F37" i="16"/>
  <c r="G37" i="16" s="1"/>
  <c r="H37" i="16" s="1"/>
  <c r="I37" i="16" s="1"/>
  <c r="J37" i="16" s="1"/>
  <c r="K37" i="16" s="1"/>
  <c r="L37" i="16" s="1"/>
  <c r="M37" i="16" s="1"/>
  <c r="N37" i="16" s="1"/>
  <c r="O37" i="16" s="1"/>
  <c r="P37" i="16" s="1"/>
  <c r="Q37" i="16" s="1"/>
  <c r="R37" i="16" s="1"/>
  <c r="S37" i="16" s="1"/>
  <c r="T37" i="16" s="1"/>
  <c r="U37" i="16" s="1"/>
  <c r="V37" i="16" s="1"/>
  <c r="W37" i="16" s="1"/>
  <c r="X37" i="16" s="1"/>
  <c r="F38" i="16"/>
  <c r="G38" i="16" s="1"/>
  <c r="H38" i="16" s="1"/>
  <c r="I38" i="16" s="1"/>
  <c r="J38" i="16" s="1"/>
  <c r="K38" i="16" s="1"/>
  <c r="L38" i="16" s="1"/>
  <c r="M38" i="16" s="1"/>
  <c r="N38" i="16" s="1"/>
  <c r="O38" i="16" s="1"/>
  <c r="P38" i="16" s="1"/>
  <c r="Q38" i="16" s="1"/>
  <c r="R38" i="16" s="1"/>
  <c r="S38" i="16" s="1"/>
  <c r="T38" i="16" s="1"/>
  <c r="U38" i="16" s="1"/>
  <c r="V38" i="16" s="1"/>
  <c r="W38" i="16" s="1"/>
  <c r="X38" i="16" s="1"/>
  <c r="F39" i="16"/>
  <c r="G39" i="16" s="1"/>
  <c r="H39" i="16" s="1"/>
  <c r="I39" i="16" s="1"/>
  <c r="J39" i="16" s="1"/>
  <c r="K39" i="16" s="1"/>
  <c r="L39" i="16" s="1"/>
  <c r="M39" i="16" s="1"/>
  <c r="N39" i="16" s="1"/>
  <c r="O39" i="16" s="1"/>
  <c r="P39" i="16" s="1"/>
  <c r="Q39" i="16" s="1"/>
  <c r="R39" i="16" s="1"/>
  <c r="S39" i="16" s="1"/>
  <c r="T39" i="16" s="1"/>
  <c r="U39" i="16" s="1"/>
  <c r="V39" i="16" s="1"/>
  <c r="W39" i="16" s="1"/>
  <c r="X39" i="16" s="1"/>
  <c r="F25" i="16"/>
  <c r="G25" i="16" s="1"/>
  <c r="F26" i="16"/>
  <c r="G26" i="16" s="1"/>
  <c r="H26" i="16" s="1"/>
  <c r="I26" i="16" s="1"/>
  <c r="J26" i="16" s="1"/>
  <c r="K26" i="16" s="1"/>
  <c r="L26" i="16" s="1"/>
  <c r="M26" i="16" s="1"/>
  <c r="N26" i="16" s="1"/>
  <c r="O26" i="16" s="1"/>
  <c r="P26" i="16" s="1"/>
  <c r="Q26" i="16" s="1"/>
  <c r="R26" i="16" s="1"/>
  <c r="S26" i="16" s="1"/>
  <c r="T26" i="16" s="1"/>
  <c r="U26" i="16" s="1"/>
  <c r="V26" i="16" s="1"/>
  <c r="W26" i="16" s="1"/>
  <c r="X26" i="16" s="1"/>
  <c r="F27" i="16"/>
  <c r="G27" i="16" s="1"/>
  <c r="H27" i="16" s="1"/>
  <c r="I27" i="16" s="1"/>
  <c r="J27" i="16" s="1"/>
  <c r="K27" i="16" s="1"/>
  <c r="L27" i="16" s="1"/>
  <c r="M27" i="16" s="1"/>
  <c r="N27" i="16" s="1"/>
  <c r="O27" i="16" s="1"/>
  <c r="P27" i="16" s="1"/>
  <c r="Q27" i="16" s="1"/>
  <c r="R27" i="16" s="1"/>
  <c r="S27" i="16" s="1"/>
  <c r="T27" i="16" s="1"/>
  <c r="U27" i="16" s="1"/>
  <c r="V27" i="16" s="1"/>
  <c r="W27" i="16" s="1"/>
  <c r="X27" i="16" s="1"/>
  <c r="F28" i="16"/>
  <c r="G28" i="16" s="1"/>
  <c r="H28" i="16" s="1"/>
  <c r="I28" i="16" s="1"/>
  <c r="J28" i="16" s="1"/>
  <c r="K28" i="16" s="1"/>
  <c r="L28" i="16" s="1"/>
  <c r="M28" i="16" s="1"/>
  <c r="N28" i="16" s="1"/>
  <c r="O28" i="16" s="1"/>
  <c r="P28" i="16" s="1"/>
  <c r="Q28" i="16" s="1"/>
  <c r="R28" i="16" s="1"/>
  <c r="S28" i="16" s="1"/>
  <c r="T28" i="16" s="1"/>
  <c r="U28" i="16" s="1"/>
  <c r="V28" i="16" s="1"/>
  <c r="W28" i="16" s="1"/>
  <c r="X28" i="16" s="1"/>
  <c r="F29" i="16"/>
  <c r="G29" i="16" s="1"/>
  <c r="H29" i="16" s="1"/>
  <c r="I29" i="16" s="1"/>
  <c r="J29" i="16" s="1"/>
  <c r="K29" i="16" s="1"/>
  <c r="L29" i="16" s="1"/>
  <c r="M29" i="16" s="1"/>
  <c r="N29" i="16" s="1"/>
  <c r="O29" i="16" s="1"/>
  <c r="P29" i="16" s="1"/>
  <c r="Q29" i="16" s="1"/>
  <c r="R29" i="16" s="1"/>
  <c r="S29" i="16" s="1"/>
  <c r="T29" i="16" s="1"/>
  <c r="U29" i="16" s="1"/>
  <c r="V29" i="16" s="1"/>
  <c r="W29" i="16" s="1"/>
  <c r="X29" i="16" s="1"/>
  <c r="F22" i="16"/>
  <c r="G22" i="16" s="1"/>
  <c r="H22" i="16" s="1"/>
  <c r="I22" i="16" s="1"/>
  <c r="J22" i="16" s="1"/>
  <c r="K22" i="16" s="1"/>
  <c r="L22" i="16" s="1"/>
  <c r="M22" i="16" s="1"/>
  <c r="N22" i="16" s="1"/>
  <c r="O22" i="16" s="1"/>
  <c r="P22" i="16" s="1"/>
  <c r="Q22" i="16" s="1"/>
  <c r="R22" i="16" s="1"/>
  <c r="S22" i="16" s="1"/>
  <c r="T22" i="16" s="1"/>
  <c r="U22" i="16" s="1"/>
  <c r="V22" i="16" s="1"/>
  <c r="W22" i="16" s="1"/>
  <c r="X22" i="16" s="1"/>
  <c r="X14" i="16"/>
  <c r="W14" i="16"/>
  <c r="V14" i="16"/>
  <c r="U14" i="16"/>
  <c r="T14" i="16"/>
  <c r="S14" i="16"/>
  <c r="R14" i="16"/>
  <c r="Q14" i="16"/>
  <c r="P14" i="16"/>
  <c r="O14" i="16"/>
  <c r="N14" i="16"/>
  <c r="M14" i="16"/>
  <c r="L14" i="16"/>
  <c r="K14" i="16"/>
  <c r="J14" i="16"/>
  <c r="I14" i="16"/>
  <c r="H14" i="16"/>
  <c r="G14" i="16"/>
  <c r="F14" i="16"/>
  <c r="E14" i="16"/>
  <c r="E4" i="16"/>
  <c r="F4" i="16" s="1"/>
  <c r="G4" i="16" s="1"/>
  <c r="H4" i="16" s="1"/>
  <c r="I4" i="16" s="1"/>
  <c r="J4" i="16" s="1"/>
  <c r="K4" i="16" s="1"/>
  <c r="L4" i="16" s="1"/>
  <c r="M4" i="16" s="1"/>
  <c r="N4" i="16" s="1"/>
  <c r="O4" i="16" s="1"/>
  <c r="P4" i="16" s="1"/>
  <c r="Q4" i="16" s="1"/>
  <c r="R4" i="16" s="1"/>
  <c r="S4" i="16" s="1"/>
  <c r="T4" i="16" s="1"/>
  <c r="U4" i="16" s="1"/>
  <c r="V4" i="16" s="1"/>
  <c r="W4" i="16" s="1"/>
  <c r="X4" i="16" s="1"/>
  <c r="Y4" i="16" s="1"/>
  <c r="AB4" i="16" s="1"/>
  <c r="AE4" i="16" s="1"/>
  <c r="AH4" i="16" s="1"/>
  <c r="AK4" i="16" s="1"/>
  <c r="AN4" i="16" s="1"/>
  <c r="AQ4" i="16" s="1"/>
  <c r="AT4" i="16" s="1"/>
  <c r="AW4" i="16" s="1"/>
  <c r="AZ4" i="16" s="1"/>
  <c r="F3" i="16"/>
  <c r="G3" i="16" s="1"/>
  <c r="H3" i="16" s="1"/>
  <c r="I3" i="16" s="1"/>
  <c r="J3" i="16" s="1"/>
  <c r="K3" i="16" s="1"/>
  <c r="L3" i="16" s="1"/>
  <c r="M3" i="16" s="1"/>
  <c r="N3" i="16" s="1"/>
  <c r="O3" i="16" s="1"/>
  <c r="P3" i="16" s="1"/>
  <c r="Q3" i="16" s="1"/>
  <c r="R3" i="16" s="1"/>
  <c r="S3" i="16" s="1"/>
  <c r="T3" i="16" s="1"/>
  <c r="U3" i="16" s="1"/>
  <c r="V3" i="16" s="1"/>
  <c r="W3" i="16" s="1"/>
  <c r="X3" i="16" s="1"/>
  <c r="Y3" i="16" s="1"/>
  <c r="AB3" i="16" s="1"/>
  <c r="AE3" i="16" s="1"/>
  <c r="AH3" i="16" s="1"/>
  <c r="AK3" i="16" s="1"/>
  <c r="AN3" i="16" s="1"/>
  <c r="AQ3" i="16" s="1"/>
  <c r="AT3" i="16" s="1"/>
  <c r="AW3" i="16" s="1"/>
  <c r="AZ3" i="16" s="1"/>
  <c r="C1" i="16"/>
  <c r="AE136" i="38"/>
  <c r="AE135" i="38"/>
  <c r="AE134" i="38"/>
  <c r="AE133" i="38"/>
  <c r="AE132" i="38"/>
  <c r="AE131" i="38"/>
  <c r="AE130" i="38"/>
  <c r="AE129" i="38"/>
  <c r="AE128" i="38"/>
  <c r="AE127" i="38"/>
  <c r="AE126" i="38"/>
  <c r="AE125" i="38"/>
  <c r="AE124" i="38"/>
  <c r="AE123" i="38"/>
  <c r="AE122" i="38"/>
  <c r="AE121" i="38"/>
  <c r="AE120" i="38"/>
  <c r="AE119" i="38"/>
  <c r="AE118" i="38"/>
  <c r="AE117" i="38"/>
  <c r="AE116" i="38"/>
  <c r="AE115" i="38"/>
  <c r="AE114" i="38"/>
  <c r="AE113" i="38"/>
  <c r="AE112" i="38"/>
  <c r="AE111" i="38"/>
  <c r="AE110" i="38"/>
  <c r="AE109" i="38"/>
  <c r="AE108" i="38"/>
  <c r="AE107" i="38"/>
  <c r="AE106" i="38"/>
  <c r="AE105" i="38"/>
  <c r="AE104" i="38"/>
  <c r="AE103" i="38"/>
  <c r="AE102" i="38"/>
  <c r="AE101" i="38"/>
  <c r="AE100" i="38"/>
  <c r="AE99" i="38"/>
  <c r="AE98" i="38"/>
  <c r="AE97" i="38"/>
  <c r="AE96" i="38"/>
  <c r="AE95" i="38"/>
  <c r="AE94" i="38"/>
  <c r="AE93" i="38"/>
  <c r="AE92" i="38"/>
  <c r="AE91" i="38"/>
  <c r="AE90" i="38"/>
  <c r="AE89" i="38"/>
  <c r="AE88" i="38"/>
  <c r="AE87" i="38"/>
  <c r="AE86" i="38"/>
  <c r="AE85" i="38"/>
  <c r="AE84" i="38"/>
  <c r="AE83" i="38"/>
  <c r="AE82" i="38"/>
  <c r="AE81" i="38"/>
  <c r="AE80" i="38"/>
  <c r="AE79" i="38"/>
  <c r="AE78" i="38"/>
  <c r="AE77" i="38"/>
  <c r="AE76" i="38"/>
  <c r="AE75" i="38"/>
  <c r="AE74" i="38"/>
  <c r="AE73" i="38"/>
  <c r="AE72" i="38"/>
  <c r="AE71" i="38"/>
  <c r="AE70" i="38"/>
  <c r="AE69" i="38"/>
  <c r="AE68" i="38"/>
  <c r="AE67" i="38"/>
  <c r="AE66" i="38"/>
  <c r="AE63" i="38"/>
  <c r="AE62" i="38"/>
  <c r="AE61" i="38"/>
  <c r="AE60" i="38"/>
  <c r="AE59" i="38"/>
  <c r="AE58" i="38"/>
  <c r="AE57" i="38"/>
  <c r="AE56" i="38"/>
  <c r="AE55" i="38"/>
  <c r="AE54" i="38"/>
  <c r="AE53" i="38"/>
  <c r="AE52" i="38"/>
  <c r="AE51" i="38"/>
  <c r="AE50" i="38"/>
  <c r="AE49" i="38"/>
  <c r="AE48" i="38"/>
  <c r="AE47" i="38"/>
  <c r="AE46" i="38"/>
  <c r="AE45" i="38"/>
  <c r="AE44" i="38"/>
  <c r="AE43" i="38"/>
  <c r="AE42" i="38"/>
  <c r="AE41" i="38"/>
  <c r="AE40" i="38"/>
  <c r="AE39" i="38"/>
  <c r="AE38" i="38"/>
  <c r="AE37" i="38"/>
  <c r="AE36" i="38"/>
  <c r="AE35" i="38"/>
  <c r="AE34" i="38"/>
  <c r="AE33" i="38"/>
  <c r="AE32" i="38"/>
  <c r="AE31" i="38"/>
  <c r="AE30" i="38"/>
  <c r="AE29" i="38"/>
  <c r="AE28" i="38"/>
  <c r="AE27" i="38"/>
  <c r="AE26" i="38"/>
  <c r="AE25" i="38"/>
  <c r="AE24" i="38"/>
  <c r="AE23" i="38"/>
  <c r="AE22" i="38"/>
  <c r="AE21" i="38"/>
  <c r="AE20" i="38"/>
  <c r="AE19" i="38"/>
  <c r="AE18" i="38"/>
  <c r="AE17" i="38"/>
  <c r="AE16" i="38"/>
  <c r="AE15" i="38"/>
  <c r="AE14" i="38"/>
  <c r="AE13" i="38"/>
  <c r="K6" i="38"/>
  <c r="L6" i="38"/>
  <c r="M6" i="38"/>
  <c r="N6" i="38"/>
  <c r="O6" i="38"/>
  <c r="P6" i="38"/>
  <c r="Q6" i="38"/>
  <c r="R6" i="38"/>
  <c r="S6" i="38"/>
  <c r="T6" i="38"/>
  <c r="U6" i="38"/>
  <c r="V6" i="38"/>
  <c r="W6" i="38"/>
  <c r="X6" i="38"/>
  <c r="Y6" i="38"/>
  <c r="Z6" i="38"/>
  <c r="AA6" i="38"/>
  <c r="AB6" i="38"/>
  <c r="AC6" i="38"/>
  <c r="AD6" i="38"/>
  <c r="A8" i="38"/>
  <c r="J6" i="38"/>
  <c r="B5" i="38"/>
  <c r="B4" i="38"/>
  <c r="B1" i="38"/>
  <c r="D147" i="32"/>
  <c r="E147" i="32" s="1"/>
  <c r="A143" i="32"/>
  <c r="A145" i="32" s="1"/>
  <c r="E141" i="32"/>
  <c r="E140" i="32"/>
  <c r="E139" i="32"/>
  <c r="E138" i="32"/>
  <c r="D16" i="32"/>
  <c r="D31" i="32"/>
  <c r="D36" i="32"/>
  <c r="D46" i="32"/>
  <c r="D48" i="32" s="1"/>
  <c r="D57" i="32"/>
  <c r="D67" i="32"/>
  <c r="D72" i="32"/>
  <c r="D82" i="32"/>
  <c r="D102" i="32"/>
  <c r="D114" i="32"/>
  <c r="D124" i="32"/>
  <c r="H1" i="32"/>
  <c r="E31" i="32"/>
  <c r="F31" i="32"/>
  <c r="G31" i="32"/>
  <c r="H31" i="32"/>
  <c r="I31" i="32"/>
  <c r="J32" i="32"/>
  <c r="J33" i="32"/>
  <c r="J34" i="32"/>
  <c r="J35" i="32"/>
  <c r="I36" i="32"/>
  <c r="H36" i="32"/>
  <c r="G36" i="32"/>
  <c r="F36" i="32"/>
  <c r="E36" i="32"/>
  <c r="J12" i="32"/>
  <c r="E16" i="32"/>
  <c r="F16" i="32"/>
  <c r="G16" i="32"/>
  <c r="H16" i="32"/>
  <c r="I16" i="32"/>
  <c r="E46" i="32"/>
  <c r="E48" i="32" s="1"/>
  <c r="F46" i="32"/>
  <c r="F48" i="32" s="1"/>
  <c r="G46" i="32"/>
  <c r="G48" i="32" s="1"/>
  <c r="H46" i="32"/>
  <c r="H48" i="32" s="1"/>
  <c r="I46" i="32"/>
  <c r="I48" i="32" s="1"/>
  <c r="J47" i="32"/>
  <c r="E57" i="32"/>
  <c r="F57" i="32"/>
  <c r="G57" i="32"/>
  <c r="H57" i="32"/>
  <c r="I57" i="32"/>
  <c r="E67" i="32"/>
  <c r="F67" i="32"/>
  <c r="G67" i="32"/>
  <c r="H67" i="32"/>
  <c r="I67" i="32"/>
  <c r="E72" i="32"/>
  <c r="F72" i="32"/>
  <c r="G72" i="32"/>
  <c r="H72" i="32"/>
  <c r="I72" i="32"/>
  <c r="E82" i="32"/>
  <c r="F82" i="32"/>
  <c r="G82" i="32"/>
  <c r="H82" i="32"/>
  <c r="I82" i="32"/>
  <c r="J84" i="32"/>
  <c r="J85" i="32"/>
  <c r="J86" i="32"/>
  <c r="J87" i="32"/>
  <c r="J88" i="32"/>
  <c r="J89" i="32"/>
  <c r="J90" i="32"/>
  <c r="J91" i="32"/>
  <c r="J92" i="32"/>
  <c r="J93" i="32"/>
  <c r="J94" i="32"/>
  <c r="J95" i="32"/>
  <c r="J96" i="32"/>
  <c r="J97" i="32"/>
  <c r="J98" i="32"/>
  <c r="J99" i="32"/>
  <c r="J100" i="32"/>
  <c r="J101" i="32"/>
  <c r="E102" i="32"/>
  <c r="F102" i="32"/>
  <c r="G102" i="32"/>
  <c r="H102" i="32"/>
  <c r="I102" i="32"/>
  <c r="E114" i="32"/>
  <c r="F114" i="32"/>
  <c r="G114" i="32"/>
  <c r="H114" i="32"/>
  <c r="I114" i="32"/>
  <c r="E124" i="32"/>
  <c r="F124" i="32"/>
  <c r="G124" i="32"/>
  <c r="H124" i="32"/>
  <c r="I124" i="32"/>
  <c r="J123" i="32"/>
  <c r="J122" i="32"/>
  <c r="J118" i="32"/>
  <c r="J117" i="32"/>
  <c r="J113" i="32"/>
  <c r="J112" i="32"/>
  <c r="J111" i="32"/>
  <c r="J110" i="32"/>
  <c r="J109" i="32"/>
  <c r="J108" i="32"/>
  <c r="J81" i="32"/>
  <c r="J80" i="32"/>
  <c r="J79" i="32"/>
  <c r="J78" i="32"/>
  <c r="J77" i="32"/>
  <c r="J76" i="32"/>
  <c r="J75" i="32"/>
  <c r="J71" i="32"/>
  <c r="J70" i="32"/>
  <c r="J69" i="32"/>
  <c r="J66" i="32"/>
  <c r="J65" i="32"/>
  <c r="J64" i="32"/>
  <c r="J63" i="32"/>
  <c r="J62" i="32"/>
  <c r="J61" i="32"/>
  <c r="J60" i="32"/>
  <c r="J56" i="32"/>
  <c r="J55" i="32"/>
  <c r="J54" i="32"/>
  <c r="J53" i="32"/>
  <c r="J52" i="32"/>
  <c r="J51" i="32"/>
  <c r="J50" i="32"/>
  <c r="J45" i="32"/>
  <c r="J44" i="32"/>
  <c r="J43" i="32"/>
  <c r="J42" i="32"/>
  <c r="J41" i="32"/>
  <c r="J20" i="32"/>
  <c r="J21" i="32"/>
  <c r="J22" i="32"/>
  <c r="J23" i="32"/>
  <c r="J24" i="32"/>
  <c r="J25" i="32"/>
  <c r="J26" i="32"/>
  <c r="J27" i="32"/>
  <c r="J30" i="32"/>
  <c r="J29" i="32"/>
  <c r="J28" i="32"/>
  <c r="J15" i="32"/>
  <c r="J14" i="32"/>
  <c r="J13" i="32"/>
  <c r="E5" i="32"/>
  <c r="D4" i="32"/>
  <c r="J3" i="32"/>
  <c r="D3" i="32"/>
  <c r="K2" i="32"/>
  <c r="D2" i="32"/>
  <c r="K1" i="32"/>
  <c r="D1" i="32"/>
  <c r="D147" i="41"/>
  <c r="E147" i="41" s="1"/>
  <c r="A143" i="41"/>
  <c r="J145" i="41" s="1"/>
  <c r="E141" i="41"/>
  <c r="E140" i="41"/>
  <c r="E139" i="41"/>
  <c r="E138" i="41"/>
  <c r="D16" i="41"/>
  <c r="D31" i="41"/>
  <c r="D36" i="41"/>
  <c r="D46" i="41"/>
  <c r="D57" i="41"/>
  <c r="D67" i="41"/>
  <c r="D72" i="41"/>
  <c r="D82" i="41"/>
  <c r="D102" i="41"/>
  <c r="D114" i="41"/>
  <c r="D124" i="41"/>
  <c r="H1" i="41"/>
  <c r="E31" i="41"/>
  <c r="F31" i="41"/>
  <c r="G31" i="41"/>
  <c r="H31" i="41"/>
  <c r="I31" i="41"/>
  <c r="J32" i="41"/>
  <c r="J33" i="41"/>
  <c r="J34" i="41"/>
  <c r="J35" i="41"/>
  <c r="I36" i="41"/>
  <c r="H36" i="41"/>
  <c r="G36" i="41"/>
  <c r="F36" i="41"/>
  <c r="E36" i="41"/>
  <c r="J12" i="41"/>
  <c r="E16" i="41"/>
  <c r="F16" i="41"/>
  <c r="G16" i="41"/>
  <c r="H16" i="41"/>
  <c r="I16" i="41"/>
  <c r="E46" i="41"/>
  <c r="E48" i="41" s="1"/>
  <c r="F46" i="41"/>
  <c r="F48" i="41" s="1"/>
  <c r="G46" i="41"/>
  <c r="G48" i="41" s="1"/>
  <c r="H46" i="41"/>
  <c r="H48" i="41" s="1"/>
  <c r="I46" i="41"/>
  <c r="I48" i="41" s="1"/>
  <c r="J47" i="41"/>
  <c r="E57" i="41"/>
  <c r="F57" i="41"/>
  <c r="G57" i="41"/>
  <c r="H57" i="41"/>
  <c r="I57" i="41"/>
  <c r="E67" i="41"/>
  <c r="F67" i="41"/>
  <c r="G67" i="41"/>
  <c r="H67" i="41"/>
  <c r="I67" i="41"/>
  <c r="E72" i="41"/>
  <c r="F72" i="41"/>
  <c r="G72" i="41"/>
  <c r="H72" i="41"/>
  <c r="I72" i="41"/>
  <c r="E82" i="41"/>
  <c r="F82" i="41"/>
  <c r="G82" i="41"/>
  <c r="H82" i="41"/>
  <c r="I82" i="41"/>
  <c r="J84" i="41"/>
  <c r="J85" i="41"/>
  <c r="J86" i="41"/>
  <c r="J87" i="41"/>
  <c r="J88" i="41"/>
  <c r="J89" i="41"/>
  <c r="J90" i="41"/>
  <c r="J91" i="41"/>
  <c r="J92" i="41"/>
  <c r="J93" i="41"/>
  <c r="J94" i="41"/>
  <c r="J95" i="41"/>
  <c r="J96" i="41"/>
  <c r="J97" i="41"/>
  <c r="J98" i="41"/>
  <c r="J99" i="41"/>
  <c r="J100" i="41"/>
  <c r="J101" i="41"/>
  <c r="E102" i="41"/>
  <c r="F102" i="41"/>
  <c r="G102" i="41"/>
  <c r="H102" i="41"/>
  <c r="I102" i="41"/>
  <c r="E114" i="41"/>
  <c r="F114" i="41"/>
  <c r="G114" i="41"/>
  <c r="H114" i="41"/>
  <c r="I114" i="41"/>
  <c r="E124" i="41"/>
  <c r="F124" i="41"/>
  <c r="G124" i="41"/>
  <c r="H124" i="41"/>
  <c r="I124" i="41"/>
  <c r="J123" i="41"/>
  <c r="J122" i="41"/>
  <c r="J121" i="41"/>
  <c r="J118" i="41"/>
  <c r="J117" i="41"/>
  <c r="J113" i="41"/>
  <c r="J112" i="41"/>
  <c r="J111" i="41"/>
  <c r="J110" i="41"/>
  <c r="J109" i="41"/>
  <c r="J108" i="41"/>
  <c r="J81" i="41"/>
  <c r="J80" i="41"/>
  <c r="J79" i="41"/>
  <c r="J78" i="41"/>
  <c r="J77" i="41"/>
  <c r="J76" i="41"/>
  <c r="J75" i="41"/>
  <c r="J71" i="41"/>
  <c r="J70" i="41"/>
  <c r="J69" i="41"/>
  <c r="J66" i="41"/>
  <c r="J65" i="41"/>
  <c r="J64" i="41"/>
  <c r="J63" i="41"/>
  <c r="J62" i="41"/>
  <c r="J61" i="41"/>
  <c r="J60" i="41"/>
  <c r="J56" i="41"/>
  <c r="J55" i="41"/>
  <c r="J54" i="41"/>
  <c r="J53" i="41"/>
  <c r="J52" i="41"/>
  <c r="J51" i="41"/>
  <c r="J50" i="41"/>
  <c r="J45" i="41"/>
  <c r="J44" i="41"/>
  <c r="J43" i="41"/>
  <c r="J42" i="41"/>
  <c r="J41" i="41"/>
  <c r="J20" i="41"/>
  <c r="J21" i="41"/>
  <c r="J22" i="41"/>
  <c r="J23" i="41"/>
  <c r="J24" i="41"/>
  <c r="J25" i="41"/>
  <c r="J26" i="41"/>
  <c r="J27" i="41"/>
  <c r="J30" i="41"/>
  <c r="J29" i="41"/>
  <c r="J28" i="41"/>
  <c r="J15" i="41"/>
  <c r="J14" i="41"/>
  <c r="J13" i="41"/>
  <c r="E5" i="41"/>
  <c r="D4" i="41"/>
  <c r="J3" i="41"/>
  <c r="D3" i="41"/>
  <c r="K2" i="41"/>
  <c r="D2" i="41"/>
  <c r="K1" i="41"/>
  <c r="D1" i="41"/>
  <c r="BT412" i="24"/>
  <c r="BR412" i="24"/>
  <c r="AF412" i="24"/>
  <c r="L412" i="24"/>
  <c r="AA412" i="24"/>
  <c r="Y412" i="24"/>
  <c r="Z412" i="24" s="1"/>
  <c r="V412" i="24"/>
  <c r="R412" i="24"/>
  <c r="A14" i="24"/>
  <c r="A15" i="24" s="1"/>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58" i="24" s="1"/>
  <c r="A59" i="24" s="1"/>
  <c r="A60" i="24" s="1"/>
  <c r="A61" i="24" s="1"/>
  <c r="A62" i="24" s="1"/>
  <c r="A63" i="24" s="1"/>
  <c r="A64" i="24" s="1"/>
  <c r="A65" i="24" s="1"/>
  <c r="A66" i="24" s="1"/>
  <c r="A67" i="24" s="1"/>
  <c r="A68" i="24" s="1"/>
  <c r="A69" i="24" s="1"/>
  <c r="A70" i="24" s="1"/>
  <c r="A71" i="24" s="1"/>
  <c r="A72" i="24" s="1"/>
  <c r="A73" i="24" s="1"/>
  <c r="A74" i="24" s="1"/>
  <c r="A75" i="24" s="1"/>
  <c r="A76" i="24" s="1"/>
  <c r="A77" i="24" s="1"/>
  <c r="A78" i="24" s="1"/>
  <c r="A79" i="24" s="1"/>
  <c r="A80" i="24" s="1"/>
  <c r="A81" i="24" s="1"/>
  <c r="A82" i="24" s="1"/>
  <c r="A83" i="24" s="1"/>
  <c r="A84" i="24" s="1"/>
  <c r="A85" i="24" s="1"/>
  <c r="A86" i="24" s="1"/>
  <c r="A87" i="24" s="1"/>
  <c r="A88" i="24" s="1"/>
  <c r="A89" i="24" s="1"/>
  <c r="A90" i="24" s="1"/>
  <c r="A91" i="24" s="1"/>
  <c r="A92" i="24" s="1"/>
  <c r="A93" i="24" s="1"/>
  <c r="A94" i="24" s="1"/>
  <c r="A95" i="24" s="1"/>
  <c r="A96" i="24" s="1"/>
  <c r="A97" i="24" s="1"/>
  <c r="A98" i="24" s="1"/>
  <c r="A99" i="24" s="1"/>
  <c r="A100" i="24" s="1"/>
  <c r="A101" i="24" s="1"/>
  <c r="A102" i="24" s="1"/>
  <c r="A103" i="24" s="1"/>
  <c r="A104" i="24" s="1"/>
  <c r="A105" i="24" s="1"/>
  <c r="A106" i="24" s="1"/>
  <c r="A107" i="24" s="1"/>
  <c r="A108" i="24" s="1"/>
  <c r="A109" i="24" s="1"/>
  <c r="A110" i="24" s="1"/>
  <c r="A111" i="24" s="1"/>
  <c r="A112" i="24" s="1"/>
  <c r="A113" i="24" s="1"/>
  <c r="A114" i="24" s="1"/>
  <c r="A115" i="24" s="1"/>
  <c r="A116" i="24" s="1"/>
  <c r="A117" i="24" s="1"/>
  <c r="A118" i="24" s="1"/>
  <c r="A119" i="24" s="1"/>
  <c r="A120" i="24" s="1"/>
  <c r="A121" i="24" s="1"/>
  <c r="A122" i="24" s="1"/>
  <c r="A123" i="24" s="1"/>
  <c r="A124" i="24" s="1"/>
  <c r="A125" i="24" s="1"/>
  <c r="A126" i="24" s="1"/>
  <c r="A127" i="24" s="1"/>
  <c r="A128" i="24" s="1"/>
  <c r="A129" i="24" s="1"/>
  <c r="A130" i="24" s="1"/>
  <c r="A131" i="24" s="1"/>
  <c r="A132" i="24" s="1"/>
  <c r="A133" i="24" s="1"/>
  <c r="A134" i="24" s="1"/>
  <c r="A135" i="24" s="1"/>
  <c r="A136" i="24" s="1"/>
  <c r="A137" i="24" s="1"/>
  <c r="A138" i="24" s="1"/>
  <c r="A139" i="24" s="1"/>
  <c r="A140" i="24" s="1"/>
  <c r="A141" i="24" s="1"/>
  <c r="A142" i="24" s="1"/>
  <c r="A143" i="24" s="1"/>
  <c r="A144" i="24" s="1"/>
  <c r="A145" i="24" s="1"/>
  <c r="A146" i="24" s="1"/>
  <c r="A147" i="24" s="1"/>
  <c r="A148" i="24" s="1"/>
  <c r="A149" i="24" s="1"/>
  <c r="A150" i="24" s="1"/>
  <c r="A151" i="24" s="1"/>
  <c r="A152" i="24" s="1"/>
  <c r="A153" i="24" s="1"/>
  <c r="A154" i="24" s="1"/>
  <c r="A155" i="24" s="1"/>
  <c r="A156" i="24" s="1"/>
  <c r="A157" i="24" s="1"/>
  <c r="A158" i="24" s="1"/>
  <c r="A159" i="24" s="1"/>
  <c r="A160" i="24" s="1"/>
  <c r="A161" i="24" s="1"/>
  <c r="A162" i="24" s="1"/>
  <c r="A163" i="24" s="1"/>
  <c r="A164" i="24" s="1"/>
  <c r="A165" i="24" s="1"/>
  <c r="A166" i="24" s="1"/>
  <c r="A167" i="24" s="1"/>
  <c r="A168" i="24" s="1"/>
  <c r="A169" i="24" s="1"/>
  <c r="A170" i="24" s="1"/>
  <c r="A171" i="24" s="1"/>
  <c r="A172" i="24" s="1"/>
  <c r="A173" i="24" s="1"/>
  <c r="A174" i="24" s="1"/>
  <c r="A175" i="24" s="1"/>
  <c r="A176" i="24" s="1"/>
  <c r="A177" i="24" s="1"/>
  <c r="A178" i="24" s="1"/>
  <c r="A179" i="24" s="1"/>
  <c r="A180" i="24" s="1"/>
  <c r="A181" i="24" s="1"/>
  <c r="A182" i="24" s="1"/>
  <c r="A183" i="24" s="1"/>
  <c r="A184" i="24" s="1"/>
  <c r="A185" i="24" s="1"/>
  <c r="A186" i="24" s="1"/>
  <c r="A187" i="24" s="1"/>
  <c r="A188" i="24" s="1"/>
  <c r="A189" i="24" s="1"/>
  <c r="A190" i="24" s="1"/>
  <c r="A191" i="24" s="1"/>
  <c r="A192" i="24" s="1"/>
  <c r="A193" i="24" s="1"/>
  <c r="A194" i="24" s="1"/>
  <c r="A195" i="24" s="1"/>
  <c r="A196" i="24" s="1"/>
  <c r="A197" i="24" s="1"/>
  <c r="A198" i="24" s="1"/>
  <c r="A199" i="24" s="1"/>
  <c r="A200" i="24" s="1"/>
  <c r="A201" i="24" s="1"/>
  <c r="A202" i="24" s="1"/>
  <c r="A203" i="24" s="1"/>
  <c r="A204" i="24" s="1"/>
  <c r="A205" i="24" s="1"/>
  <c r="A206" i="24" s="1"/>
  <c r="A207" i="24" s="1"/>
  <c r="A208" i="24" s="1"/>
  <c r="A209" i="24" s="1"/>
  <c r="A210" i="24" s="1"/>
  <c r="A211" i="24" s="1"/>
  <c r="A212" i="24" s="1"/>
  <c r="A213" i="24" s="1"/>
  <c r="A214" i="24" s="1"/>
  <c r="A215" i="24" s="1"/>
  <c r="A216" i="24" s="1"/>
  <c r="A217" i="24" s="1"/>
  <c r="A218" i="24" s="1"/>
  <c r="A219" i="24" s="1"/>
  <c r="A220" i="24" s="1"/>
  <c r="A221" i="24" s="1"/>
  <c r="A222" i="24" s="1"/>
  <c r="A223" i="24" s="1"/>
  <c r="A224" i="24" s="1"/>
  <c r="A225" i="24" s="1"/>
  <c r="A226" i="24" s="1"/>
  <c r="A227" i="24" s="1"/>
  <c r="A228" i="24" s="1"/>
  <c r="A229" i="24" s="1"/>
  <c r="A230" i="24" s="1"/>
  <c r="A231" i="24" s="1"/>
  <c r="A232" i="24" s="1"/>
  <c r="A233" i="24" s="1"/>
  <c r="A234" i="24" s="1"/>
  <c r="A235" i="24" s="1"/>
  <c r="A236" i="24" s="1"/>
  <c r="A237" i="24" s="1"/>
  <c r="A238" i="24" s="1"/>
  <c r="A239" i="24" s="1"/>
  <c r="A240" i="24" s="1"/>
  <c r="A241" i="24" s="1"/>
  <c r="A242" i="24" s="1"/>
  <c r="A243" i="24" s="1"/>
  <c r="A244" i="24" s="1"/>
  <c r="A245" i="24" s="1"/>
  <c r="A246" i="24" s="1"/>
  <c r="A247" i="24" s="1"/>
  <c r="A248" i="24" s="1"/>
  <c r="A249" i="24" s="1"/>
  <c r="A250" i="24" s="1"/>
  <c r="A251" i="24" s="1"/>
  <c r="A252" i="24" s="1"/>
  <c r="A253" i="24" s="1"/>
  <c r="A254" i="24" s="1"/>
  <c r="A255" i="24" s="1"/>
  <c r="A256" i="24" s="1"/>
  <c r="A257" i="24" s="1"/>
  <c r="A258" i="24" s="1"/>
  <c r="A259" i="24" s="1"/>
  <c r="A260" i="24" s="1"/>
  <c r="A261" i="24" s="1"/>
  <c r="A262" i="24" s="1"/>
  <c r="A263" i="24" s="1"/>
  <c r="A264" i="24" s="1"/>
  <c r="A265" i="24" s="1"/>
  <c r="A266" i="24" s="1"/>
  <c r="A267" i="24" s="1"/>
  <c r="A268" i="24" s="1"/>
  <c r="A269" i="24" s="1"/>
  <c r="A270" i="24" s="1"/>
  <c r="A271" i="24" s="1"/>
  <c r="A272" i="24" s="1"/>
  <c r="A273" i="24" s="1"/>
  <c r="A274" i="24" s="1"/>
  <c r="A275" i="24" s="1"/>
  <c r="A276" i="24" s="1"/>
  <c r="A277" i="24" s="1"/>
  <c r="A278" i="24" s="1"/>
  <c r="A279" i="24" s="1"/>
  <c r="A280" i="24" s="1"/>
  <c r="A281" i="24" s="1"/>
  <c r="A282" i="24" s="1"/>
  <c r="A283" i="24" s="1"/>
  <c r="A284" i="24" s="1"/>
  <c r="A285" i="24" s="1"/>
  <c r="A286" i="24" s="1"/>
  <c r="A287" i="24" s="1"/>
  <c r="A288" i="24" s="1"/>
  <c r="A289" i="24" s="1"/>
  <c r="A290" i="24" s="1"/>
  <c r="A291" i="24" s="1"/>
  <c r="A292" i="24" s="1"/>
  <c r="A293" i="24" s="1"/>
  <c r="A294" i="24" s="1"/>
  <c r="A295" i="24" s="1"/>
  <c r="A296" i="24" s="1"/>
  <c r="A297" i="24" s="1"/>
  <c r="A298" i="24" s="1"/>
  <c r="A299" i="24" s="1"/>
  <c r="A300" i="24" s="1"/>
  <c r="A301" i="24" s="1"/>
  <c r="A302" i="24" s="1"/>
  <c r="A303" i="24" s="1"/>
  <c r="A304" i="24" s="1"/>
  <c r="A305" i="24" s="1"/>
  <c r="A306" i="24" s="1"/>
  <c r="A307" i="24" s="1"/>
  <c r="A308" i="24" s="1"/>
  <c r="A309" i="24" s="1"/>
  <c r="A310" i="24" s="1"/>
  <c r="A311" i="24" s="1"/>
  <c r="A312" i="24" s="1"/>
  <c r="A313" i="24" s="1"/>
  <c r="A314" i="24" s="1"/>
  <c r="A315" i="24" s="1"/>
  <c r="A316" i="24" s="1"/>
  <c r="A317" i="24" s="1"/>
  <c r="A318" i="24" s="1"/>
  <c r="A319" i="24" s="1"/>
  <c r="A320" i="24" s="1"/>
  <c r="A321" i="24" s="1"/>
  <c r="A322" i="24" s="1"/>
  <c r="A323" i="24" s="1"/>
  <c r="A324" i="24" s="1"/>
  <c r="A325" i="24" s="1"/>
  <c r="A326" i="24" s="1"/>
  <c r="A327" i="24" s="1"/>
  <c r="A328" i="24" s="1"/>
  <c r="A329" i="24" s="1"/>
  <c r="A330" i="24" s="1"/>
  <c r="A331" i="24" s="1"/>
  <c r="A332" i="24" s="1"/>
  <c r="A333" i="24" s="1"/>
  <c r="A334" i="24" s="1"/>
  <c r="A335" i="24" s="1"/>
  <c r="A336" i="24" s="1"/>
  <c r="A337" i="24" s="1"/>
  <c r="A338" i="24" s="1"/>
  <c r="A339" i="24" s="1"/>
  <c r="A340" i="24" s="1"/>
  <c r="A341" i="24" s="1"/>
  <c r="A342" i="24" s="1"/>
  <c r="A343" i="24" s="1"/>
  <c r="A344" i="24" s="1"/>
  <c r="A345" i="24" s="1"/>
  <c r="A346" i="24" s="1"/>
  <c r="A347" i="24" s="1"/>
  <c r="A348" i="24" s="1"/>
  <c r="A349" i="24" s="1"/>
  <c r="A350" i="24" s="1"/>
  <c r="A351" i="24" s="1"/>
  <c r="A352" i="24" s="1"/>
  <c r="A353" i="24" s="1"/>
  <c r="A354" i="24" s="1"/>
  <c r="A355" i="24" s="1"/>
  <c r="A356" i="24" s="1"/>
  <c r="A357" i="24" s="1"/>
  <c r="A358" i="24" s="1"/>
  <c r="A359" i="24" s="1"/>
  <c r="A360" i="24" s="1"/>
  <c r="A361" i="24" s="1"/>
  <c r="A362" i="24" s="1"/>
  <c r="A363" i="24" s="1"/>
  <c r="A364" i="24" s="1"/>
  <c r="A365" i="24" s="1"/>
  <c r="A366" i="24" s="1"/>
  <c r="A367" i="24" s="1"/>
  <c r="A368" i="24" s="1"/>
  <c r="A369" i="24" s="1"/>
  <c r="A370" i="24" s="1"/>
  <c r="A371" i="24" s="1"/>
  <c r="A372" i="24" s="1"/>
  <c r="A373" i="24" s="1"/>
  <c r="A374" i="24" s="1"/>
  <c r="A375" i="24" s="1"/>
  <c r="A376" i="24" s="1"/>
  <c r="A377" i="24" s="1"/>
  <c r="A378" i="24" s="1"/>
  <c r="A379" i="24" s="1"/>
  <c r="A380" i="24" s="1"/>
  <c r="A381" i="24" s="1"/>
  <c r="A382" i="24" s="1"/>
  <c r="A383" i="24" s="1"/>
  <c r="A384" i="24" s="1"/>
  <c r="A385" i="24" s="1"/>
  <c r="A386" i="24" s="1"/>
  <c r="A387" i="24" s="1"/>
  <c r="A388" i="24" s="1"/>
  <c r="A389" i="24" s="1"/>
  <c r="A390" i="24" s="1"/>
  <c r="A391" i="24" s="1"/>
  <c r="A392" i="24" s="1"/>
  <c r="A393" i="24" s="1"/>
  <c r="A394" i="24" s="1"/>
  <c r="A395" i="24" s="1"/>
  <c r="A396" i="24" s="1"/>
  <c r="A397" i="24" s="1"/>
  <c r="A398" i="24" s="1"/>
  <c r="A399" i="24" s="1"/>
  <c r="A400" i="24" s="1"/>
  <c r="A401" i="24" s="1"/>
  <c r="A402" i="24" s="1"/>
  <c r="A403" i="24" s="1"/>
  <c r="A404" i="24" s="1"/>
  <c r="A405" i="24" s="1"/>
  <c r="A406" i="24" s="1"/>
  <c r="A407" i="24" s="1"/>
  <c r="A408" i="24" s="1"/>
  <c r="A409" i="24" s="1"/>
  <c r="A410" i="24" s="1"/>
  <c r="A411" i="24" s="1"/>
  <c r="A412" i="24" s="1"/>
  <c r="BT411" i="24"/>
  <c r="BR411" i="24"/>
  <c r="AF411" i="24"/>
  <c r="L411" i="24"/>
  <c r="AA411" i="24"/>
  <c r="Y411" i="24"/>
  <c r="Z411" i="24" s="1"/>
  <c r="V411" i="24"/>
  <c r="R411" i="24"/>
  <c r="BT410" i="24"/>
  <c r="BR410" i="24"/>
  <c r="AF410" i="24"/>
  <c r="L410" i="24"/>
  <c r="N410" i="24" s="1"/>
  <c r="AA410" i="24"/>
  <c r="Y410" i="24"/>
  <c r="Z410" i="24" s="1"/>
  <c r="V410" i="24"/>
  <c r="R410" i="24"/>
  <c r="BT409" i="24"/>
  <c r="BR409" i="24"/>
  <c r="AF409" i="24"/>
  <c r="L409" i="24"/>
  <c r="N409" i="24" s="1"/>
  <c r="AA409" i="24"/>
  <c r="Y409" i="24"/>
  <c r="Z409" i="24" s="1"/>
  <c r="V409" i="24"/>
  <c r="R409" i="24"/>
  <c r="BT408" i="24"/>
  <c r="BR408" i="24"/>
  <c r="AF408" i="24"/>
  <c r="L408" i="24"/>
  <c r="N408" i="24" s="1"/>
  <c r="AA408" i="24"/>
  <c r="Y408" i="24"/>
  <c r="Z408" i="24" s="1"/>
  <c r="V408" i="24"/>
  <c r="R408" i="24"/>
  <c r="BT407" i="24"/>
  <c r="BR407" i="24"/>
  <c r="AF407" i="24"/>
  <c r="L407" i="24"/>
  <c r="AA407" i="24"/>
  <c r="Y407" i="24"/>
  <c r="Z407" i="24" s="1"/>
  <c r="V407" i="24"/>
  <c r="R407" i="24"/>
  <c r="BT406" i="24"/>
  <c r="BR406" i="24"/>
  <c r="AF406" i="24"/>
  <c r="L406" i="24"/>
  <c r="N406" i="24" s="1"/>
  <c r="AA406" i="24"/>
  <c r="Y406" i="24"/>
  <c r="Z406" i="24" s="1"/>
  <c r="V406" i="24"/>
  <c r="R406" i="24"/>
  <c r="BT405" i="24"/>
  <c r="BR405" i="24"/>
  <c r="AF405" i="24"/>
  <c r="L405" i="24"/>
  <c r="N405" i="24" s="1"/>
  <c r="AA405" i="24"/>
  <c r="Y405" i="24"/>
  <c r="Z405" i="24" s="1"/>
  <c r="V405" i="24"/>
  <c r="R405" i="24"/>
  <c r="BT404" i="24"/>
  <c r="BR404" i="24"/>
  <c r="AF404" i="24"/>
  <c r="L404" i="24"/>
  <c r="N404" i="24" s="1"/>
  <c r="AA404" i="24"/>
  <c r="Y404" i="24"/>
  <c r="Z404" i="24" s="1"/>
  <c r="V404" i="24"/>
  <c r="R404" i="24"/>
  <c r="BT403" i="24"/>
  <c r="BR403" i="24"/>
  <c r="AF403" i="24"/>
  <c r="L403" i="24"/>
  <c r="N403" i="24" s="1"/>
  <c r="AA403" i="24"/>
  <c r="Y403" i="24"/>
  <c r="Z403" i="24" s="1"/>
  <c r="V403" i="24"/>
  <c r="R403" i="24"/>
  <c r="BT402" i="24"/>
  <c r="BR402" i="24"/>
  <c r="AF402" i="24"/>
  <c r="L402" i="24"/>
  <c r="N402" i="24" s="1"/>
  <c r="AA402" i="24"/>
  <c r="Y402" i="24"/>
  <c r="Z402" i="24" s="1"/>
  <c r="V402" i="24"/>
  <c r="R402" i="24"/>
  <c r="BT401" i="24"/>
  <c r="BR401" i="24"/>
  <c r="AF401" i="24"/>
  <c r="L401" i="24"/>
  <c r="N401" i="24" s="1"/>
  <c r="AA401" i="24"/>
  <c r="Y401" i="24"/>
  <c r="Z401" i="24" s="1"/>
  <c r="V401" i="24"/>
  <c r="R401" i="24"/>
  <c r="BT400" i="24"/>
  <c r="BR400" i="24"/>
  <c r="AF400" i="24"/>
  <c r="L400" i="24"/>
  <c r="N400" i="24" s="1"/>
  <c r="AA400" i="24"/>
  <c r="Y400" i="24"/>
  <c r="Z400" i="24" s="1"/>
  <c r="V400" i="24"/>
  <c r="R400" i="24"/>
  <c r="BT399" i="24"/>
  <c r="BR399" i="24"/>
  <c r="AF399" i="24"/>
  <c r="L399" i="24"/>
  <c r="N399" i="24" s="1"/>
  <c r="AA399" i="24"/>
  <c r="Y399" i="24"/>
  <c r="Z399" i="24" s="1"/>
  <c r="V399" i="24"/>
  <c r="R399" i="24"/>
  <c r="BT398" i="24"/>
  <c r="BR398" i="24"/>
  <c r="AF398" i="24"/>
  <c r="L398" i="24"/>
  <c r="N398" i="24" s="1"/>
  <c r="AA398" i="24"/>
  <c r="Y398" i="24"/>
  <c r="Z398" i="24" s="1"/>
  <c r="V398" i="24"/>
  <c r="R398" i="24"/>
  <c r="BT397" i="24"/>
  <c r="BR397" i="24"/>
  <c r="AF397" i="24"/>
  <c r="L397" i="24"/>
  <c r="N397" i="24" s="1"/>
  <c r="AA397" i="24"/>
  <c r="Y397" i="24"/>
  <c r="Z397" i="24" s="1"/>
  <c r="V397" i="24"/>
  <c r="R397" i="24"/>
  <c r="BT396" i="24"/>
  <c r="BR396" i="24"/>
  <c r="AF396" i="24"/>
  <c r="L396" i="24"/>
  <c r="N396" i="24" s="1"/>
  <c r="AA396" i="24"/>
  <c r="Y396" i="24"/>
  <c r="Z396" i="24" s="1"/>
  <c r="V396" i="24"/>
  <c r="R396" i="24"/>
  <c r="BT395" i="24"/>
  <c r="BR395" i="24"/>
  <c r="AF395" i="24"/>
  <c r="L395" i="24"/>
  <c r="N395" i="24" s="1"/>
  <c r="AA395" i="24"/>
  <c r="Y395" i="24"/>
  <c r="Z395" i="24" s="1"/>
  <c r="V395" i="24"/>
  <c r="R395" i="24"/>
  <c r="BT394" i="24"/>
  <c r="BR394" i="24"/>
  <c r="AF394" i="24"/>
  <c r="L394" i="24"/>
  <c r="N394" i="24" s="1"/>
  <c r="AA394" i="24"/>
  <c r="Y394" i="24"/>
  <c r="Z394" i="24" s="1"/>
  <c r="V394" i="24"/>
  <c r="R394" i="24"/>
  <c r="BT393" i="24"/>
  <c r="BR393" i="24"/>
  <c r="AF393" i="24"/>
  <c r="L393" i="24"/>
  <c r="N393" i="24" s="1"/>
  <c r="AA393" i="24"/>
  <c r="Y393" i="24"/>
  <c r="Z393" i="24" s="1"/>
  <c r="V393" i="24"/>
  <c r="R393" i="24"/>
  <c r="BT392" i="24"/>
  <c r="BR392" i="24"/>
  <c r="AF392" i="24"/>
  <c r="L392" i="24"/>
  <c r="N392" i="24" s="1"/>
  <c r="AA392" i="24"/>
  <c r="Y392" i="24"/>
  <c r="Z392" i="24" s="1"/>
  <c r="V392" i="24"/>
  <c r="R392" i="24"/>
  <c r="BT391" i="24"/>
  <c r="BR391" i="24"/>
  <c r="AF391" i="24"/>
  <c r="L391" i="24"/>
  <c r="N391" i="24" s="1"/>
  <c r="AA391" i="24"/>
  <c r="Y391" i="24"/>
  <c r="Z391" i="24" s="1"/>
  <c r="V391" i="24"/>
  <c r="R391" i="24"/>
  <c r="BT390" i="24"/>
  <c r="BR390" i="24"/>
  <c r="AF390" i="24"/>
  <c r="L390" i="24"/>
  <c r="N390" i="24" s="1"/>
  <c r="AA390" i="24"/>
  <c r="Y390" i="24"/>
  <c r="Z390" i="24" s="1"/>
  <c r="V390" i="24"/>
  <c r="R390" i="24"/>
  <c r="BT389" i="24"/>
  <c r="BR389" i="24"/>
  <c r="AF389" i="24"/>
  <c r="L389" i="24"/>
  <c r="N389" i="24" s="1"/>
  <c r="AA389" i="24"/>
  <c r="Y389" i="24"/>
  <c r="Z389" i="24" s="1"/>
  <c r="V389" i="24"/>
  <c r="R389" i="24"/>
  <c r="I389" i="24"/>
  <c r="BT388" i="24"/>
  <c r="BR388" i="24"/>
  <c r="AF388" i="24"/>
  <c r="L388" i="24"/>
  <c r="N388" i="24" s="1"/>
  <c r="AA388" i="24"/>
  <c r="Y388" i="24"/>
  <c r="Z388" i="24" s="1"/>
  <c r="V388" i="24"/>
  <c r="R388" i="24"/>
  <c r="BT387" i="24"/>
  <c r="BR387" i="24"/>
  <c r="AF387" i="24"/>
  <c r="L387" i="24"/>
  <c r="N387" i="24" s="1"/>
  <c r="AA387" i="24"/>
  <c r="Y387" i="24"/>
  <c r="Z387" i="24" s="1"/>
  <c r="V387" i="24"/>
  <c r="R387" i="24"/>
  <c r="BT386" i="24"/>
  <c r="BR386" i="24"/>
  <c r="AF386" i="24"/>
  <c r="L386" i="24"/>
  <c r="AA386" i="24"/>
  <c r="Y386" i="24"/>
  <c r="Z386" i="24" s="1"/>
  <c r="V386" i="24"/>
  <c r="R386" i="24"/>
  <c r="BT385" i="24"/>
  <c r="BR385" i="24"/>
  <c r="AF385" i="24"/>
  <c r="L385" i="24"/>
  <c r="N385" i="24" s="1"/>
  <c r="AA385" i="24"/>
  <c r="Y385" i="24"/>
  <c r="Z385" i="24" s="1"/>
  <c r="V385" i="24"/>
  <c r="R385" i="24"/>
  <c r="I385" i="24"/>
  <c r="BT384" i="24"/>
  <c r="BR384" i="24"/>
  <c r="AF384" i="24"/>
  <c r="L384" i="24"/>
  <c r="N384" i="24" s="1"/>
  <c r="AA384" i="24"/>
  <c r="Y384" i="24"/>
  <c r="Z384" i="24" s="1"/>
  <c r="V384" i="24"/>
  <c r="R384" i="24"/>
  <c r="BT383" i="24"/>
  <c r="BR383" i="24"/>
  <c r="AF383" i="24"/>
  <c r="L383" i="24"/>
  <c r="AA383" i="24"/>
  <c r="Y383" i="24"/>
  <c r="Z383" i="24" s="1"/>
  <c r="V383" i="24"/>
  <c r="R383" i="24"/>
  <c r="I383" i="24"/>
  <c r="BT382" i="24"/>
  <c r="BR382" i="24"/>
  <c r="AF382" i="24"/>
  <c r="L382" i="24"/>
  <c r="N382" i="24" s="1"/>
  <c r="AA382" i="24"/>
  <c r="Y382" i="24"/>
  <c r="Z382" i="24" s="1"/>
  <c r="V382" i="24"/>
  <c r="R382" i="24"/>
  <c r="BT381" i="24"/>
  <c r="BR381" i="24"/>
  <c r="AF381" i="24"/>
  <c r="L381" i="24"/>
  <c r="N381" i="24" s="1"/>
  <c r="AA381" i="24"/>
  <c r="Y381" i="24"/>
  <c r="Z381" i="24" s="1"/>
  <c r="V381" i="24"/>
  <c r="R381" i="24"/>
  <c r="BT380" i="24"/>
  <c r="BR380" i="24"/>
  <c r="AF380" i="24"/>
  <c r="L380" i="24"/>
  <c r="N380" i="24" s="1"/>
  <c r="AA380" i="24"/>
  <c r="Y380" i="24"/>
  <c r="Z380" i="24" s="1"/>
  <c r="V380" i="24"/>
  <c r="R380" i="24"/>
  <c r="BT379" i="24"/>
  <c r="BR379" i="24"/>
  <c r="AF379" i="24"/>
  <c r="L379" i="24"/>
  <c r="N379" i="24" s="1"/>
  <c r="AA379" i="24"/>
  <c r="Y379" i="24"/>
  <c r="Z379" i="24" s="1"/>
  <c r="V379" i="24"/>
  <c r="R379" i="24"/>
  <c r="BT378" i="24"/>
  <c r="BR378" i="24"/>
  <c r="AF378" i="24"/>
  <c r="L378" i="24"/>
  <c r="N378" i="24" s="1"/>
  <c r="AA378" i="24"/>
  <c r="Y378" i="24"/>
  <c r="Z378" i="24" s="1"/>
  <c r="V378" i="24"/>
  <c r="R378" i="24"/>
  <c r="BT377" i="24"/>
  <c r="BR377" i="24"/>
  <c r="AF377" i="24"/>
  <c r="L377" i="24"/>
  <c r="N377" i="24" s="1"/>
  <c r="AA377" i="24"/>
  <c r="Y377" i="24"/>
  <c r="Z377" i="24" s="1"/>
  <c r="V377" i="24"/>
  <c r="R377" i="24"/>
  <c r="BT376" i="24"/>
  <c r="BR376" i="24"/>
  <c r="AF376" i="24"/>
  <c r="L376" i="24"/>
  <c r="N376" i="24" s="1"/>
  <c r="AA376" i="24"/>
  <c r="Y376" i="24"/>
  <c r="Z376" i="24" s="1"/>
  <c r="V376" i="24"/>
  <c r="R376" i="24"/>
  <c r="BT375" i="24"/>
  <c r="BR375" i="24"/>
  <c r="AF375" i="24"/>
  <c r="L375" i="24"/>
  <c r="N375" i="24" s="1"/>
  <c r="AA375" i="24"/>
  <c r="Y375" i="24"/>
  <c r="Z375" i="24" s="1"/>
  <c r="V375" i="24"/>
  <c r="R375" i="24"/>
  <c r="BT374" i="24"/>
  <c r="BR374" i="24"/>
  <c r="AF374" i="24"/>
  <c r="L374" i="24"/>
  <c r="N374" i="24" s="1"/>
  <c r="AA374" i="24"/>
  <c r="Y374" i="24"/>
  <c r="Z374" i="24" s="1"/>
  <c r="V374" i="24"/>
  <c r="R374" i="24"/>
  <c r="I374" i="24"/>
  <c r="BT373" i="24"/>
  <c r="BR373" i="24"/>
  <c r="AF373" i="24"/>
  <c r="L373" i="24"/>
  <c r="N373" i="24" s="1"/>
  <c r="AA373" i="24"/>
  <c r="Y373" i="24"/>
  <c r="Z373" i="24" s="1"/>
  <c r="V373" i="24"/>
  <c r="R373" i="24"/>
  <c r="BT372" i="24"/>
  <c r="BR372" i="24"/>
  <c r="AF372" i="24"/>
  <c r="L372" i="24"/>
  <c r="N372" i="24" s="1"/>
  <c r="AA372" i="24"/>
  <c r="Y372" i="24"/>
  <c r="Z372" i="24" s="1"/>
  <c r="V372" i="24"/>
  <c r="R372" i="24"/>
  <c r="BT371" i="24"/>
  <c r="BR371" i="24"/>
  <c r="AF371" i="24"/>
  <c r="L371" i="24"/>
  <c r="N371" i="24" s="1"/>
  <c r="AA371" i="24"/>
  <c r="Y371" i="24"/>
  <c r="Z371" i="24" s="1"/>
  <c r="V371" i="24"/>
  <c r="R371" i="24"/>
  <c r="BT370" i="24"/>
  <c r="BR370" i="24"/>
  <c r="AF370" i="24"/>
  <c r="L370" i="24"/>
  <c r="N370" i="24" s="1"/>
  <c r="AA370" i="24"/>
  <c r="Y370" i="24"/>
  <c r="Z370" i="24" s="1"/>
  <c r="V370" i="24"/>
  <c r="R370" i="24"/>
  <c r="BT369" i="24"/>
  <c r="BR369" i="24"/>
  <c r="AF369" i="24"/>
  <c r="L369" i="24"/>
  <c r="AA369" i="24"/>
  <c r="Y369" i="24"/>
  <c r="Z369" i="24" s="1"/>
  <c r="V369" i="24"/>
  <c r="R369" i="24"/>
  <c r="BT368" i="24"/>
  <c r="BR368" i="24"/>
  <c r="AF368" i="24"/>
  <c r="L368" i="24"/>
  <c r="N368" i="24" s="1"/>
  <c r="AA368" i="24"/>
  <c r="Y368" i="24"/>
  <c r="Z368" i="24" s="1"/>
  <c r="V368" i="24"/>
  <c r="R368" i="24"/>
  <c r="BT367" i="24"/>
  <c r="BR367" i="24"/>
  <c r="AF367" i="24"/>
  <c r="L367" i="24"/>
  <c r="N367" i="24" s="1"/>
  <c r="AA367" i="24"/>
  <c r="Y367" i="24"/>
  <c r="Z367" i="24" s="1"/>
  <c r="V367" i="24"/>
  <c r="R367" i="24"/>
  <c r="BT366" i="24"/>
  <c r="BR366" i="24"/>
  <c r="AF366" i="24"/>
  <c r="L366" i="24"/>
  <c r="N366" i="24" s="1"/>
  <c r="AA366" i="24"/>
  <c r="Y366" i="24"/>
  <c r="Z366" i="24" s="1"/>
  <c r="V366" i="24"/>
  <c r="R366" i="24"/>
  <c r="BT365" i="24"/>
  <c r="BR365" i="24"/>
  <c r="AF365" i="24"/>
  <c r="L365" i="24"/>
  <c r="AA365" i="24"/>
  <c r="Y365" i="24"/>
  <c r="Z365" i="24" s="1"/>
  <c r="V365" i="24"/>
  <c r="R365" i="24"/>
  <c r="BT364" i="24"/>
  <c r="BR364" i="24"/>
  <c r="AF364" i="24"/>
  <c r="L364" i="24"/>
  <c r="N364" i="24" s="1"/>
  <c r="AA364" i="24"/>
  <c r="Y364" i="24"/>
  <c r="Z364" i="24" s="1"/>
  <c r="V364" i="24"/>
  <c r="R364" i="24"/>
  <c r="BT363" i="24"/>
  <c r="BR363" i="24"/>
  <c r="AF363" i="24"/>
  <c r="L363" i="24"/>
  <c r="AA363" i="24"/>
  <c r="Y363" i="24"/>
  <c r="Z363" i="24" s="1"/>
  <c r="V363" i="24"/>
  <c r="R363" i="24"/>
  <c r="BT362" i="24"/>
  <c r="BR362" i="24"/>
  <c r="AF362" i="24"/>
  <c r="L362" i="24"/>
  <c r="N362" i="24" s="1"/>
  <c r="AA362" i="24"/>
  <c r="Y362" i="24"/>
  <c r="Z362" i="24" s="1"/>
  <c r="V362" i="24"/>
  <c r="R362" i="24"/>
  <c r="BT361" i="24"/>
  <c r="BR361" i="24"/>
  <c r="AF361" i="24"/>
  <c r="L361" i="24"/>
  <c r="AA361" i="24"/>
  <c r="Y361" i="24"/>
  <c r="Z361" i="24" s="1"/>
  <c r="V361" i="24"/>
  <c r="R361" i="24"/>
  <c r="BT360" i="24"/>
  <c r="BR360" i="24"/>
  <c r="AF360" i="24"/>
  <c r="L360" i="24"/>
  <c r="N360" i="24" s="1"/>
  <c r="AA360" i="24"/>
  <c r="Y360" i="24"/>
  <c r="Z360" i="24" s="1"/>
  <c r="V360" i="24"/>
  <c r="R360" i="24"/>
  <c r="BT359" i="24"/>
  <c r="BR359" i="24"/>
  <c r="AF359" i="24"/>
  <c r="L359" i="24"/>
  <c r="N359" i="24" s="1"/>
  <c r="AA359" i="24"/>
  <c r="Y359" i="24"/>
  <c r="Z359" i="24" s="1"/>
  <c r="V359" i="24"/>
  <c r="R359" i="24"/>
  <c r="I359" i="24"/>
  <c r="BT358" i="24"/>
  <c r="BR358" i="24"/>
  <c r="AF358" i="24"/>
  <c r="L358" i="24"/>
  <c r="N358" i="24" s="1"/>
  <c r="AA358" i="24"/>
  <c r="Y358" i="24"/>
  <c r="Z358" i="24" s="1"/>
  <c r="V358" i="24"/>
  <c r="R358" i="24"/>
  <c r="BT357" i="24"/>
  <c r="BR357" i="24"/>
  <c r="AF357" i="24"/>
  <c r="L357" i="24"/>
  <c r="N357" i="24" s="1"/>
  <c r="AA357" i="24"/>
  <c r="Y357" i="24"/>
  <c r="Z357" i="24" s="1"/>
  <c r="V357" i="24"/>
  <c r="R357" i="24"/>
  <c r="BT356" i="24"/>
  <c r="BR356" i="24"/>
  <c r="AF356" i="24"/>
  <c r="L356" i="24"/>
  <c r="N356" i="24" s="1"/>
  <c r="AA356" i="24"/>
  <c r="Y356" i="24"/>
  <c r="Z356" i="24" s="1"/>
  <c r="V356" i="24"/>
  <c r="R356" i="24"/>
  <c r="I356" i="24"/>
  <c r="BT355" i="24"/>
  <c r="BR355" i="24"/>
  <c r="AF355" i="24"/>
  <c r="L355" i="24"/>
  <c r="N355" i="24" s="1"/>
  <c r="AA355" i="24"/>
  <c r="Y355" i="24"/>
  <c r="Z355" i="24" s="1"/>
  <c r="V355" i="24"/>
  <c r="R355" i="24"/>
  <c r="BT354" i="24"/>
  <c r="BR354" i="24"/>
  <c r="AF354" i="24"/>
  <c r="L354" i="24"/>
  <c r="N354" i="24" s="1"/>
  <c r="AA354" i="24"/>
  <c r="Y354" i="24"/>
  <c r="Z354" i="24" s="1"/>
  <c r="V354" i="24"/>
  <c r="R354" i="24"/>
  <c r="BT353" i="24"/>
  <c r="BR353" i="24"/>
  <c r="AF353" i="24"/>
  <c r="L353" i="24"/>
  <c r="N353" i="24" s="1"/>
  <c r="AA353" i="24"/>
  <c r="Y353" i="24"/>
  <c r="Z353" i="24" s="1"/>
  <c r="V353" i="24"/>
  <c r="R353" i="24"/>
  <c r="BT352" i="24"/>
  <c r="BR352" i="24"/>
  <c r="AF352" i="24"/>
  <c r="L352" i="24"/>
  <c r="N352" i="24" s="1"/>
  <c r="AA352" i="24"/>
  <c r="Y352" i="24"/>
  <c r="Z352" i="24" s="1"/>
  <c r="V352" i="24"/>
  <c r="R352" i="24"/>
  <c r="BT351" i="24"/>
  <c r="BR351" i="24"/>
  <c r="AF351" i="24"/>
  <c r="L351" i="24"/>
  <c r="AA351" i="24"/>
  <c r="Y351" i="24"/>
  <c r="Z351" i="24" s="1"/>
  <c r="V351" i="24"/>
  <c r="R351" i="24"/>
  <c r="BT350" i="24"/>
  <c r="BR350" i="24"/>
  <c r="AF350" i="24"/>
  <c r="L350" i="24"/>
  <c r="N350" i="24" s="1"/>
  <c r="AA350" i="24"/>
  <c r="Y350" i="24"/>
  <c r="Z350" i="24" s="1"/>
  <c r="V350" i="24"/>
  <c r="R350" i="24"/>
  <c r="BT349" i="24"/>
  <c r="BR349" i="24"/>
  <c r="AF349" i="24"/>
  <c r="L349" i="24"/>
  <c r="N349" i="24" s="1"/>
  <c r="AA349" i="24"/>
  <c r="Y349" i="24"/>
  <c r="Z349" i="24" s="1"/>
  <c r="V349" i="24"/>
  <c r="R349" i="24"/>
  <c r="I349" i="24"/>
  <c r="BT348" i="24"/>
  <c r="BR348" i="24"/>
  <c r="AF348" i="24"/>
  <c r="L348" i="24"/>
  <c r="N348" i="24" s="1"/>
  <c r="AA348" i="24"/>
  <c r="Y348" i="24"/>
  <c r="Z348" i="24" s="1"/>
  <c r="V348" i="24"/>
  <c r="R348" i="24"/>
  <c r="I348" i="24"/>
  <c r="BT347" i="24"/>
  <c r="BR347" i="24"/>
  <c r="AF347" i="24"/>
  <c r="L347" i="24"/>
  <c r="N347" i="24" s="1"/>
  <c r="AA347" i="24"/>
  <c r="Y347" i="24"/>
  <c r="Z347" i="24" s="1"/>
  <c r="V347" i="24"/>
  <c r="R347" i="24"/>
  <c r="BT346" i="24"/>
  <c r="BR346" i="24"/>
  <c r="AF346" i="24"/>
  <c r="L346" i="24"/>
  <c r="N346" i="24" s="1"/>
  <c r="AA346" i="24"/>
  <c r="Y346" i="24"/>
  <c r="Z346" i="24" s="1"/>
  <c r="V346" i="24"/>
  <c r="R346" i="24"/>
  <c r="I346" i="24"/>
  <c r="BT345" i="24"/>
  <c r="BR345" i="24"/>
  <c r="AF345" i="24"/>
  <c r="L345" i="24"/>
  <c r="N345" i="24" s="1"/>
  <c r="AA345" i="24"/>
  <c r="Y345" i="24"/>
  <c r="Z345" i="24" s="1"/>
  <c r="V345" i="24"/>
  <c r="R345" i="24"/>
  <c r="BT344" i="24"/>
  <c r="BR344" i="24"/>
  <c r="AF344" i="24"/>
  <c r="L344" i="24"/>
  <c r="N344" i="24" s="1"/>
  <c r="AA344" i="24"/>
  <c r="Y344" i="24"/>
  <c r="Z344" i="24" s="1"/>
  <c r="V344" i="24"/>
  <c r="R344" i="24"/>
  <c r="I344" i="24"/>
  <c r="BT343" i="24"/>
  <c r="BR343" i="24"/>
  <c r="AF343" i="24"/>
  <c r="L343" i="24"/>
  <c r="N343" i="24" s="1"/>
  <c r="AA343" i="24"/>
  <c r="Y343" i="24"/>
  <c r="Z343" i="24" s="1"/>
  <c r="V343" i="24"/>
  <c r="R343" i="24"/>
  <c r="I343" i="24"/>
  <c r="BT342" i="24"/>
  <c r="BR342" i="24"/>
  <c r="AF342" i="24"/>
  <c r="L342" i="24"/>
  <c r="N342" i="24" s="1"/>
  <c r="AA342" i="24"/>
  <c r="Y342" i="24"/>
  <c r="Z342" i="24" s="1"/>
  <c r="V342" i="24"/>
  <c r="R342" i="24"/>
  <c r="BT341" i="24"/>
  <c r="BR341" i="24"/>
  <c r="AF341" i="24"/>
  <c r="L341" i="24"/>
  <c r="N341" i="24" s="1"/>
  <c r="AA341" i="24"/>
  <c r="Y341" i="24"/>
  <c r="Z341" i="24" s="1"/>
  <c r="V341" i="24"/>
  <c r="R341" i="24"/>
  <c r="BT340" i="24"/>
  <c r="BR340" i="24"/>
  <c r="AF340" i="24"/>
  <c r="L340" i="24"/>
  <c r="N340" i="24" s="1"/>
  <c r="AA340" i="24"/>
  <c r="Y340" i="24"/>
  <c r="Z340" i="24" s="1"/>
  <c r="V340" i="24"/>
  <c r="R340" i="24"/>
  <c r="I340" i="24"/>
  <c r="BT339" i="24"/>
  <c r="BR339" i="24"/>
  <c r="AF339" i="24"/>
  <c r="L339" i="24"/>
  <c r="N339" i="24" s="1"/>
  <c r="AA339" i="24"/>
  <c r="Y339" i="24"/>
  <c r="Z339" i="24" s="1"/>
  <c r="V339" i="24"/>
  <c r="R339" i="24"/>
  <c r="I339" i="24"/>
  <c r="BT338" i="24"/>
  <c r="BR338" i="24"/>
  <c r="AF338" i="24"/>
  <c r="L338" i="24"/>
  <c r="N338" i="24" s="1"/>
  <c r="AA338" i="24"/>
  <c r="Y338" i="24"/>
  <c r="Z338" i="24" s="1"/>
  <c r="V338" i="24"/>
  <c r="R338" i="24"/>
  <c r="BT337" i="24"/>
  <c r="BR337" i="24"/>
  <c r="AF337" i="24"/>
  <c r="L337" i="24"/>
  <c r="N337" i="24" s="1"/>
  <c r="AA337" i="24"/>
  <c r="Y337" i="24"/>
  <c r="Z337" i="24" s="1"/>
  <c r="V337" i="24"/>
  <c r="R337" i="24"/>
  <c r="BT336" i="24"/>
  <c r="BR336" i="24"/>
  <c r="AF336" i="24"/>
  <c r="L336" i="24"/>
  <c r="N336" i="24" s="1"/>
  <c r="AA336" i="24"/>
  <c r="Y336" i="24"/>
  <c r="Z336" i="24" s="1"/>
  <c r="V336" i="24"/>
  <c r="R336" i="24"/>
  <c r="I336" i="24"/>
  <c r="BT335" i="24"/>
  <c r="BR335" i="24"/>
  <c r="AF335" i="24"/>
  <c r="L335" i="24"/>
  <c r="AA335" i="24"/>
  <c r="Y335" i="24"/>
  <c r="Z335" i="24" s="1"/>
  <c r="V335" i="24"/>
  <c r="R335" i="24"/>
  <c r="I335" i="24"/>
  <c r="BT334" i="24"/>
  <c r="BR334" i="24"/>
  <c r="AF334" i="24"/>
  <c r="L334" i="24"/>
  <c r="N334" i="24" s="1"/>
  <c r="AA334" i="24"/>
  <c r="Y334" i="24"/>
  <c r="Z334" i="24" s="1"/>
  <c r="V334" i="24"/>
  <c r="R334" i="24"/>
  <c r="I334" i="24"/>
  <c r="BT333" i="24"/>
  <c r="BR333" i="24"/>
  <c r="AF333" i="24"/>
  <c r="L333" i="24"/>
  <c r="N333" i="24" s="1"/>
  <c r="AA333" i="24"/>
  <c r="Y333" i="24"/>
  <c r="Z333" i="24" s="1"/>
  <c r="V333" i="24"/>
  <c r="R333" i="24"/>
  <c r="I333" i="24"/>
  <c r="BT332" i="24"/>
  <c r="BR332" i="24"/>
  <c r="AF332" i="24"/>
  <c r="L332" i="24"/>
  <c r="N332" i="24" s="1"/>
  <c r="AA332" i="24"/>
  <c r="Y332" i="24"/>
  <c r="Z332" i="24" s="1"/>
  <c r="V332" i="24"/>
  <c r="R332" i="24"/>
  <c r="BT331" i="24"/>
  <c r="BR331" i="24"/>
  <c r="AF331" i="24"/>
  <c r="L331" i="24"/>
  <c r="N331" i="24" s="1"/>
  <c r="AA331" i="24"/>
  <c r="Y331" i="24"/>
  <c r="Z331" i="24" s="1"/>
  <c r="V331" i="24"/>
  <c r="R331" i="24"/>
  <c r="I331" i="24"/>
  <c r="BT330" i="24"/>
  <c r="BR330" i="24"/>
  <c r="AF330" i="24"/>
  <c r="L330" i="24"/>
  <c r="N330" i="24" s="1"/>
  <c r="AA330" i="24"/>
  <c r="Y330" i="24"/>
  <c r="Z330" i="24" s="1"/>
  <c r="V330" i="24"/>
  <c r="R330" i="24"/>
  <c r="I330" i="24"/>
  <c r="BT329" i="24"/>
  <c r="BR329" i="24"/>
  <c r="AF329" i="24"/>
  <c r="L329" i="24"/>
  <c r="N329" i="24" s="1"/>
  <c r="AA329" i="24"/>
  <c r="Y329" i="24"/>
  <c r="Z329" i="24" s="1"/>
  <c r="V329" i="24"/>
  <c r="R329" i="24"/>
  <c r="I329" i="24"/>
  <c r="BT328" i="24"/>
  <c r="BR328" i="24"/>
  <c r="AF328" i="24"/>
  <c r="L328" i="24"/>
  <c r="N328" i="24" s="1"/>
  <c r="AA328" i="24"/>
  <c r="Y328" i="24"/>
  <c r="Z328" i="24" s="1"/>
  <c r="V328" i="24"/>
  <c r="R328" i="24"/>
  <c r="I328" i="24"/>
  <c r="BT327" i="24"/>
  <c r="BR327" i="24"/>
  <c r="AF327" i="24"/>
  <c r="L327" i="24"/>
  <c r="N327" i="24" s="1"/>
  <c r="AA327" i="24"/>
  <c r="Y327" i="24"/>
  <c r="Z327" i="24" s="1"/>
  <c r="V327" i="24"/>
  <c r="R327" i="24"/>
  <c r="I327" i="24"/>
  <c r="BT326" i="24"/>
  <c r="BR326" i="24"/>
  <c r="AF326" i="24"/>
  <c r="L326" i="24"/>
  <c r="N326" i="24" s="1"/>
  <c r="AA326" i="24"/>
  <c r="Y326" i="24"/>
  <c r="Z326" i="24" s="1"/>
  <c r="V326" i="24"/>
  <c r="R326" i="24"/>
  <c r="BT325" i="24"/>
  <c r="BR325" i="24"/>
  <c r="AF325" i="24"/>
  <c r="L325" i="24"/>
  <c r="N325" i="24" s="1"/>
  <c r="AA325" i="24"/>
  <c r="Y325" i="24"/>
  <c r="Z325" i="24" s="1"/>
  <c r="V325" i="24"/>
  <c r="R325" i="24"/>
  <c r="BT324" i="24"/>
  <c r="BR324" i="24"/>
  <c r="AF324" i="24"/>
  <c r="L324" i="24"/>
  <c r="N324" i="24" s="1"/>
  <c r="AA324" i="24"/>
  <c r="Y324" i="24"/>
  <c r="Z324" i="24" s="1"/>
  <c r="V324" i="24"/>
  <c r="R324" i="24"/>
  <c r="I324" i="24"/>
  <c r="BT323" i="24"/>
  <c r="BR323" i="24"/>
  <c r="AF323" i="24"/>
  <c r="L323" i="24"/>
  <c r="N323" i="24" s="1"/>
  <c r="AA323" i="24"/>
  <c r="Y323" i="24"/>
  <c r="Z323" i="24" s="1"/>
  <c r="V323" i="24"/>
  <c r="R323" i="24"/>
  <c r="I323" i="24"/>
  <c r="BT322" i="24"/>
  <c r="BR322" i="24"/>
  <c r="AF322" i="24"/>
  <c r="L322" i="24"/>
  <c r="N322" i="24" s="1"/>
  <c r="AA322" i="24"/>
  <c r="Y322" i="24"/>
  <c r="Z322" i="24" s="1"/>
  <c r="V322" i="24"/>
  <c r="R322" i="24"/>
  <c r="I322" i="24"/>
  <c r="BT321" i="24"/>
  <c r="BR321" i="24"/>
  <c r="AF321" i="24"/>
  <c r="L321" i="24"/>
  <c r="N321" i="24" s="1"/>
  <c r="AA321" i="24"/>
  <c r="Y321" i="24"/>
  <c r="Z321" i="24" s="1"/>
  <c r="V321" i="24"/>
  <c r="R321" i="24"/>
  <c r="I321" i="24"/>
  <c r="BT320" i="24"/>
  <c r="BR320" i="24"/>
  <c r="AF320" i="24"/>
  <c r="L320" i="24"/>
  <c r="N320" i="24" s="1"/>
  <c r="AA320" i="24"/>
  <c r="Y320" i="24"/>
  <c r="Z320" i="24" s="1"/>
  <c r="V320" i="24"/>
  <c r="R320" i="24"/>
  <c r="I320" i="24"/>
  <c r="BT319" i="24"/>
  <c r="BR319" i="24"/>
  <c r="AF319" i="24"/>
  <c r="L319" i="24"/>
  <c r="AA319" i="24"/>
  <c r="Y319" i="24"/>
  <c r="Z319" i="24" s="1"/>
  <c r="V319" i="24"/>
  <c r="R319" i="24"/>
  <c r="I319" i="24"/>
  <c r="BT318" i="24"/>
  <c r="BR318" i="24"/>
  <c r="AF318" i="24"/>
  <c r="L318" i="24"/>
  <c r="N318" i="24" s="1"/>
  <c r="AA318" i="24"/>
  <c r="Y318" i="24"/>
  <c r="Z318" i="24" s="1"/>
  <c r="V318" i="24"/>
  <c r="R318" i="24"/>
  <c r="I318" i="24"/>
  <c r="BT317" i="24"/>
  <c r="BR317" i="24"/>
  <c r="AF317" i="24"/>
  <c r="L317" i="24"/>
  <c r="N317" i="24" s="1"/>
  <c r="AA317" i="24"/>
  <c r="Y317" i="24"/>
  <c r="Z317" i="24" s="1"/>
  <c r="V317" i="24"/>
  <c r="R317" i="24"/>
  <c r="I317" i="24"/>
  <c r="BT316" i="24"/>
  <c r="BR316" i="24"/>
  <c r="AF316" i="24"/>
  <c r="L316" i="24"/>
  <c r="N316" i="24" s="1"/>
  <c r="AA316" i="24"/>
  <c r="Y316" i="24"/>
  <c r="Z316" i="24" s="1"/>
  <c r="V316" i="24"/>
  <c r="R316" i="24"/>
  <c r="I316" i="24"/>
  <c r="BT315" i="24"/>
  <c r="BR315" i="24"/>
  <c r="AF315" i="24"/>
  <c r="L315" i="24"/>
  <c r="AA315" i="24"/>
  <c r="Y315" i="24"/>
  <c r="Z315" i="24" s="1"/>
  <c r="V315" i="24"/>
  <c r="R315" i="24"/>
  <c r="I315" i="24"/>
  <c r="BT314" i="24"/>
  <c r="BR314" i="24"/>
  <c r="AF314" i="24"/>
  <c r="L314" i="24"/>
  <c r="N314" i="24" s="1"/>
  <c r="AA314" i="24"/>
  <c r="Y314" i="24"/>
  <c r="Z314" i="24" s="1"/>
  <c r="V314" i="24"/>
  <c r="R314" i="24"/>
  <c r="I314" i="24"/>
  <c r="BT313" i="24"/>
  <c r="BR313" i="24"/>
  <c r="AF313" i="24"/>
  <c r="L313" i="24"/>
  <c r="N313" i="24" s="1"/>
  <c r="AA313" i="24"/>
  <c r="Y313" i="24"/>
  <c r="Z313" i="24" s="1"/>
  <c r="V313" i="24"/>
  <c r="R313" i="24"/>
  <c r="I313" i="24"/>
  <c r="BT312" i="24"/>
  <c r="BR312" i="24"/>
  <c r="AF312" i="24"/>
  <c r="L312" i="24"/>
  <c r="N312" i="24" s="1"/>
  <c r="AA312" i="24"/>
  <c r="Y312" i="24"/>
  <c r="Z312" i="24" s="1"/>
  <c r="V312" i="24"/>
  <c r="R312" i="24"/>
  <c r="I312" i="24"/>
  <c r="BT311" i="24"/>
  <c r="BR311" i="24"/>
  <c r="AF311" i="24"/>
  <c r="L311" i="24"/>
  <c r="N311" i="24" s="1"/>
  <c r="AA311" i="24"/>
  <c r="Y311" i="24"/>
  <c r="Z311" i="24" s="1"/>
  <c r="V311" i="24"/>
  <c r="R311" i="24"/>
  <c r="I311" i="24"/>
  <c r="BT310" i="24"/>
  <c r="BR310" i="24"/>
  <c r="AF310" i="24"/>
  <c r="L310" i="24"/>
  <c r="N310" i="24" s="1"/>
  <c r="AA310" i="24"/>
  <c r="Y310" i="24"/>
  <c r="Z310" i="24" s="1"/>
  <c r="V310" i="24"/>
  <c r="R310" i="24"/>
  <c r="I310" i="24"/>
  <c r="BT309" i="24"/>
  <c r="BR309" i="24"/>
  <c r="AF309" i="24"/>
  <c r="L309" i="24"/>
  <c r="N309" i="24" s="1"/>
  <c r="AA309" i="24"/>
  <c r="Y309" i="24"/>
  <c r="Z309" i="24" s="1"/>
  <c r="V309" i="24"/>
  <c r="R309" i="24"/>
  <c r="I309" i="24"/>
  <c r="BT308" i="24"/>
  <c r="BR308" i="24"/>
  <c r="AF308" i="24"/>
  <c r="L308" i="24"/>
  <c r="N308" i="24" s="1"/>
  <c r="AA308" i="24"/>
  <c r="Y308" i="24"/>
  <c r="Z308" i="24" s="1"/>
  <c r="V308" i="24"/>
  <c r="R308" i="24"/>
  <c r="I308" i="24"/>
  <c r="BT307" i="24"/>
  <c r="BR307" i="24"/>
  <c r="AF307" i="24"/>
  <c r="L307" i="24"/>
  <c r="N307" i="24" s="1"/>
  <c r="AA307" i="24"/>
  <c r="Y307" i="24"/>
  <c r="Z307" i="24" s="1"/>
  <c r="V307" i="24"/>
  <c r="R307" i="24"/>
  <c r="I307" i="24"/>
  <c r="BT306" i="24"/>
  <c r="BR306" i="24"/>
  <c r="AF306" i="24"/>
  <c r="L306" i="24"/>
  <c r="N306" i="24" s="1"/>
  <c r="AA306" i="24"/>
  <c r="Y306" i="24"/>
  <c r="Z306" i="24" s="1"/>
  <c r="V306" i="24"/>
  <c r="R306" i="24"/>
  <c r="I306" i="24"/>
  <c r="BT305" i="24"/>
  <c r="BR305" i="24"/>
  <c r="AF305" i="24"/>
  <c r="L305" i="24"/>
  <c r="N305" i="24" s="1"/>
  <c r="AA305" i="24"/>
  <c r="Y305" i="24"/>
  <c r="Z305" i="24" s="1"/>
  <c r="V305" i="24"/>
  <c r="R305" i="24"/>
  <c r="I305" i="24"/>
  <c r="BT304" i="24"/>
  <c r="BR304" i="24"/>
  <c r="AF304" i="24"/>
  <c r="L304" i="24"/>
  <c r="N304" i="24" s="1"/>
  <c r="AA304" i="24"/>
  <c r="Y304" i="24"/>
  <c r="Z304" i="24" s="1"/>
  <c r="V304" i="24"/>
  <c r="R304" i="24"/>
  <c r="I304" i="24"/>
  <c r="BT303" i="24"/>
  <c r="BR303" i="24"/>
  <c r="AF303" i="24"/>
  <c r="L303" i="24"/>
  <c r="N303" i="24" s="1"/>
  <c r="AA303" i="24"/>
  <c r="Y303" i="24"/>
  <c r="Z303" i="24" s="1"/>
  <c r="V303" i="24"/>
  <c r="R303" i="24"/>
  <c r="I303" i="24"/>
  <c r="BT302" i="24"/>
  <c r="BR302" i="24"/>
  <c r="AF302" i="24"/>
  <c r="L302" i="24"/>
  <c r="N302" i="24" s="1"/>
  <c r="AA302" i="24"/>
  <c r="Y302" i="24"/>
  <c r="Z302" i="24" s="1"/>
  <c r="V302" i="24"/>
  <c r="R302" i="24"/>
  <c r="I302" i="24"/>
  <c r="BT301" i="24"/>
  <c r="BR301" i="24"/>
  <c r="AF301" i="24"/>
  <c r="L301" i="24"/>
  <c r="N301" i="24" s="1"/>
  <c r="AA301" i="24"/>
  <c r="Y301" i="24"/>
  <c r="Z301" i="24" s="1"/>
  <c r="V301" i="24"/>
  <c r="R301" i="24"/>
  <c r="I301" i="24"/>
  <c r="BT300" i="24"/>
  <c r="BR300" i="24"/>
  <c r="AF300" i="24"/>
  <c r="L300" i="24"/>
  <c r="N300" i="24" s="1"/>
  <c r="AA300" i="24"/>
  <c r="Y300" i="24"/>
  <c r="Z300" i="24" s="1"/>
  <c r="V300" i="24"/>
  <c r="R300" i="24"/>
  <c r="I300" i="24"/>
  <c r="BT299" i="24"/>
  <c r="BR299" i="24"/>
  <c r="AF299" i="24"/>
  <c r="L299" i="24"/>
  <c r="N299" i="24" s="1"/>
  <c r="AA299" i="24"/>
  <c r="Y299" i="24"/>
  <c r="Z299" i="24" s="1"/>
  <c r="V299" i="24"/>
  <c r="R299" i="24"/>
  <c r="I299" i="24"/>
  <c r="BT298" i="24"/>
  <c r="BR298" i="24"/>
  <c r="AF298" i="24"/>
  <c r="L298" i="24"/>
  <c r="N298" i="24" s="1"/>
  <c r="AA298" i="24"/>
  <c r="Y298" i="24"/>
  <c r="Z298" i="24" s="1"/>
  <c r="V298" i="24"/>
  <c r="R298" i="24"/>
  <c r="I298" i="24"/>
  <c r="BT297" i="24"/>
  <c r="BR297" i="24"/>
  <c r="AF297" i="24"/>
  <c r="L297" i="24"/>
  <c r="N297" i="24" s="1"/>
  <c r="AA297" i="24"/>
  <c r="Y297" i="24"/>
  <c r="Z297" i="24" s="1"/>
  <c r="V297" i="24"/>
  <c r="R297" i="24"/>
  <c r="I297" i="24"/>
  <c r="BT296" i="24"/>
  <c r="BR296" i="24"/>
  <c r="AF296" i="24"/>
  <c r="L296" i="24"/>
  <c r="N296" i="24" s="1"/>
  <c r="AA296" i="24"/>
  <c r="Y296" i="24"/>
  <c r="Z296" i="24" s="1"/>
  <c r="V296" i="24"/>
  <c r="R296" i="24"/>
  <c r="I296" i="24"/>
  <c r="BT295" i="24"/>
  <c r="BR295" i="24"/>
  <c r="AF295" i="24"/>
  <c r="L295" i="24"/>
  <c r="N295" i="24" s="1"/>
  <c r="AA295" i="24"/>
  <c r="Y295" i="24"/>
  <c r="Z295" i="24" s="1"/>
  <c r="V295" i="24"/>
  <c r="R295" i="24"/>
  <c r="I295" i="24"/>
  <c r="BT294" i="24"/>
  <c r="BR294" i="24"/>
  <c r="AF294" i="24"/>
  <c r="L294" i="24"/>
  <c r="N294" i="24" s="1"/>
  <c r="AA294" i="24"/>
  <c r="Y294" i="24"/>
  <c r="Z294" i="24" s="1"/>
  <c r="V294" i="24"/>
  <c r="R294" i="24"/>
  <c r="I294" i="24"/>
  <c r="BT293" i="24"/>
  <c r="BR293" i="24"/>
  <c r="AF293" i="24"/>
  <c r="L293" i="24"/>
  <c r="AA293" i="24"/>
  <c r="Y293" i="24"/>
  <c r="Z293" i="24" s="1"/>
  <c r="V293" i="24"/>
  <c r="R293" i="24"/>
  <c r="I293" i="24"/>
  <c r="BT292" i="24"/>
  <c r="BR292" i="24"/>
  <c r="AF292" i="24"/>
  <c r="L292" i="24"/>
  <c r="N292" i="24" s="1"/>
  <c r="AA292" i="24"/>
  <c r="Y292" i="24"/>
  <c r="Z292" i="24" s="1"/>
  <c r="V292" i="24"/>
  <c r="R292" i="24"/>
  <c r="I292" i="24"/>
  <c r="BT291" i="24"/>
  <c r="BR291" i="24"/>
  <c r="AF291" i="24"/>
  <c r="L291" i="24"/>
  <c r="N291" i="24" s="1"/>
  <c r="AA291" i="24"/>
  <c r="Y291" i="24"/>
  <c r="Z291" i="24" s="1"/>
  <c r="V291" i="24"/>
  <c r="R291" i="24"/>
  <c r="I291" i="24"/>
  <c r="BT290" i="24"/>
  <c r="BR290" i="24"/>
  <c r="AF290" i="24"/>
  <c r="L290" i="24"/>
  <c r="N290" i="24" s="1"/>
  <c r="AA290" i="24"/>
  <c r="Y290" i="24"/>
  <c r="Z290" i="24" s="1"/>
  <c r="V290" i="24"/>
  <c r="R290" i="24"/>
  <c r="I290" i="24"/>
  <c r="BT289" i="24"/>
  <c r="BR289" i="24"/>
  <c r="AF289" i="24"/>
  <c r="L289" i="24"/>
  <c r="N289" i="24" s="1"/>
  <c r="AA289" i="24"/>
  <c r="Y289" i="24"/>
  <c r="Z289" i="24" s="1"/>
  <c r="V289" i="24"/>
  <c r="R289" i="24"/>
  <c r="I289" i="24"/>
  <c r="BT288" i="24"/>
  <c r="BR288" i="24"/>
  <c r="AF288" i="24"/>
  <c r="L288" i="24"/>
  <c r="N288" i="24" s="1"/>
  <c r="AA288" i="24"/>
  <c r="Y288" i="24"/>
  <c r="Z288" i="24" s="1"/>
  <c r="V288" i="24"/>
  <c r="R288" i="24"/>
  <c r="I288" i="24"/>
  <c r="BT287" i="24"/>
  <c r="BR287" i="24"/>
  <c r="AF287" i="24"/>
  <c r="L287" i="24"/>
  <c r="AA287" i="24"/>
  <c r="Y287" i="24"/>
  <c r="Z287" i="24" s="1"/>
  <c r="V287" i="24"/>
  <c r="R287" i="24"/>
  <c r="I287" i="24"/>
  <c r="BT286" i="24"/>
  <c r="BR286" i="24"/>
  <c r="AF286" i="24"/>
  <c r="L286" i="24"/>
  <c r="N286" i="24" s="1"/>
  <c r="AA286" i="24"/>
  <c r="Y286" i="24"/>
  <c r="Z286" i="24" s="1"/>
  <c r="V286" i="24"/>
  <c r="R286" i="24"/>
  <c r="I286" i="24"/>
  <c r="BT285" i="24"/>
  <c r="BR285" i="24"/>
  <c r="AF285" i="24"/>
  <c r="L285" i="24"/>
  <c r="N285" i="24" s="1"/>
  <c r="AA285" i="24"/>
  <c r="Y285" i="24"/>
  <c r="Z285" i="24" s="1"/>
  <c r="V285" i="24"/>
  <c r="R285" i="24"/>
  <c r="I285" i="24"/>
  <c r="BT284" i="24"/>
  <c r="BR284" i="24"/>
  <c r="AF284" i="24"/>
  <c r="L284" i="24"/>
  <c r="N284" i="24" s="1"/>
  <c r="AA284" i="24"/>
  <c r="Y284" i="24"/>
  <c r="Z284" i="24" s="1"/>
  <c r="V284" i="24"/>
  <c r="R284" i="24"/>
  <c r="I284" i="24"/>
  <c r="BT283" i="24"/>
  <c r="BR283" i="24"/>
  <c r="AF283" i="24"/>
  <c r="L283" i="24"/>
  <c r="AA283" i="24"/>
  <c r="Y283" i="24"/>
  <c r="Z283" i="24" s="1"/>
  <c r="V283" i="24"/>
  <c r="R283" i="24"/>
  <c r="I283" i="24"/>
  <c r="BT282" i="24"/>
  <c r="BR282" i="24"/>
  <c r="AF282" i="24"/>
  <c r="L282" i="24"/>
  <c r="N282" i="24" s="1"/>
  <c r="AA282" i="24"/>
  <c r="Y282" i="24"/>
  <c r="Z282" i="24" s="1"/>
  <c r="V282" i="24"/>
  <c r="R282" i="24"/>
  <c r="I282" i="24"/>
  <c r="BT281" i="24"/>
  <c r="BR281" i="24"/>
  <c r="AF281" i="24"/>
  <c r="L281" i="24"/>
  <c r="N281" i="24" s="1"/>
  <c r="AA281" i="24"/>
  <c r="Y281" i="24"/>
  <c r="Z281" i="24" s="1"/>
  <c r="V281" i="24"/>
  <c r="R281" i="24"/>
  <c r="I281" i="24"/>
  <c r="BT280" i="24"/>
  <c r="BR280" i="24"/>
  <c r="AF280" i="24"/>
  <c r="L280" i="24"/>
  <c r="N280" i="24" s="1"/>
  <c r="AA280" i="24"/>
  <c r="Y280" i="24"/>
  <c r="Z280" i="24" s="1"/>
  <c r="V280" i="24"/>
  <c r="R280" i="24"/>
  <c r="I280" i="24"/>
  <c r="BT279" i="24"/>
  <c r="BR279" i="24"/>
  <c r="AF279" i="24"/>
  <c r="L279" i="24"/>
  <c r="AA279" i="24"/>
  <c r="Y279" i="24"/>
  <c r="Z279" i="24" s="1"/>
  <c r="V279" i="24"/>
  <c r="R279" i="24"/>
  <c r="I279" i="24"/>
  <c r="BT278" i="24"/>
  <c r="BR278" i="24"/>
  <c r="AF278" i="24"/>
  <c r="L278" i="24"/>
  <c r="N278" i="24" s="1"/>
  <c r="AA278" i="24"/>
  <c r="Y278" i="24"/>
  <c r="Z278" i="24" s="1"/>
  <c r="V278" i="24"/>
  <c r="R278" i="24"/>
  <c r="I278" i="24"/>
  <c r="BT277" i="24"/>
  <c r="BR277" i="24"/>
  <c r="AF277" i="24"/>
  <c r="L277" i="24"/>
  <c r="AA277" i="24"/>
  <c r="Y277" i="24"/>
  <c r="Z277" i="24" s="1"/>
  <c r="V277" i="24"/>
  <c r="R277" i="24"/>
  <c r="I277" i="24"/>
  <c r="BT276" i="24"/>
  <c r="BR276" i="24"/>
  <c r="AF276" i="24"/>
  <c r="L276" i="24"/>
  <c r="N276" i="24" s="1"/>
  <c r="AA276" i="24"/>
  <c r="Y276" i="24"/>
  <c r="Z276" i="24" s="1"/>
  <c r="V276" i="24"/>
  <c r="R276" i="24"/>
  <c r="I276" i="24"/>
  <c r="BT275" i="24"/>
  <c r="BR275" i="24"/>
  <c r="AF275" i="24"/>
  <c r="L275" i="24"/>
  <c r="N275" i="24" s="1"/>
  <c r="AA275" i="24"/>
  <c r="Y275" i="24"/>
  <c r="Z275" i="24" s="1"/>
  <c r="V275" i="24"/>
  <c r="R275" i="24"/>
  <c r="I275" i="24"/>
  <c r="BT274" i="24"/>
  <c r="BR274" i="24"/>
  <c r="AF274" i="24"/>
  <c r="L274" i="24"/>
  <c r="N274" i="24" s="1"/>
  <c r="AA274" i="24"/>
  <c r="Y274" i="24"/>
  <c r="Z274" i="24" s="1"/>
  <c r="V274" i="24"/>
  <c r="R274" i="24"/>
  <c r="I274" i="24"/>
  <c r="BT273" i="24"/>
  <c r="BR273" i="24"/>
  <c r="AF273" i="24"/>
  <c r="L273" i="24"/>
  <c r="N273" i="24" s="1"/>
  <c r="AA273" i="24"/>
  <c r="Y273" i="24"/>
  <c r="Z273" i="24" s="1"/>
  <c r="V273" i="24"/>
  <c r="R273" i="24"/>
  <c r="I273" i="24"/>
  <c r="BT272" i="24"/>
  <c r="BR272" i="24"/>
  <c r="AF272" i="24"/>
  <c r="L272" i="24"/>
  <c r="N272" i="24" s="1"/>
  <c r="AA272" i="24"/>
  <c r="Y272" i="24"/>
  <c r="Z272" i="24" s="1"/>
  <c r="V272" i="24"/>
  <c r="R272" i="24"/>
  <c r="I272" i="24"/>
  <c r="BT271" i="24"/>
  <c r="BR271" i="24"/>
  <c r="AF271" i="24"/>
  <c r="L271" i="24"/>
  <c r="N271" i="24" s="1"/>
  <c r="AA271" i="24"/>
  <c r="Y271" i="24"/>
  <c r="Z271" i="24" s="1"/>
  <c r="V271" i="24"/>
  <c r="R271" i="24"/>
  <c r="I271" i="24"/>
  <c r="BT270" i="24"/>
  <c r="BR270" i="24"/>
  <c r="AF270" i="24"/>
  <c r="L270" i="24"/>
  <c r="N270" i="24" s="1"/>
  <c r="AA270" i="24"/>
  <c r="Y270" i="24"/>
  <c r="Z270" i="24" s="1"/>
  <c r="V270" i="24"/>
  <c r="R270" i="24"/>
  <c r="I270" i="24"/>
  <c r="BT269" i="24"/>
  <c r="BR269" i="24"/>
  <c r="AF269" i="24"/>
  <c r="L269" i="24"/>
  <c r="N269" i="24" s="1"/>
  <c r="AA269" i="24"/>
  <c r="Y269" i="24"/>
  <c r="Z269" i="24" s="1"/>
  <c r="V269" i="24"/>
  <c r="R269" i="24"/>
  <c r="I269" i="24"/>
  <c r="BT268" i="24"/>
  <c r="BR268" i="24"/>
  <c r="AF268" i="24"/>
  <c r="L268" i="24"/>
  <c r="N268" i="24" s="1"/>
  <c r="AA268" i="24"/>
  <c r="Y268" i="24"/>
  <c r="Z268" i="24" s="1"/>
  <c r="V268" i="24"/>
  <c r="R268" i="24"/>
  <c r="I268" i="24"/>
  <c r="BT267" i="24"/>
  <c r="BR267" i="24"/>
  <c r="AF267" i="24"/>
  <c r="L267" i="24"/>
  <c r="N267" i="24" s="1"/>
  <c r="AA267" i="24"/>
  <c r="Y267" i="24"/>
  <c r="Z267" i="24" s="1"/>
  <c r="V267" i="24"/>
  <c r="R267" i="24"/>
  <c r="I267" i="24"/>
  <c r="BT266" i="24"/>
  <c r="BR266" i="24"/>
  <c r="AF266" i="24"/>
  <c r="L266" i="24"/>
  <c r="N266" i="24" s="1"/>
  <c r="AA266" i="24"/>
  <c r="Y266" i="24"/>
  <c r="Z266" i="24" s="1"/>
  <c r="V266" i="24"/>
  <c r="R266" i="24"/>
  <c r="I266" i="24"/>
  <c r="BT265" i="24"/>
  <c r="BR265" i="24"/>
  <c r="AF265" i="24"/>
  <c r="L265" i="24"/>
  <c r="AA265" i="24"/>
  <c r="Y265" i="24"/>
  <c r="Z265" i="24" s="1"/>
  <c r="V265" i="24"/>
  <c r="R265" i="24"/>
  <c r="I265" i="24"/>
  <c r="BT264" i="24"/>
  <c r="BR264" i="24"/>
  <c r="AF264" i="24"/>
  <c r="L264" i="24"/>
  <c r="N264" i="24" s="1"/>
  <c r="AA264" i="24"/>
  <c r="Y264" i="24"/>
  <c r="Z264" i="24" s="1"/>
  <c r="V264" i="24"/>
  <c r="R264" i="24"/>
  <c r="I264" i="24"/>
  <c r="BT263" i="24"/>
  <c r="BR263" i="24"/>
  <c r="AF263" i="24"/>
  <c r="L263" i="24"/>
  <c r="N263" i="24" s="1"/>
  <c r="AA263" i="24"/>
  <c r="Y263" i="24"/>
  <c r="Z263" i="24" s="1"/>
  <c r="V263" i="24"/>
  <c r="R263" i="24"/>
  <c r="I263" i="24"/>
  <c r="BT262" i="24"/>
  <c r="BR262" i="24"/>
  <c r="AF262" i="24"/>
  <c r="L262" i="24"/>
  <c r="N262" i="24" s="1"/>
  <c r="AA262" i="24"/>
  <c r="Y262" i="24"/>
  <c r="Z262" i="24" s="1"/>
  <c r="V262" i="24"/>
  <c r="R262" i="24"/>
  <c r="I262" i="24"/>
  <c r="BT261" i="24"/>
  <c r="BR261" i="24"/>
  <c r="AF261" i="24"/>
  <c r="L261" i="24"/>
  <c r="N261" i="24" s="1"/>
  <c r="AA261" i="24"/>
  <c r="Y261" i="24"/>
  <c r="Z261" i="24" s="1"/>
  <c r="V261" i="24"/>
  <c r="R261" i="24"/>
  <c r="I261" i="24"/>
  <c r="BT260" i="24"/>
  <c r="BR260" i="24"/>
  <c r="AF260" i="24"/>
  <c r="L260" i="24"/>
  <c r="N260" i="24" s="1"/>
  <c r="AA260" i="24"/>
  <c r="Y260" i="24"/>
  <c r="Z260" i="24" s="1"/>
  <c r="V260" i="24"/>
  <c r="R260" i="24"/>
  <c r="I260" i="24"/>
  <c r="BT259" i="24"/>
  <c r="BR259" i="24"/>
  <c r="AF259" i="24"/>
  <c r="L259" i="24"/>
  <c r="N259" i="24" s="1"/>
  <c r="AA259" i="24"/>
  <c r="Y259" i="24"/>
  <c r="Z259" i="24" s="1"/>
  <c r="V259" i="24"/>
  <c r="R259" i="24"/>
  <c r="I259" i="24"/>
  <c r="BT258" i="24"/>
  <c r="BR258" i="24"/>
  <c r="AF258" i="24"/>
  <c r="L258" i="24"/>
  <c r="N258" i="24" s="1"/>
  <c r="AA258" i="24"/>
  <c r="Y258" i="24"/>
  <c r="Z258" i="24" s="1"/>
  <c r="V258" i="24"/>
  <c r="R258" i="24"/>
  <c r="I258" i="24"/>
  <c r="BT257" i="24"/>
  <c r="BR257" i="24"/>
  <c r="AF257" i="24"/>
  <c r="L257" i="24"/>
  <c r="N257" i="24" s="1"/>
  <c r="AA257" i="24"/>
  <c r="Y257" i="24"/>
  <c r="Z257" i="24" s="1"/>
  <c r="V257" i="24"/>
  <c r="R257" i="24"/>
  <c r="I257" i="24"/>
  <c r="BT256" i="24"/>
  <c r="BR256" i="24"/>
  <c r="AF256" i="24"/>
  <c r="L256" i="24"/>
  <c r="N256" i="24" s="1"/>
  <c r="AA256" i="24"/>
  <c r="Y256" i="24"/>
  <c r="Z256" i="24" s="1"/>
  <c r="V256" i="24"/>
  <c r="R256" i="24"/>
  <c r="I256" i="24"/>
  <c r="BT255" i="24"/>
  <c r="BR255" i="24"/>
  <c r="AF255" i="24"/>
  <c r="L255" i="24"/>
  <c r="N255" i="24" s="1"/>
  <c r="AA255" i="24"/>
  <c r="Y255" i="24"/>
  <c r="Z255" i="24" s="1"/>
  <c r="V255" i="24"/>
  <c r="R255" i="24"/>
  <c r="I255" i="24"/>
  <c r="BT254" i="24"/>
  <c r="BR254" i="24"/>
  <c r="AF254" i="24"/>
  <c r="L254" i="24"/>
  <c r="N254" i="24" s="1"/>
  <c r="AA254" i="24"/>
  <c r="Y254" i="24"/>
  <c r="Z254" i="24" s="1"/>
  <c r="V254" i="24"/>
  <c r="R254" i="24"/>
  <c r="I254" i="24"/>
  <c r="BT253" i="24"/>
  <c r="BR253" i="24"/>
  <c r="AF253" i="24"/>
  <c r="L253" i="24"/>
  <c r="N253" i="24" s="1"/>
  <c r="AA253" i="24"/>
  <c r="Y253" i="24"/>
  <c r="Z253" i="24" s="1"/>
  <c r="V253" i="24"/>
  <c r="R253" i="24"/>
  <c r="I253" i="24"/>
  <c r="BT252" i="24"/>
  <c r="BR252" i="24"/>
  <c r="AF252" i="24"/>
  <c r="L252" i="24"/>
  <c r="N252" i="24" s="1"/>
  <c r="AA252" i="24"/>
  <c r="Y252" i="24"/>
  <c r="Z252" i="24" s="1"/>
  <c r="V252" i="24"/>
  <c r="R252" i="24"/>
  <c r="I252" i="24"/>
  <c r="BT251" i="24"/>
  <c r="BR251" i="24"/>
  <c r="AF251" i="24"/>
  <c r="L251" i="24"/>
  <c r="N251" i="24" s="1"/>
  <c r="AA251" i="24"/>
  <c r="Y251" i="24"/>
  <c r="Z251" i="24" s="1"/>
  <c r="V251" i="24"/>
  <c r="R251" i="24"/>
  <c r="I251" i="24"/>
  <c r="BT250" i="24"/>
  <c r="BR250" i="24"/>
  <c r="AF250" i="24"/>
  <c r="L250" i="24"/>
  <c r="N250" i="24" s="1"/>
  <c r="AA250" i="24"/>
  <c r="Y250" i="24"/>
  <c r="Z250" i="24" s="1"/>
  <c r="V250" i="24"/>
  <c r="R250" i="24"/>
  <c r="I250" i="24"/>
  <c r="BT249" i="24"/>
  <c r="BR249" i="24"/>
  <c r="AF249" i="24"/>
  <c r="L249" i="24"/>
  <c r="AA249" i="24"/>
  <c r="Y249" i="24"/>
  <c r="Z249" i="24" s="1"/>
  <c r="V249" i="24"/>
  <c r="R249" i="24"/>
  <c r="I249" i="24"/>
  <c r="BT248" i="24"/>
  <c r="BR248" i="24"/>
  <c r="AF248" i="24"/>
  <c r="L248" i="24"/>
  <c r="N248" i="24" s="1"/>
  <c r="AA248" i="24"/>
  <c r="Y248" i="24"/>
  <c r="Z248" i="24" s="1"/>
  <c r="V248" i="24"/>
  <c r="R248" i="24"/>
  <c r="I248" i="24"/>
  <c r="BT247" i="24"/>
  <c r="BR247" i="24"/>
  <c r="AF247" i="24"/>
  <c r="L247" i="24"/>
  <c r="N247" i="24" s="1"/>
  <c r="AA247" i="24"/>
  <c r="Y247" i="24"/>
  <c r="Z247" i="24" s="1"/>
  <c r="V247" i="24"/>
  <c r="R247" i="24"/>
  <c r="I247" i="24"/>
  <c r="BT246" i="24"/>
  <c r="BR246" i="24"/>
  <c r="AF246" i="24"/>
  <c r="L246" i="24"/>
  <c r="N246" i="24" s="1"/>
  <c r="AA246" i="24"/>
  <c r="Y246" i="24"/>
  <c r="Z246" i="24" s="1"/>
  <c r="V246" i="24"/>
  <c r="R246" i="24"/>
  <c r="I246" i="24"/>
  <c r="BT245" i="24"/>
  <c r="BR245" i="24"/>
  <c r="AF245" i="24"/>
  <c r="L245" i="24"/>
  <c r="N245" i="24" s="1"/>
  <c r="AA245" i="24"/>
  <c r="Y245" i="24"/>
  <c r="Z245" i="24" s="1"/>
  <c r="V245" i="24"/>
  <c r="R245" i="24"/>
  <c r="I245" i="24"/>
  <c r="BT244" i="24"/>
  <c r="BR244" i="24"/>
  <c r="AF244" i="24"/>
  <c r="L244" i="24"/>
  <c r="N244" i="24" s="1"/>
  <c r="AA244" i="24"/>
  <c r="Y244" i="24"/>
  <c r="Z244" i="24" s="1"/>
  <c r="V244" i="24"/>
  <c r="R244" i="24"/>
  <c r="I244" i="24"/>
  <c r="BT243" i="24"/>
  <c r="BR243" i="24"/>
  <c r="AF243" i="24"/>
  <c r="L243" i="24"/>
  <c r="AA243" i="24"/>
  <c r="Y243" i="24"/>
  <c r="Z243" i="24" s="1"/>
  <c r="V243" i="24"/>
  <c r="R243" i="24"/>
  <c r="I243" i="24"/>
  <c r="BT242" i="24"/>
  <c r="BR242" i="24"/>
  <c r="AF242" i="24"/>
  <c r="L242" i="24"/>
  <c r="N242" i="24" s="1"/>
  <c r="AA242" i="24"/>
  <c r="Y242" i="24"/>
  <c r="Z242" i="24" s="1"/>
  <c r="V242" i="24"/>
  <c r="R242" i="24"/>
  <c r="I242" i="24"/>
  <c r="BT241" i="24"/>
  <c r="BR241" i="24"/>
  <c r="AF241" i="24"/>
  <c r="L241" i="24"/>
  <c r="N241" i="24" s="1"/>
  <c r="AA241" i="24"/>
  <c r="Y241" i="24"/>
  <c r="Z241" i="24" s="1"/>
  <c r="V241" i="24"/>
  <c r="R241" i="24"/>
  <c r="I241" i="24"/>
  <c r="BT240" i="24"/>
  <c r="BR240" i="24"/>
  <c r="AF240" i="24"/>
  <c r="L240" i="24"/>
  <c r="N240" i="24" s="1"/>
  <c r="AA240" i="24"/>
  <c r="Y240" i="24"/>
  <c r="Z240" i="24" s="1"/>
  <c r="V240" i="24"/>
  <c r="R240" i="24"/>
  <c r="I240" i="24"/>
  <c r="BT239" i="24"/>
  <c r="BR239" i="24"/>
  <c r="AF239" i="24"/>
  <c r="L239" i="24"/>
  <c r="N239" i="24" s="1"/>
  <c r="AA239" i="24"/>
  <c r="Y239" i="24"/>
  <c r="Z239" i="24" s="1"/>
  <c r="V239" i="24"/>
  <c r="R239" i="24"/>
  <c r="I239" i="24"/>
  <c r="BT238" i="24"/>
  <c r="BR238" i="24"/>
  <c r="AF238" i="24"/>
  <c r="L238" i="24"/>
  <c r="N238" i="24" s="1"/>
  <c r="AA238" i="24"/>
  <c r="Y238" i="24"/>
  <c r="Z238" i="24" s="1"/>
  <c r="V238" i="24"/>
  <c r="R238" i="24"/>
  <c r="I238" i="24"/>
  <c r="BT237" i="24"/>
  <c r="BR237" i="24"/>
  <c r="AF237" i="24"/>
  <c r="L237" i="24"/>
  <c r="N237" i="24" s="1"/>
  <c r="AA237" i="24"/>
  <c r="Y237" i="24"/>
  <c r="Z237" i="24" s="1"/>
  <c r="V237" i="24"/>
  <c r="R237" i="24"/>
  <c r="I237" i="24"/>
  <c r="BT236" i="24"/>
  <c r="BR236" i="24"/>
  <c r="AF236" i="24"/>
  <c r="L236" i="24"/>
  <c r="N236" i="24" s="1"/>
  <c r="AA236" i="24"/>
  <c r="Y236" i="24"/>
  <c r="Z236" i="24" s="1"/>
  <c r="V236" i="24"/>
  <c r="R236" i="24"/>
  <c r="I236" i="24"/>
  <c r="BT235" i="24"/>
  <c r="BR235" i="24"/>
  <c r="AF235" i="24"/>
  <c r="L235" i="24"/>
  <c r="AA235" i="24"/>
  <c r="Y235" i="24"/>
  <c r="Z235" i="24" s="1"/>
  <c r="V235" i="24"/>
  <c r="R235" i="24"/>
  <c r="I235" i="24"/>
  <c r="BT234" i="24"/>
  <c r="BR234" i="24"/>
  <c r="AF234" i="24"/>
  <c r="L234" i="24"/>
  <c r="N234" i="24" s="1"/>
  <c r="AA234" i="24"/>
  <c r="Y234" i="24"/>
  <c r="Z234" i="24" s="1"/>
  <c r="V234" i="24"/>
  <c r="R234" i="24"/>
  <c r="I234" i="24"/>
  <c r="BT233" i="24"/>
  <c r="BR233" i="24"/>
  <c r="AF233" i="24"/>
  <c r="L233" i="24"/>
  <c r="AA233" i="24"/>
  <c r="Y233" i="24"/>
  <c r="Z233" i="24" s="1"/>
  <c r="V233" i="24"/>
  <c r="R233" i="24"/>
  <c r="I233" i="24"/>
  <c r="BT232" i="24"/>
  <c r="BR232" i="24"/>
  <c r="AF232" i="24"/>
  <c r="L232" i="24"/>
  <c r="N232" i="24" s="1"/>
  <c r="AA232" i="24"/>
  <c r="Y232" i="24"/>
  <c r="Z232" i="24" s="1"/>
  <c r="V232" i="24"/>
  <c r="R232" i="24"/>
  <c r="I232" i="24"/>
  <c r="BT231" i="24"/>
  <c r="BR231" i="24"/>
  <c r="AF231" i="24"/>
  <c r="L231" i="24"/>
  <c r="AA231" i="24"/>
  <c r="Y231" i="24"/>
  <c r="Z231" i="24" s="1"/>
  <c r="V231" i="24"/>
  <c r="R231" i="24"/>
  <c r="I231" i="24"/>
  <c r="BT230" i="24"/>
  <c r="BR230" i="24"/>
  <c r="AF230" i="24"/>
  <c r="L230" i="24"/>
  <c r="N230" i="24" s="1"/>
  <c r="AA230" i="24"/>
  <c r="Y230" i="24"/>
  <c r="Z230" i="24" s="1"/>
  <c r="V230" i="24"/>
  <c r="R230" i="24"/>
  <c r="I230" i="24"/>
  <c r="BT229" i="24"/>
  <c r="BR229" i="24"/>
  <c r="AF229" i="24"/>
  <c r="L229" i="24"/>
  <c r="N229" i="24" s="1"/>
  <c r="AA229" i="24"/>
  <c r="Y229" i="24"/>
  <c r="Z229" i="24" s="1"/>
  <c r="V229" i="24"/>
  <c r="R229" i="24"/>
  <c r="I229" i="24"/>
  <c r="BT228" i="24"/>
  <c r="BR228" i="24"/>
  <c r="AF228" i="24"/>
  <c r="L228" i="24"/>
  <c r="N228" i="24" s="1"/>
  <c r="AA228" i="24"/>
  <c r="Y228" i="24"/>
  <c r="Z228" i="24" s="1"/>
  <c r="V228" i="24"/>
  <c r="R228" i="24"/>
  <c r="I228" i="24"/>
  <c r="BT227" i="24"/>
  <c r="BR227" i="24"/>
  <c r="AF227" i="24"/>
  <c r="L227" i="24"/>
  <c r="AA227" i="24"/>
  <c r="Y227" i="24"/>
  <c r="Z227" i="24" s="1"/>
  <c r="V227" i="24"/>
  <c r="R227" i="24"/>
  <c r="I227" i="24"/>
  <c r="BT226" i="24"/>
  <c r="BR226" i="24"/>
  <c r="AF226" i="24"/>
  <c r="L226" i="24"/>
  <c r="N226" i="24" s="1"/>
  <c r="AA226" i="24"/>
  <c r="Y226" i="24"/>
  <c r="Z226" i="24" s="1"/>
  <c r="V226" i="24"/>
  <c r="R226" i="24"/>
  <c r="I226" i="24"/>
  <c r="BT225" i="24"/>
  <c r="BR225" i="24"/>
  <c r="AF225" i="24"/>
  <c r="L225" i="24"/>
  <c r="N225" i="24" s="1"/>
  <c r="AA225" i="24"/>
  <c r="Y225" i="24"/>
  <c r="Z225" i="24" s="1"/>
  <c r="V225" i="24"/>
  <c r="R225" i="24"/>
  <c r="I225" i="24"/>
  <c r="BT224" i="24"/>
  <c r="BR224" i="24"/>
  <c r="AF224" i="24"/>
  <c r="L224" i="24"/>
  <c r="AA224" i="24"/>
  <c r="Y224" i="24"/>
  <c r="Z224" i="24" s="1"/>
  <c r="V224" i="24"/>
  <c r="R224" i="24"/>
  <c r="I224" i="24"/>
  <c r="BT223" i="24"/>
  <c r="BR223" i="24"/>
  <c r="AF223" i="24"/>
  <c r="L223" i="24"/>
  <c r="AA223" i="24"/>
  <c r="Y223" i="24"/>
  <c r="Z223" i="24" s="1"/>
  <c r="V223" i="24"/>
  <c r="R223" i="24"/>
  <c r="I223" i="24"/>
  <c r="BT222" i="24"/>
  <c r="BR222" i="24"/>
  <c r="AF222" i="24"/>
  <c r="L222" i="24"/>
  <c r="N222" i="24" s="1"/>
  <c r="AA222" i="24"/>
  <c r="Y222" i="24"/>
  <c r="Z222" i="24" s="1"/>
  <c r="V222" i="24"/>
  <c r="R222" i="24"/>
  <c r="I222" i="24"/>
  <c r="BT221" i="24"/>
  <c r="BR221" i="24"/>
  <c r="AF221" i="24"/>
  <c r="L221" i="24"/>
  <c r="N221" i="24" s="1"/>
  <c r="AA221" i="24"/>
  <c r="Y221" i="24"/>
  <c r="Z221" i="24" s="1"/>
  <c r="V221" i="24"/>
  <c r="R221" i="24"/>
  <c r="I221" i="24"/>
  <c r="BT220" i="24"/>
  <c r="BR220" i="24"/>
  <c r="AF220" i="24"/>
  <c r="L220" i="24"/>
  <c r="N220" i="24" s="1"/>
  <c r="AA220" i="24"/>
  <c r="Y220" i="24"/>
  <c r="Z220" i="24" s="1"/>
  <c r="V220" i="24"/>
  <c r="R220" i="24"/>
  <c r="I220" i="24"/>
  <c r="BT219" i="24"/>
  <c r="BR219" i="24"/>
  <c r="AF219" i="24"/>
  <c r="L219" i="24"/>
  <c r="N219" i="24" s="1"/>
  <c r="AA219" i="24"/>
  <c r="Y219" i="24"/>
  <c r="Z219" i="24" s="1"/>
  <c r="V219" i="24"/>
  <c r="R219" i="24"/>
  <c r="I219" i="24"/>
  <c r="BT218" i="24"/>
  <c r="BR218" i="24"/>
  <c r="AF218" i="24"/>
  <c r="L218" i="24"/>
  <c r="AA218" i="24"/>
  <c r="Y218" i="24"/>
  <c r="Z218" i="24" s="1"/>
  <c r="V218" i="24"/>
  <c r="R218" i="24"/>
  <c r="I218" i="24"/>
  <c r="BT217" i="24"/>
  <c r="BR217" i="24"/>
  <c r="AF217" i="24"/>
  <c r="L217" i="24"/>
  <c r="N217" i="24" s="1"/>
  <c r="AA217" i="24"/>
  <c r="Y217" i="24"/>
  <c r="Z217" i="24" s="1"/>
  <c r="V217" i="24"/>
  <c r="R217" i="24"/>
  <c r="I217" i="24"/>
  <c r="BT216" i="24"/>
  <c r="BR216" i="24"/>
  <c r="AF216" i="24"/>
  <c r="L216" i="24"/>
  <c r="AA216" i="24"/>
  <c r="Y216" i="24"/>
  <c r="Z216" i="24" s="1"/>
  <c r="V216" i="24"/>
  <c r="R216" i="24"/>
  <c r="I216" i="24"/>
  <c r="BT215" i="24"/>
  <c r="BR215" i="24"/>
  <c r="AF215" i="24"/>
  <c r="L215" i="24"/>
  <c r="N215" i="24" s="1"/>
  <c r="AA215" i="24"/>
  <c r="Y215" i="24"/>
  <c r="Z215" i="24" s="1"/>
  <c r="V215" i="24"/>
  <c r="R215" i="24"/>
  <c r="I215" i="24"/>
  <c r="BT214" i="24"/>
  <c r="BR214" i="24"/>
  <c r="AF214" i="24"/>
  <c r="L214" i="24"/>
  <c r="N214" i="24" s="1"/>
  <c r="AA214" i="24"/>
  <c r="Y214" i="24"/>
  <c r="Z214" i="24" s="1"/>
  <c r="V214" i="24"/>
  <c r="R214" i="24"/>
  <c r="I214" i="24"/>
  <c r="BT213" i="24"/>
  <c r="BR213" i="24"/>
  <c r="AF213" i="24"/>
  <c r="L213" i="24"/>
  <c r="AA213" i="24"/>
  <c r="Y213" i="24"/>
  <c r="Z213" i="24" s="1"/>
  <c r="V213" i="24"/>
  <c r="R213" i="24"/>
  <c r="I213" i="24"/>
  <c r="BT212" i="24"/>
  <c r="BR212" i="24"/>
  <c r="AF212" i="24"/>
  <c r="L212" i="24"/>
  <c r="N212" i="24" s="1"/>
  <c r="AA212" i="24"/>
  <c r="Y212" i="24"/>
  <c r="Z212" i="24" s="1"/>
  <c r="V212" i="24"/>
  <c r="R212" i="24"/>
  <c r="I212" i="24"/>
  <c r="BT211" i="24"/>
  <c r="BR211" i="24"/>
  <c r="AF211" i="24"/>
  <c r="L211" i="24"/>
  <c r="N211" i="24" s="1"/>
  <c r="AA211" i="24"/>
  <c r="Y211" i="24"/>
  <c r="Z211" i="24" s="1"/>
  <c r="V211" i="24"/>
  <c r="R211" i="24"/>
  <c r="I211" i="24"/>
  <c r="BT210" i="24"/>
  <c r="BR210" i="24"/>
  <c r="AF210" i="24"/>
  <c r="L210" i="24"/>
  <c r="N210" i="24" s="1"/>
  <c r="AA210" i="24"/>
  <c r="Y210" i="24"/>
  <c r="Z210" i="24" s="1"/>
  <c r="V210" i="24"/>
  <c r="R210" i="24"/>
  <c r="I210" i="24"/>
  <c r="BT209" i="24"/>
  <c r="BR209" i="24"/>
  <c r="AF209" i="24"/>
  <c r="L209" i="24"/>
  <c r="N209" i="24" s="1"/>
  <c r="AA209" i="24"/>
  <c r="Y209" i="24"/>
  <c r="Z209" i="24" s="1"/>
  <c r="V209" i="24"/>
  <c r="R209" i="24"/>
  <c r="I209" i="24"/>
  <c r="BT208" i="24"/>
  <c r="BR208" i="24"/>
  <c r="AF208" i="24"/>
  <c r="L208" i="24"/>
  <c r="N208" i="24" s="1"/>
  <c r="AA208" i="24"/>
  <c r="Y208" i="24"/>
  <c r="Z208" i="24" s="1"/>
  <c r="V208" i="24"/>
  <c r="R208" i="24"/>
  <c r="I208" i="24"/>
  <c r="BT207" i="24"/>
  <c r="BR207" i="24"/>
  <c r="AF207" i="24"/>
  <c r="L207" i="24"/>
  <c r="AA207" i="24"/>
  <c r="Y207" i="24"/>
  <c r="Z207" i="24" s="1"/>
  <c r="V207" i="24"/>
  <c r="R207" i="24"/>
  <c r="I207" i="24"/>
  <c r="BT206" i="24"/>
  <c r="BR206" i="24"/>
  <c r="AF206" i="24"/>
  <c r="L206" i="24"/>
  <c r="N206" i="24" s="1"/>
  <c r="AA206" i="24"/>
  <c r="Y206" i="24"/>
  <c r="Z206" i="24" s="1"/>
  <c r="V206" i="24"/>
  <c r="R206" i="24"/>
  <c r="I206" i="24"/>
  <c r="BT205" i="24"/>
  <c r="BR205" i="24"/>
  <c r="AF205" i="24"/>
  <c r="L205" i="24"/>
  <c r="AA205" i="24"/>
  <c r="Y205" i="24"/>
  <c r="Z205" i="24" s="1"/>
  <c r="V205" i="24"/>
  <c r="R205" i="24"/>
  <c r="I205" i="24"/>
  <c r="BT204" i="24"/>
  <c r="BR204" i="24"/>
  <c r="AF204" i="24"/>
  <c r="L204" i="24"/>
  <c r="N204" i="24" s="1"/>
  <c r="AA204" i="24"/>
  <c r="Y204" i="24"/>
  <c r="Z204" i="24" s="1"/>
  <c r="V204" i="24"/>
  <c r="R204" i="24"/>
  <c r="I204" i="24"/>
  <c r="BT203" i="24"/>
  <c r="BR203" i="24"/>
  <c r="AF203" i="24"/>
  <c r="L203" i="24"/>
  <c r="AA203" i="24"/>
  <c r="Y203" i="24"/>
  <c r="Z203" i="24" s="1"/>
  <c r="V203" i="24"/>
  <c r="R203" i="24"/>
  <c r="I203" i="24"/>
  <c r="BT202" i="24"/>
  <c r="BR202" i="24"/>
  <c r="AF202" i="24"/>
  <c r="L202" i="24"/>
  <c r="N202" i="24" s="1"/>
  <c r="AA202" i="24"/>
  <c r="Y202" i="24"/>
  <c r="Z202" i="24" s="1"/>
  <c r="V202" i="24"/>
  <c r="R202" i="24"/>
  <c r="I202" i="24"/>
  <c r="BT201" i="24"/>
  <c r="BR201" i="24"/>
  <c r="AF201" i="24"/>
  <c r="L201" i="24"/>
  <c r="N201" i="24" s="1"/>
  <c r="AA201" i="24"/>
  <c r="Y201" i="24"/>
  <c r="Z201" i="24" s="1"/>
  <c r="V201" i="24"/>
  <c r="R201" i="24"/>
  <c r="I201" i="24"/>
  <c r="BT200" i="24"/>
  <c r="BR200" i="24"/>
  <c r="AF200" i="24"/>
  <c r="L200" i="24"/>
  <c r="N200" i="24" s="1"/>
  <c r="AA200" i="24"/>
  <c r="Y200" i="24"/>
  <c r="Z200" i="24" s="1"/>
  <c r="V200" i="24"/>
  <c r="R200" i="24"/>
  <c r="I200" i="24"/>
  <c r="BT199" i="24"/>
  <c r="BR199" i="24"/>
  <c r="AF199" i="24"/>
  <c r="L199" i="24"/>
  <c r="AA199" i="24"/>
  <c r="Y199" i="24"/>
  <c r="Z199" i="24" s="1"/>
  <c r="V199" i="24"/>
  <c r="R199" i="24"/>
  <c r="I199" i="24"/>
  <c r="BT198" i="24"/>
  <c r="BR198" i="24"/>
  <c r="AF198" i="24"/>
  <c r="L198" i="24"/>
  <c r="N198" i="24" s="1"/>
  <c r="AA198" i="24"/>
  <c r="Y198" i="24"/>
  <c r="Z198" i="24" s="1"/>
  <c r="V198" i="24"/>
  <c r="R198" i="24"/>
  <c r="I198" i="24"/>
  <c r="BT197" i="24"/>
  <c r="BR197" i="24"/>
  <c r="AF197" i="24"/>
  <c r="L197" i="24"/>
  <c r="N197" i="24" s="1"/>
  <c r="AA197" i="24"/>
  <c r="Y197" i="24"/>
  <c r="Z197" i="24" s="1"/>
  <c r="V197" i="24"/>
  <c r="R197" i="24"/>
  <c r="I197" i="24"/>
  <c r="BT196" i="24"/>
  <c r="BR196" i="24"/>
  <c r="AF196" i="24"/>
  <c r="L196" i="24"/>
  <c r="N196" i="24" s="1"/>
  <c r="AA196" i="24"/>
  <c r="Y196" i="24"/>
  <c r="Z196" i="24" s="1"/>
  <c r="V196" i="24"/>
  <c r="R196" i="24"/>
  <c r="I196" i="24"/>
  <c r="BT195" i="24"/>
  <c r="BR195" i="24"/>
  <c r="AF195" i="24"/>
  <c r="L195" i="24"/>
  <c r="N195" i="24" s="1"/>
  <c r="AA195" i="24"/>
  <c r="Y195" i="24"/>
  <c r="Z195" i="24" s="1"/>
  <c r="V195" i="24"/>
  <c r="R195" i="24"/>
  <c r="I195" i="24"/>
  <c r="BT194" i="24"/>
  <c r="BR194" i="24"/>
  <c r="AF194" i="24"/>
  <c r="L194" i="24"/>
  <c r="N194" i="24" s="1"/>
  <c r="AA194" i="24"/>
  <c r="Y194" i="24"/>
  <c r="Z194" i="24" s="1"/>
  <c r="V194" i="24"/>
  <c r="R194" i="24"/>
  <c r="I194" i="24"/>
  <c r="BT193" i="24"/>
  <c r="BR193" i="24"/>
  <c r="AF193" i="24"/>
  <c r="L193" i="24"/>
  <c r="N193" i="24" s="1"/>
  <c r="AA193" i="24"/>
  <c r="Y193" i="24"/>
  <c r="Z193" i="24" s="1"/>
  <c r="V193" i="24"/>
  <c r="R193" i="24"/>
  <c r="I193" i="24"/>
  <c r="BT192" i="24"/>
  <c r="BR192" i="24"/>
  <c r="AF192" i="24"/>
  <c r="L192" i="24"/>
  <c r="N192" i="24" s="1"/>
  <c r="AA192" i="24"/>
  <c r="Y192" i="24"/>
  <c r="Z192" i="24" s="1"/>
  <c r="V192" i="24"/>
  <c r="R192" i="24"/>
  <c r="I192" i="24"/>
  <c r="BT191" i="24"/>
  <c r="BR191" i="24"/>
  <c r="AF191" i="24"/>
  <c r="L191" i="24"/>
  <c r="AA191" i="24"/>
  <c r="Y191" i="24"/>
  <c r="Z191" i="24" s="1"/>
  <c r="V191" i="24"/>
  <c r="R191" i="24"/>
  <c r="I191" i="24"/>
  <c r="BT190" i="24"/>
  <c r="BR190" i="24"/>
  <c r="AF190" i="24"/>
  <c r="L190" i="24"/>
  <c r="N190" i="24" s="1"/>
  <c r="AA190" i="24"/>
  <c r="Y190" i="24"/>
  <c r="Z190" i="24" s="1"/>
  <c r="V190" i="24"/>
  <c r="R190" i="24"/>
  <c r="I190" i="24"/>
  <c r="BT189" i="24"/>
  <c r="BR189" i="24"/>
  <c r="AF189" i="24"/>
  <c r="L189" i="24"/>
  <c r="N189" i="24" s="1"/>
  <c r="AA189" i="24"/>
  <c r="Y189" i="24"/>
  <c r="Z189" i="24" s="1"/>
  <c r="V189" i="24"/>
  <c r="R189" i="24"/>
  <c r="I189" i="24"/>
  <c r="BT188" i="24"/>
  <c r="BR188" i="24"/>
  <c r="AF188" i="24"/>
  <c r="L188" i="24"/>
  <c r="N188" i="24" s="1"/>
  <c r="AA188" i="24"/>
  <c r="Y188" i="24"/>
  <c r="Z188" i="24" s="1"/>
  <c r="V188" i="24"/>
  <c r="R188" i="24"/>
  <c r="I188" i="24"/>
  <c r="BT187" i="24"/>
  <c r="BR187" i="24"/>
  <c r="AF187" i="24"/>
  <c r="L187" i="24"/>
  <c r="AA187" i="24"/>
  <c r="Y187" i="24"/>
  <c r="Z187" i="24" s="1"/>
  <c r="V187" i="24"/>
  <c r="R187" i="24"/>
  <c r="I187" i="24"/>
  <c r="BT186" i="24"/>
  <c r="BR186" i="24"/>
  <c r="AF186" i="24"/>
  <c r="L186" i="24"/>
  <c r="N186" i="24" s="1"/>
  <c r="AA186" i="24"/>
  <c r="Y186" i="24"/>
  <c r="Z186" i="24" s="1"/>
  <c r="V186" i="24"/>
  <c r="R186" i="24"/>
  <c r="I186" i="24"/>
  <c r="BT185" i="24"/>
  <c r="BR185" i="24"/>
  <c r="AF185" i="24"/>
  <c r="L185" i="24"/>
  <c r="N185" i="24" s="1"/>
  <c r="AA185" i="24"/>
  <c r="Y185" i="24"/>
  <c r="Z185" i="24" s="1"/>
  <c r="V185" i="24"/>
  <c r="R185" i="24"/>
  <c r="I185" i="24"/>
  <c r="BT184" i="24"/>
  <c r="BR184" i="24"/>
  <c r="AF184" i="24"/>
  <c r="L184" i="24"/>
  <c r="N184" i="24" s="1"/>
  <c r="AA184" i="24"/>
  <c r="Y184" i="24"/>
  <c r="Z184" i="24" s="1"/>
  <c r="V184" i="24"/>
  <c r="R184" i="24"/>
  <c r="I184" i="24"/>
  <c r="BT183" i="24"/>
  <c r="BR183" i="24"/>
  <c r="AF183" i="24"/>
  <c r="L183" i="24"/>
  <c r="AA183" i="24"/>
  <c r="Y183" i="24"/>
  <c r="Z183" i="24" s="1"/>
  <c r="V183" i="24"/>
  <c r="R183" i="24"/>
  <c r="I183" i="24"/>
  <c r="BT182" i="24"/>
  <c r="BR182" i="24"/>
  <c r="AF182" i="24"/>
  <c r="L182" i="24"/>
  <c r="N182" i="24" s="1"/>
  <c r="AA182" i="24"/>
  <c r="Y182" i="24"/>
  <c r="Z182" i="24" s="1"/>
  <c r="V182" i="24"/>
  <c r="R182" i="24"/>
  <c r="I182" i="24"/>
  <c r="BT181" i="24"/>
  <c r="BR181" i="24"/>
  <c r="AF181" i="24"/>
  <c r="L181" i="24"/>
  <c r="N181" i="24" s="1"/>
  <c r="AA181" i="24"/>
  <c r="Y181" i="24"/>
  <c r="Z181" i="24" s="1"/>
  <c r="V181" i="24"/>
  <c r="R181" i="24"/>
  <c r="I181" i="24"/>
  <c r="BT180" i="24"/>
  <c r="BR180" i="24"/>
  <c r="AF180" i="24"/>
  <c r="L180" i="24"/>
  <c r="N180" i="24" s="1"/>
  <c r="AA180" i="24"/>
  <c r="Y180" i="24"/>
  <c r="Z180" i="24" s="1"/>
  <c r="V180" i="24"/>
  <c r="R180" i="24"/>
  <c r="I180" i="24"/>
  <c r="BT179" i="24"/>
  <c r="BR179" i="24"/>
  <c r="AF179" i="24"/>
  <c r="L179" i="24"/>
  <c r="AA179" i="24"/>
  <c r="Y179" i="24"/>
  <c r="Z179" i="24" s="1"/>
  <c r="V179" i="24"/>
  <c r="R179" i="24"/>
  <c r="I179" i="24"/>
  <c r="BT178" i="24"/>
  <c r="BR178" i="24"/>
  <c r="AF178" i="24"/>
  <c r="L178" i="24"/>
  <c r="N178" i="24" s="1"/>
  <c r="AA178" i="24"/>
  <c r="Y178" i="24"/>
  <c r="Z178" i="24" s="1"/>
  <c r="V178" i="24"/>
  <c r="R178" i="24"/>
  <c r="I178" i="24"/>
  <c r="BT177" i="24"/>
  <c r="BR177" i="24"/>
  <c r="AF177" i="24"/>
  <c r="L177" i="24"/>
  <c r="N177" i="24" s="1"/>
  <c r="AA177" i="24"/>
  <c r="Y177" i="24"/>
  <c r="Z177" i="24" s="1"/>
  <c r="V177" i="24"/>
  <c r="R177" i="24"/>
  <c r="I177" i="24"/>
  <c r="BT176" i="24"/>
  <c r="BR176" i="24"/>
  <c r="AF176" i="24"/>
  <c r="L176" i="24"/>
  <c r="N176" i="24" s="1"/>
  <c r="AA176" i="24"/>
  <c r="Y176" i="24"/>
  <c r="Z176" i="24" s="1"/>
  <c r="V176" i="24"/>
  <c r="R176" i="24"/>
  <c r="I176" i="24"/>
  <c r="BT175" i="24"/>
  <c r="BR175" i="24"/>
  <c r="AF175" i="24"/>
  <c r="L175" i="24"/>
  <c r="AA175" i="24"/>
  <c r="Y175" i="24"/>
  <c r="Z175" i="24" s="1"/>
  <c r="V175" i="24"/>
  <c r="R175" i="24"/>
  <c r="I175" i="24"/>
  <c r="BT174" i="24"/>
  <c r="BR174" i="24"/>
  <c r="AF174" i="24"/>
  <c r="L174" i="24"/>
  <c r="N174" i="24" s="1"/>
  <c r="AA174" i="24"/>
  <c r="Y174" i="24"/>
  <c r="Z174" i="24" s="1"/>
  <c r="V174" i="24"/>
  <c r="R174" i="24"/>
  <c r="I174" i="24"/>
  <c r="BT173" i="24"/>
  <c r="BR173" i="24"/>
  <c r="AF173" i="24"/>
  <c r="L173" i="24"/>
  <c r="N173" i="24" s="1"/>
  <c r="AA173" i="24"/>
  <c r="Y173" i="24"/>
  <c r="Z173" i="24" s="1"/>
  <c r="V173" i="24"/>
  <c r="R173" i="24"/>
  <c r="I173" i="24"/>
  <c r="BT172" i="24"/>
  <c r="BR172" i="24"/>
  <c r="AF172" i="24"/>
  <c r="L172" i="24"/>
  <c r="N172" i="24" s="1"/>
  <c r="AA172" i="24"/>
  <c r="Y172" i="24"/>
  <c r="Z172" i="24" s="1"/>
  <c r="V172" i="24"/>
  <c r="R172" i="24"/>
  <c r="I172" i="24"/>
  <c r="BT171" i="24"/>
  <c r="BR171" i="24"/>
  <c r="AF171" i="24"/>
  <c r="L171" i="24"/>
  <c r="N171" i="24" s="1"/>
  <c r="AA171" i="24"/>
  <c r="Y171" i="24"/>
  <c r="Z171" i="24" s="1"/>
  <c r="V171" i="24"/>
  <c r="R171" i="24"/>
  <c r="I171" i="24"/>
  <c r="BT170" i="24"/>
  <c r="BR170" i="24"/>
  <c r="AF170" i="24"/>
  <c r="L170" i="24"/>
  <c r="N170" i="24" s="1"/>
  <c r="AA170" i="24"/>
  <c r="Y170" i="24"/>
  <c r="Z170" i="24" s="1"/>
  <c r="V170" i="24"/>
  <c r="R170" i="24"/>
  <c r="I170" i="24"/>
  <c r="BT169" i="24"/>
  <c r="BR169" i="24"/>
  <c r="AF169" i="24"/>
  <c r="L169" i="24"/>
  <c r="N169" i="24" s="1"/>
  <c r="AA169" i="24"/>
  <c r="Y169" i="24"/>
  <c r="Z169" i="24" s="1"/>
  <c r="V169" i="24"/>
  <c r="R169" i="24"/>
  <c r="I169" i="24"/>
  <c r="BT168" i="24"/>
  <c r="BR168" i="24"/>
  <c r="AF168" i="24"/>
  <c r="L168" i="24"/>
  <c r="N168" i="24" s="1"/>
  <c r="AA168" i="24"/>
  <c r="Y168" i="24"/>
  <c r="Z168" i="24" s="1"/>
  <c r="V168" i="24"/>
  <c r="R168" i="24"/>
  <c r="I168" i="24"/>
  <c r="BT167" i="24"/>
  <c r="BR167" i="24"/>
  <c r="AF167" i="24"/>
  <c r="L167" i="24"/>
  <c r="AA167" i="24"/>
  <c r="Y167" i="24"/>
  <c r="Z167" i="24" s="1"/>
  <c r="V167" i="24"/>
  <c r="R167" i="24"/>
  <c r="I167" i="24"/>
  <c r="BT166" i="24"/>
  <c r="BR166" i="24"/>
  <c r="AF166" i="24"/>
  <c r="L166" i="24"/>
  <c r="N166" i="24" s="1"/>
  <c r="AA166" i="24"/>
  <c r="Y166" i="24"/>
  <c r="Z166" i="24" s="1"/>
  <c r="V166" i="24"/>
  <c r="R166" i="24"/>
  <c r="I166" i="24"/>
  <c r="BT165" i="24"/>
  <c r="BR165" i="24"/>
  <c r="AF165" i="24"/>
  <c r="L165" i="24"/>
  <c r="N165" i="24" s="1"/>
  <c r="AA165" i="24"/>
  <c r="Y165" i="24"/>
  <c r="Z165" i="24" s="1"/>
  <c r="V165" i="24"/>
  <c r="R165" i="24"/>
  <c r="I165" i="24"/>
  <c r="BT164" i="24"/>
  <c r="BR164" i="24"/>
  <c r="AF164" i="24"/>
  <c r="L164" i="24"/>
  <c r="N164" i="24" s="1"/>
  <c r="AA164" i="24"/>
  <c r="Y164" i="24"/>
  <c r="Z164" i="24" s="1"/>
  <c r="V164" i="24"/>
  <c r="R164" i="24"/>
  <c r="I164" i="24"/>
  <c r="BT163" i="24"/>
  <c r="BR163" i="24"/>
  <c r="AF163" i="24"/>
  <c r="L163" i="24"/>
  <c r="AA163" i="24"/>
  <c r="Y163" i="24"/>
  <c r="Z163" i="24" s="1"/>
  <c r="V163" i="24"/>
  <c r="R163" i="24"/>
  <c r="I163" i="24"/>
  <c r="BT162" i="24"/>
  <c r="BR162" i="24"/>
  <c r="AF162" i="24"/>
  <c r="L162" i="24"/>
  <c r="N162" i="24" s="1"/>
  <c r="AA162" i="24"/>
  <c r="Y162" i="24"/>
  <c r="Z162" i="24" s="1"/>
  <c r="V162" i="24"/>
  <c r="R162" i="24"/>
  <c r="I162" i="24"/>
  <c r="BT161" i="24"/>
  <c r="BR161" i="24"/>
  <c r="AF161" i="24"/>
  <c r="L161" i="24"/>
  <c r="AA161" i="24"/>
  <c r="Y161" i="24"/>
  <c r="Z161" i="24" s="1"/>
  <c r="V161" i="24"/>
  <c r="R161" i="24"/>
  <c r="I161" i="24"/>
  <c r="BT160" i="24"/>
  <c r="BR160" i="24"/>
  <c r="AF160" i="24"/>
  <c r="L160" i="24"/>
  <c r="N160" i="24" s="1"/>
  <c r="AA160" i="24"/>
  <c r="Y160" i="24"/>
  <c r="Z160" i="24" s="1"/>
  <c r="V160" i="24"/>
  <c r="R160" i="24"/>
  <c r="I160" i="24"/>
  <c r="BT159" i="24"/>
  <c r="BR159" i="24"/>
  <c r="AF159" i="24"/>
  <c r="L159" i="24"/>
  <c r="N159" i="24" s="1"/>
  <c r="AA159" i="24"/>
  <c r="Y159" i="24"/>
  <c r="Z159" i="24" s="1"/>
  <c r="V159" i="24"/>
  <c r="R159" i="24"/>
  <c r="I159" i="24"/>
  <c r="BT158" i="24"/>
  <c r="BR158" i="24"/>
  <c r="AF158" i="24"/>
  <c r="L158" i="24"/>
  <c r="N158" i="24" s="1"/>
  <c r="AA158" i="24"/>
  <c r="Y158" i="24"/>
  <c r="Z158" i="24" s="1"/>
  <c r="V158" i="24"/>
  <c r="R158" i="24"/>
  <c r="I158" i="24"/>
  <c r="BT157" i="24"/>
  <c r="BR157" i="24"/>
  <c r="AF157" i="24"/>
  <c r="L157" i="24"/>
  <c r="N157" i="24" s="1"/>
  <c r="AA157" i="24"/>
  <c r="Y157" i="24"/>
  <c r="Z157" i="24" s="1"/>
  <c r="V157" i="24"/>
  <c r="R157" i="24"/>
  <c r="I157" i="24"/>
  <c r="BT156" i="24"/>
  <c r="BR156" i="24"/>
  <c r="AF156" i="24"/>
  <c r="L156" i="24"/>
  <c r="N156" i="24" s="1"/>
  <c r="AA156" i="24"/>
  <c r="Y156" i="24"/>
  <c r="Z156" i="24" s="1"/>
  <c r="V156" i="24"/>
  <c r="R156" i="24"/>
  <c r="I156" i="24"/>
  <c r="BT155" i="24"/>
  <c r="BR155" i="24"/>
  <c r="AF155" i="24"/>
  <c r="L155" i="24"/>
  <c r="AA155" i="24"/>
  <c r="Y155" i="24"/>
  <c r="Z155" i="24" s="1"/>
  <c r="V155" i="24"/>
  <c r="R155" i="24"/>
  <c r="I155" i="24"/>
  <c r="BT154" i="24"/>
  <c r="BR154" i="24"/>
  <c r="AF154" i="24"/>
  <c r="L154" i="24"/>
  <c r="N154" i="24" s="1"/>
  <c r="AA154" i="24"/>
  <c r="Y154" i="24"/>
  <c r="Z154" i="24" s="1"/>
  <c r="V154" i="24"/>
  <c r="R154" i="24"/>
  <c r="I154" i="24"/>
  <c r="BT153" i="24"/>
  <c r="BR153" i="24"/>
  <c r="AF153" i="24"/>
  <c r="L153" i="24"/>
  <c r="N153" i="24" s="1"/>
  <c r="AA153" i="24"/>
  <c r="Y153" i="24"/>
  <c r="Z153" i="24" s="1"/>
  <c r="V153" i="24"/>
  <c r="R153" i="24"/>
  <c r="I153" i="24"/>
  <c r="BT152" i="24"/>
  <c r="BR152" i="24"/>
  <c r="AF152" i="24"/>
  <c r="L152" i="24"/>
  <c r="N152" i="24" s="1"/>
  <c r="AA152" i="24"/>
  <c r="Y152" i="24"/>
  <c r="Z152" i="24" s="1"/>
  <c r="V152" i="24"/>
  <c r="R152" i="24"/>
  <c r="I152" i="24"/>
  <c r="BT151" i="24"/>
  <c r="BR151" i="24"/>
  <c r="AF151" i="24"/>
  <c r="L151" i="24"/>
  <c r="AA151" i="24"/>
  <c r="Y151" i="24"/>
  <c r="Z151" i="24" s="1"/>
  <c r="V151" i="24"/>
  <c r="R151" i="24"/>
  <c r="I151" i="24"/>
  <c r="BT150" i="24"/>
  <c r="BR150" i="24"/>
  <c r="AF150" i="24"/>
  <c r="L150" i="24"/>
  <c r="N150" i="24" s="1"/>
  <c r="AA150" i="24"/>
  <c r="Y150" i="24"/>
  <c r="Z150" i="24" s="1"/>
  <c r="V150" i="24"/>
  <c r="R150" i="24"/>
  <c r="I150" i="24"/>
  <c r="BT149" i="24"/>
  <c r="BR149" i="24"/>
  <c r="AF149" i="24"/>
  <c r="L149" i="24"/>
  <c r="AA149" i="24"/>
  <c r="Y149" i="24"/>
  <c r="Z149" i="24" s="1"/>
  <c r="V149" i="24"/>
  <c r="R149" i="24"/>
  <c r="I149" i="24"/>
  <c r="BT148" i="24"/>
  <c r="BR148" i="24"/>
  <c r="AF148" i="24"/>
  <c r="L148" i="24"/>
  <c r="AA148" i="24"/>
  <c r="Y148" i="24"/>
  <c r="Z148" i="24" s="1"/>
  <c r="V148" i="24"/>
  <c r="R148" i="24"/>
  <c r="I148" i="24"/>
  <c r="BT147" i="24"/>
  <c r="BR147" i="24"/>
  <c r="AF147" i="24"/>
  <c r="L147" i="24"/>
  <c r="AA147" i="24"/>
  <c r="Y147" i="24"/>
  <c r="Z147" i="24" s="1"/>
  <c r="V147" i="24"/>
  <c r="R147" i="24"/>
  <c r="I147" i="24"/>
  <c r="BT146" i="24"/>
  <c r="BR146" i="24"/>
  <c r="AF146" i="24"/>
  <c r="L146" i="24"/>
  <c r="AA146" i="24"/>
  <c r="Y146" i="24"/>
  <c r="Z146" i="24" s="1"/>
  <c r="V146" i="24"/>
  <c r="R146" i="24"/>
  <c r="I146" i="24"/>
  <c r="BT145" i="24"/>
  <c r="BR145" i="24"/>
  <c r="AF145" i="24"/>
  <c r="L145" i="24"/>
  <c r="AA145" i="24"/>
  <c r="Y145" i="24"/>
  <c r="Z145" i="24" s="1"/>
  <c r="V145" i="24"/>
  <c r="R145" i="24"/>
  <c r="I145" i="24"/>
  <c r="BT144" i="24"/>
  <c r="BR144" i="24"/>
  <c r="AF144" i="24"/>
  <c r="L144" i="24"/>
  <c r="AA144" i="24"/>
  <c r="Y144" i="24"/>
  <c r="Z144" i="24" s="1"/>
  <c r="V144" i="24"/>
  <c r="R144" i="24"/>
  <c r="I144" i="24"/>
  <c r="BT143" i="24"/>
  <c r="BR143" i="24"/>
  <c r="AF143" i="24"/>
  <c r="L143" i="24"/>
  <c r="AA143" i="24"/>
  <c r="Y143" i="24"/>
  <c r="Z143" i="24" s="1"/>
  <c r="V143" i="24"/>
  <c r="R143" i="24"/>
  <c r="I143" i="24"/>
  <c r="BT142" i="24"/>
  <c r="BR142" i="24"/>
  <c r="AF142" i="24"/>
  <c r="L142" i="24"/>
  <c r="AA142" i="24"/>
  <c r="Y142" i="24"/>
  <c r="Z142" i="24" s="1"/>
  <c r="V142" i="24"/>
  <c r="R142" i="24"/>
  <c r="I142" i="24"/>
  <c r="BT141" i="24"/>
  <c r="BR141" i="24"/>
  <c r="AF141" i="24"/>
  <c r="L141" i="24"/>
  <c r="AA141" i="24"/>
  <c r="Y141" i="24"/>
  <c r="Z141" i="24" s="1"/>
  <c r="V141" i="24"/>
  <c r="R141" i="24"/>
  <c r="I141" i="24"/>
  <c r="BT140" i="24"/>
  <c r="BR140" i="24"/>
  <c r="AF140" i="24"/>
  <c r="L140" i="24"/>
  <c r="AA140" i="24"/>
  <c r="Y140" i="24"/>
  <c r="Z140" i="24" s="1"/>
  <c r="V140" i="24"/>
  <c r="R140" i="24"/>
  <c r="I140" i="24"/>
  <c r="BT139" i="24"/>
  <c r="BR139" i="24"/>
  <c r="AF139" i="24"/>
  <c r="L139" i="24"/>
  <c r="AA139" i="24"/>
  <c r="Y139" i="24"/>
  <c r="Z139" i="24" s="1"/>
  <c r="V139" i="24"/>
  <c r="R139" i="24"/>
  <c r="I139" i="24"/>
  <c r="BT138" i="24"/>
  <c r="BR138" i="24"/>
  <c r="AF138" i="24"/>
  <c r="L138" i="24"/>
  <c r="AA138" i="24"/>
  <c r="Y138" i="24"/>
  <c r="Z138" i="24" s="1"/>
  <c r="V138" i="24"/>
  <c r="R138" i="24"/>
  <c r="I138" i="24"/>
  <c r="BT137" i="24"/>
  <c r="BR137" i="24"/>
  <c r="AF137" i="24"/>
  <c r="L137" i="24"/>
  <c r="AA137" i="24"/>
  <c r="Y137" i="24"/>
  <c r="Z137" i="24" s="1"/>
  <c r="V137" i="24"/>
  <c r="R137" i="24"/>
  <c r="I137" i="24"/>
  <c r="BT136" i="24"/>
  <c r="BR136" i="24"/>
  <c r="AF136" i="24"/>
  <c r="L136" i="24"/>
  <c r="AA136" i="24"/>
  <c r="Y136" i="24"/>
  <c r="Z136" i="24" s="1"/>
  <c r="V136" i="24"/>
  <c r="R136" i="24"/>
  <c r="I136" i="24"/>
  <c r="BT135" i="24"/>
  <c r="BR135" i="24"/>
  <c r="AF135" i="24"/>
  <c r="L135" i="24"/>
  <c r="AA135" i="24"/>
  <c r="Y135" i="24"/>
  <c r="Z135" i="24" s="1"/>
  <c r="V135" i="24"/>
  <c r="R135" i="24"/>
  <c r="I135" i="24"/>
  <c r="BT134" i="24"/>
  <c r="BR134" i="24"/>
  <c r="AF134" i="24"/>
  <c r="L134" i="24"/>
  <c r="AA134" i="24"/>
  <c r="Y134" i="24"/>
  <c r="Z134" i="24" s="1"/>
  <c r="V134" i="24"/>
  <c r="R134" i="24"/>
  <c r="I134" i="24"/>
  <c r="BT133" i="24"/>
  <c r="BR133" i="24"/>
  <c r="AF133" i="24"/>
  <c r="L133" i="24"/>
  <c r="AA133" i="24"/>
  <c r="Y133" i="24"/>
  <c r="Z133" i="24" s="1"/>
  <c r="V133" i="24"/>
  <c r="R133" i="24"/>
  <c r="I133" i="24"/>
  <c r="BT132" i="24"/>
  <c r="BR132" i="24"/>
  <c r="AF132" i="24"/>
  <c r="L132" i="24"/>
  <c r="AA132" i="24"/>
  <c r="Y132" i="24"/>
  <c r="Z132" i="24" s="1"/>
  <c r="V132" i="24"/>
  <c r="R132" i="24"/>
  <c r="I132" i="24"/>
  <c r="BT131" i="24"/>
  <c r="BR131" i="24"/>
  <c r="AF131" i="24"/>
  <c r="L131" i="24"/>
  <c r="AA131" i="24"/>
  <c r="Y131" i="24"/>
  <c r="Z131" i="24" s="1"/>
  <c r="V131" i="24"/>
  <c r="R131" i="24"/>
  <c r="I131" i="24"/>
  <c r="BT130" i="24"/>
  <c r="BR130" i="24"/>
  <c r="AF130" i="24"/>
  <c r="L130" i="24"/>
  <c r="AA130" i="24"/>
  <c r="Y130" i="24"/>
  <c r="Z130" i="24" s="1"/>
  <c r="V130" i="24"/>
  <c r="R130" i="24"/>
  <c r="I130" i="24"/>
  <c r="BT129" i="24"/>
  <c r="BR129" i="24"/>
  <c r="AF129" i="24"/>
  <c r="L129" i="24"/>
  <c r="AA129" i="24"/>
  <c r="Y129" i="24"/>
  <c r="Z129" i="24" s="1"/>
  <c r="V129" i="24"/>
  <c r="R129" i="24"/>
  <c r="I129" i="24"/>
  <c r="BT128" i="24"/>
  <c r="BR128" i="24"/>
  <c r="AF128" i="24"/>
  <c r="L128" i="24"/>
  <c r="AA128" i="24"/>
  <c r="Y128" i="24"/>
  <c r="Z128" i="24" s="1"/>
  <c r="V128" i="24"/>
  <c r="R128" i="24"/>
  <c r="I128" i="24"/>
  <c r="BT127" i="24"/>
  <c r="BR127" i="24"/>
  <c r="AF127" i="24"/>
  <c r="L127" i="24"/>
  <c r="AA127" i="24"/>
  <c r="Y127" i="24"/>
  <c r="Z127" i="24" s="1"/>
  <c r="V127" i="24"/>
  <c r="R127" i="24"/>
  <c r="I127" i="24"/>
  <c r="BT126" i="24"/>
  <c r="BR126" i="24"/>
  <c r="AF126" i="24"/>
  <c r="L126" i="24"/>
  <c r="AA126" i="24"/>
  <c r="Y126" i="24"/>
  <c r="Z126" i="24" s="1"/>
  <c r="V126" i="24"/>
  <c r="R126" i="24"/>
  <c r="I126" i="24"/>
  <c r="BT125" i="24"/>
  <c r="BR125" i="24"/>
  <c r="AF125" i="24"/>
  <c r="L125" i="24"/>
  <c r="AA125" i="24"/>
  <c r="Y125" i="24"/>
  <c r="Z125" i="24" s="1"/>
  <c r="V125" i="24"/>
  <c r="R125" i="24"/>
  <c r="I125" i="24"/>
  <c r="BT124" i="24"/>
  <c r="BR124" i="24"/>
  <c r="AF124" i="24"/>
  <c r="L124" i="24"/>
  <c r="AA124" i="24"/>
  <c r="Y124" i="24"/>
  <c r="Z124" i="24" s="1"/>
  <c r="V124" i="24"/>
  <c r="R124" i="24"/>
  <c r="I124" i="24"/>
  <c r="BT123" i="24"/>
  <c r="BR123" i="24"/>
  <c r="AF123" i="24"/>
  <c r="L123" i="24"/>
  <c r="AA123" i="24"/>
  <c r="Y123" i="24"/>
  <c r="Z123" i="24" s="1"/>
  <c r="V123" i="24"/>
  <c r="R123" i="24"/>
  <c r="I123" i="24"/>
  <c r="BT122" i="24"/>
  <c r="BR122" i="24"/>
  <c r="AF122" i="24"/>
  <c r="L122" i="24"/>
  <c r="AA122" i="24"/>
  <c r="Y122" i="24"/>
  <c r="Z122" i="24" s="1"/>
  <c r="V122" i="24"/>
  <c r="R122" i="24"/>
  <c r="I122" i="24"/>
  <c r="BT121" i="24"/>
  <c r="BR121" i="24"/>
  <c r="AF121" i="24"/>
  <c r="L121" i="24"/>
  <c r="AA121" i="24"/>
  <c r="Y121" i="24"/>
  <c r="Z121" i="24" s="1"/>
  <c r="V121" i="24"/>
  <c r="R121" i="24"/>
  <c r="I121" i="24"/>
  <c r="BT120" i="24"/>
  <c r="BR120" i="24"/>
  <c r="AF120" i="24"/>
  <c r="L120" i="24"/>
  <c r="AA120" i="24"/>
  <c r="Y120" i="24"/>
  <c r="Z120" i="24" s="1"/>
  <c r="V120" i="24"/>
  <c r="R120" i="24"/>
  <c r="I120" i="24"/>
  <c r="BT119" i="24"/>
  <c r="BR119" i="24"/>
  <c r="AF119" i="24"/>
  <c r="L119" i="24"/>
  <c r="AA119" i="24"/>
  <c r="Y119" i="24"/>
  <c r="Z119" i="24" s="1"/>
  <c r="V119" i="24"/>
  <c r="R119" i="24"/>
  <c r="I119" i="24"/>
  <c r="BT118" i="24"/>
  <c r="BR118" i="24"/>
  <c r="AF118" i="24"/>
  <c r="L118" i="24"/>
  <c r="AA118" i="24"/>
  <c r="Y118" i="24"/>
  <c r="Z118" i="24" s="1"/>
  <c r="V118" i="24"/>
  <c r="R118" i="24"/>
  <c r="I118" i="24"/>
  <c r="BT117" i="24"/>
  <c r="BR117" i="24"/>
  <c r="AF117" i="24"/>
  <c r="L117" i="24"/>
  <c r="AA117" i="24"/>
  <c r="Y117" i="24"/>
  <c r="Z117" i="24" s="1"/>
  <c r="V117" i="24"/>
  <c r="R117" i="24"/>
  <c r="I117" i="24"/>
  <c r="BT116" i="24"/>
  <c r="BR116" i="24"/>
  <c r="AF116" i="24"/>
  <c r="L116" i="24"/>
  <c r="AA116" i="24"/>
  <c r="Y116" i="24"/>
  <c r="Z116" i="24" s="1"/>
  <c r="V116" i="24"/>
  <c r="R116" i="24"/>
  <c r="I116" i="24"/>
  <c r="BT115" i="24"/>
  <c r="BR115" i="24"/>
  <c r="AF115" i="24"/>
  <c r="L115" i="24"/>
  <c r="AA115" i="24"/>
  <c r="Y115" i="24"/>
  <c r="Z115" i="24" s="1"/>
  <c r="V115" i="24"/>
  <c r="R115" i="24"/>
  <c r="I115" i="24"/>
  <c r="BT114" i="24"/>
  <c r="BR114" i="24"/>
  <c r="AF114" i="24"/>
  <c r="L114" i="24"/>
  <c r="AA114" i="24"/>
  <c r="Y114" i="24"/>
  <c r="Z114" i="24" s="1"/>
  <c r="V114" i="24"/>
  <c r="R114" i="24"/>
  <c r="I114" i="24"/>
  <c r="BT113" i="24"/>
  <c r="BR113" i="24"/>
  <c r="AF113" i="24"/>
  <c r="L113" i="24"/>
  <c r="AA113" i="24"/>
  <c r="Y113" i="24"/>
  <c r="Z113" i="24" s="1"/>
  <c r="V113" i="24"/>
  <c r="R113" i="24"/>
  <c r="I113" i="24"/>
  <c r="BT112" i="24"/>
  <c r="BR112" i="24"/>
  <c r="AF112" i="24"/>
  <c r="L112" i="24"/>
  <c r="AA112" i="24"/>
  <c r="Y112" i="24"/>
  <c r="Z112" i="24" s="1"/>
  <c r="V112" i="24"/>
  <c r="R112" i="24"/>
  <c r="I112" i="24"/>
  <c r="BT111" i="24"/>
  <c r="BR111" i="24"/>
  <c r="AF111" i="24"/>
  <c r="L111" i="24"/>
  <c r="AA111" i="24"/>
  <c r="Y111" i="24"/>
  <c r="Z111" i="24" s="1"/>
  <c r="V111" i="24"/>
  <c r="R111" i="24"/>
  <c r="I111" i="24"/>
  <c r="BT110" i="24"/>
  <c r="BR110" i="24"/>
  <c r="AF110" i="24"/>
  <c r="L110" i="24"/>
  <c r="AA110" i="24"/>
  <c r="Y110" i="24"/>
  <c r="Z110" i="24" s="1"/>
  <c r="V110" i="24"/>
  <c r="R110" i="24"/>
  <c r="I110" i="24"/>
  <c r="BT109" i="24"/>
  <c r="BR109" i="24"/>
  <c r="AF109" i="24"/>
  <c r="L109" i="24"/>
  <c r="AA109" i="24"/>
  <c r="Y109" i="24"/>
  <c r="Z109" i="24" s="1"/>
  <c r="V109" i="24"/>
  <c r="R109" i="24"/>
  <c r="I109" i="24"/>
  <c r="BT108" i="24"/>
  <c r="BR108" i="24"/>
  <c r="AF108" i="24"/>
  <c r="L108" i="24"/>
  <c r="AA108" i="24"/>
  <c r="Y108" i="24"/>
  <c r="Z108" i="24" s="1"/>
  <c r="V108" i="24"/>
  <c r="R108" i="24"/>
  <c r="I108" i="24"/>
  <c r="BT107" i="24"/>
  <c r="BR107" i="24"/>
  <c r="AF107" i="24"/>
  <c r="L107" i="24"/>
  <c r="AA107" i="24"/>
  <c r="Y107" i="24"/>
  <c r="Z107" i="24" s="1"/>
  <c r="V107" i="24"/>
  <c r="R107" i="24"/>
  <c r="I107" i="24"/>
  <c r="BT106" i="24"/>
  <c r="BR106" i="24"/>
  <c r="AF106" i="24"/>
  <c r="L106" i="24"/>
  <c r="AA106" i="24"/>
  <c r="Y106" i="24"/>
  <c r="Z106" i="24" s="1"/>
  <c r="V106" i="24"/>
  <c r="R106" i="24"/>
  <c r="I106" i="24"/>
  <c r="BT105" i="24"/>
  <c r="BR105" i="24"/>
  <c r="AF105" i="24"/>
  <c r="L105" i="24"/>
  <c r="AA105" i="24"/>
  <c r="Y105" i="24"/>
  <c r="Z105" i="24" s="1"/>
  <c r="V105" i="24"/>
  <c r="R105" i="24"/>
  <c r="I105" i="24"/>
  <c r="BT104" i="24"/>
  <c r="BR104" i="24"/>
  <c r="AF104" i="24"/>
  <c r="L104" i="24"/>
  <c r="AA104" i="24"/>
  <c r="Y104" i="24"/>
  <c r="Z104" i="24" s="1"/>
  <c r="V104" i="24"/>
  <c r="R104" i="24"/>
  <c r="I104" i="24"/>
  <c r="BT103" i="24"/>
  <c r="BR103" i="24"/>
  <c r="AF103" i="24"/>
  <c r="L103" i="24"/>
  <c r="AA103" i="24"/>
  <c r="Y103" i="24"/>
  <c r="Z103" i="24" s="1"/>
  <c r="V103" i="24"/>
  <c r="R103" i="24"/>
  <c r="I103" i="24"/>
  <c r="BT102" i="24"/>
  <c r="BR102" i="24"/>
  <c r="AF102" i="24"/>
  <c r="L102" i="24"/>
  <c r="AA102" i="24"/>
  <c r="Y102" i="24"/>
  <c r="Z102" i="24" s="1"/>
  <c r="V102" i="24"/>
  <c r="R102" i="24"/>
  <c r="I102" i="24"/>
  <c r="BT101" i="24"/>
  <c r="BR101" i="24"/>
  <c r="AF101" i="24"/>
  <c r="L101" i="24"/>
  <c r="AA101" i="24"/>
  <c r="Y101" i="24"/>
  <c r="Z101" i="24" s="1"/>
  <c r="V101" i="24"/>
  <c r="R101" i="24"/>
  <c r="I101" i="24"/>
  <c r="BT100" i="24"/>
  <c r="BR100" i="24"/>
  <c r="AF100" i="24"/>
  <c r="L100" i="24"/>
  <c r="AA100" i="24"/>
  <c r="Y100" i="24"/>
  <c r="Z100" i="24" s="1"/>
  <c r="V100" i="24"/>
  <c r="R100" i="24"/>
  <c r="I100" i="24"/>
  <c r="BT99" i="24"/>
  <c r="BR99" i="24"/>
  <c r="AF99" i="24"/>
  <c r="L99" i="24"/>
  <c r="AA99" i="24"/>
  <c r="Y99" i="24"/>
  <c r="Z99" i="24" s="1"/>
  <c r="V99" i="24"/>
  <c r="R99" i="24"/>
  <c r="I99" i="24"/>
  <c r="BT98" i="24"/>
  <c r="BR98" i="24"/>
  <c r="AF98" i="24"/>
  <c r="L98" i="24"/>
  <c r="AA98" i="24"/>
  <c r="Y98" i="24"/>
  <c r="Z98" i="24" s="1"/>
  <c r="V98" i="24"/>
  <c r="R98" i="24"/>
  <c r="I98" i="24"/>
  <c r="BT97" i="24"/>
  <c r="BR97" i="24"/>
  <c r="AF97" i="24"/>
  <c r="L97" i="24"/>
  <c r="AA97" i="24"/>
  <c r="Y97" i="24"/>
  <c r="Z97" i="24" s="1"/>
  <c r="V97" i="24"/>
  <c r="R97" i="24"/>
  <c r="I97" i="24"/>
  <c r="BT96" i="24"/>
  <c r="BR96" i="24"/>
  <c r="AF96" i="24"/>
  <c r="L96" i="24"/>
  <c r="AA96" i="24"/>
  <c r="Y96" i="24"/>
  <c r="Z96" i="24" s="1"/>
  <c r="V96" i="24"/>
  <c r="R96" i="24"/>
  <c r="I96" i="24"/>
  <c r="BT95" i="24"/>
  <c r="BR95" i="24"/>
  <c r="AF95" i="24"/>
  <c r="L95" i="24"/>
  <c r="AA95" i="24"/>
  <c r="Y95" i="24"/>
  <c r="Z95" i="24" s="1"/>
  <c r="V95" i="24"/>
  <c r="R95" i="24"/>
  <c r="I95" i="24"/>
  <c r="BT94" i="24"/>
  <c r="BR94" i="24"/>
  <c r="AF94" i="24"/>
  <c r="L94" i="24"/>
  <c r="AA94" i="24"/>
  <c r="Y94" i="24"/>
  <c r="Z94" i="24" s="1"/>
  <c r="V94" i="24"/>
  <c r="R94" i="24"/>
  <c r="I94" i="24"/>
  <c r="BT93" i="24"/>
  <c r="BR93" i="24"/>
  <c r="AF93" i="24"/>
  <c r="L93" i="24"/>
  <c r="AA93" i="24"/>
  <c r="Y93" i="24"/>
  <c r="Z93" i="24" s="1"/>
  <c r="V93" i="24"/>
  <c r="R93" i="24"/>
  <c r="I93" i="24"/>
  <c r="BT92" i="24"/>
  <c r="BR92" i="24"/>
  <c r="AF92" i="24"/>
  <c r="L92" i="24"/>
  <c r="AA92" i="24"/>
  <c r="Y92" i="24"/>
  <c r="Z92" i="24" s="1"/>
  <c r="V92" i="24"/>
  <c r="R92" i="24"/>
  <c r="I92" i="24"/>
  <c r="BT91" i="24"/>
  <c r="BR91" i="24"/>
  <c r="AF91" i="24"/>
  <c r="L91" i="24"/>
  <c r="AA91" i="24"/>
  <c r="Y91" i="24"/>
  <c r="Z91" i="24" s="1"/>
  <c r="V91" i="24"/>
  <c r="R91" i="24"/>
  <c r="I91" i="24"/>
  <c r="BT90" i="24"/>
  <c r="BR90" i="24"/>
  <c r="AF90" i="24"/>
  <c r="L90" i="24"/>
  <c r="AA90" i="24"/>
  <c r="Y90" i="24"/>
  <c r="Z90" i="24" s="1"/>
  <c r="V90" i="24"/>
  <c r="R90" i="24"/>
  <c r="I90" i="24"/>
  <c r="BT89" i="24"/>
  <c r="BR89" i="24"/>
  <c r="AF89" i="24"/>
  <c r="L89" i="24"/>
  <c r="AA89" i="24"/>
  <c r="Y89" i="24"/>
  <c r="Z89" i="24" s="1"/>
  <c r="V89" i="24"/>
  <c r="R89" i="24"/>
  <c r="I89" i="24"/>
  <c r="BT88" i="24"/>
  <c r="BR88" i="24"/>
  <c r="AF88" i="24"/>
  <c r="L88" i="24"/>
  <c r="AA88" i="24"/>
  <c r="Y88" i="24"/>
  <c r="Z88" i="24" s="1"/>
  <c r="V88" i="24"/>
  <c r="R88" i="24"/>
  <c r="I88" i="24"/>
  <c r="BT87" i="24"/>
  <c r="BR87" i="24"/>
  <c r="AF87" i="24"/>
  <c r="L87" i="24"/>
  <c r="AA87" i="24"/>
  <c r="Y87" i="24"/>
  <c r="Z87" i="24" s="1"/>
  <c r="V87" i="24"/>
  <c r="R87" i="24"/>
  <c r="I87" i="24"/>
  <c r="BT86" i="24"/>
  <c r="BR86" i="24"/>
  <c r="AF86" i="24"/>
  <c r="L86" i="24"/>
  <c r="AA86" i="24"/>
  <c r="Y86" i="24"/>
  <c r="Z86" i="24" s="1"/>
  <c r="V86" i="24"/>
  <c r="R86" i="24"/>
  <c r="I86" i="24"/>
  <c r="BT85" i="24"/>
  <c r="BR85" i="24"/>
  <c r="AF85" i="24"/>
  <c r="L85" i="24"/>
  <c r="AA85" i="24"/>
  <c r="Y85" i="24"/>
  <c r="Z85" i="24" s="1"/>
  <c r="V85" i="24"/>
  <c r="R85" i="24"/>
  <c r="I85" i="24"/>
  <c r="BT84" i="24"/>
  <c r="BR84" i="24"/>
  <c r="AF84" i="24"/>
  <c r="L84" i="24"/>
  <c r="AA84" i="24"/>
  <c r="Y84" i="24"/>
  <c r="Z84" i="24" s="1"/>
  <c r="V84" i="24"/>
  <c r="R84" i="24"/>
  <c r="I84" i="24"/>
  <c r="BT83" i="24"/>
  <c r="BR83" i="24"/>
  <c r="AF83" i="24"/>
  <c r="L83" i="24"/>
  <c r="AA83" i="24"/>
  <c r="Y83" i="24"/>
  <c r="Z83" i="24" s="1"/>
  <c r="V83" i="24"/>
  <c r="R83" i="24"/>
  <c r="I83" i="24"/>
  <c r="BT82" i="24"/>
  <c r="BR82" i="24"/>
  <c r="AF82" i="24"/>
  <c r="L82" i="24"/>
  <c r="AA82" i="24"/>
  <c r="Y82" i="24"/>
  <c r="Z82" i="24" s="1"/>
  <c r="V82" i="24"/>
  <c r="R82" i="24"/>
  <c r="I82" i="24"/>
  <c r="BT81" i="24"/>
  <c r="BR81" i="24"/>
  <c r="AF81" i="24"/>
  <c r="L81" i="24"/>
  <c r="AA81" i="24"/>
  <c r="Y81" i="24"/>
  <c r="Z81" i="24" s="1"/>
  <c r="V81" i="24"/>
  <c r="R81" i="24"/>
  <c r="I81" i="24"/>
  <c r="BT80" i="24"/>
  <c r="BR80" i="24"/>
  <c r="AF80" i="24"/>
  <c r="L80" i="24"/>
  <c r="AA80" i="24"/>
  <c r="Y80" i="24"/>
  <c r="Z80" i="24" s="1"/>
  <c r="V80" i="24"/>
  <c r="R80" i="24"/>
  <c r="I80" i="24"/>
  <c r="BT79" i="24"/>
  <c r="BR79" i="24"/>
  <c r="AF79" i="24"/>
  <c r="L79" i="24"/>
  <c r="AA79" i="24"/>
  <c r="Y79" i="24"/>
  <c r="Z79" i="24" s="1"/>
  <c r="V79" i="24"/>
  <c r="R79" i="24"/>
  <c r="I79" i="24"/>
  <c r="BT78" i="24"/>
  <c r="BR78" i="24"/>
  <c r="AF78" i="24"/>
  <c r="L78" i="24"/>
  <c r="AA78" i="24"/>
  <c r="Y78" i="24"/>
  <c r="Z78" i="24" s="1"/>
  <c r="V78" i="24"/>
  <c r="R78" i="24"/>
  <c r="I78" i="24"/>
  <c r="BT77" i="24"/>
  <c r="BR77" i="24"/>
  <c r="AF77" i="24"/>
  <c r="L77" i="24"/>
  <c r="AA77" i="24"/>
  <c r="Y77" i="24"/>
  <c r="Z77" i="24" s="1"/>
  <c r="V77" i="24"/>
  <c r="R77" i="24"/>
  <c r="I77" i="24"/>
  <c r="BT76" i="24"/>
  <c r="BR76" i="24"/>
  <c r="AF76" i="24"/>
  <c r="L76" i="24"/>
  <c r="AA76" i="24"/>
  <c r="Y76" i="24"/>
  <c r="Z76" i="24" s="1"/>
  <c r="V76" i="24"/>
  <c r="R76" i="24"/>
  <c r="I76" i="24"/>
  <c r="BT75" i="24"/>
  <c r="BR75" i="24"/>
  <c r="AF75" i="24"/>
  <c r="L75" i="24"/>
  <c r="AA75" i="24"/>
  <c r="Y75" i="24"/>
  <c r="Z75" i="24" s="1"/>
  <c r="V75" i="24"/>
  <c r="R75" i="24"/>
  <c r="I75" i="24"/>
  <c r="BT74" i="24"/>
  <c r="BR74" i="24"/>
  <c r="AF74" i="24"/>
  <c r="L74" i="24"/>
  <c r="AA74" i="24"/>
  <c r="Y74" i="24"/>
  <c r="Z74" i="24" s="1"/>
  <c r="V74" i="24"/>
  <c r="R74" i="24"/>
  <c r="I74" i="24"/>
  <c r="BT73" i="24"/>
  <c r="BR73" i="24"/>
  <c r="AF73" i="24"/>
  <c r="L73" i="24"/>
  <c r="AA73" i="24"/>
  <c r="Y73" i="24"/>
  <c r="Z73" i="24" s="1"/>
  <c r="V73" i="24"/>
  <c r="R73" i="24"/>
  <c r="I73" i="24"/>
  <c r="BT72" i="24"/>
  <c r="BR72" i="24"/>
  <c r="AF72" i="24"/>
  <c r="L72" i="24"/>
  <c r="AA72" i="24"/>
  <c r="Y72" i="24"/>
  <c r="Z72" i="24" s="1"/>
  <c r="V72" i="24"/>
  <c r="R72" i="24"/>
  <c r="I72" i="24"/>
  <c r="BT71" i="24"/>
  <c r="BR71" i="24"/>
  <c r="AF71" i="24"/>
  <c r="L71" i="24"/>
  <c r="AA71" i="24"/>
  <c r="Y71" i="24"/>
  <c r="Z71" i="24" s="1"/>
  <c r="V71" i="24"/>
  <c r="R71" i="24"/>
  <c r="I71" i="24"/>
  <c r="BT70" i="24"/>
  <c r="BR70" i="24"/>
  <c r="AF70" i="24"/>
  <c r="L70" i="24"/>
  <c r="AA70" i="24"/>
  <c r="Y70" i="24"/>
  <c r="Z70" i="24" s="1"/>
  <c r="V70" i="24"/>
  <c r="R70" i="24"/>
  <c r="I70" i="24"/>
  <c r="BT69" i="24"/>
  <c r="BR69" i="24"/>
  <c r="AF69" i="24"/>
  <c r="L69" i="24"/>
  <c r="AA69" i="24"/>
  <c r="Y69" i="24"/>
  <c r="Z69" i="24" s="1"/>
  <c r="V69" i="24"/>
  <c r="R69" i="24"/>
  <c r="I69" i="24"/>
  <c r="BT68" i="24"/>
  <c r="BR68" i="24"/>
  <c r="AF68" i="24"/>
  <c r="L68" i="24"/>
  <c r="AA68" i="24"/>
  <c r="Y68" i="24"/>
  <c r="Z68" i="24" s="1"/>
  <c r="V68" i="24"/>
  <c r="R68" i="24"/>
  <c r="I68" i="24"/>
  <c r="BT67" i="24"/>
  <c r="BR67" i="24"/>
  <c r="AF67" i="24"/>
  <c r="L67" i="24"/>
  <c r="AA67" i="24"/>
  <c r="Y67" i="24"/>
  <c r="Z67" i="24" s="1"/>
  <c r="V67" i="24"/>
  <c r="R67" i="24"/>
  <c r="I67" i="24"/>
  <c r="BT66" i="24"/>
  <c r="BR66" i="24"/>
  <c r="AF66" i="24"/>
  <c r="L66" i="24"/>
  <c r="AA66" i="24"/>
  <c r="Y66" i="24"/>
  <c r="Z66" i="24" s="1"/>
  <c r="V66" i="24"/>
  <c r="R66" i="24"/>
  <c r="I66" i="24"/>
  <c r="BT65" i="24"/>
  <c r="BR65" i="24"/>
  <c r="AF65" i="24"/>
  <c r="L65" i="24"/>
  <c r="AA65" i="24"/>
  <c r="Y65" i="24"/>
  <c r="Z65" i="24" s="1"/>
  <c r="V65" i="24"/>
  <c r="R65" i="24"/>
  <c r="I65" i="24"/>
  <c r="BT64" i="24"/>
  <c r="BR64" i="24"/>
  <c r="AF64" i="24"/>
  <c r="L64" i="24"/>
  <c r="AA64" i="24"/>
  <c r="Y64" i="24"/>
  <c r="Z64" i="24" s="1"/>
  <c r="V64" i="24"/>
  <c r="R64" i="24"/>
  <c r="I64" i="24"/>
  <c r="BT63" i="24"/>
  <c r="BR63" i="24"/>
  <c r="AF63" i="24"/>
  <c r="L63" i="24"/>
  <c r="AA63" i="24"/>
  <c r="Y63" i="24"/>
  <c r="Z63" i="24" s="1"/>
  <c r="V63" i="24"/>
  <c r="R63" i="24"/>
  <c r="I63" i="24"/>
  <c r="BT62" i="24"/>
  <c r="BR62" i="24"/>
  <c r="AS62" i="24"/>
  <c r="AF62" i="24"/>
  <c r="L62" i="24"/>
  <c r="N62" i="24" s="1"/>
  <c r="AA62" i="24"/>
  <c r="Y62" i="24"/>
  <c r="Z62" i="24" s="1"/>
  <c r="V62" i="24"/>
  <c r="R62" i="24"/>
  <c r="I62" i="24"/>
  <c r="BT61" i="24"/>
  <c r="BR61" i="24"/>
  <c r="AS61" i="24"/>
  <c r="AF61" i="24"/>
  <c r="L61" i="24"/>
  <c r="AA61" i="24"/>
  <c r="Y61" i="24"/>
  <c r="Z61" i="24" s="1"/>
  <c r="V61" i="24"/>
  <c r="R61" i="24"/>
  <c r="I61" i="24"/>
  <c r="BT60" i="24"/>
  <c r="BR60" i="24"/>
  <c r="AF60" i="24"/>
  <c r="L60" i="24"/>
  <c r="AS60" i="24" s="1"/>
  <c r="AA60" i="24"/>
  <c r="Y60" i="24"/>
  <c r="Z60" i="24" s="1"/>
  <c r="V60" i="24"/>
  <c r="R60" i="24"/>
  <c r="I60" i="24"/>
  <c r="BT59" i="24"/>
  <c r="BR59" i="24"/>
  <c r="AS59" i="24"/>
  <c r="AF59" i="24"/>
  <c r="L59" i="24"/>
  <c r="AA59" i="24"/>
  <c r="Y59" i="24"/>
  <c r="Z59" i="24" s="1"/>
  <c r="V59" i="24"/>
  <c r="R59" i="24"/>
  <c r="I59" i="24"/>
  <c r="BT58" i="24"/>
  <c r="BR58" i="24"/>
  <c r="AS58" i="24"/>
  <c r="AF58" i="24"/>
  <c r="L58" i="24"/>
  <c r="N58" i="24" s="1"/>
  <c r="AA58" i="24"/>
  <c r="Y58" i="24"/>
  <c r="Z58" i="24" s="1"/>
  <c r="V58" i="24"/>
  <c r="R58" i="24"/>
  <c r="I58" i="24"/>
  <c r="BT57" i="24"/>
  <c r="BR57" i="24"/>
  <c r="AF57" i="24"/>
  <c r="L57" i="24"/>
  <c r="AS57" i="24" s="1"/>
  <c r="AA57" i="24"/>
  <c r="Y57" i="24"/>
  <c r="Z57" i="24" s="1"/>
  <c r="V57" i="24"/>
  <c r="R57" i="24"/>
  <c r="I57" i="24"/>
  <c r="BT56" i="24"/>
  <c r="BR56" i="24"/>
  <c r="AS56" i="24"/>
  <c r="AF56" i="24"/>
  <c r="L56" i="24"/>
  <c r="N56" i="24" s="1"/>
  <c r="AA56" i="24"/>
  <c r="Y56" i="24"/>
  <c r="Z56" i="24" s="1"/>
  <c r="V56" i="24"/>
  <c r="R56" i="24"/>
  <c r="I56" i="24"/>
  <c r="BT55" i="24"/>
  <c r="BR55" i="24"/>
  <c r="AS55" i="24"/>
  <c r="AF55" i="24"/>
  <c r="L55" i="24"/>
  <c r="AA55" i="24"/>
  <c r="Y55" i="24"/>
  <c r="Z55" i="24" s="1"/>
  <c r="V55" i="24"/>
  <c r="R55" i="24"/>
  <c r="I55" i="24"/>
  <c r="BT54" i="24"/>
  <c r="BR54" i="24"/>
  <c r="AF54" i="24"/>
  <c r="L54" i="24"/>
  <c r="N54" i="24" s="1"/>
  <c r="AA54" i="24"/>
  <c r="Y54" i="24"/>
  <c r="Z54" i="24" s="1"/>
  <c r="V54" i="24"/>
  <c r="R54" i="24"/>
  <c r="I54" i="24"/>
  <c r="BT53" i="24"/>
  <c r="BR53" i="24"/>
  <c r="AS53" i="24"/>
  <c r="AF53" i="24"/>
  <c r="L53" i="24"/>
  <c r="AA53" i="24"/>
  <c r="Y53" i="24"/>
  <c r="Z53" i="24" s="1"/>
  <c r="V53" i="24"/>
  <c r="R53" i="24"/>
  <c r="I53" i="24"/>
  <c r="BT52" i="24"/>
  <c r="BR52" i="24"/>
  <c r="AS52" i="24"/>
  <c r="AF52" i="24"/>
  <c r="L52" i="24"/>
  <c r="N52" i="24" s="1"/>
  <c r="AA52" i="24"/>
  <c r="Y52" i="24"/>
  <c r="Z52" i="24" s="1"/>
  <c r="V52" i="24"/>
  <c r="R52" i="24"/>
  <c r="I52" i="24"/>
  <c r="BT51" i="24"/>
  <c r="BR51" i="24"/>
  <c r="AF51" i="24"/>
  <c r="L51" i="24"/>
  <c r="AS51" i="24" s="1"/>
  <c r="AA51" i="24"/>
  <c r="Y51" i="24"/>
  <c r="Z51" i="24" s="1"/>
  <c r="V51" i="24"/>
  <c r="R51" i="24"/>
  <c r="I51" i="24"/>
  <c r="BT50" i="24"/>
  <c r="BR50" i="24"/>
  <c r="AS50" i="24"/>
  <c r="AF50" i="24"/>
  <c r="L50" i="24"/>
  <c r="AA50" i="24"/>
  <c r="Y50" i="24"/>
  <c r="Z50" i="24" s="1"/>
  <c r="V50" i="24"/>
  <c r="R50" i="24"/>
  <c r="I50" i="24"/>
  <c r="BT49" i="24"/>
  <c r="BR49" i="24"/>
  <c r="AS49" i="24"/>
  <c r="AF49" i="24"/>
  <c r="L49" i="24"/>
  <c r="AA49" i="24"/>
  <c r="Y49" i="24"/>
  <c r="Z49" i="24" s="1"/>
  <c r="V49" i="24"/>
  <c r="R49" i="24"/>
  <c r="I49" i="24"/>
  <c r="BT48" i="24"/>
  <c r="BR48" i="24"/>
  <c r="AF48" i="24"/>
  <c r="L48" i="24"/>
  <c r="AS48" i="24" s="1"/>
  <c r="AA48" i="24"/>
  <c r="Y48" i="24"/>
  <c r="Z48" i="24" s="1"/>
  <c r="V48" i="24"/>
  <c r="R48" i="24"/>
  <c r="I48" i="24"/>
  <c r="BT47" i="24"/>
  <c r="BR47" i="24"/>
  <c r="AS47" i="24"/>
  <c r="AF47" i="24"/>
  <c r="L47" i="24"/>
  <c r="AA47" i="24"/>
  <c r="Y47" i="24"/>
  <c r="Z47" i="24" s="1"/>
  <c r="V47" i="24"/>
  <c r="R47" i="24"/>
  <c r="I47" i="24"/>
  <c r="BT46" i="24"/>
  <c r="BR46" i="24"/>
  <c r="AS46" i="24"/>
  <c r="AF46" i="24"/>
  <c r="L46" i="24"/>
  <c r="N46" i="24" s="1"/>
  <c r="AA46" i="24"/>
  <c r="Y46" i="24"/>
  <c r="Z46" i="24" s="1"/>
  <c r="V46" i="24"/>
  <c r="R46" i="24"/>
  <c r="I46" i="24"/>
  <c r="BT45" i="24"/>
  <c r="BR45" i="24"/>
  <c r="AF45" i="24"/>
  <c r="L45" i="24"/>
  <c r="AS45" i="24" s="1"/>
  <c r="AA45" i="24"/>
  <c r="Y45" i="24"/>
  <c r="Z45" i="24" s="1"/>
  <c r="V45" i="24"/>
  <c r="R45" i="24"/>
  <c r="I45" i="24"/>
  <c r="BT44" i="24"/>
  <c r="BR44" i="24"/>
  <c r="AS44" i="24"/>
  <c r="AF44" i="24"/>
  <c r="L44" i="24"/>
  <c r="AA44" i="24"/>
  <c r="Y44" i="24"/>
  <c r="Z44" i="24" s="1"/>
  <c r="V44" i="24"/>
  <c r="R44" i="24"/>
  <c r="I44" i="24"/>
  <c r="BT43" i="24"/>
  <c r="BR43" i="24"/>
  <c r="AS43" i="24"/>
  <c r="AF43" i="24"/>
  <c r="L43" i="24"/>
  <c r="N43" i="24" s="1"/>
  <c r="AA43" i="24"/>
  <c r="Y43" i="24"/>
  <c r="Z43" i="24" s="1"/>
  <c r="V43" i="24"/>
  <c r="R43" i="24"/>
  <c r="I43" i="24"/>
  <c r="BT42" i="24"/>
  <c r="BR42" i="24"/>
  <c r="AF42" i="24"/>
  <c r="L42" i="24"/>
  <c r="AS42" i="24" s="1"/>
  <c r="AA42" i="24"/>
  <c r="Y42" i="24"/>
  <c r="Z42" i="24" s="1"/>
  <c r="V42" i="24"/>
  <c r="R42" i="24"/>
  <c r="I42" i="24"/>
  <c r="BT41" i="24"/>
  <c r="BR41" i="24"/>
  <c r="AS41" i="24"/>
  <c r="AF41" i="24"/>
  <c r="L41" i="24"/>
  <c r="AA41" i="24"/>
  <c r="Y41" i="24"/>
  <c r="Z41" i="24" s="1"/>
  <c r="V41" i="24"/>
  <c r="R41" i="24"/>
  <c r="I41" i="24"/>
  <c r="BT40" i="24"/>
  <c r="BR40" i="24"/>
  <c r="AS40" i="24"/>
  <c r="AF40" i="24"/>
  <c r="L40" i="24"/>
  <c r="N40" i="24" s="1"/>
  <c r="AA40" i="24"/>
  <c r="Y40" i="24"/>
  <c r="Z40" i="24" s="1"/>
  <c r="V40" i="24"/>
  <c r="R40" i="24"/>
  <c r="I40" i="24"/>
  <c r="BT39" i="24"/>
  <c r="BR39" i="24"/>
  <c r="AF39" i="24"/>
  <c r="L39" i="24"/>
  <c r="AS39" i="24" s="1"/>
  <c r="AA39" i="24"/>
  <c r="Y39" i="24"/>
  <c r="Z39" i="24" s="1"/>
  <c r="V39" i="24"/>
  <c r="R39" i="24"/>
  <c r="I39" i="24"/>
  <c r="BT38" i="24"/>
  <c r="BR38" i="24"/>
  <c r="AS38" i="24"/>
  <c r="AF38" i="24"/>
  <c r="L38" i="24"/>
  <c r="AA38" i="24"/>
  <c r="Y38" i="24"/>
  <c r="Z38" i="24" s="1"/>
  <c r="V38" i="24"/>
  <c r="R38" i="24"/>
  <c r="I38" i="24"/>
  <c r="BT37" i="24"/>
  <c r="BR37" i="24"/>
  <c r="AS37" i="24"/>
  <c r="AF37" i="24"/>
  <c r="L37" i="24"/>
  <c r="AA37" i="24"/>
  <c r="Y37" i="24"/>
  <c r="Z37" i="24" s="1"/>
  <c r="V37" i="24"/>
  <c r="R37" i="24"/>
  <c r="I37" i="24"/>
  <c r="BT36" i="24"/>
  <c r="BR36" i="24"/>
  <c r="AF36" i="24"/>
  <c r="L36" i="24"/>
  <c r="N36" i="24" s="1"/>
  <c r="AA36" i="24"/>
  <c r="Y36" i="24"/>
  <c r="Z36" i="24" s="1"/>
  <c r="V36" i="24"/>
  <c r="R36" i="24"/>
  <c r="I36" i="24"/>
  <c r="BT35" i="24"/>
  <c r="BR35" i="24"/>
  <c r="AS35" i="24"/>
  <c r="AF35" i="24"/>
  <c r="L35" i="24"/>
  <c r="AA35" i="24"/>
  <c r="Y35" i="24"/>
  <c r="Z35" i="24" s="1"/>
  <c r="V35" i="24"/>
  <c r="R35" i="24"/>
  <c r="I35" i="24"/>
  <c r="BT34" i="24"/>
  <c r="BR34" i="24"/>
  <c r="AS34" i="24"/>
  <c r="AF34" i="24"/>
  <c r="L34" i="24"/>
  <c r="AA34" i="24"/>
  <c r="Y34" i="24"/>
  <c r="Z34" i="24" s="1"/>
  <c r="V34" i="24"/>
  <c r="R34" i="24"/>
  <c r="I34" i="24"/>
  <c r="BT33" i="24"/>
  <c r="BR33" i="24"/>
  <c r="AF33" i="24"/>
  <c r="L33" i="24"/>
  <c r="AS33" i="24" s="1"/>
  <c r="AA33" i="24"/>
  <c r="Y33" i="24"/>
  <c r="Z33" i="24" s="1"/>
  <c r="V33" i="24"/>
  <c r="R33" i="24"/>
  <c r="I33" i="24"/>
  <c r="BT32" i="24"/>
  <c r="BR32" i="24"/>
  <c r="AS32" i="24"/>
  <c r="AF32" i="24"/>
  <c r="L32" i="24"/>
  <c r="AA32" i="24"/>
  <c r="Y32" i="24"/>
  <c r="Z32" i="24" s="1"/>
  <c r="V32" i="24"/>
  <c r="R32" i="24"/>
  <c r="I32" i="24"/>
  <c r="BT31" i="24"/>
  <c r="BR31" i="24"/>
  <c r="AS31" i="24"/>
  <c r="AF31" i="24"/>
  <c r="L31" i="24"/>
  <c r="N31" i="24" s="1"/>
  <c r="AA31" i="24"/>
  <c r="Y31" i="24"/>
  <c r="Z31" i="24" s="1"/>
  <c r="V31" i="24"/>
  <c r="R31" i="24"/>
  <c r="I31" i="24"/>
  <c r="BT30" i="24"/>
  <c r="BR30" i="24"/>
  <c r="AF30" i="24"/>
  <c r="L30" i="24"/>
  <c r="AS30" i="24" s="1"/>
  <c r="AA30" i="24"/>
  <c r="Y30" i="24"/>
  <c r="Z30" i="24" s="1"/>
  <c r="V30" i="24"/>
  <c r="R30" i="24"/>
  <c r="I30" i="24"/>
  <c r="BT29" i="24"/>
  <c r="BR29" i="24"/>
  <c r="AS29" i="24"/>
  <c r="AF29" i="24"/>
  <c r="L29" i="24"/>
  <c r="AA29" i="24"/>
  <c r="Y29" i="24"/>
  <c r="Z29" i="24" s="1"/>
  <c r="V29" i="24"/>
  <c r="R29" i="24"/>
  <c r="I29" i="24"/>
  <c r="BT28" i="24"/>
  <c r="BR28" i="24"/>
  <c r="AS28" i="24"/>
  <c r="AF28" i="24"/>
  <c r="L28" i="24"/>
  <c r="AA28" i="24"/>
  <c r="Y28" i="24"/>
  <c r="Z28" i="24" s="1"/>
  <c r="V28" i="24"/>
  <c r="R28" i="24"/>
  <c r="I28" i="24"/>
  <c r="BT27" i="24"/>
  <c r="BR27" i="24"/>
  <c r="AF27" i="24"/>
  <c r="L27" i="24"/>
  <c r="N27" i="24" s="1"/>
  <c r="AA27" i="24"/>
  <c r="Y27" i="24"/>
  <c r="Z27" i="24" s="1"/>
  <c r="V27" i="24"/>
  <c r="R27" i="24"/>
  <c r="I27" i="24"/>
  <c r="BT26" i="24"/>
  <c r="BR26" i="24"/>
  <c r="AS26" i="24"/>
  <c r="AF26" i="24"/>
  <c r="L26" i="24"/>
  <c r="AA26" i="24"/>
  <c r="Y26" i="24"/>
  <c r="Z26" i="24" s="1"/>
  <c r="V26" i="24"/>
  <c r="R26" i="24"/>
  <c r="I26" i="24"/>
  <c r="BT25" i="24"/>
  <c r="BR25" i="24"/>
  <c r="AS25" i="24"/>
  <c r="AF25" i="24"/>
  <c r="L25" i="24"/>
  <c r="AA25" i="24"/>
  <c r="Y25" i="24"/>
  <c r="Z25" i="24" s="1"/>
  <c r="V25" i="24"/>
  <c r="R25" i="24"/>
  <c r="I25" i="24"/>
  <c r="BT24" i="24"/>
  <c r="BR24" i="24"/>
  <c r="AF24" i="24"/>
  <c r="L24" i="24"/>
  <c r="AS24" i="24" s="1"/>
  <c r="AA24" i="24"/>
  <c r="Y24" i="24"/>
  <c r="Z24" i="24" s="1"/>
  <c r="V24" i="24"/>
  <c r="R24" i="24"/>
  <c r="I24" i="24"/>
  <c r="BT23" i="24"/>
  <c r="BR23" i="24"/>
  <c r="AF13" i="24"/>
  <c r="L13" i="24"/>
  <c r="AF14" i="24"/>
  <c r="L14" i="24"/>
  <c r="AF15" i="24"/>
  <c r="L15" i="24"/>
  <c r="N15" i="24" s="1"/>
  <c r="AF16" i="24"/>
  <c r="L16" i="24"/>
  <c r="N16" i="24" s="1"/>
  <c r="AF17" i="24"/>
  <c r="L17" i="24"/>
  <c r="AF18" i="24"/>
  <c r="L18" i="24"/>
  <c r="N18" i="24" s="1"/>
  <c r="AF19" i="24"/>
  <c r="L19" i="24"/>
  <c r="N19" i="24" s="1"/>
  <c r="AF20" i="24"/>
  <c r="L20" i="24"/>
  <c r="N20" i="24" s="1"/>
  <c r="AF21" i="24"/>
  <c r="L21" i="24"/>
  <c r="AF22" i="24"/>
  <c r="L22" i="24"/>
  <c r="N22" i="24" s="1"/>
  <c r="AF23" i="24"/>
  <c r="L23" i="24"/>
  <c r="N23" i="24" s="1"/>
  <c r="AW23" i="24"/>
  <c r="AA23" i="24"/>
  <c r="Y23" i="24"/>
  <c r="Z23" i="24" s="1"/>
  <c r="V23" i="24"/>
  <c r="R23" i="24"/>
  <c r="I23" i="24"/>
  <c r="BT22" i="24"/>
  <c r="BR22" i="24"/>
  <c r="AW22" i="24"/>
  <c r="AS22" i="24"/>
  <c r="AA22" i="24"/>
  <c r="Y22" i="24"/>
  <c r="Z22" i="24" s="1"/>
  <c r="V22" i="24"/>
  <c r="R22" i="24"/>
  <c r="I22" i="24"/>
  <c r="BT21" i="24"/>
  <c r="BR21" i="24"/>
  <c r="AS21" i="24"/>
  <c r="AA21" i="24"/>
  <c r="Y21" i="24"/>
  <c r="Z21" i="24" s="1"/>
  <c r="V21" i="24"/>
  <c r="R21" i="24"/>
  <c r="I21" i="24"/>
  <c r="BT20" i="24"/>
  <c r="BR20" i="24"/>
  <c r="BT13" i="24"/>
  <c r="BU13" i="24" s="1" a="1"/>
  <c r="BU13" i="24" s="1"/>
  <c r="AW13" i="24"/>
  <c r="BI13" i="24" s="1"/>
  <c r="BT14" i="24"/>
  <c r="BT15" i="24"/>
  <c r="BT16" i="24"/>
  <c r="BT17" i="24"/>
  <c r="BT18" i="24"/>
  <c r="BT19" i="24"/>
  <c r="AW14" i="24"/>
  <c r="AW15" i="24"/>
  <c r="BJ15" i="24" s="1"/>
  <c r="AW16" i="24"/>
  <c r="AW17" i="24"/>
  <c r="AW18" i="24"/>
  <c r="AW19" i="24"/>
  <c r="BJ19" i="24" s="1"/>
  <c r="BR13" i="24"/>
  <c r="BS13" i="24" s="1" a="1"/>
  <c r="BS13" i="24" s="1"/>
  <c r="BR14" i="24"/>
  <c r="BR15" i="24"/>
  <c r="BR16" i="24"/>
  <c r="BR17" i="24"/>
  <c r="BR18" i="24"/>
  <c r="BR19" i="24"/>
  <c r="AY13" i="24"/>
  <c r="AY14" i="24"/>
  <c r="AY15" i="24"/>
  <c r="AY16" i="24"/>
  <c r="AY17" i="24"/>
  <c r="AY18" i="24"/>
  <c r="AY19" i="24"/>
  <c r="AS20" i="24"/>
  <c r="AA20" i="24"/>
  <c r="Y20" i="24"/>
  <c r="Z20" i="24" s="1"/>
  <c r="V20" i="24"/>
  <c r="R20" i="24"/>
  <c r="I20" i="24"/>
  <c r="AS19" i="24"/>
  <c r="AA19" i="24"/>
  <c r="Y19" i="24"/>
  <c r="Z19" i="24" s="1"/>
  <c r="V19" i="24"/>
  <c r="R19" i="24"/>
  <c r="I19" i="24"/>
  <c r="AS18" i="24"/>
  <c r="AA18" i="24"/>
  <c r="Y18" i="24"/>
  <c r="Z18" i="24" s="1"/>
  <c r="V18" i="24"/>
  <c r="R18" i="24"/>
  <c r="I18" i="24"/>
  <c r="AS17" i="24"/>
  <c r="AA17" i="24"/>
  <c r="Y17" i="24"/>
  <c r="Z17" i="24" s="1"/>
  <c r="V17" i="24"/>
  <c r="R17" i="24"/>
  <c r="I17" i="24"/>
  <c r="AS16" i="24"/>
  <c r="AA16" i="24"/>
  <c r="Y16" i="24"/>
  <c r="Z16" i="24" s="1"/>
  <c r="V16" i="24"/>
  <c r="R16" i="24"/>
  <c r="I16" i="24"/>
  <c r="AS15" i="24"/>
  <c r="AA15" i="24"/>
  <c r="Y15" i="24"/>
  <c r="Z15" i="24" s="1"/>
  <c r="V15" i="24"/>
  <c r="R15" i="24"/>
  <c r="I15" i="24"/>
  <c r="AS14" i="24"/>
  <c r="AA14" i="24"/>
  <c r="Y14" i="24"/>
  <c r="Z14" i="24" s="1"/>
  <c r="V14" i="24"/>
  <c r="R14" i="24"/>
  <c r="I14" i="24"/>
  <c r="AA13" i="24"/>
  <c r="Y13" i="24"/>
  <c r="Z13" i="24" s="1"/>
  <c r="R13" i="24"/>
  <c r="V13" i="24" s="1"/>
  <c r="I13" i="24"/>
  <c r="AA11" i="24"/>
  <c r="BO10" i="24"/>
  <c r="M10" i="24"/>
  <c r="C6" i="24"/>
  <c r="V5" i="24" s="1"/>
  <c r="BO9" i="24" s="1"/>
  <c r="K5" i="24"/>
  <c r="AW9" i="24" s="1"/>
  <c r="V9" i="24"/>
  <c r="H9" i="24"/>
  <c r="C9" i="24"/>
  <c r="AI8" i="24"/>
  <c r="AF8" i="24"/>
  <c r="AB8" i="24"/>
  <c r="K7" i="24"/>
  <c r="K8" i="24" s="1"/>
  <c r="E11" i="57" s="1"/>
  <c r="F11" i="57" s="1"/>
  <c r="H8" i="24"/>
  <c r="AH7" i="24"/>
  <c r="AE7" i="24"/>
  <c r="V7" i="24"/>
  <c r="C7" i="27"/>
  <c r="C7" i="24" s="1"/>
  <c r="AQ4" i="24" s="1"/>
  <c r="AI6" i="24"/>
  <c r="AH6" i="24"/>
  <c r="AE6" i="24"/>
  <c r="AQ5" i="24"/>
  <c r="AH5" i="24"/>
  <c r="C5" i="24"/>
  <c r="AQ2" i="24" s="1"/>
  <c r="AH4" i="24"/>
  <c r="V4" i="24"/>
  <c r="F4" i="24"/>
  <c r="AI3" i="24"/>
  <c r="AH3" i="24"/>
  <c r="J174" i="26"/>
  <c r="J175" i="26"/>
  <c r="J176" i="26"/>
  <c r="J177" i="26"/>
  <c r="J178" i="26"/>
  <c r="J179" i="26"/>
  <c r="J180" i="26"/>
  <c r="I174" i="26"/>
  <c r="I175" i="26"/>
  <c r="I176" i="26"/>
  <c r="I177" i="26"/>
  <c r="I178" i="26"/>
  <c r="I179" i="26"/>
  <c r="I180" i="26"/>
  <c r="H174" i="26"/>
  <c r="H175" i="26"/>
  <c r="H176" i="26"/>
  <c r="H177" i="26"/>
  <c r="H178" i="26"/>
  <c r="H179" i="26"/>
  <c r="H180" i="26"/>
  <c r="G174" i="26"/>
  <c r="G175" i="26"/>
  <c r="G176" i="26"/>
  <c r="G177" i="26"/>
  <c r="G178" i="26"/>
  <c r="G179" i="26"/>
  <c r="G180" i="26"/>
  <c r="I164" i="26"/>
  <c r="I165" i="26"/>
  <c r="I166" i="26"/>
  <c r="I167" i="26"/>
  <c r="I168" i="26"/>
  <c r="I169" i="26"/>
  <c r="I170" i="26"/>
  <c r="H164" i="26"/>
  <c r="H165" i="26"/>
  <c r="H166" i="26"/>
  <c r="H167" i="26"/>
  <c r="H168" i="26"/>
  <c r="H169" i="26"/>
  <c r="H170" i="26"/>
  <c r="G164" i="26"/>
  <c r="G165" i="26"/>
  <c r="G166" i="26"/>
  <c r="G167" i="26"/>
  <c r="G168" i="26"/>
  <c r="G169" i="26"/>
  <c r="G170" i="26"/>
  <c r="F164" i="26"/>
  <c r="F165" i="26"/>
  <c r="F166" i="26"/>
  <c r="F167" i="26"/>
  <c r="F168" i="26"/>
  <c r="F169" i="26"/>
  <c r="F170" i="26"/>
  <c r="D186" i="26"/>
  <c r="D187" i="26"/>
  <c r="D188" i="26"/>
  <c r="D189" i="26"/>
  <c r="D190" i="26"/>
  <c r="D191" i="26"/>
  <c r="D192" i="26"/>
  <c r="C186" i="26"/>
  <c r="C187" i="26"/>
  <c r="C188" i="26"/>
  <c r="C189" i="26"/>
  <c r="C190" i="26"/>
  <c r="C191" i="26"/>
  <c r="C192" i="26"/>
  <c r="I163" i="26"/>
  <c r="H163" i="26"/>
  <c r="G163" i="26"/>
  <c r="F163" i="26"/>
  <c r="G146" i="26"/>
  <c r="G147" i="26"/>
  <c r="G148" i="26"/>
  <c r="G149" i="26"/>
  <c r="G150" i="26"/>
  <c r="G151" i="26"/>
  <c r="G152" i="26"/>
  <c r="G153" i="26"/>
  <c r="G154" i="26"/>
  <c r="G155" i="26"/>
  <c r="E156" i="26"/>
  <c r="G74" i="26"/>
  <c r="J74" i="26" s="1"/>
  <c r="G75" i="26"/>
  <c r="J75" i="26" s="1"/>
  <c r="G76" i="26"/>
  <c r="J76" i="26" s="1"/>
  <c r="G77" i="26"/>
  <c r="J77" i="26" s="1"/>
  <c r="G78" i="26"/>
  <c r="J78" i="26" s="1"/>
  <c r="G79" i="26"/>
  <c r="J79" i="26" s="1"/>
  <c r="G80" i="26"/>
  <c r="J80" i="26" s="1"/>
  <c r="G84" i="26"/>
  <c r="J84" i="26" s="1"/>
  <c r="G85" i="26"/>
  <c r="J85" i="26" s="1"/>
  <c r="G86" i="26"/>
  <c r="J86" i="26" s="1"/>
  <c r="G87" i="26"/>
  <c r="J87" i="26" s="1"/>
  <c r="G88" i="26"/>
  <c r="J88" i="26" s="1"/>
  <c r="G89" i="26"/>
  <c r="J89" i="26" s="1"/>
  <c r="G90" i="26"/>
  <c r="J90" i="26" s="1"/>
  <c r="G94" i="26"/>
  <c r="J94" i="26" s="1"/>
  <c r="G95" i="26"/>
  <c r="J95" i="26" s="1"/>
  <c r="G96" i="26"/>
  <c r="J96" i="26" s="1"/>
  <c r="G97" i="26"/>
  <c r="J97" i="26" s="1"/>
  <c r="G98" i="26"/>
  <c r="J98" i="26" s="1"/>
  <c r="G99" i="26"/>
  <c r="J99" i="26" s="1"/>
  <c r="G100" i="26"/>
  <c r="J100" i="26" s="1"/>
  <c r="G104" i="26"/>
  <c r="J104" i="26" s="1"/>
  <c r="G105" i="26"/>
  <c r="J105" i="26" s="1"/>
  <c r="G106" i="26"/>
  <c r="J106" i="26" s="1"/>
  <c r="G107" i="26"/>
  <c r="J107" i="26" s="1"/>
  <c r="G108" i="26"/>
  <c r="J108" i="26" s="1"/>
  <c r="G109" i="26"/>
  <c r="J109" i="26" s="1"/>
  <c r="G110" i="26"/>
  <c r="J110" i="26" s="1"/>
  <c r="J9" i="26"/>
  <c r="J10" i="26"/>
  <c r="J11" i="26"/>
  <c r="J12" i="26"/>
  <c r="J13" i="26"/>
  <c r="J14" i="26"/>
  <c r="J15" i="26"/>
  <c r="J19" i="26"/>
  <c r="J20" i="26"/>
  <c r="J21" i="26"/>
  <c r="J22" i="26"/>
  <c r="J23" i="26"/>
  <c r="J24" i="26"/>
  <c r="J25" i="26"/>
  <c r="J29" i="26"/>
  <c r="J30" i="26"/>
  <c r="J31" i="26"/>
  <c r="J32" i="26"/>
  <c r="J33" i="26"/>
  <c r="J34" i="26"/>
  <c r="J35" i="26"/>
  <c r="J39" i="26"/>
  <c r="J40" i="26"/>
  <c r="J41" i="26"/>
  <c r="J42" i="26"/>
  <c r="J43" i="26"/>
  <c r="J44" i="26"/>
  <c r="J45" i="26"/>
  <c r="J59" i="26"/>
  <c r="J60" i="26"/>
  <c r="J61" i="26"/>
  <c r="J62" i="26"/>
  <c r="J63" i="26"/>
  <c r="J64" i="26"/>
  <c r="J65" i="26"/>
  <c r="I74" i="26"/>
  <c r="I75" i="26"/>
  <c r="I76" i="26"/>
  <c r="I77" i="26"/>
  <c r="K77" i="26" s="1"/>
  <c r="I78" i="26"/>
  <c r="I79" i="26"/>
  <c r="I80" i="26"/>
  <c r="I84" i="26"/>
  <c r="I85" i="26"/>
  <c r="I86" i="26"/>
  <c r="I87" i="26"/>
  <c r="I88" i="26"/>
  <c r="I89" i="26"/>
  <c r="I90" i="26"/>
  <c r="I94" i="26"/>
  <c r="I95" i="26"/>
  <c r="I96" i="26"/>
  <c r="I97" i="26"/>
  <c r="I98" i="26"/>
  <c r="I99" i="26"/>
  <c r="I100" i="26"/>
  <c r="I104" i="26"/>
  <c r="I105" i="26"/>
  <c r="I106" i="26"/>
  <c r="I107" i="26"/>
  <c r="I108" i="26"/>
  <c r="I109" i="26"/>
  <c r="I110" i="26"/>
  <c r="P148" i="26"/>
  <c r="H81" i="26"/>
  <c r="H91" i="26"/>
  <c r="H101" i="26"/>
  <c r="P101" i="26" s="1"/>
  <c r="H111" i="26"/>
  <c r="W78" i="26"/>
  <c r="W88" i="26"/>
  <c r="W98" i="26"/>
  <c r="W108" i="26"/>
  <c r="AC104" i="26"/>
  <c r="AC105" i="26"/>
  <c r="AC106" i="26"/>
  <c r="AC107" i="26"/>
  <c r="AC108" i="26"/>
  <c r="AC109" i="26"/>
  <c r="AC110" i="26"/>
  <c r="K104" i="26"/>
  <c r="K105" i="26"/>
  <c r="K106" i="26"/>
  <c r="K107" i="26"/>
  <c r="K108" i="26"/>
  <c r="K109" i="26"/>
  <c r="K110" i="26"/>
  <c r="E111" i="26"/>
  <c r="A111" i="26"/>
  <c r="AB110" i="26"/>
  <c r="AA110" i="26"/>
  <c r="Z110" i="26"/>
  <c r="AB109" i="26"/>
  <c r="AA109" i="26"/>
  <c r="Z109" i="26"/>
  <c r="AB108" i="26"/>
  <c r="AA108" i="26"/>
  <c r="Z108" i="26"/>
  <c r="AB107" i="26"/>
  <c r="AA107" i="26"/>
  <c r="Z107" i="26"/>
  <c r="AB106" i="26"/>
  <c r="AA106" i="26"/>
  <c r="Z106" i="26"/>
  <c r="AB105" i="26"/>
  <c r="AA105" i="26"/>
  <c r="Z105" i="26"/>
  <c r="AB104" i="26"/>
  <c r="AA104" i="26"/>
  <c r="C104" i="26"/>
  <c r="F103" i="26"/>
  <c r="AC94" i="26"/>
  <c r="AC95" i="26"/>
  <c r="AC97" i="26"/>
  <c r="AC98" i="26"/>
  <c r="AC99" i="26"/>
  <c r="AC100" i="26"/>
  <c r="K94" i="26"/>
  <c r="K95" i="26"/>
  <c r="K96" i="26"/>
  <c r="K97" i="26"/>
  <c r="K98" i="26"/>
  <c r="K99" i="26"/>
  <c r="K100" i="26"/>
  <c r="E101" i="26"/>
  <c r="AB100" i="26"/>
  <c r="AA100" i="26"/>
  <c r="Z100" i="26"/>
  <c r="AB99" i="26"/>
  <c r="AA99" i="26"/>
  <c r="Z99" i="26"/>
  <c r="AB98" i="26"/>
  <c r="AA98" i="26"/>
  <c r="Z98" i="26"/>
  <c r="AB97" i="26"/>
  <c r="AA97" i="26"/>
  <c r="Z97" i="26"/>
  <c r="AA96" i="26"/>
  <c r="AB95" i="26"/>
  <c r="AA95" i="26"/>
  <c r="Z95" i="26"/>
  <c r="AB94" i="26"/>
  <c r="AA94" i="26"/>
  <c r="Z94" i="26"/>
  <c r="C94" i="26"/>
  <c r="I173" i="26" s="1"/>
  <c r="F93" i="26"/>
  <c r="AC84" i="26"/>
  <c r="AC88" i="26"/>
  <c r="AC89" i="26"/>
  <c r="AC90" i="26"/>
  <c r="K84" i="26"/>
  <c r="K87" i="26"/>
  <c r="K88" i="26"/>
  <c r="K89" i="26"/>
  <c r="K90" i="26"/>
  <c r="E91" i="26"/>
  <c r="AB90" i="26"/>
  <c r="AA90" i="26"/>
  <c r="Z90" i="26"/>
  <c r="AB89" i="26"/>
  <c r="AA89" i="26"/>
  <c r="Z89" i="26"/>
  <c r="AB88" i="26"/>
  <c r="AA88" i="26"/>
  <c r="Z88" i="26"/>
  <c r="AA87" i="26"/>
  <c r="Z87" i="26"/>
  <c r="AB87" i="26" s="1"/>
  <c r="AC87" i="26" s="1"/>
  <c r="AA86" i="26"/>
  <c r="AA85" i="26"/>
  <c r="AB84" i="26"/>
  <c r="AA84" i="26"/>
  <c r="Z84" i="26"/>
  <c r="C84" i="26"/>
  <c r="F83" i="26"/>
  <c r="AC74" i="26"/>
  <c r="AC78" i="26"/>
  <c r="AC79" i="26"/>
  <c r="AC80" i="26"/>
  <c r="K74" i="26"/>
  <c r="K78" i="26"/>
  <c r="K79" i="26"/>
  <c r="K80" i="26"/>
  <c r="E81" i="26"/>
  <c r="AB80" i="26"/>
  <c r="AA80" i="26"/>
  <c r="Z80" i="26"/>
  <c r="AB79" i="26"/>
  <c r="AA79" i="26"/>
  <c r="Z79" i="26"/>
  <c r="AB78" i="26"/>
  <c r="AA78" i="26"/>
  <c r="Z78" i="26"/>
  <c r="AA77" i="26"/>
  <c r="Z77" i="26"/>
  <c r="AB77" i="26" s="1"/>
  <c r="AC77" i="26" s="1"/>
  <c r="AA76" i="26"/>
  <c r="AA75" i="26"/>
  <c r="AB74" i="26"/>
  <c r="AA74" i="26"/>
  <c r="Z74" i="26"/>
  <c r="C74" i="26"/>
  <c r="F73" i="26"/>
  <c r="E16" i="26"/>
  <c r="E26" i="26"/>
  <c r="E36" i="26"/>
  <c r="E46" i="26"/>
  <c r="E66" i="26"/>
  <c r="K61" i="26"/>
  <c r="K62" i="26"/>
  <c r="K63" i="26"/>
  <c r="K64" i="26"/>
  <c r="K65" i="26"/>
  <c r="H66" i="26"/>
  <c r="A66" i="26"/>
  <c r="G65" i="26"/>
  <c r="H65" i="26"/>
  <c r="G64" i="26"/>
  <c r="H64" i="26"/>
  <c r="G63" i="26"/>
  <c r="H63" i="26"/>
  <c r="G62" i="26"/>
  <c r="H62" i="26"/>
  <c r="G61" i="26"/>
  <c r="H61" i="26"/>
  <c r="G60" i="26"/>
  <c r="H60" i="26" s="1"/>
  <c r="K60" i="26" s="1"/>
  <c r="G59" i="26"/>
  <c r="H59" i="26" s="1"/>
  <c r="K59" i="26" s="1"/>
  <c r="H46" i="26"/>
  <c r="A46" i="26"/>
  <c r="G45" i="26"/>
  <c r="F45" i="26"/>
  <c r="H45" i="26" s="1"/>
  <c r="K45" i="26" s="1"/>
  <c r="G44" i="26"/>
  <c r="F44" i="26"/>
  <c r="H44" i="26" s="1"/>
  <c r="K44" i="26" s="1"/>
  <c r="G43" i="26"/>
  <c r="F43" i="26"/>
  <c r="H43" i="26" s="1"/>
  <c r="K43" i="26" s="1"/>
  <c r="G42" i="26"/>
  <c r="F42" i="26"/>
  <c r="H42" i="26" s="1"/>
  <c r="K42" i="26" s="1"/>
  <c r="G41" i="26"/>
  <c r="F41" i="26"/>
  <c r="H41" i="26" s="1"/>
  <c r="K41" i="26" s="1"/>
  <c r="G40" i="26"/>
  <c r="F40" i="26"/>
  <c r="H40" i="26" s="1"/>
  <c r="K40" i="26" s="1"/>
  <c r="G39" i="26"/>
  <c r="F39" i="26"/>
  <c r="H39" i="26" s="1"/>
  <c r="K39" i="26" s="1"/>
  <c r="K29" i="26"/>
  <c r="K30" i="26"/>
  <c r="K31" i="26"/>
  <c r="K32" i="26"/>
  <c r="K33" i="26"/>
  <c r="K34" i="26"/>
  <c r="K35" i="26"/>
  <c r="H36" i="26"/>
  <c r="A36" i="26"/>
  <c r="G35" i="26"/>
  <c r="H35" i="26"/>
  <c r="F35" i="26"/>
  <c r="G34" i="26"/>
  <c r="H34" i="26"/>
  <c r="F34" i="26"/>
  <c r="G33" i="26"/>
  <c r="H33" i="26"/>
  <c r="F33" i="26"/>
  <c r="G32" i="26"/>
  <c r="H32" i="26"/>
  <c r="F32" i="26"/>
  <c r="G31" i="26"/>
  <c r="H31" i="26"/>
  <c r="F31" i="26"/>
  <c r="G30" i="26"/>
  <c r="H30" i="26"/>
  <c r="F30" i="26"/>
  <c r="G29" i="26"/>
  <c r="H29" i="26"/>
  <c r="F29" i="26"/>
  <c r="K19" i="26"/>
  <c r="K20" i="26"/>
  <c r="K21" i="26"/>
  <c r="K22" i="26"/>
  <c r="K23" i="26"/>
  <c r="K24" i="26"/>
  <c r="K25" i="26"/>
  <c r="H26" i="26"/>
  <c r="A26" i="26"/>
  <c r="G25" i="26"/>
  <c r="H25" i="26"/>
  <c r="F25" i="26"/>
  <c r="G24" i="26"/>
  <c r="H24" i="26"/>
  <c r="F24" i="26"/>
  <c r="G23" i="26"/>
  <c r="H23" i="26"/>
  <c r="F23" i="26"/>
  <c r="G22" i="26"/>
  <c r="H22" i="26"/>
  <c r="F22" i="26"/>
  <c r="G21" i="26"/>
  <c r="H21" i="26"/>
  <c r="F21" i="26"/>
  <c r="G20" i="26"/>
  <c r="H20" i="26"/>
  <c r="F20" i="26"/>
  <c r="G19" i="26"/>
  <c r="H19" i="26"/>
  <c r="F19" i="26"/>
  <c r="K9" i="26"/>
  <c r="K10" i="26"/>
  <c r="K11" i="26"/>
  <c r="K12" i="26"/>
  <c r="K13" i="26"/>
  <c r="K14" i="26"/>
  <c r="K15" i="26"/>
  <c r="H16" i="26"/>
  <c r="A16" i="26"/>
  <c r="G15" i="26"/>
  <c r="H15" i="26"/>
  <c r="F15" i="26"/>
  <c r="G14" i="26"/>
  <c r="H14" i="26"/>
  <c r="F14" i="26"/>
  <c r="G13" i="26"/>
  <c r="H13" i="26"/>
  <c r="F13" i="26"/>
  <c r="G12" i="26"/>
  <c r="H12" i="26"/>
  <c r="F12" i="26"/>
  <c r="G11" i="26"/>
  <c r="H11" i="26"/>
  <c r="F11" i="26"/>
  <c r="G10" i="26"/>
  <c r="H10" i="26"/>
  <c r="F10" i="26"/>
  <c r="G9" i="26"/>
  <c r="H9" i="26"/>
  <c r="F9" i="26"/>
  <c r="K4" i="26"/>
  <c r="A4" i="26"/>
  <c r="K3" i="26"/>
  <c r="A3" i="26"/>
  <c r="K2" i="26"/>
  <c r="E32" i="27"/>
  <c r="A14" i="27"/>
  <c r="N8" i="27"/>
  <c r="K8" i="27" s="1"/>
  <c r="N9" i="27"/>
  <c r="K9" i="27" s="1"/>
  <c r="N10" i="27"/>
  <c r="K10" i="27" s="1"/>
  <c r="N11" i="27"/>
  <c r="H11" i="27" s="1"/>
  <c r="L3" i="27"/>
  <c r="A3" i="27"/>
  <c r="L2" i="27"/>
  <c r="K75" i="29"/>
  <c r="H136" i="57" s="1"/>
  <c r="CE81" i="29"/>
  <c r="CD81" i="29"/>
  <c r="CC81" i="29"/>
  <c r="CB81" i="29"/>
  <c r="CA81" i="29"/>
  <c r="BZ81" i="29"/>
  <c r="BY81" i="29"/>
  <c r="F64" i="29"/>
  <c r="F66" i="29" s="1"/>
  <c r="BT81" i="29"/>
  <c r="BS81" i="29"/>
  <c r="BR81" i="29"/>
  <c r="BQ81" i="29"/>
  <c r="BP81" i="29"/>
  <c r="BO81" i="29"/>
  <c r="BN81" i="29"/>
  <c r="BM81" i="29"/>
  <c r="BL81" i="29"/>
  <c r="BK81" i="29"/>
  <c r="BJ81" i="29"/>
  <c r="BI81" i="29"/>
  <c r="BH81" i="29"/>
  <c r="BG81" i="29"/>
  <c r="BF81" i="29"/>
  <c r="BE81" i="29"/>
  <c r="BD81" i="29"/>
  <c r="BC81" i="29"/>
  <c r="BB81" i="29"/>
  <c r="BA81" i="29"/>
  <c r="AZ81" i="29"/>
  <c r="AY81" i="29"/>
  <c r="AX81" i="29"/>
  <c r="AW81" i="29"/>
  <c r="AV81" i="29"/>
  <c r="AU81" i="29"/>
  <c r="AT81" i="29"/>
  <c r="AS81" i="29"/>
  <c r="AR81" i="29"/>
  <c r="AQ81" i="29"/>
  <c r="AP81" i="29"/>
  <c r="AO81" i="29"/>
  <c r="AN81" i="29"/>
  <c r="AM81" i="29"/>
  <c r="AL81" i="29"/>
  <c r="AK81" i="29"/>
  <c r="AJ81" i="29"/>
  <c r="AI81" i="29"/>
  <c r="AH81" i="29"/>
  <c r="AG81" i="29"/>
  <c r="AF81" i="29"/>
  <c r="AE81" i="29"/>
  <c r="AD81" i="29"/>
  <c r="AC81" i="29"/>
  <c r="AB81" i="29"/>
  <c r="AA81" i="29"/>
  <c r="Z81" i="29"/>
  <c r="Y81" i="29"/>
  <c r="X81" i="29"/>
  <c r="W81" i="29"/>
  <c r="V81" i="29"/>
  <c r="U81" i="29"/>
  <c r="T81" i="29"/>
  <c r="S81" i="29"/>
  <c r="R81" i="29"/>
  <c r="Q81" i="29"/>
  <c r="P81" i="29"/>
  <c r="O81" i="29"/>
  <c r="N81" i="29"/>
  <c r="M81" i="29"/>
  <c r="L81" i="29"/>
  <c r="K81" i="29"/>
  <c r="J81" i="29"/>
  <c r="I81" i="29"/>
  <c r="H81" i="29"/>
  <c r="G81" i="29"/>
  <c r="F81" i="29"/>
  <c r="E81" i="29"/>
  <c r="D81" i="29"/>
  <c r="CF79" i="29"/>
  <c r="CE79" i="29"/>
  <c r="CD79" i="29"/>
  <c r="CB79" i="29"/>
  <c r="CA79" i="29"/>
  <c r="BT79" i="29"/>
  <c r="BS79" i="29"/>
  <c r="BQ79" i="29"/>
  <c r="BP79" i="29"/>
  <c r="BO79" i="29"/>
  <c r="BN79" i="29"/>
  <c r="BM79" i="29"/>
  <c r="BL79" i="29"/>
  <c r="BK79" i="29"/>
  <c r="BJ79" i="29"/>
  <c r="BI79" i="29"/>
  <c r="BH79" i="29"/>
  <c r="BG79" i="29"/>
  <c r="BF79" i="29"/>
  <c r="BE79" i="29"/>
  <c r="BD79" i="29"/>
  <c r="BB79" i="29"/>
  <c r="BA79" i="29"/>
  <c r="AZ79" i="29"/>
  <c r="AY79" i="29"/>
  <c r="AX79" i="29"/>
  <c r="AW79" i="29"/>
  <c r="AV79" i="29"/>
  <c r="AU79" i="29"/>
  <c r="AT79" i="29"/>
  <c r="AS79" i="29"/>
  <c r="AR79" i="29"/>
  <c r="AQ79" i="29"/>
  <c r="AP79" i="29"/>
  <c r="AO79" i="29"/>
  <c r="AN79" i="29"/>
  <c r="AM79" i="29"/>
  <c r="AL79" i="29"/>
  <c r="AK79" i="29"/>
  <c r="AJ79" i="29"/>
  <c r="AI79" i="29"/>
  <c r="AH79" i="29"/>
  <c r="AG79" i="29"/>
  <c r="AF79" i="29"/>
  <c r="AE79" i="29"/>
  <c r="AD79" i="29"/>
  <c r="AC79" i="29"/>
  <c r="AB79" i="29"/>
  <c r="AA79" i="29"/>
  <c r="Z79" i="29"/>
  <c r="Y79" i="29"/>
  <c r="X79" i="29"/>
  <c r="W79" i="29"/>
  <c r="V79" i="29"/>
  <c r="U79" i="29"/>
  <c r="T79" i="29"/>
  <c r="S79" i="29"/>
  <c r="R79" i="29"/>
  <c r="Q79" i="29"/>
  <c r="P79" i="29"/>
  <c r="O79" i="29"/>
  <c r="N79" i="29"/>
  <c r="M79" i="29"/>
  <c r="L79" i="29"/>
  <c r="K79" i="29"/>
  <c r="J79" i="29"/>
  <c r="I79" i="29"/>
  <c r="H79" i="29"/>
  <c r="G79" i="29"/>
  <c r="F79" i="29"/>
  <c r="E79" i="29"/>
  <c r="D79" i="29"/>
  <c r="F63" i="29"/>
  <c r="I54" i="29"/>
  <c r="H54" i="29"/>
  <c r="G54" i="29"/>
  <c r="F54" i="29"/>
  <c r="E54" i="29"/>
  <c r="D54" i="29"/>
  <c r="D53" i="29"/>
  <c r="N43" i="29"/>
  <c r="N44" i="29" s="1"/>
  <c r="N45" i="29" s="1"/>
  <c r="N46" i="29" s="1"/>
  <c r="N47" i="29" s="1"/>
  <c r="N48" i="29" s="1"/>
  <c r="N49" i="29" s="1"/>
  <c r="N50" i="29" s="1"/>
  <c r="N51" i="29" s="1"/>
  <c r="N52" i="29" s="1"/>
  <c r="M44" i="29"/>
  <c r="M45" i="29" s="1"/>
  <c r="M46" i="29" s="1"/>
  <c r="M47" i="29" s="1"/>
  <c r="M48" i="29" s="1"/>
  <c r="M49" i="29" s="1"/>
  <c r="M50" i="29" s="1"/>
  <c r="M51" i="29" s="1"/>
  <c r="M52" i="29" s="1"/>
  <c r="A44" i="29"/>
  <c r="A45" i="29" s="1"/>
  <c r="A46" i="29" s="1"/>
  <c r="A47" i="29" s="1"/>
  <c r="A48" i="29" s="1"/>
  <c r="A49" i="29" s="1"/>
  <c r="A50" i="29" s="1"/>
  <c r="A51" i="29" s="1"/>
  <c r="A52" i="29" s="1"/>
  <c r="N38" i="29"/>
  <c r="C36" i="29"/>
  <c r="E33" i="29" s="1"/>
  <c r="D8" i="29"/>
  <c r="L2" i="29"/>
  <c r="T7" i="38"/>
  <c r="Y7" i="38"/>
  <c r="K7" i="38"/>
  <c r="O7" i="38"/>
  <c r="AB7" i="38"/>
  <c r="Z7" i="38"/>
  <c r="M7" i="38"/>
  <c r="W7" i="38"/>
  <c r="N7" i="38"/>
  <c r="U7" i="38"/>
  <c r="P7" i="38"/>
  <c r="X7" i="38"/>
  <c r="S7" i="38"/>
  <c r="R7" i="38"/>
  <c r="Q7" i="38"/>
  <c r="V7" i="38"/>
  <c r="J7" i="38"/>
  <c r="AD7" i="38"/>
  <c r="L7" i="38"/>
  <c r="AC7" i="38"/>
  <c r="AA7" i="38"/>
  <c r="H9" i="27" l="1"/>
  <c r="M101" i="16"/>
  <c r="W101" i="16"/>
  <c r="M67" i="28"/>
  <c r="BU81" i="29"/>
  <c r="F132" i="57"/>
  <c r="F131" i="57" s="1"/>
  <c r="F114" i="57"/>
  <c r="J105" i="30"/>
  <c r="F81" i="57"/>
  <c r="J18" i="30"/>
  <c r="N18" i="57"/>
  <c r="V18" i="57"/>
  <c r="D18" i="57"/>
  <c r="H18" i="30" s="1"/>
  <c r="W18" i="57"/>
  <c r="N92" i="57"/>
  <c r="F93" i="57"/>
  <c r="J93" i="30" s="1"/>
  <c r="W27" i="57"/>
  <c r="V27" i="57"/>
  <c r="N27" i="57"/>
  <c r="J17" i="30"/>
  <c r="W17" i="57"/>
  <c r="V17" i="57"/>
  <c r="D17" i="57"/>
  <c r="H17" i="30" s="1"/>
  <c r="N17" i="57"/>
  <c r="I136" i="57"/>
  <c r="I135" i="57"/>
  <c r="F9" i="27"/>
  <c r="J21" i="30"/>
  <c r="J21" i="28" s="1"/>
  <c r="F21" i="57"/>
  <c r="N21" i="57" s="1"/>
  <c r="F15" i="57"/>
  <c r="J14" i="30"/>
  <c r="V14" i="57"/>
  <c r="D14" i="57"/>
  <c r="H14" i="30" s="1"/>
  <c r="W14" i="57"/>
  <c r="N14" i="57"/>
  <c r="J20" i="30"/>
  <c r="W20" i="57"/>
  <c r="V20" i="57"/>
  <c r="N20" i="57"/>
  <c r="D20" i="57"/>
  <c r="H20" i="30" s="1"/>
  <c r="J19" i="30"/>
  <c r="L19" i="57"/>
  <c r="B19" i="30" s="1"/>
  <c r="K19" i="57"/>
  <c r="A19" i="30" s="1"/>
  <c r="W19" i="57"/>
  <c r="N19" i="57"/>
  <c r="D19" i="57"/>
  <c r="H19" i="30" s="1"/>
  <c r="V19" i="57"/>
  <c r="E19" i="57"/>
  <c r="I19" i="30" s="1"/>
  <c r="E54" i="59"/>
  <c r="F56" i="59"/>
  <c r="F61" i="59" s="1"/>
  <c r="K58" i="59" s="1"/>
  <c r="E56" i="59"/>
  <c r="J11" i="30"/>
  <c r="J11" i="28" s="1"/>
  <c r="V11" i="57"/>
  <c r="N11" i="57"/>
  <c r="W11" i="57"/>
  <c r="O11" i="57"/>
  <c r="F26" i="57"/>
  <c r="AS27" i="24"/>
  <c r="AS36" i="24"/>
  <c r="AS54" i="24"/>
  <c r="AS23" i="24"/>
  <c r="W21" i="57"/>
  <c r="V81" i="57"/>
  <c r="W81" i="57"/>
  <c r="J46" i="28"/>
  <c r="M53" i="28"/>
  <c r="M37" i="28"/>
  <c r="AH46" i="28"/>
  <c r="J77" i="28"/>
  <c r="J91" i="28"/>
  <c r="AE37" i="28"/>
  <c r="AN37" i="28"/>
  <c r="AQ61" i="28"/>
  <c r="J72" i="28"/>
  <c r="L9" i="27"/>
  <c r="J71" i="28"/>
  <c r="J75" i="28"/>
  <c r="M91" i="28"/>
  <c r="S71" i="28"/>
  <c r="H8" i="27"/>
  <c r="I73" i="32"/>
  <c r="I37" i="32"/>
  <c r="I133" i="32" s="1"/>
  <c r="I9" i="27"/>
  <c r="E37" i="41"/>
  <c r="E133" i="41" s="1"/>
  <c r="J173" i="26"/>
  <c r="A81" i="26"/>
  <c r="K75" i="26"/>
  <c r="A91" i="26"/>
  <c r="Z96" i="26"/>
  <c r="AB96" i="26" s="1"/>
  <c r="AC96" i="26" s="1"/>
  <c r="AC101" i="26" s="1"/>
  <c r="A101" i="26"/>
  <c r="Y37" i="28"/>
  <c r="AQ37" i="28"/>
  <c r="P53" i="28"/>
  <c r="J66" i="28"/>
  <c r="J37" i="28"/>
  <c r="AB37" i="28"/>
  <c r="P37" i="28"/>
  <c r="AH37" i="28"/>
  <c r="M72" i="28"/>
  <c r="S37" i="28"/>
  <c r="AK37" i="28"/>
  <c r="J40" i="28"/>
  <c r="S47" i="28"/>
  <c r="J53" i="28"/>
  <c r="P72" i="28"/>
  <c r="J38" i="28"/>
  <c r="M38" i="28"/>
  <c r="P44" i="28"/>
  <c r="S44" i="28"/>
  <c r="J48" i="28"/>
  <c r="P38" i="28"/>
  <c r="V44" i="28"/>
  <c r="J49" i="28"/>
  <c r="J43" i="28"/>
  <c r="J44" i="28"/>
  <c r="M44" i="28"/>
  <c r="S61" i="28"/>
  <c r="Y56" i="28"/>
  <c r="AE56" i="28"/>
  <c r="M71" i="28"/>
  <c r="P71" i="28"/>
  <c r="M185" i="30"/>
  <c r="M185" i="28" s="1"/>
  <c r="K86" i="26"/>
  <c r="F8" i="27"/>
  <c r="J11" i="27"/>
  <c r="J9" i="27"/>
  <c r="F168" i="16"/>
  <c r="G164" i="16" s="1"/>
  <c r="G168" i="16" s="1"/>
  <c r="H164" i="16" s="1"/>
  <c r="P39" i="28"/>
  <c r="G11" i="27"/>
  <c r="G9" i="27"/>
  <c r="J50" i="28"/>
  <c r="F11" i="27"/>
  <c r="Z86" i="26"/>
  <c r="AB86" i="26" s="1"/>
  <c r="AC86" i="26" s="1"/>
  <c r="Z76" i="26"/>
  <c r="AB76" i="26" s="1"/>
  <c r="AC76" i="26" s="1"/>
  <c r="K85" i="26"/>
  <c r="K76" i="26"/>
  <c r="I11" i="27"/>
  <c r="L11" i="27"/>
  <c r="K11" i="27"/>
  <c r="J8" i="27"/>
  <c r="H173" i="26"/>
  <c r="G173" i="26"/>
  <c r="K7" i="30"/>
  <c r="N7" i="30" s="1"/>
  <c r="AT327" i="24"/>
  <c r="AT329" i="24"/>
  <c r="AT338" i="24"/>
  <c r="AT340" i="24"/>
  <c r="AT358" i="24"/>
  <c r="AT375" i="24"/>
  <c r="AT378" i="24"/>
  <c r="AT381" i="24"/>
  <c r="J80" i="28"/>
  <c r="AT39" i="24"/>
  <c r="AT63" i="24"/>
  <c r="AT69" i="24"/>
  <c r="AT71" i="24"/>
  <c r="AT77" i="24"/>
  <c r="AT79" i="24"/>
  <c r="AT85" i="24"/>
  <c r="AT87" i="24"/>
  <c r="AT93" i="24"/>
  <c r="AT95" i="24"/>
  <c r="AT101" i="24"/>
  <c r="AT103" i="24"/>
  <c r="AT109" i="24"/>
  <c r="AT111" i="24"/>
  <c r="AT117" i="24"/>
  <c r="AT119" i="24"/>
  <c r="AT125" i="24"/>
  <c r="AT127" i="24"/>
  <c r="AT133" i="24"/>
  <c r="AT135" i="24"/>
  <c r="AT141" i="24"/>
  <c r="AT143" i="24"/>
  <c r="AT149" i="24"/>
  <c r="AT151" i="24"/>
  <c r="AT157" i="24"/>
  <c r="AT159" i="24"/>
  <c r="AT165" i="24"/>
  <c r="AT167" i="24"/>
  <c r="AT173" i="24"/>
  <c r="AT175" i="24"/>
  <c r="AT181" i="24"/>
  <c r="AT183" i="24"/>
  <c r="AT189" i="24"/>
  <c r="AT191" i="24"/>
  <c r="AT197" i="24"/>
  <c r="AT199" i="24"/>
  <c r="AT205" i="24"/>
  <c r="AT207" i="24"/>
  <c r="AT213" i="24"/>
  <c r="AT215" i="24"/>
  <c r="AT221" i="24"/>
  <c r="AT223" i="24"/>
  <c r="AT229" i="24"/>
  <c r="AT231" i="24"/>
  <c r="AT237" i="24"/>
  <c r="AT239" i="24"/>
  <c r="AT245" i="24"/>
  <c r="AT247" i="24"/>
  <c r="AT253" i="24"/>
  <c r="AT255" i="24"/>
  <c r="AT261" i="24"/>
  <c r="AT263" i="24"/>
  <c r="AT269" i="24"/>
  <c r="AT271" i="24"/>
  <c r="AT277" i="24"/>
  <c r="AT279" i="24"/>
  <c r="AT285" i="24"/>
  <c r="AT287" i="24"/>
  <c r="AT293" i="24"/>
  <c r="AT295" i="24"/>
  <c r="AT301" i="24"/>
  <c r="AT303" i="24"/>
  <c r="AT309" i="24"/>
  <c r="AT311" i="24"/>
  <c r="AT317" i="24"/>
  <c r="AT319" i="24"/>
  <c r="AT27" i="24"/>
  <c r="AT30" i="24"/>
  <c r="AT42" i="24"/>
  <c r="AT51" i="24"/>
  <c r="AT54" i="24"/>
  <c r="K5" i="26"/>
  <c r="AT62" i="24"/>
  <c r="AT336" i="24"/>
  <c r="AT341" i="24"/>
  <c r="AT356" i="24"/>
  <c r="AT26" i="24"/>
  <c r="AT38" i="24"/>
  <c r="AT50" i="24"/>
  <c r="AT337" i="24"/>
  <c r="AT357" i="24"/>
  <c r="AT374" i="24"/>
  <c r="AT377" i="24"/>
  <c r="AT380" i="24"/>
  <c r="E130" i="32"/>
  <c r="AT376" i="24"/>
  <c r="AT379" i="24"/>
  <c r="N14" i="24"/>
  <c r="O14" i="24"/>
  <c r="P14" i="24"/>
  <c r="BI61" i="30"/>
  <c r="BF61" i="28"/>
  <c r="AB46" i="28"/>
  <c r="AZ46" i="28"/>
  <c r="M61" i="28"/>
  <c r="AK61" i="28"/>
  <c r="P70" i="28"/>
  <c r="Y123" i="28"/>
  <c r="BF46" i="30"/>
  <c r="D73" i="41"/>
  <c r="P101" i="16"/>
  <c r="AE46" i="28"/>
  <c r="P61" i="28"/>
  <c r="AN61" i="28"/>
  <c r="S70" i="28"/>
  <c r="F73" i="41"/>
  <c r="F104" i="41" s="1"/>
  <c r="F105" i="41" s="1"/>
  <c r="F154" i="16"/>
  <c r="G150" i="16" s="1"/>
  <c r="J134" i="30"/>
  <c r="M134" i="30" s="1"/>
  <c r="M140" i="30" s="1"/>
  <c r="M46" i="28"/>
  <c r="AK46" i="28"/>
  <c r="V61" i="28"/>
  <c r="AT61" i="28"/>
  <c r="J67" i="28"/>
  <c r="F23" i="16"/>
  <c r="S67" i="30"/>
  <c r="V67" i="30" s="1"/>
  <c r="Y67" i="30" s="1"/>
  <c r="AB67" i="30" s="1"/>
  <c r="P46" i="28"/>
  <c r="AN46" i="28"/>
  <c r="Y61" i="28"/>
  <c r="AW61" i="28"/>
  <c r="L101" i="16"/>
  <c r="S46" i="28"/>
  <c r="AQ46" i="28"/>
  <c r="AB61" i="28"/>
  <c r="AZ61" i="28"/>
  <c r="AT24" i="24"/>
  <c r="AT36" i="24"/>
  <c r="AT44" i="24"/>
  <c r="AT48" i="24"/>
  <c r="AT56" i="24"/>
  <c r="AT60" i="24"/>
  <c r="AT65" i="24"/>
  <c r="AT73" i="24"/>
  <c r="AT81" i="24"/>
  <c r="AT89" i="24"/>
  <c r="AT97" i="24"/>
  <c r="AT105" i="24"/>
  <c r="AT113" i="24"/>
  <c r="AT121" i="24"/>
  <c r="AT129" i="24"/>
  <c r="AT137" i="24"/>
  <c r="AT145" i="24"/>
  <c r="AT153" i="24"/>
  <c r="AT161" i="24"/>
  <c r="AT169" i="24"/>
  <c r="AT177" i="24"/>
  <c r="AT185" i="24"/>
  <c r="AT193" i="24"/>
  <c r="AT201" i="24"/>
  <c r="AT209" i="24"/>
  <c r="AT217" i="24"/>
  <c r="AT225" i="24"/>
  <c r="AT233" i="24"/>
  <c r="AT241" i="24"/>
  <c r="AT249" i="24"/>
  <c r="AT257" i="24"/>
  <c r="AT265" i="24"/>
  <c r="AT273" i="24"/>
  <c r="AT281" i="24"/>
  <c r="AT289" i="24"/>
  <c r="AT297" i="24"/>
  <c r="AT305" i="24"/>
  <c r="AT313" i="24"/>
  <c r="AT321" i="24"/>
  <c r="AT331" i="24"/>
  <c r="AT332" i="24"/>
  <c r="AT344" i="24"/>
  <c r="AT345" i="24"/>
  <c r="AT385" i="24"/>
  <c r="AT386" i="24"/>
  <c r="AT388" i="24"/>
  <c r="V46" i="28"/>
  <c r="AT46" i="28"/>
  <c r="S54" i="28"/>
  <c r="AE61" i="28"/>
  <c r="BC61" i="28"/>
  <c r="J70" i="28"/>
  <c r="N101" i="16"/>
  <c r="Y46" i="28"/>
  <c r="AW46" i="28"/>
  <c r="AQ54" i="28"/>
  <c r="J61" i="28"/>
  <c r="AH61" i="28"/>
  <c r="M70" i="28"/>
  <c r="AT349" i="24"/>
  <c r="AT28" i="24"/>
  <c r="AT31" i="24"/>
  <c r="AT34" i="24"/>
  <c r="AT40" i="24"/>
  <c r="AT43" i="24"/>
  <c r="AT46" i="24"/>
  <c r="AT52" i="24"/>
  <c r="AT55" i="24"/>
  <c r="AT58" i="24"/>
  <c r="AT325" i="24"/>
  <c r="AT387" i="24"/>
  <c r="AT326" i="24"/>
  <c r="P13" i="24"/>
  <c r="O13" i="24"/>
  <c r="AS13" i="24"/>
  <c r="Y47" i="30"/>
  <c r="V47" i="28"/>
  <c r="Y72" i="30"/>
  <c r="V72" i="28"/>
  <c r="P65" i="30"/>
  <c r="M65" i="28"/>
  <c r="L32" i="41"/>
  <c r="I104" i="32"/>
  <c r="L32" i="32"/>
  <c r="E168" i="26"/>
  <c r="E190" i="26" s="1"/>
  <c r="AT66" i="24"/>
  <c r="AT74" i="24"/>
  <c r="AT82" i="24"/>
  <c r="AT90" i="24"/>
  <c r="AT98" i="24"/>
  <c r="AT106" i="24"/>
  <c r="AT114" i="24"/>
  <c r="AT122" i="24"/>
  <c r="AT130" i="24"/>
  <c r="AT138" i="24"/>
  <c r="AT146" i="24"/>
  <c r="AT154" i="24"/>
  <c r="AT162" i="24"/>
  <c r="AT170" i="24"/>
  <c r="AT178" i="24"/>
  <c r="AT186" i="24"/>
  <c r="AT194" i="24"/>
  <c r="AT202" i="24"/>
  <c r="AT210" i="24"/>
  <c r="AT218" i="24"/>
  <c r="AT226" i="24"/>
  <c r="AT234" i="24"/>
  <c r="AT242" i="24"/>
  <c r="AT250" i="24"/>
  <c r="AT258" i="24"/>
  <c r="AT266" i="24"/>
  <c r="AT274" i="24"/>
  <c r="AT282" i="24"/>
  <c r="AT290" i="24"/>
  <c r="AT298" i="24"/>
  <c r="AT306" i="24"/>
  <c r="AT314" i="24"/>
  <c r="AT322" i="24"/>
  <c r="AT333" i="24"/>
  <c r="AT346" i="24"/>
  <c r="AT347" i="24"/>
  <c r="AT389" i="24"/>
  <c r="AT390" i="24"/>
  <c r="AT391" i="24"/>
  <c r="AT392" i="24"/>
  <c r="AT393" i="24"/>
  <c r="AT394" i="24"/>
  <c r="AT395" i="24"/>
  <c r="AT396" i="24"/>
  <c r="AT397" i="24"/>
  <c r="AT398" i="24"/>
  <c r="AT399" i="24"/>
  <c r="AT400" i="24"/>
  <c r="AT401" i="24"/>
  <c r="AT402" i="24"/>
  <c r="AT403" i="24"/>
  <c r="AT404" i="24"/>
  <c r="AT405" i="24"/>
  <c r="AT406" i="24"/>
  <c r="AT407" i="24"/>
  <c r="AT408" i="24"/>
  <c r="AT409" i="24"/>
  <c r="AT410" i="24"/>
  <c r="AT411" i="24"/>
  <c r="D37" i="32"/>
  <c r="D133" i="32" s="1"/>
  <c r="V54" i="28"/>
  <c r="AT54" i="28"/>
  <c r="J56" i="28"/>
  <c r="AH56" i="28"/>
  <c r="L28" i="41"/>
  <c r="J33" i="28"/>
  <c r="Y54" i="28"/>
  <c r="AW54" i="28"/>
  <c r="M56" i="28"/>
  <c r="AK56" i="28"/>
  <c r="J64" i="28"/>
  <c r="AI7" i="24"/>
  <c r="AU7" i="24"/>
  <c r="AU8" i="24" s="1"/>
  <c r="L29" i="41"/>
  <c r="H73" i="41"/>
  <c r="H104" i="41" s="1"/>
  <c r="H105" i="41" s="1"/>
  <c r="G37" i="41"/>
  <c r="G133" i="41" s="1"/>
  <c r="L28" i="32"/>
  <c r="H37" i="32"/>
  <c r="M33" i="28"/>
  <c r="AB54" i="28"/>
  <c r="AZ54" i="28"/>
  <c r="P56" i="28"/>
  <c r="AN56" i="28"/>
  <c r="J74" i="28"/>
  <c r="AE123" i="28"/>
  <c r="L30" i="41"/>
  <c r="F37" i="41"/>
  <c r="F133" i="41" s="1"/>
  <c r="L29" i="32"/>
  <c r="X101" i="16"/>
  <c r="P33" i="28"/>
  <c r="AE54" i="28"/>
  <c r="BC54" i="28"/>
  <c r="S56" i="28"/>
  <c r="AQ56" i="28"/>
  <c r="G51" i="16"/>
  <c r="AT339" i="24"/>
  <c r="AT359" i="24"/>
  <c r="AT360" i="24"/>
  <c r="AT361" i="24"/>
  <c r="L35" i="41"/>
  <c r="L30" i="32"/>
  <c r="L35" i="32"/>
  <c r="AE6" i="38"/>
  <c r="Q205" i="30"/>
  <c r="Q206" i="30" s="1"/>
  <c r="S33" i="28"/>
  <c r="J47" i="28"/>
  <c r="J54" i="28"/>
  <c r="AH54" i="28"/>
  <c r="BF54" i="28"/>
  <c r="V56" i="28"/>
  <c r="AT56" i="28"/>
  <c r="M60" i="28"/>
  <c r="J88" i="28"/>
  <c r="L34" i="41"/>
  <c r="L34" i="32"/>
  <c r="J39" i="28"/>
  <c r="M47" i="28"/>
  <c r="M54" i="28"/>
  <c r="AK54" i="28"/>
  <c r="BI54" i="28"/>
  <c r="AK60" i="28"/>
  <c r="L33" i="41"/>
  <c r="L33" i="32"/>
  <c r="M39" i="28"/>
  <c r="M40" i="28"/>
  <c r="P47" i="28"/>
  <c r="P54" i="28"/>
  <c r="AN54" i="28"/>
  <c r="AB56" i="28"/>
  <c r="BI60" i="28"/>
  <c r="I116" i="28"/>
  <c r="AT16" i="24"/>
  <c r="AT23" i="24"/>
  <c r="AJ19" i="24"/>
  <c r="AT19" i="24"/>
  <c r="AT15" i="24"/>
  <c r="AJ68" i="24"/>
  <c r="AT68" i="24"/>
  <c r="AJ76" i="24"/>
  <c r="AT76" i="24"/>
  <c r="AJ84" i="24"/>
  <c r="AT84" i="24"/>
  <c r="AJ92" i="24"/>
  <c r="AT92" i="24"/>
  <c r="AJ100" i="24"/>
  <c r="AT100" i="24"/>
  <c r="AJ108" i="24"/>
  <c r="AT108" i="24"/>
  <c r="AJ116" i="24"/>
  <c r="AT116" i="24"/>
  <c r="AJ124" i="24"/>
  <c r="AT124" i="24"/>
  <c r="AJ132" i="24"/>
  <c r="AT132" i="24"/>
  <c r="AJ140" i="24"/>
  <c r="AT140" i="24"/>
  <c r="AJ148" i="24"/>
  <c r="AT148" i="24"/>
  <c r="AJ156" i="24"/>
  <c r="AT156" i="24"/>
  <c r="AJ164" i="24"/>
  <c r="AT164" i="24"/>
  <c r="AJ172" i="24"/>
  <c r="AT172" i="24"/>
  <c r="AJ180" i="24"/>
  <c r="AT180" i="24"/>
  <c r="AJ188" i="24"/>
  <c r="AT188" i="24"/>
  <c r="AJ196" i="24"/>
  <c r="AT196" i="24"/>
  <c r="AJ204" i="24"/>
  <c r="AT204" i="24"/>
  <c r="AJ212" i="24"/>
  <c r="AT212" i="24"/>
  <c r="AJ220" i="24"/>
  <c r="AT220" i="24"/>
  <c r="AJ228" i="24"/>
  <c r="AT228" i="24"/>
  <c r="AJ236" i="24"/>
  <c r="AT236" i="24"/>
  <c r="AJ244" i="24"/>
  <c r="AT244" i="24"/>
  <c r="AJ252" i="24"/>
  <c r="AT252" i="24"/>
  <c r="AJ260" i="24"/>
  <c r="AT260" i="24"/>
  <c r="AJ268" i="24"/>
  <c r="AT268" i="24"/>
  <c r="AJ276" i="24"/>
  <c r="AT276" i="24"/>
  <c r="AJ284" i="24"/>
  <c r="AT284" i="24"/>
  <c r="AJ292" i="24"/>
  <c r="AT292" i="24"/>
  <c r="AJ300" i="24"/>
  <c r="AT300" i="24"/>
  <c r="AJ308" i="24"/>
  <c r="AT308" i="24"/>
  <c r="AJ316" i="24"/>
  <c r="AT316" i="24"/>
  <c r="AJ324" i="24"/>
  <c r="AT324" i="24"/>
  <c r="AJ335" i="24"/>
  <c r="AT335" i="24"/>
  <c r="AT350" i="24"/>
  <c r="AT351" i="24"/>
  <c r="AT352" i="24"/>
  <c r="AT353" i="24"/>
  <c r="AT354" i="24"/>
  <c r="AT355" i="24"/>
  <c r="AT22" i="24"/>
  <c r="AT18" i="24"/>
  <c r="AT14" i="24"/>
  <c r="AT70" i="24"/>
  <c r="AT78" i="24"/>
  <c r="AT86" i="24"/>
  <c r="AT94" i="24"/>
  <c r="AT102" i="24"/>
  <c r="AT110" i="24"/>
  <c r="AT118" i="24"/>
  <c r="AT126" i="24"/>
  <c r="AT134" i="24"/>
  <c r="AT142" i="24"/>
  <c r="AT150" i="24"/>
  <c r="AT158" i="24"/>
  <c r="AT166" i="24"/>
  <c r="AT174" i="24"/>
  <c r="AT182" i="24"/>
  <c r="AT190" i="24"/>
  <c r="AT198" i="24"/>
  <c r="AT206" i="24"/>
  <c r="AT214" i="24"/>
  <c r="AT222" i="24"/>
  <c r="AT230" i="24"/>
  <c r="AT238" i="24"/>
  <c r="AT246" i="24"/>
  <c r="AT254" i="24"/>
  <c r="AT262" i="24"/>
  <c r="AT270" i="24"/>
  <c r="AT278" i="24"/>
  <c r="AT286" i="24"/>
  <c r="AT294" i="24"/>
  <c r="AT302" i="24"/>
  <c r="AT310" i="24"/>
  <c r="AT318" i="24"/>
  <c r="AT328" i="24"/>
  <c r="AT362" i="24"/>
  <c r="AT363" i="24"/>
  <c r="AT364" i="24"/>
  <c r="AT365" i="24"/>
  <c r="AT366" i="24"/>
  <c r="AT367" i="24"/>
  <c r="AT368" i="24"/>
  <c r="AT369" i="24"/>
  <c r="AT370" i="24"/>
  <c r="AT371" i="24"/>
  <c r="AT372" i="24"/>
  <c r="AT373" i="24"/>
  <c r="AJ35" i="24"/>
  <c r="AT35" i="24"/>
  <c r="AJ47" i="24"/>
  <c r="AT47" i="24"/>
  <c r="AT342" i="24"/>
  <c r="AT382" i="24"/>
  <c r="AJ59" i="24"/>
  <c r="AT59" i="24"/>
  <c r="AT21" i="24"/>
  <c r="AT17" i="24"/>
  <c r="AT13" i="24"/>
  <c r="AT64" i="24"/>
  <c r="AT72" i="24"/>
  <c r="AT80" i="24"/>
  <c r="AT88" i="24"/>
  <c r="AT96" i="24"/>
  <c r="AT104" i="24"/>
  <c r="AT112" i="24"/>
  <c r="AT120" i="24"/>
  <c r="AT128" i="24"/>
  <c r="AT136" i="24"/>
  <c r="AT144" i="24"/>
  <c r="AT152" i="24"/>
  <c r="AT160" i="24"/>
  <c r="AT168" i="24"/>
  <c r="AT176" i="24"/>
  <c r="AT184" i="24"/>
  <c r="AT192" i="24"/>
  <c r="AT200" i="24"/>
  <c r="AT208" i="24"/>
  <c r="AT216" i="24"/>
  <c r="AT224" i="24"/>
  <c r="AT232" i="24"/>
  <c r="AT240" i="24"/>
  <c r="AT248" i="24"/>
  <c r="AT256" i="24"/>
  <c r="AT264" i="24"/>
  <c r="AT272" i="24"/>
  <c r="AT280" i="24"/>
  <c r="AT288" i="24"/>
  <c r="AT296" i="24"/>
  <c r="AT304" i="24"/>
  <c r="AT312" i="24"/>
  <c r="AT320" i="24"/>
  <c r="AT330" i="24"/>
  <c r="AT343" i="24"/>
  <c r="AT383" i="24"/>
  <c r="AT384" i="24"/>
  <c r="AJ32" i="24"/>
  <c r="AT32" i="24"/>
  <c r="AT20" i="24"/>
  <c r="AT25" i="24"/>
  <c r="AT29" i="24"/>
  <c r="AT33" i="24"/>
  <c r="AT37" i="24"/>
  <c r="AT41" i="24"/>
  <c r="AT45" i="24"/>
  <c r="AT49" i="24"/>
  <c r="AT53" i="24"/>
  <c r="AT57" i="24"/>
  <c r="AT61" i="24"/>
  <c r="AT67" i="24"/>
  <c r="AT75" i="24"/>
  <c r="AT83" i="24"/>
  <c r="AT91" i="24"/>
  <c r="AT99" i="24"/>
  <c r="AT107" i="24"/>
  <c r="AT115" i="24"/>
  <c r="AT123" i="24"/>
  <c r="AT131" i="24"/>
  <c r="AT139" i="24"/>
  <c r="AT147" i="24"/>
  <c r="AT155" i="24"/>
  <c r="AT163" i="24"/>
  <c r="AT171" i="24"/>
  <c r="AT179" i="24"/>
  <c r="AT187" i="24"/>
  <c r="AT195" i="24"/>
  <c r="AT203" i="24"/>
  <c r="AT211" i="24"/>
  <c r="AT219" i="24"/>
  <c r="AT227" i="24"/>
  <c r="AT235" i="24"/>
  <c r="AT243" i="24"/>
  <c r="AT251" i="24"/>
  <c r="AT259" i="24"/>
  <c r="AT267" i="24"/>
  <c r="AT275" i="24"/>
  <c r="AT283" i="24"/>
  <c r="AT291" i="24"/>
  <c r="AT299" i="24"/>
  <c r="AT307" i="24"/>
  <c r="AT315" i="24"/>
  <c r="AT323" i="24"/>
  <c r="AT334" i="24"/>
  <c r="AT348" i="24"/>
  <c r="AT412" i="24"/>
  <c r="AJ16" i="24"/>
  <c r="AJ66" i="24"/>
  <c r="AJ74" i="24"/>
  <c r="AJ82" i="24"/>
  <c r="AJ90" i="24"/>
  <c r="AJ98" i="24"/>
  <c r="AJ106" i="24"/>
  <c r="AJ114" i="24"/>
  <c r="AJ122" i="24"/>
  <c r="AJ130" i="24"/>
  <c r="AJ138" i="24"/>
  <c r="AJ146" i="24"/>
  <c r="AJ154" i="24"/>
  <c r="AJ162" i="24"/>
  <c r="AJ170" i="24"/>
  <c r="AJ178" i="24"/>
  <c r="AJ186" i="24"/>
  <c r="AJ194" i="24"/>
  <c r="AJ202" i="24"/>
  <c r="AJ210" i="24"/>
  <c r="AJ218" i="24"/>
  <c r="AJ226" i="24"/>
  <c r="AJ234" i="24"/>
  <c r="AJ242" i="24"/>
  <c r="AJ250" i="24"/>
  <c r="AJ258" i="24"/>
  <c r="AJ266" i="24"/>
  <c r="AJ274" i="24"/>
  <c r="AJ282" i="24"/>
  <c r="AJ290" i="24"/>
  <c r="AJ298" i="24"/>
  <c r="AJ306" i="24"/>
  <c r="AJ314" i="24"/>
  <c r="AJ322" i="24"/>
  <c r="AJ333" i="24"/>
  <c r="AJ347" i="24"/>
  <c r="AJ403" i="24"/>
  <c r="AJ406" i="24"/>
  <c r="AJ26" i="24"/>
  <c r="AJ38" i="24"/>
  <c r="AJ50" i="24"/>
  <c r="AJ44" i="24"/>
  <c r="AQ6" i="24"/>
  <c r="AJ349" i="24"/>
  <c r="AJ352" i="24"/>
  <c r="AJ355" i="24"/>
  <c r="V39" i="30"/>
  <c r="S39" i="28"/>
  <c r="AJ22" i="24"/>
  <c r="P80" i="30"/>
  <c r="P80" i="28" s="1"/>
  <c r="M80" i="28"/>
  <c r="AJ13" i="24"/>
  <c r="AJ64" i="24"/>
  <c r="AJ72" i="24"/>
  <c r="AJ80" i="24"/>
  <c r="P50" i="30"/>
  <c r="M50" i="28"/>
  <c r="V45" i="30"/>
  <c r="S45" i="28"/>
  <c r="V71" i="28"/>
  <c r="Y71" i="30"/>
  <c r="P49" i="30"/>
  <c r="M49" i="28"/>
  <c r="AB44" i="30"/>
  <c r="Y44" i="28"/>
  <c r="AW37" i="30"/>
  <c r="AT37" i="28"/>
  <c r="AJ29" i="24"/>
  <c r="AJ41" i="24"/>
  <c r="AJ53" i="24"/>
  <c r="P74" i="30"/>
  <c r="M74" i="28"/>
  <c r="E34" i="29"/>
  <c r="G39" i="47"/>
  <c r="D39" i="47" s="1"/>
  <c r="D42" i="47" s="1"/>
  <c r="D46" i="47" s="1"/>
  <c r="D48" i="47" s="1"/>
  <c r="P55" i="30"/>
  <c r="M57" i="30"/>
  <c r="M57" i="28" s="1"/>
  <c r="M52" i="28" s="1"/>
  <c r="M55" i="28"/>
  <c r="AH123" i="28"/>
  <c r="N51" i="47"/>
  <c r="BI27" i="30"/>
  <c r="BI27" i="28" s="1"/>
  <c r="BC92" i="30"/>
  <c r="BC92" i="28" s="1"/>
  <c r="AB27" i="30"/>
  <c r="AB27" i="28" s="1"/>
  <c r="AN27" i="30"/>
  <c r="AN27" i="28" s="1"/>
  <c r="I73" i="41"/>
  <c r="J67" i="41"/>
  <c r="G37" i="32"/>
  <c r="G133" i="32" s="1"/>
  <c r="P60" i="28"/>
  <c r="AN60" i="28"/>
  <c r="BL60" i="28"/>
  <c r="K54" i="47"/>
  <c r="K53" i="47"/>
  <c r="BF104" i="30"/>
  <c r="BF104" i="28" s="1"/>
  <c r="W122" i="30"/>
  <c r="W116" i="28" s="1"/>
  <c r="J124" i="32"/>
  <c r="C28" i="52" s="1"/>
  <c r="E28" i="52" s="1"/>
  <c r="J57" i="32"/>
  <c r="S60" i="28"/>
  <c r="AQ60" i="28"/>
  <c r="J123" i="28"/>
  <c r="F51" i="47"/>
  <c r="S92" i="30"/>
  <c r="S92" i="28" s="1"/>
  <c r="Y104" i="30"/>
  <c r="Y104" i="28" s="1"/>
  <c r="AW104" i="30"/>
  <c r="AW104" i="28" s="1"/>
  <c r="V60" i="28"/>
  <c r="AT60" i="28"/>
  <c r="M66" i="28"/>
  <c r="M123" i="28"/>
  <c r="G51" i="47"/>
  <c r="I54" i="47"/>
  <c r="I53" i="47"/>
  <c r="AB123" i="28"/>
  <c r="L51" i="47"/>
  <c r="AK123" i="28"/>
  <c r="O51" i="47"/>
  <c r="BF27" i="30"/>
  <c r="BF27" i="28" s="1"/>
  <c r="M27" i="30"/>
  <c r="M27" i="28" s="1"/>
  <c r="AW92" i="30"/>
  <c r="AW92" i="28" s="1"/>
  <c r="J27" i="30"/>
  <c r="J27" i="28" s="1"/>
  <c r="AJ70" i="24"/>
  <c r="AJ78" i="24"/>
  <c r="AJ86" i="24"/>
  <c r="AJ94" i="24"/>
  <c r="AJ102" i="24"/>
  <c r="AJ110" i="24"/>
  <c r="AJ118" i="24"/>
  <c r="AJ126" i="24"/>
  <c r="AJ134" i="24"/>
  <c r="AJ142" i="24"/>
  <c r="AJ150" i="24"/>
  <c r="AJ158" i="24"/>
  <c r="AJ166" i="24"/>
  <c r="AJ174" i="24"/>
  <c r="AJ182" i="24"/>
  <c r="AJ190" i="24"/>
  <c r="AJ198" i="24"/>
  <c r="AJ206" i="24"/>
  <c r="AJ214" i="24"/>
  <c r="AJ222" i="24"/>
  <c r="AJ230" i="24"/>
  <c r="AJ238" i="24"/>
  <c r="AJ246" i="24"/>
  <c r="AJ254" i="24"/>
  <c r="AJ262" i="24"/>
  <c r="AJ270" i="24"/>
  <c r="AJ363" i="24"/>
  <c r="J72" i="41"/>
  <c r="F73" i="32"/>
  <c r="F104" i="32" s="1"/>
  <c r="F105" i="32" s="1"/>
  <c r="F6" i="30"/>
  <c r="J45" i="28"/>
  <c r="Y60" i="28"/>
  <c r="AW60" i="28"/>
  <c r="Y27" i="30"/>
  <c r="Y27" i="28" s="1"/>
  <c r="AE27" i="30"/>
  <c r="AE27" i="28" s="1"/>
  <c r="AQ27" i="30"/>
  <c r="AQ27" i="28" s="1"/>
  <c r="E73" i="32"/>
  <c r="E104" i="32" s="1"/>
  <c r="E105" i="32" s="1"/>
  <c r="M45" i="28"/>
  <c r="AB60" i="28"/>
  <c r="AZ60" i="28"/>
  <c r="V104" i="30"/>
  <c r="V104" i="28" s="1"/>
  <c r="AZ104" i="30"/>
  <c r="AZ104" i="28" s="1"/>
  <c r="AJ88" i="24"/>
  <c r="AJ96" i="24"/>
  <c r="AJ104" i="24"/>
  <c r="AJ112" i="24"/>
  <c r="AJ120" i="24"/>
  <c r="AJ128" i="24"/>
  <c r="AJ136" i="24"/>
  <c r="AJ144" i="24"/>
  <c r="AJ152" i="24"/>
  <c r="AJ160" i="24"/>
  <c r="AJ168" i="24"/>
  <c r="AJ176" i="24"/>
  <c r="AJ184" i="24"/>
  <c r="AJ192" i="24"/>
  <c r="AJ200" i="24"/>
  <c r="AJ208" i="24"/>
  <c r="AJ216" i="24"/>
  <c r="AJ224" i="24"/>
  <c r="AJ232" i="24"/>
  <c r="AJ240" i="24"/>
  <c r="AJ248" i="24"/>
  <c r="AJ256" i="24"/>
  <c r="AJ264" i="24"/>
  <c r="AJ272" i="24"/>
  <c r="AJ383" i="24"/>
  <c r="G73" i="32"/>
  <c r="G104" i="32" s="1"/>
  <c r="F37" i="32"/>
  <c r="F133" i="32" s="1"/>
  <c r="D73" i="32"/>
  <c r="P45" i="28"/>
  <c r="AE60" i="28"/>
  <c r="BC60" i="28"/>
  <c r="M54" i="47"/>
  <c r="M53" i="47"/>
  <c r="AN123" i="28"/>
  <c r="P51" i="47"/>
  <c r="BI104" i="30"/>
  <c r="BI104" i="28" s="1"/>
  <c r="BL27" i="30"/>
  <c r="BL27" i="28" s="1"/>
  <c r="AT104" i="30"/>
  <c r="AT104" i="28" s="1"/>
  <c r="M88" i="30"/>
  <c r="M88" i="28" s="1"/>
  <c r="J46" i="32"/>
  <c r="J48" i="32" s="1"/>
  <c r="J16" i="28"/>
  <c r="J55" i="28"/>
  <c r="J60" i="28"/>
  <c r="AH60" i="28"/>
  <c r="BF60" i="28"/>
  <c r="P123" i="28"/>
  <c r="H51" i="47"/>
  <c r="V123" i="28"/>
  <c r="J51" i="47"/>
  <c r="BC104" i="30"/>
  <c r="BC104" i="28" s="1"/>
  <c r="P27" i="30"/>
  <c r="P27" i="28" s="1"/>
  <c r="V27" i="30"/>
  <c r="V27" i="28" s="1"/>
  <c r="AB92" i="30"/>
  <c r="AB92" i="28" s="1"/>
  <c r="AN92" i="30"/>
  <c r="AN92" i="28" s="1"/>
  <c r="BA122" i="30"/>
  <c r="BA116" i="28" s="1"/>
  <c r="AF122" i="30"/>
  <c r="AF116" i="28" s="1"/>
  <c r="AU122" i="30"/>
  <c r="AV122" i="30" s="1"/>
  <c r="AV116" i="28" s="1"/>
  <c r="AC122" i="30"/>
  <c r="AC116" i="28" s="1"/>
  <c r="AO122" i="30"/>
  <c r="AO116" i="28" s="1"/>
  <c r="BD122" i="30"/>
  <c r="BD116" i="28" s="1"/>
  <c r="BG122" i="30"/>
  <c r="BH122" i="30" s="1"/>
  <c r="BH116" i="28" s="1"/>
  <c r="Z122" i="30"/>
  <c r="AA122" i="30" s="1"/>
  <c r="J81" i="30"/>
  <c r="J81" i="28" s="1"/>
  <c r="M92" i="30"/>
  <c r="M92" i="28" s="1"/>
  <c r="J92" i="30"/>
  <c r="J92" i="28" s="1"/>
  <c r="P104" i="30"/>
  <c r="P104" i="28" s="1"/>
  <c r="M104" i="30"/>
  <c r="M104" i="28" s="1"/>
  <c r="J104" i="30"/>
  <c r="J104" i="28" s="1"/>
  <c r="F148" i="16"/>
  <c r="G144" i="16" s="1"/>
  <c r="G148" i="16" s="1"/>
  <c r="H144" i="16" s="1"/>
  <c r="H148" i="16" s="1"/>
  <c r="I144" i="16" s="1"/>
  <c r="I148" i="16" s="1"/>
  <c r="J144" i="16" s="1"/>
  <c r="J148" i="16" s="1"/>
  <c r="K144" i="16" s="1"/>
  <c r="K148" i="16" s="1"/>
  <c r="L144" i="16" s="1"/>
  <c r="L148" i="16" s="1"/>
  <c r="M144" i="16" s="1"/>
  <c r="M148" i="16" s="1"/>
  <c r="N144" i="16" s="1"/>
  <c r="N148" i="16" s="1"/>
  <c r="O144" i="16" s="1"/>
  <c r="O148" i="16" s="1"/>
  <c r="P144" i="16" s="1"/>
  <c r="P148" i="16" s="1"/>
  <c r="Q144" i="16" s="1"/>
  <c r="Q148" i="16" s="1"/>
  <c r="R144" i="16" s="1"/>
  <c r="R148" i="16" s="1"/>
  <c r="S144" i="16" s="1"/>
  <c r="S148" i="16" s="1"/>
  <c r="T144" i="16" s="1"/>
  <c r="T148" i="16" s="1"/>
  <c r="U144" i="16" s="1"/>
  <c r="U148" i="16" s="1"/>
  <c r="V144" i="16" s="1"/>
  <c r="V148" i="16" s="1"/>
  <c r="W144" i="16" s="1"/>
  <c r="W148" i="16" s="1"/>
  <c r="X144" i="16" s="1"/>
  <c r="X148" i="16" s="1"/>
  <c r="Y144" i="16" s="1"/>
  <c r="Y148" i="16" s="1"/>
  <c r="AB144" i="16" s="1"/>
  <c r="AB148" i="16" s="1"/>
  <c r="AE144" i="16" s="1"/>
  <c r="AE148" i="16" s="1"/>
  <c r="AH144" i="16" s="1"/>
  <c r="AH148" i="16" s="1"/>
  <c r="AK144" i="16" s="1"/>
  <c r="AK148" i="16" s="1"/>
  <c r="AN144" i="16" s="1"/>
  <c r="AN148" i="16" s="1"/>
  <c r="AQ144" i="16" s="1"/>
  <c r="AQ148" i="16" s="1"/>
  <c r="AT144" i="16" s="1"/>
  <c r="AT148" i="16" s="1"/>
  <c r="AW144" i="16" s="1"/>
  <c r="AW148" i="16" s="1"/>
  <c r="AZ144" i="16" s="1"/>
  <c r="AZ148" i="16" s="1"/>
  <c r="E13" i="16"/>
  <c r="E16" i="16" s="1"/>
  <c r="K138" i="16"/>
  <c r="K131" i="16" s="1"/>
  <c r="W138" i="16"/>
  <c r="W139" i="16" s="1"/>
  <c r="W141" i="16" s="1"/>
  <c r="W118" i="16" s="1"/>
  <c r="AW8" i="24"/>
  <c r="AH116" i="16"/>
  <c r="H168" i="16"/>
  <c r="I164" i="16" s="1"/>
  <c r="I168" i="16" s="1"/>
  <c r="J164" i="16" s="1"/>
  <c r="J168" i="16" s="1"/>
  <c r="K164" i="16" s="1"/>
  <c r="AE116" i="16"/>
  <c r="AB116" i="16"/>
  <c r="AZ116" i="16"/>
  <c r="Y116" i="16"/>
  <c r="H21" i="16"/>
  <c r="I21" i="16" s="1"/>
  <c r="G23" i="16"/>
  <c r="J101" i="16"/>
  <c r="G154" i="16"/>
  <c r="H150" i="16" s="1"/>
  <c r="H154" i="16" s="1"/>
  <c r="I150" i="16" s="1"/>
  <c r="I154" i="16" s="1"/>
  <c r="J150" i="16" s="1"/>
  <c r="J154" i="16" s="1"/>
  <c r="K150" i="16" s="1"/>
  <c r="K154" i="16" s="1"/>
  <c r="L150" i="16" s="1"/>
  <c r="L154" i="16" s="1"/>
  <c r="M150" i="16" s="1"/>
  <c r="M154" i="16" s="1"/>
  <c r="N150" i="16" s="1"/>
  <c r="N154" i="16" s="1"/>
  <c r="O150" i="16" s="1"/>
  <c r="O154" i="16" s="1"/>
  <c r="P150" i="16" s="1"/>
  <c r="P154" i="16" s="1"/>
  <c r="Q150" i="16" s="1"/>
  <c r="Q154" i="16" s="1"/>
  <c r="R150" i="16" s="1"/>
  <c r="R154" i="16" s="1"/>
  <c r="S150" i="16" s="1"/>
  <c r="S154" i="16" s="1"/>
  <c r="T150" i="16" s="1"/>
  <c r="T154" i="16" s="1"/>
  <c r="U150" i="16" s="1"/>
  <c r="U154" i="16" s="1"/>
  <c r="V150" i="16" s="1"/>
  <c r="V154" i="16" s="1"/>
  <c r="W150" i="16" s="1"/>
  <c r="W154" i="16" s="1"/>
  <c r="X150" i="16" s="1"/>
  <c r="X154" i="16" s="1"/>
  <c r="Y150" i="16" s="1"/>
  <c r="Y154" i="16" s="1"/>
  <c r="AB150" i="16" s="1"/>
  <c r="AB154" i="16" s="1"/>
  <c r="AE150" i="16" s="1"/>
  <c r="AE154" i="16" s="1"/>
  <c r="AH150" i="16" s="1"/>
  <c r="AH154" i="16" s="1"/>
  <c r="AK150" i="16" s="1"/>
  <c r="AK154" i="16" s="1"/>
  <c r="AN150" i="16" s="1"/>
  <c r="AN154" i="16" s="1"/>
  <c r="AQ150" i="16" s="1"/>
  <c r="AQ154" i="16" s="1"/>
  <c r="AT150" i="16" s="1"/>
  <c r="AT154" i="16" s="1"/>
  <c r="AW150" i="16" s="1"/>
  <c r="AW154" i="16" s="1"/>
  <c r="AZ150" i="16" s="1"/>
  <c r="AZ154" i="16" s="1"/>
  <c r="F161" i="16"/>
  <c r="G157" i="16" s="1"/>
  <c r="G161" i="16" s="1"/>
  <c r="H157" i="16" s="1"/>
  <c r="H161" i="16" s="1"/>
  <c r="I157" i="16" s="1"/>
  <c r="I161" i="16" s="1"/>
  <c r="J157" i="16" s="1"/>
  <c r="J161" i="16" s="1"/>
  <c r="K157" i="16" s="1"/>
  <c r="K161" i="16" s="1"/>
  <c r="L157" i="16" s="1"/>
  <c r="AK116" i="16"/>
  <c r="AQ116" i="16"/>
  <c r="AW116" i="16"/>
  <c r="T101" i="16"/>
  <c r="O138" i="16"/>
  <c r="O131" i="16" s="1"/>
  <c r="AE138" i="16"/>
  <c r="AE139" i="16" s="1"/>
  <c r="AE141" i="16" s="1"/>
  <c r="AE118" i="16" s="1"/>
  <c r="I10" i="47"/>
  <c r="AJ330" i="24"/>
  <c r="AJ339" i="24"/>
  <c r="AJ346" i="24"/>
  <c r="AJ351" i="24"/>
  <c r="AJ354" i="24"/>
  <c r="AJ359" i="24"/>
  <c r="AJ365" i="24"/>
  <c r="AJ371" i="24"/>
  <c r="AJ390" i="24"/>
  <c r="AJ399" i="24"/>
  <c r="AJ402" i="24"/>
  <c r="AJ327" i="24"/>
  <c r="AJ338" i="24"/>
  <c r="AJ340" i="24"/>
  <c r="AJ345" i="24"/>
  <c r="AJ358" i="24"/>
  <c r="AJ378" i="24"/>
  <c r="AJ381" i="24"/>
  <c r="AJ386" i="24"/>
  <c r="AJ412" i="24"/>
  <c r="J102" i="41"/>
  <c r="AJ21" i="24"/>
  <c r="AJ18" i="24"/>
  <c r="AJ366" i="24"/>
  <c r="AJ24" i="24"/>
  <c r="AJ33" i="24"/>
  <c r="AJ39" i="24"/>
  <c r="AJ51" i="24"/>
  <c r="AJ54" i="24"/>
  <c r="AJ63" i="24"/>
  <c r="AJ65" i="24"/>
  <c r="AJ71" i="24"/>
  <c r="AJ73" i="24"/>
  <c r="AJ79" i="24"/>
  <c r="AJ81" i="24"/>
  <c r="AJ85" i="24"/>
  <c r="AJ91" i="24"/>
  <c r="AJ93" i="24"/>
  <c r="AJ99" i="24"/>
  <c r="AJ105" i="24"/>
  <c r="AJ107" i="24"/>
  <c r="AJ111" i="24"/>
  <c r="AJ113" i="24"/>
  <c r="AJ119" i="24"/>
  <c r="AJ121" i="24"/>
  <c r="AJ127" i="24"/>
  <c r="AJ27" i="24"/>
  <c r="AJ30" i="24"/>
  <c r="AJ42" i="24"/>
  <c r="AJ45" i="24"/>
  <c r="AJ57" i="24"/>
  <c r="AJ60" i="24"/>
  <c r="AJ67" i="24"/>
  <c r="AJ69" i="24"/>
  <c r="AJ75" i="24"/>
  <c r="AJ77" i="24"/>
  <c r="AJ83" i="24"/>
  <c r="AJ87" i="24"/>
  <c r="AJ89" i="24"/>
  <c r="AJ95" i="24"/>
  <c r="AJ97" i="24"/>
  <c r="AJ101" i="24"/>
  <c r="AJ103" i="24"/>
  <c r="AJ109" i="24"/>
  <c r="AJ115" i="24"/>
  <c r="AJ117" i="24"/>
  <c r="AJ123" i="24"/>
  <c r="AJ125" i="24"/>
  <c r="AJ135" i="24"/>
  <c r="AJ129" i="24"/>
  <c r="AJ131" i="24"/>
  <c r="AJ133" i="24"/>
  <c r="AJ137" i="24"/>
  <c r="AJ139" i="24"/>
  <c r="AJ141" i="24"/>
  <c r="AJ143" i="24"/>
  <c r="AJ145" i="24"/>
  <c r="AJ147" i="24"/>
  <c r="AJ149" i="24"/>
  <c r="AJ151" i="24"/>
  <c r="AJ153" i="24"/>
  <c r="AJ155" i="24"/>
  <c r="AJ157" i="24"/>
  <c r="AJ159" i="24"/>
  <c r="AJ161" i="24"/>
  <c r="AJ163" i="24"/>
  <c r="AJ165" i="24"/>
  <c r="AJ167" i="24"/>
  <c r="AJ169" i="24"/>
  <c r="AJ171" i="24"/>
  <c r="AJ173" i="24"/>
  <c r="AJ175" i="24"/>
  <c r="AJ177" i="24"/>
  <c r="AJ179" i="24"/>
  <c r="AJ181" i="24"/>
  <c r="AJ183" i="24"/>
  <c r="AJ185" i="24"/>
  <c r="AJ187" i="24"/>
  <c r="AJ189" i="24"/>
  <c r="AJ191" i="24"/>
  <c r="AJ193" i="24"/>
  <c r="AJ195" i="24"/>
  <c r="AJ197" i="24"/>
  <c r="AJ199" i="24"/>
  <c r="AJ201" i="24"/>
  <c r="AJ203" i="24"/>
  <c r="AJ205" i="24"/>
  <c r="AJ207" i="24"/>
  <c r="AJ209" i="24"/>
  <c r="AJ211" i="24"/>
  <c r="AJ213" i="24"/>
  <c r="AJ215" i="24"/>
  <c r="AJ217" i="24"/>
  <c r="AJ219" i="24"/>
  <c r="AJ221" i="24"/>
  <c r="AJ223" i="24"/>
  <c r="AJ225" i="24"/>
  <c r="AJ227" i="24"/>
  <c r="AJ229" i="24"/>
  <c r="AJ231" i="24"/>
  <c r="AJ233" i="24"/>
  <c r="AJ235" i="24"/>
  <c r="AJ237" i="24"/>
  <c r="AJ239" i="24"/>
  <c r="AJ241" i="24"/>
  <c r="AJ243" i="24"/>
  <c r="AJ245" i="24"/>
  <c r="AJ247" i="24"/>
  <c r="AJ249" i="24"/>
  <c r="AJ251" i="24"/>
  <c r="AJ253" i="24"/>
  <c r="AJ255" i="24"/>
  <c r="AJ257" i="24"/>
  <c r="AJ259" i="24"/>
  <c r="AJ261" i="24"/>
  <c r="AJ263" i="24"/>
  <c r="AJ265" i="24"/>
  <c r="AJ267" i="24"/>
  <c r="AJ269" i="24"/>
  <c r="AJ271" i="24"/>
  <c r="AJ273" i="24"/>
  <c r="AJ275" i="24"/>
  <c r="AJ277" i="24"/>
  <c r="AJ279" i="24"/>
  <c r="AJ281" i="24"/>
  <c r="AJ283" i="24"/>
  <c r="AJ287" i="24"/>
  <c r="AJ291" i="24"/>
  <c r="AJ297" i="24"/>
  <c r="AJ303" i="24"/>
  <c r="AJ305" i="24"/>
  <c r="AJ309" i="24"/>
  <c r="AJ315" i="24"/>
  <c r="AJ317" i="24"/>
  <c r="AJ325" i="24"/>
  <c r="AJ343" i="24"/>
  <c r="AJ353" i="24"/>
  <c r="AJ361" i="24"/>
  <c r="AJ370" i="24"/>
  <c r="AJ373" i="24"/>
  <c r="AJ384" i="24"/>
  <c r="AJ389" i="24"/>
  <c r="AJ407" i="24"/>
  <c r="AJ410" i="24"/>
  <c r="AJ332" i="24"/>
  <c r="AJ334" i="24"/>
  <c r="AJ336" i="24"/>
  <c r="AJ348" i="24"/>
  <c r="AJ356" i="24"/>
  <c r="AJ376" i="24"/>
  <c r="AJ382" i="24"/>
  <c r="AJ387" i="24"/>
  <c r="AJ23" i="24"/>
  <c r="AJ20" i="24"/>
  <c r="AJ17" i="24"/>
  <c r="AJ14" i="24"/>
  <c r="AJ342" i="24"/>
  <c r="AJ344" i="24"/>
  <c r="AJ357" i="24"/>
  <c r="AJ374" i="24"/>
  <c r="AJ380" i="24"/>
  <c r="AJ385" i="24"/>
  <c r="AJ388" i="24"/>
  <c r="AJ25" i="24"/>
  <c r="AJ28" i="24"/>
  <c r="AJ31" i="24"/>
  <c r="AJ34" i="24"/>
  <c r="AJ37" i="24"/>
  <c r="AJ43" i="24"/>
  <c r="AJ49" i="24"/>
  <c r="AJ52" i="24"/>
  <c r="AJ55" i="24"/>
  <c r="AJ61" i="24"/>
  <c r="AI285" i="24"/>
  <c r="AJ285" i="24"/>
  <c r="AI289" i="24"/>
  <c r="AJ289" i="24"/>
  <c r="AI311" i="24"/>
  <c r="AJ311" i="24"/>
  <c r="AI341" i="24"/>
  <c r="AJ341" i="24"/>
  <c r="AI379" i="24"/>
  <c r="AJ379" i="24"/>
  <c r="O23" i="26"/>
  <c r="O13" i="26"/>
  <c r="O63" i="26"/>
  <c r="O43" i="26"/>
  <c r="O53" i="26"/>
  <c r="O33" i="26"/>
  <c r="AI56" i="24"/>
  <c r="AJ56" i="24"/>
  <c r="AI62" i="24"/>
  <c r="AJ62" i="24"/>
  <c r="AI326" i="24"/>
  <c r="AJ326" i="24"/>
  <c r="AI328" i="24"/>
  <c r="AJ328" i="24"/>
  <c r="AI362" i="24"/>
  <c r="AJ362" i="24"/>
  <c r="AI368" i="24"/>
  <c r="AJ368" i="24"/>
  <c r="AI393" i="24"/>
  <c r="AJ393" i="24"/>
  <c r="AI396" i="24"/>
  <c r="AJ396" i="24"/>
  <c r="AI405" i="24"/>
  <c r="AJ405" i="24"/>
  <c r="AI408" i="24"/>
  <c r="AJ408" i="24"/>
  <c r="AI411" i="24"/>
  <c r="AJ411" i="24"/>
  <c r="O14" i="26"/>
  <c r="O64" i="26"/>
  <c r="O34" i="26"/>
  <c r="O54" i="26"/>
  <c r="O44" i="26"/>
  <c r="O24" i="26"/>
  <c r="AI293" i="24"/>
  <c r="AJ293" i="24"/>
  <c r="AI313" i="24"/>
  <c r="AJ313" i="24"/>
  <c r="AI319" i="24"/>
  <c r="AJ319" i="24"/>
  <c r="AI323" i="24"/>
  <c r="AJ323" i="24"/>
  <c r="AI337" i="24"/>
  <c r="AJ337" i="24"/>
  <c r="AI377" i="24"/>
  <c r="AJ377" i="24"/>
  <c r="O65" i="26"/>
  <c r="O55" i="26"/>
  <c r="O45" i="26"/>
  <c r="O35" i="26"/>
  <c r="O15" i="26"/>
  <c r="O25" i="26"/>
  <c r="AI295" i="24"/>
  <c r="AJ295" i="24"/>
  <c r="AI307" i="24"/>
  <c r="AJ307" i="24"/>
  <c r="AI40" i="24"/>
  <c r="AJ40" i="24"/>
  <c r="AI46" i="24"/>
  <c r="AJ46" i="24"/>
  <c r="AI58" i="24"/>
  <c r="AJ58" i="24"/>
  <c r="AI278" i="24"/>
  <c r="AJ278" i="24"/>
  <c r="AI280" i="24"/>
  <c r="AJ280" i="24"/>
  <c r="AI286" i="24"/>
  <c r="AJ286" i="24"/>
  <c r="AI288" i="24"/>
  <c r="AJ288" i="24"/>
  <c r="AI294" i="24"/>
  <c r="AJ294" i="24"/>
  <c r="AI296" i="24"/>
  <c r="AJ296" i="24"/>
  <c r="AI302" i="24"/>
  <c r="AJ302" i="24"/>
  <c r="AI304" i="24"/>
  <c r="AJ304" i="24"/>
  <c r="AI310" i="24"/>
  <c r="AJ310" i="24"/>
  <c r="AI312" i="24"/>
  <c r="AJ312" i="24"/>
  <c r="AI318" i="24"/>
  <c r="AJ318" i="24"/>
  <c r="AI320" i="24"/>
  <c r="AJ320" i="24"/>
  <c r="AI360" i="24"/>
  <c r="AJ360" i="24"/>
  <c r="AI369" i="24"/>
  <c r="AJ369" i="24"/>
  <c r="AI372" i="24"/>
  <c r="AJ372" i="24"/>
  <c r="AI391" i="24"/>
  <c r="AJ391" i="24"/>
  <c r="AI394" i="24"/>
  <c r="AJ394" i="24"/>
  <c r="AI397" i="24"/>
  <c r="AJ397" i="24"/>
  <c r="AI400" i="24"/>
  <c r="AJ400" i="24"/>
  <c r="AI409" i="24"/>
  <c r="AJ409" i="24"/>
  <c r="O50" i="26"/>
  <c r="O40" i="26"/>
  <c r="O30" i="26"/>
  <c r="O20" i="26"/>
  <c r="O10" i="26"/>
  <c r="O60" i="26"/>
  <c r="AI299" i="24"/>
  <c r="AJ299" i="24"/>
  <c r="AI301" i="24"/>
  <c r="AJ301" i="24"/>
  <c r="AI321" i="24"/>
  <c r="AJ321" i="24"/>
  <c r="AI15" i="24"/>
  <c r="AJ15" i="24"/>
  <c r="AH275" i="24"/>
  <c r="AI329" i="24"/>
  <c r="AJ329" i="24"/>
  <c r="AI331" i="24"/>
  <c r="AJ331" i="24"/>
  <c r="AI375" i="24"/>
  <c r="AJ375" i="24"/>
  <c r="O41" i="26"/>
  <c r="O31" i="26"/>
  <c r="O21" i="26"/>
  <c r="O11" i="26"/>
  <c r="O61" i="26"/>
  <c r="O51" i="26"/>
  <c r="AI36" i="24"/>
  <c r="AJ36" i="24"/>
  <c r="AI48" i="24"/>
  <c r="AJ48" i="24"/>
  <c r="AI350" i="24"/>
  <c r="AJ350" i="24"/>
  <c r="AI364" i="24"/>
  <c r="AJ364" i="24"/>
  <c r="AI367" i="24"/>
  <c r="AJ367" i="24"/>
  <c r="AI392" i="24"/>
  <c r="AJ392" i="24"/>
  <c r="AI395" i="24"/>
  <c r="AJ395" i="24"/>
  <c r="AI398" i="24"/>
  <c r="AJ398" i="24"/>
  <c r="AI401" i="24"/>
  <c r="AJ401" i="24"/>
  <c r="AI404" i="24"/>
  <c r="AJ404" i="24"/>
  <c r="O32" i="26"/>
  <c r="O22" i="26"/>
  <c r="O12" i="26"/>
  <c r="O62" i="26"/>
  <c r="O52" i="26"/>
  <c r="O42" i="26"/>
  <c r="AH21" i="24"/>
  <c r="AI21" i="24"/>
  <c r="AM18" i="24"/>
  <c r="AN18" i="24" s="1"/>
  <c r="AO18" i="24" s="1"/>
  <c r="AP18" i="24" s="1"/>
  <c r="AQ18" i="24" s="1"/>
  <c r="AI18" i="24"/>
  <c r="AL44" i="24"/>
  <c r="AI44" i="24"/>
  <c r="AM25" i="24"/>
  <c r="AN25" i="24" s="1"/>
  <c r="AO25" i="24" s="1"/>
  <c r="AP25" i="24" s="1"/>
  <c r="AQ25" i="24" s="1"/>
  <c r="AI25" i="24"/>
  <c r="AI31" i="24"/>
  <c r="AI37" i="24"/>
  <c r="AL43" i="24"/>
  <c r="AI43" i="24"/>
  <c r="AM49" i="24"/>
  <c r="AN49" i="24" s="1"/>
  <c r="AO49" i="24" s="1"/>
  <c r="AP49" i="24" s="1"/>
  <c r="AQ49" i="24" s="1"/>
  <c r="AI49" i="24"/>
  <c r="AL55" i="24"/>
  <c r="AI55" i="24"/>
  <c r="AM61" i="24"/>
  <c r="AN61" i="24" s="1"/>
  <c r="AO61" i="24" s="1"/>
  <c r="AP61" i="24" s="1"/>
  <c r="AQ61" i="24" s="1"/>
  <c r="AI61" i="24"/>
  <c r="AL65" i="24"/>
  <c r="AI65" i="24"/>
  <c r="AI68" i="24"/>
  <c r="AL71" i="24"/>
  <c r="AI71" i="24"/>
  <c r="AI74" i="24"/>
  <c r="AL77" i="24"/>
  <c r="AI77" i="24"/>
  <c r="AL80" i="24"/>
  <c r="AI80" i="24"/>
  <c r="AL83" i="24"/>
  <c r="AI83" i="24"/>
  <c r="AL86" i="24"/>
  <c r="AI86" i="24"/>
  <c r="AL89" i="24"/>
  <c r="AI89" i="24"/>
  <c r="AL92" i="24"/>
  <c r="AI92" i="24"/>
  <c r="AL95" i="24"/>
  <c r="AI95" i="24"/>
  <c r="AI98" i="24"/>
  <c r="AL101" i="24"/>
  <c r="AI101" i="24"/>
  <c r="AL104" i="24"/>
  <c r="AI104" i="24"/>
  <c r="AL107" i="24"/>
  <c r="AI107" i="24"/>
  <c r="AM110" i="24"/>
  <c r="AN110" i="24" s="1"/>
  <c r="AO110" i="24" s="1"/>
  <c r="AP110" i="24" s="1"/>
  <c r="AQ110" i="24" s="1"/>
  <c r="AI110" i="24"/>
  <c r="AM113" i="24"/>
  <c r="AN113" i="24" s="1"/>
  <c r="AO113" i="24" s="1"/>
  <c r="AP113" i="24" s="1"/>
  <c r="AQ113" i="24" s="1"/>
  <c r="AI113" i="24"/>
  <c r="AM116" i="24"/>
  <c r="AN116" i="24" s="1"/>
  <c r="AO116" i="24" s="1"/>
  <c r="AP116" i="24" s="1"/>
  <c r="AQ116" i="24" s="1"/>
  <c r="AI116" i="24"/>
  <c r="AL119" i="24"/>
  <c r="AI119" i="24"/>
  <c r="AM122" i="24"/>
  <c r="AN122" i="24" s="1"/>
  <c r="AO122" i="24" s="1"/>
  <c r="AP122" i="24" s="1"/>
  <c r="AQ122" i="24" s="1"/>
  <c r="AI122" i="24"/>
  <c r="AM125" i="24"/>
  <c r="AN125" i="24" s="1"/>
  <c r="AO125" i="24" s="1"/>
  <c r="AP125" i="24" s="1"/>
  <c r="AQ125" i="24" s="1"/>
  <c r="AI125" i="24"/>
  <c r="AM128" i="24"/>
  <c r="AN128" i="24" s="1"/>
  <c r="AO128" i="24" s="1"/>
  <c r="AP128" i="24" s="1"/>
  <c r="AQ128" i="24" s="1"/>
  <c r="AI128" i="24"/>
  <c r="AM131" i="24"/>
  <c r="AN131" i="24" s="1"/>
  <c r="AO131" i="24" s="1"/>
  <c r="AP131" i="24" s="1"/>
  <c r="AQ131" i="24" s="1"/>
  <c r="AI131" i="24"/>
  <c r="AH134" i="24"/>
  <c r="AI134" i="24"/>
  <c r="AL137" i="24"/>
  <c r="AI137" i="24"/>
  <c r="AI140" i="24"/>
  <c r="AM143" i="24"/>
  <c r="AN143" i="24" s="1"/>
  <c r="AO143" i="24" s="1"/>
  <c r="AP143" i="24" s="1"/>
  <c r="AQ143" i="24" s="1"/>
  <c r="AI143" i="24"/>
  <c r="AL146" i="24"/>
  <c r="AI146" i="24"/>
  <c r="AM149" i="24"/>
  <c r="AN149" i="24" s="1"/>
  <c r="AO149" i="24" s="1"/>
  <c r="AP149" i="24" s="1"/>
  <c r="AQ149" i="24" s="1"/>
  <c r="AI149" i="24"/>
  <c r="AI152" i="24"/>
  <c r="AL155" i="24"/>
  <c r="AI155" i="24"/>
  <c r="AI158" i="24"/>
  <c r="AM161" i="24"/>
  <c r="AN161" i="24" s="1"/>
  <c r="AO161" i="24" s="1"/>
  <c r="AP161" i="24" s="1"/>
  <c r="AQ161" i="24" s="1"/>
  <c r="AI161" i="24"/>
  <c r="AI164" i="24"/>
  <c r="AL167" i="24"/>
  <c r="AI167" i="24"/>
  <c r="AI170" i="24"/>
  <c r="AI173" i="24"/>
  <c r="AI176" i="24"/>
  <c r="AM179" i="24"/>
  <c r="AN179" i="24" s="1"/>
  <c r="AO179" i="24" s="1"/>
  <c r="AP179" i="24" s="1"/>
  <c r="AQ179" i="24" s="1"/>
  <c r="AI179" i="24"/>
  <c r="AI182" i="24"/>
  <c r="AM185" i="24"/>
  <c r="AN185" i="24" s="1"/>
  <c r="AO185" i="24" s="1"/>
  <c r="AP185" i="24" s="1"/>
  <c r="AQ185" i="24" s="1"/>
  <c r="AI185" i="24"/>
  <c r="AI188" i="24"/>
  <c r="AL191" i="24"/>
  <c r="AI191" i="24"/>
  <c r="AI194" i="24"/>
  <c r="AI197" i="24"/>
  <c r="AI200" i="24"/>
  <c r="AM203" i="24"/>
  <c r="AN203" i="24" s="1"/>
  <c r="AO203" i="24" s="1"/>
  <c r="AP203" i="24" s="1"/>
  <c r="AQ203" i="24" s="1"/>
  <c r="AI203" i="24"/>
  <c r="AI206" i="24"/>
  <c r="AI209" i="24"/>
  <c r="AI212" i="24"/>
  <c r="AI215" i="24"/>
  <c r="AI218" i="24"/>
  <c r="AI221" i="24"/>
  <c r="AH224" i="24"/>
  <c r="AI224" i="24"/>
  <c r="AL227" i="24"/>
  <c r="AI227" i="24"/>
  <c r="AI230" i="24"/>
  <c r="AI233" i="24"/>
  <c r="AH236" i="24"/>
  <c r="AI236" i="24"/>
  <c r="AL239" i="24"/>
  <c r="AI239" i="24"/>
  <c r="AH242" i="24"/>
  <c r="AI242" i="24"/>
  <c r="AI245" i="24"/>
  <c r="AI248" i="24"/>
  <c r="AI251" i="24"/>
  <c r="AI254" i="24"/>
  <c r="AI257" i="24"/>
  <c r="AH260" i="24"/>
  <c r="AI260" i="24"/>
  <c r="AM263" i="24"/>
  <c r="AN263" i="24" s="1"/>
  <c r="AO263" i="24" s="1"/>
  <c r="AP263" i="24" s="1"/>
  <c r="AQ263" i="24" s="1"/>
  <c r="AI263" i="24"/>
  <c r="AH266" i="24"/>
  <c r="AI266" i="24"/>
  <c r="AI269" i="24"/>
  <c r="AI272" i="24"/>
  <c r="AI334" i="24"/>
  <c r="AI339" i="24"/>
  <c r="AH344" i="24"/>
  <c r="AI344" i="24"/>
  <c r="AI349" i="24"/>
  <c r="AM351" i="24"/>
  <c r="AN351" i="24" s="1"/>
  <c r="AO351" i="24" s="1"/>
  <c r="AP351" i="24" s="1"/>
  <c r="AQ351" i="24" s="1"/>
  <c r="AI351" i="24"/>
  <c r="AI353" i="24"/>
  <c r="AI355" i="24"/>
  <c r="AH374" i="24"/>
  <c r="AI374" i="24"/>
  <c r="AH376" i="24"/>
  <c r="AI376" i="24"/>
  <c r="AH378" i="24"/>
  <c r="AI378" i="24"/>
  <c r="AI380" i="24"/>
  <c r="AI382" i="24"/>
  <c r="AM389" i="24"/>
  <c r="AN389" i="24" s="1"/>
  <c r="AO389" i="24" s="1"/>
  <c r="AP389" i="24" s="1"/>
  <c r="AQ389" i="24" s="1"/>
  <c r="AI389" i="24"/>
  <c r="AM399" i="24"/>
  <c r="AN399" i="24" s="1"/>
  <c r="AO399" i="24" s="1"/>
  <c r="AP399" i="24" s="1"/>
  <c r="AQ399" i="24" s="1"/>
  <c r="AI399" i="24"/>
  <c r="AM403" i="24"/>
  <c r="AN403" i="24" s="1"/>
  <c r="AO403" i="24" s="1"/>
  <c r="AP403" i="24" s="1"/>
  <c r="AQ403" i="24" s="1"/>
  <c r="AI403" i="24"/>
  <c r="AL407" i="24"/>
  <c r="AI407" i="24"/>
  <c r="AL20" i="24"/>
  <c r="AI20" i="24"/>
  <c r="AM42" i="24"/>
  <c r="AN42" i="24" s="1"/>
  <c r="AO42" i="24" s="1"/>
  <c r="AP42" i="24" s="1"/>
  <c r="AQ42" i="24" s="1"/>
  <c r="AI42" i="24"/>
  <c r="AL60" i="24"/>
  <c r="AI60" i="24"/>
  <c r="AL275" i="24"/>
  <c r="AI275" i="24"/>
  <c r="AL281" i="24"/>
  <c r="AI281" i="24"/>
  <c r="AH284" i="24"/>
  <c r="AI284" i="24"/>
  <c r="AM287" i="24"/>
  <c r="AN287" i="24" s="1"/>
  <c r="AO287" i="24" s="1"/>
  <c r="AP287" i="24" s="1"/>
  <c r="AQ287" i="24" s="1"/>
  <c r="AI287" i="24"/>
  <c r="AH290" i="24"/>
  <c r="AI290" i="24"/>
  <c r="AL305" i="24"/>
  <c r="AI305" i="24"/>
  <c r="AH308" i="24"/>
  <c r="AI308" i="24"/>
  <c r="AH314" i="24"/>
  <c r="AI314" i="24"/>
  <c r="AL317" i="24"/>
  <c r="AI317" i="24"/>
  <c r="AH346" i="24"/>
  <c r="AI346" i="24"/>
  <c r="AM357" i="24"/>
  <c r="AN357" i="24" s="1"/>
  <c r="AO357" i="24" s="1"/>
  <c r="AP357" i="24" s="1"/>
  <c r="AQ357" i="24" s="1"/>
  <c r="AI357" i="24"/>
  <c r="AI384" i="24"/>
  <c r="AM17" i="24"/>
  <c r="AN17" i="24" s="1"/>
  <c r="AO17" i="24" s="1"/>
  <c r="AP17" i="24" s="1"/>
  <c r="AQ17" i="24" s="1"/>
  <c r="AI17" i="24"/>
  <c r="AM24" i="24"/>
  <c r="AN24" i="24" s="1"/>
  <c r="AO24" i="24" s="1"/>
  <c r="AP24" i="24" s="1"/>
  <c r="AQ24" i="24" s="1"/>
  <c r="AI24" i="24"/>
  <c r="AL30" i="24"/>
  <c r="AI30" i="24"/>
  <c r="AL54" i="24"/>
  <c r="AI54" i="24"/>
  <c r="AI29" i="24"/>
  <c r="AI35" i="24"/>
  <c r="AM41" i="24"/>
  <c r="AN41" i="24" s="1"/>
  <c r="AO41" i="24" s="1"/>
  <c r="AP41" i="24" s="1"/>
  <c r="AQ41" i="24" s="1"/>
  <c r="AI41" i="24"/>
  <c r="AL47" i="24"/>
  <c r="AI47" i="24"/>
  <c r="AM53" i="24"/>
  <c r="AN53" i="24" s="1"/>
  <c r="AO53" i="24" s="1"/>
  <c r="AP53" i="24" s="1"/>
  <c r="AQ53" i="24" s="1"/>
  <c r="AI53" i="24"/>
  <c r="AI59" i="24"/>
  <c r="AL64" i="24"/>
  <c r="AI64" i="24"/>
  <c r="AL67" i="24"/>
  <c r="AI67" i="24"/>
  <c r="AL70" i="24"/>
  <c r="AI70" i="24"/>
  <c r="AL73" i="24"/>
  <c r="AI73" i="24"/>
  <c r="AI76" i="24"/>
  <c r="AL79" i="24"/>
  <c r="AI79" i="24"/>
  <c r="AL82" i="24"/>
  <c r="AI82" i="24"/>
  <c r="AL85" i="24"/>
  <c r="AI85" i="24"/>
  <c r="AL88" i="24"/>
  <c r="AI88" i="24"/>
  <c r="AL91" i="24"/>
  <c r="AI91" i="24"/>
  <c r="AL94" i="24"/>
  <c r="AI94" i="24"/>
  <c r="AI97" i="24"/>
  <c r="AL100" i="24"/>
  <c r="AI100" i="24"/>
  <c r="AL103" i="24"/>
  <c r="AI103" i="24"/>
  <c r="AL106" i="24"/>
  <c r="AI106" i="24"/>
  <c r="AM109" i="24"/>
  <c r="AN109" i="24" s="1"/>
  <c r="AO109" i="24" s="1"/>
  <c r="AP109" i="24" s="1"/>
  <c r="AQ109" i="24" s="1"/>
  <c r="AI109" i="24"/>
  <c r="AM112" i="24"/>
  <c r="AN112" i="24" s="1"/>
  <c r="AO112" i="24" s="1"/>
  <c r="AP112" i="24" s="1"/>
  <c r="AQ112" i="24" s="1"/>
  <c r="AI112" i="24"/>
  <c r="AM115" i="24"/>
  <c r="AN115" i="24" s="1"/>
  <c r="AO115" i="24" s="1"/>
  <c r="AP115" i="24" s="1"/>
  <c r="AQ115" i="24" s="1"/>
  <c r="AI115" i="24"/>
  <c r="AL118" i="24"/>
  <c r="AI118" i="24"/>
  <c r="AM121" i="24"/>
  <c r="AN121" i="24" s="1"/>
  <c r="AO121" i="24" s="1"/>
  <c r="AP121" i="24" s="1"/>
  <c r="AQ121" i="24" s="1"/>
  <c r="AI121" i="24"/>
  <c r="AI124" i="24"/>
  <c r="AM127" i="24"/>
  <c r="AN127" i="24" s="1"/>
  <c r="AO127" i="24" s="1"/>
  <c r="AP127" i="24" s="1"/>
  <c r="AQ127" i="24" s="1"/>
  <c r="AI127" i="24"/>
  <c r="AM130" i="24"/>
  <c r="AN130" i="24" s="1"/>
  <c r="AO130" i="24" s="1"/>
  <c r="AP130" i="24" s="1"/>
  <c r="AQ130" i="24" s="1"/>
  <c r="AI130" i="24"/>
  <c r="AM133" i="24"/>
  <c r="AN133" i="24" s="1"/>
  <c r="AO133" i="24" s="1"/>
  <c r="AP133" i="24" s="1"/>
  <c r="AQ133" i="24" s="1"/>
  <c r="AI133" i="24"/>
  <c r="AM136" i="24"/>
  <c r="AN136" i="24" s="1"/>
  <c r="AO136" i="24" s="1"/>
  <c r="AP136" i="24" s="1"/>
  <c r="AQ136" i="24" s="1"/>
  <c r="AI136" i="24"/>
  <c r="AM139" i="24"/>
  <c r="AN139" i="24" s="1"/>
  <c r="AO139" i="24" s="1"/>
  <c r="AP139" i="24" s="1"/>
  <c r="AQ139" i="24" s="1"/>
  <c r="AI139" i="24"/>
  <c r="AI142" i="24"/>
  <c r="AM145" i="24"/>
  <c r="AN145" i="24" s="1"/>
  <c r="AO145" i="24" s="1"/>
  <c r="AP145" i="24" s="1"/>
  <c r="AQ145" i="24" s="1"/>
  <c r="AI145" i="24"/>
  <c r="AM148" i="24"/>
  <c r="AN148" i="24" s="1"/>
  <c r="AO148" i="24" s="1"/>
  <c r="AP148" i="24" s="1"/>
  <c r="AQ148" i="24" s="1"/>
  <c r="AI148" i="24"/>
  <c r="AM151" i="24"/>
  <c r="AN151" i="24" s="1"/>
  <c r="AO151" i="24" s="1"/>
  <c r="AP151" i="24" s="1"/>
  <c r="AQ151" i="24" s="1"/>
  <c r="AI151" i="24"/>
  <c r="AI154" i="24"/>
  <c r="AM157" i="24"/>
  <c r="AN157" i="24" s="1"/>
  <c r="AO157" i="24" s="1"/>
  <c r="AP157" i="24" s="1"/>
  <c r="AQ157" i="24" s="1"/>
  <c r="AI157" i="24"/>
  <c r="AH160" i="24"/>
  <c r="AI160" i="24"/>
  <c r="AM163" i="24"/>
  <c r="AN163" i="24" s="1"/>
  <c r="AO163" i="24" s="1"/>
  <c r="AP163" i="24" s="1"/>
  <c r="AQ163" i="24" s="1"/>
  <c r="AI163" i="24"/>
  <c r="AI166" i="24"/>
  <c r="AI169" i="24"/>
  <c r="AI172" i="24"/>
  <c r="AM175" i="24"/>
  <c r="AN175" i="24" s="1"/>
  <c r="AO175" i="24" s="1"/>
  <c r="AP175" i="24" s="1"/>
  <c r="AQ175" i="24" s="1"/>
  <c r="AI175" i="24"/>
  <c r="AI178" i="24"/>
  <c r="AM181" i="24"/>
  <c r="AN181" i="24" s="1"/>
  <c r="AO181" i="24" s="1"/>
  <c r="AP181" i="24" s="1"/>
  <c r="AQ181" i="24" s="1"/>
  <c r="AI181" i="24"/>
  <c r="AI184" i="24"/>
  <c r="AM187" i="24"/>
  <c r="AN187" i="24" s="1"/>
  <c r="AO187" i="24" s="1"/>
  <c r="AP187" i="24" s="1"/>
  <c r="AQ187" i="24" s="1"/>
  <c r="AI187" i="24"/>
  <c r="AI190" i="24"/>
  <c r="AI193" i="24"/>
  <c r="AH196" i="24"/>
  <c r="AI196" i="24"/>
  <c r="AM199" i="24"/>
  <c r="AN199" i="24" s="1"/>
  <c r="AO199" i="24" s="1"/>
  <c r="AP199" i="24" s="1"/>
  <c r="AQ199" i="24" s="1"/>
  <c r="AI199" i="24"/>
  <c r="AI202" i="24"/>
  <c r="AL205" i="24"/>
  <c r="AI205" i="24"/>
  <c r="AH208" i="24"/>
  <c r="AI208" i="24"/>
  <c r="AM211" i="24"/>
  <c r="AN211" i="24" s="1"/>
  <c r="AO211" i="24" s="1"/>
  <c r="AP211" i="24" s="1"/>
  <c r="AQ211" i="24" s="1"/>
  <c r="AI211" i="24"/>
  <c r="AL214" i="24"/>
  <c r="AI214" i="24"/>
  <c r="AI217" i="24"/>
  <c r="AI220" i="24"/>
  <c r="AM223" i="24"/>
  <c r="AN223" i="24" s="1"/>
  <c r="AO223" i="24" s="1"/>
  <c r="AP223" i="24" s="1"/>
  <c r="AQ223" i="24" s="1"/>
  <c r="AI223" i="24"/>
  <c r="AH226" i="24"/>
  <c r="AI226" i="24"/>
  <c r="AL229" i="24"/>
  <c r="AI229" i="24"/>
  <c r="AI232" i="24"/>
  <c r="AI235" i="24"/>
  <c r="AI238" i="24"/>
  <c r="AI241" i="24"/>
  <c r="AH244" i="24"/>
  <c r="AI244" i="24"/>
  <c r="AL247" i="24"/>
  <c r="AI247" i="24"/>
  <c r="AH250" i="24"/>
  <c r="AI250" i="24"/>
  <c r="AI253" i="24"/>
  <c r="AI256" i="24"/>
  <c r="AI259" i="24"/>
  <c r="AI262" i="24"/>
  <c r="AM265" i="24"/>
  <c r="AN265" i="24" s="1"/>
  <c r="AO265" i="24" s="1"/>
  <c r="AP265" i="24" s="1"/>
  <c r="AQ265" i="24" s="1"/>
  <c r="AI265" i="24"/>
  <c r="AH268" i="24"/>
  <c r="AI268" i="24"/>
  <c r="AI271" i="24"/>
  <c r="AH274" i="24"/>
  <c r="AI274" i="24"/>
  <c r="AI325" i="24"/>
  <c r="AL333" i="24"/>
  <c r="AI333" i="24"/>
  <c r="AI336" i="24"/>
  <c r="AH338" i="24"/>
  <c r="AI338" i="24"/>
  <c r="AI343" i="24"/>
  <c r="AI348" i="24"/>
  <c r="AH359" i="24"/>
  <c r="AI359" i="24"/>
  <c r="AL361" i="24"/>
  <c r="AI361" i="24"/>
  <c r="AM363" i="24"/>
  <c r="AN363" i="24" s="1"/>
  <c r="AO363" i="24" s="1"/>
  <c r="AP363" i="24" s="1"/>
  <c r="AQ363" i="24" s="1"/>
  <c r="AI363" i="24"/>
  <c r="AL365" i="24"/>
  <c r="AI365" i="24"/>
  <c r="AM371" i="24"/>
  <c r="AN371" i="24" s="1"/>
  <c r="AO371" i="24" s="1"/>
  <c r="AP371" i="24" s="1"/>
  <c r="AQ371" i="24" s="1"/>
  <c r="AI371" i="24"/>
  <c r="AM373" i="24"/>
  <c r="AN373" i="24" s="1"/>
  <c r="AO373" i="24" s="1"/>
  <c r="AP373" i="24" s="1"/>
  <c r="AQ373" i="24" s="1"/>
  <c r="AI373" i="24"/>
  <c r="AM386" i="24"/>
  <c r="AN386" i="24" s="1"/>
  <c r="AO386" i="24" s="1"/>
  <c r="AP386" i="24" s="1"/>
  <c r="AQ386" i="24" s="1"/>
  <c r="AI386" i="24"/>
  <c r="AI388" i="24"/>
  <c r="AL22" i="24"/>
  <c r="AI22" i="24"/>
  <c r="AL16" i="24"/>
  <c r="AI16" i="24"/>
  <c r="AL13" i="24"/>
  <c r="AI13" i="24"/>
  <c r="AM28" i="24"/>
  <c r="AN28" i="24" s="1"/>
  <c r="AO28" i="24" s="1"/>
  <c r="AP28" i="24" s="1"/>
  <c r="AQ28" i="24" s="1"/>
  <c r="AI28" i="24"/>
  <c r="AM34" i="24"/>
  <c r="AN34" i="24" s="1"/>
  <c r="AO34" i="24" s="1"/>
  <c r="AP34" i="24" s="1"/>
  <c r="AQ34" i="24" s="1"/>
  <c r="AI34" i="24"/>
  <c r="AH52" i="24"/>
  <c r="AI52" i="24"/>
  <c r="AM277" i="24"/>
  <c r="AN277" i="24" s="1"/>
  <c r="AO277" i="24" s="1"/>
  <c r="AP277" i="24" s="1"/>
  <c r="AQ277" i="24" s="1"/>
  <c r="AI277" i="24"/>
  <c r="AL283" i="24"/>
  <c r="AI283" i="24"/>
  <c r="AH292" i="24"/>
  <c r="AI292" i="24"/>
  <c r="AH298" i="24"/>
  <c r="AI298" i="24"/>
  <c r="AH316" i="24"/>
  <c r="AI316" i="24"/>
  <c r="AH322" i="24"/>
  <c r="AI322" i="24"/>
  <c r="AL327" i="24"/>
  <c r="AI327" i="24"/>
  <c r="AH330" i="24"/>
  <c r="AI330" i="24"/>
  <c r="AL345" i="24"/>
  <c r="AI345" i="24"/>
  <c r="AH352" i="24"/>
  <c r="AI352" i="24"/>
  <c r="AH354" i="24"/>
  <c r="AI354" i="24"/>
  <c r="AL381" i="24"/>
  <c r="AI381" i="24"/>
  <c r="AL390" i="24"/>
  <c r="AI390" i="24"/>
  <c r="AL402" i="24"/>
  <c r="AI402" i="24"/>
  <c r="AL406" i="24"/>
  <c r="AI406" i="24"/>
  <c r="AH410" i="24"/>
  <c r="AI410" i="24"/>
  <c r="AL23" i="24"/>
  <c r="AI23" i="24"/>
  <c r="AM14" i="24"/>
  <c r="AN14" i="24" s="1"/>
  <c r="AO14" i="24" s="1"/>
  <c r="AP14" i="24" s="1"/>
  <c r="AQ14" i="24" s="1"/>
  <c r="AI14" i="24"/>
  <c r="AH19" i="24"/>
  <c r="AI19" i="24"/>
  <c r="AI27" i="24"/>
  <c r="AL33" i="24"/>
  <c r="AI33" i="24"/>
  <c r="AI39" i="24"/>
  <c r="AM45" i="24"/>
  <c r="AN45" i="24" s="1"/>
  <c r="AO45" i="24" s="1"/>
  <c r="AP45" i="24" s="1"/>
  <c r="AQ45" i="24" s="1"/>
  <c r="AI45" i="24"/>
  <c r="AL51" i="24"/>
  <c r="AI51" i="24"/>
  <c r="AI57" i="24"/>
  <c r="AL63" i="24"/>
  <c r="AI63" i="24"/>
  <c r="AL66" i="24"/>
  <c r="AI66" i="24"/>
  <c r="AI69" i="24"/>
  <c r="AL72" i="24"/>
  <c r="AI72" i="24"/>
  <c r="AL75" i="24"/>
  <c r="AI75" i="24"/>
  <c r="AL78" i="24"/>
  <c r="AI78" i="24"/>
  <c r="AL81" i="24"/>
  <c r="AI81" i="24"/>
  <c r="AI84" i="24"/>
  <c r="AL87" i="24"/>
  <c r="AI87" i="24"/>
  <c r="AI90" i="24"/>
  <c r="AL93" i="24"/>
  <c r="AI93" i="24"/>
  <c r="AI96" i="24"/>
  <c r="AL99" i="24"/>
  <c r="AI99" i="24"/>
  <c r="AL102" i="24"/>
  <c r="AI102" i="24"/>
  <c r="AL105" i="24"/>
  <c r="AI105" i="24"/>
  <c r="AM108" i="24"/>
  <c r="AN108" i="24" s="1"/>
  <c r="AO108" i="24" s="1"/>
  <c r="AP108" i="24" s="1"/>
  <c r="AQ108" i="24" s="1"/>
  <c r="AI108" i="24"/>
  <c r="AM111" i="24"/>
  <c r="AN111" i="24" s="1"/>
  <c r="AO111" i="24" s="1"/>
  <c r="AP111" i="24" s="1"/>
  <c r="AQ111" i="24" s="1"/>
  <c r="AI111" i="24"/>
  <c r="AM114" i="24"/>
  <c r="AN114" i="24" s="1"/>
  <c r="AO114" i="24" s="1"/>
  <c r="AP114" i="24" s="1"/>
  <c r="AQ114" i="24" s="1"/>
  <c r="AI114" i="24"/>
  <c r="AM117" i="24"/>
  <c r="AN117" i="24" s="1"/>
  <c r="AO117" i="24" s="1"/>
  <c r="AP117" i="24" s="1"/>
  <c r="AQ117" i="24" s="1"/>
  <c r="AI117" i="24"/>
  <c r="AI120" i="24"/>
  <c r="AM123" i="24"/>
  <c r="AN123" i="24" s="1"/>
  <c r="AO123" i="24" s="1"/>
  <c r="AP123" i="24" s="1"/>
  <c r="AQ123" i="24" s="1"/>
  <c r="AI123" i="24"/>
  <c r="AM126" i="24"/>
  <c r="AN126" i="24" s="1"/>
  <c r="AO126" i="24" s="1"/>
  <c r="AP126" i="24" s="1"/>
  <c r="AQ126" i="24" s="1"/>
  <c r="AI126" i="24"/>
  <c r="AI129" i="24"/>
  <c r="AM132" i="24"/>
  <c r="AN132" i="24" s="1"/>
  <c r="AO132" i="24" s="1"/>
  <c r="AP132" i="24" s="1"/>
  <c r="AQ132" i="24" s="1"/>
  <c r="AI132" i="24"/>
  <c r="AM135" i="24"/>
  <c r="AN135" i="24" s="1"/>
  <c r="AO135" i="24" s="1"/>
  <c r="AP135" i="24" s="1"/>
  <c r="AQ135" i="24" s="1"/>
  <c r="AI135" i="24"/>
  <c r="AM138" i="24"/>
  <c r="AN138" i="24" s="1"/>
  <c r="AO138" i="24" s="1"/>
  <c r="AP138" i="24" s="1"/>
  <c r="AQ138" i="24" s="1"/>
  <c r="AI138" i="24"/>
  <c r="AM141" i="24"/>
  <c r="AN141" i="24" s="1"/>
  <c r="AO141" i="24" s="1"/>
  <c r="AP141" i="24" s="1"/>
  <c r="AQ141" i="24" s="1"/>
  <c r="AI141" i="24"/>
  <c r="AM144" i="24"/>
  <c r="AN144" i="24" s="1"/>
  <c r="AO144" i="24" s="1"/>
  <c r="AP144" i="24" s="1"/>
  <c r="AQ144" i="24" s="1"/>
  <c r="AI144" i="24"/>
  <c r="AM147" i="24"/>
  <c r="AN147" i="24" s="1"/>
  <c r="AO147" i="24" s="1"/>
  <c r="AP147" i="24" s="1"/>
  <c r="AQ147" i="24" s="1"/>
  <c r="AI147" i="24"/>
  <c r="AI150" i="24"/>
  <c r="AM153" i="24"/>
  <c r="AN153" i="24" s="1"/>
  <c r="AO153" i="24" s="1"/>
  <c r="AP153" i="24" s="1"/>
  <c r="AQ153" i="24" s="1"/>
  <c r="AI153" i="24"/>
  <c r="AI156" i="24"/>
  <c r="AI159" i="24"/>
  <c r="AI162" i="24"/>
  <c r="AM165" i="24"/>
  <c r="AN165" i="24" s="1"/>
  <c r="AO165" i="24" s="1"/>
  <c r="AP165" i="24" s="1"/>
  <c r="AQ165" i="24" s="1"/>
  <c r="AI165" i="24"/>
  <c r="AI168" i="24"/>
  <c r="AI171" i="24"/>
  <c r="AI174" i="24"/>
  <c r="AI177" i="24"/>
  <c r="AH180" i="24"/>
  <c r="AI180" i="24"/>
  <c r="AM183" i="24"/>
  <c r="AN183" i="24" s="1"/>
  <c r="AO183" i="24" s="1"/>
  <c r="AP183" i="24" s="1"/>
  <c r="AQ183" i="24" s="1"/>
  <c r="AI183" i="24"/>
  <c r="AI186" i="24"/>
  <c r="AI189" i="24"/>
  <c r="AH192" i="24"/>
  <c r="AI192" i="24"/>
  <c r="AI195" i="24"/>
  <c r="AI198" i="24"/>
  <c r="AM201" i="24"/>
  <c r="AN201" i="24" s="1"/>
  <c r="AO201" i="24" s="1"/>
  <c r="AP201" i="24" s="1"/>
  <c r="AQ201" i="24" s="1"/>
  <c r="AI201" i="24"/>
  <c r="AI204" i="24"/>
  <c r="AI207" i="24"/>
  <c r="AI210" i="24"/>
  <c r="AI213" i="24"/>
  <c r="AH216" i="24"/>
  <c r="AI216" i="24"/>
  <c r="AM219" i="24"/>
  <c r="AN219" i="24" s="1"/>
  <c r="AO219" i="24" s="1"/>
  <c r="AP219" i="24" s="1"/>
  <c r="AQ219" i="24" s="1"/>
  <c r="AI219" i="24"/>
  <c r="AL222" i="24"/>
  <c r="AI222" i="24"/>
  <c r="AL225" i="24"/>
  <c r="AI225" i="24"/>
  <c r="AH228" i="24"/>
  <c r="AI228" i="24"/>
  <c r="AI231" i="24"/>
  <c r="AH234" i="24"/>
  <c r="AI234" i="24"/>
  <c r="AI237" i="24"/>
  <c r="AI240" i="24"/>
  <c r="AL243" i="24"/>
  <c r="AI243" i="24"/>
  <c r="AI246" i="24"/>
  <c r="AM249" i="24"/>
  <c r="AN249" i="24" s="1"/>
  <c r="AO249" i="24" s="1"/>
  <c r="AP249" i="24" s="1"/>
  <c r="AQ249" i="24" s="1"/>
  <c r="AI249" i="24"/>
  <c r="AH252" i="24"/>
  <c r="AI252" i="24"/>
  <c r="AI255" i="24"/>
  <c r="AH258" i="24"/>
  <c r="AI258" i="24"/>
  <c r="AI261" i="24"/>
  <c r="AI264" i="24"/>
  <c r="AI267" i="24"/>
  <c r="AI270" i="24"/>
  <c r="AI273" i="24"/>
  <c r="AH332" i="24"/>
  <c r="AI332" i="24"/>
  <c r="AL335" i="24"/>
  <c r="AI335" i="24"/>
  <c r="AH340" i="24"/>
  <c r="AI340" i="24"/>
  <c r="AH342" i="24"/>
  <c r="AI342" i="24"/>
  <c r="AI347" i="24"/>
  <c r="AI356" i="24"/>
  <c r="AI358" i="24"/>
  <c r="AM383" i="24"/>
  <c r="AN383" i="24" s="1"/>
  <c r="AO383" i="24" s="1"/>
  <c r="AP383" i="24" s="1"/>
  <c r="AQ383" i="24" s="1"/>
  <c r="AI383" i="24"/>
  <c r="AL26" i="24"/>
  <c r="AI26" i="24"/>
  <c r="AM32" i="24"/>
  <c r="AN32" i="24" s="1"/>
  <c r="AO32" i="24" s="1"/>
  <c r="AP32" i="24" s="1"/>
  <c r="AQ32" i="24" s="1"/>
  <c r="AI32" i="24"/>
  <c r="AM38" i="24"/>
  <c r="AN38" i="24" s="1"/>
  <c r="AO38" i="24" s="1"/>
  <c r="AP38" i="24" s="1"/>
  <c r="AQ38" i="24" s="1"/>
  <c r="AI38" i="24"/>
  <c r="AH50" i="24"/>
  <c r="AI50" i="24"/>
  <c r="AH276" i="24"/>
  <c r="AI276" i="24"/>
  <c r="AH279" i="24"/>
  <c r="AI279" i="24"/>
  <c r="AH282" i="24"/>
  <c r="AI282" i="24"/>
  <c r="AH291" i="24"/>
  <c r="AI291" i="24"/>
  <c r="AL297" i="24"/>
  <c r="AI297" i="24"/>
  <c r="AH300" i="24"/>
  <c r="AI300" i="24"/>
  <c r="AL303" i="24"/>
  <c r="AI303" i="24"/>
  <c r="AH306" i="24"/>
  <c r="AI306" i="24"/>
  <c r="AL309" i="24"/>
  <c r="AI309" i="24"/>
  <c r="AL315" i="24"/>
  <c r="AI315" i="24"/>
  <c r="AH324" i="24"/>
  <c r="AI324" i="24"/>
  <c r="AH366" i="24"/>
  <c r="AI366" i="24"/>
  <c r="AM370" i="24"/>
  <c r="AN370" i="24" s="1"/>
  <c r="AO370" i="24" s="1"/>
  <c r="AP370" i="24" s="1"/>
  <c r="AQ370" i="24" s="1"/>
  <c r="AI370" i="24"/>
  <c r="AL385" i="24"/>
  <c r="AI385" i="24"/>
  <c r="AM387" i="24"/>
  <c r="AN387" i="24" s="1"/>
  <c r="AO387" i="24" s="1"/>
  <c r="AP387" i="24" s="1"/>
  <c r="AQ387" i="24" s="1"/>
  <c r="AI387" i="24"/>
  <c r="AL412" i="24"/>
  <c r="AI412" i="24"/>
  <c r="J82" i="41"/>
  <c r="E73" i="41"/>
  <c r="E104" i="41" s="1"/>
  <c r="E105" i="41" s="1"/>
  <c r="E126" i="41" s="1"/>
  <c r="C6" i="52" s="1"/>
  <c r="D6" i="52" s="1"/>
  <c r="D37" i="41"/>
  <c r="D133" i="41" s="1"/>
  <c r="E37" i="32"/>
  <c r="E133" i="32" s="1"/>
  <c r="M76" i="30"/>
  <c r="M78" i="30" s="1"/>
  <c r="M78" i="28" s="1"/>
  <c r="M69" i="28" s="1"/>
  <c r="J76" i="28"/>
  <c r="S66" i="30"/>
  <c r="P66" i="28"/>
  <c r="P64" i="30"/>
  <c r="M68" i="30"/>
  <c r="M68" i="28" s="1"/>
  <c r="M63" i="28" s="1"/>
  <c r="P59" i="30"/>
  <c r="M62" i="30"/>
  <c r="M62" i="28" s="1"/>
  <c r="M58" i="28" s="1"/>
  <c r="F10" i="27"/>
  <c r="H10" i="27"/>
  <c r="J10" i="27"/>
  <c r="L10" i="27"/>
  <c r="F180" i="26"/>
  <c r="F174" i="26"/>
  <c r="F186" i="26" s="1"/>
  <c r="AQ3" i="24"/>
  <c r="J31" i="41"/>
  <c r="J102" i="32"/>
  <c r="J36" i="32"/>
  <c r="J72" i="32"/>
  <c r="L161" i="16"/>
  <c r="M157" i="16" s="1"/>
  <c r="M161" i="16" s="1"/>
  <c r="N157" i="16" s="1"/>
  <c r="N161" i="16" s="1"/>
  <c r="O157" i="16" s="1"/>
  <c r="O161" i="16" s="1"/>
  <c r="P157" i="16" s="1"/>
  <c r="P161" i="16" s="1"/>
  <c r="Q157" i="16" s="1"/>
  <c r="Q161" i="16" s="1"/>
  <c r="R157" i="16" s="1"/>
  <c r="R161" i="16" s="1"/>
  <c r="S157" i="16" s="1"/>
  <c r="S161" i="16" s="1"/>
  <c r="T157" i="16" s="1"/>
  <c r="T161" i="16" s="1"/>
  <c r="U157" i="16" s="1"/>
  <c r="U161" i="16" s="1"/>
  <c r="V157" i="16" s="1"/>
  <c r="V161" i="16" s="1"/>
  <c r="W157" i="16" s="1"/>
  <c r="W161" i="16" s="1"/>
  <c r="X157" i="16" s="1"/>
  <c r="X161" i="16" s="1"/>
  <c r="Y157" i="16" s="1"/>
  <c r="Y161" i="16" s="1"/>
  <c r="AB157" i="16" s="1"/>
  <c r="AB161" i="16" s="1"/>
  <c r="AE157" i="16" s="1"/>
  <c r="AE161" i="16" s="1"/>
  <c r="AH157" i="16" s="1"/>
  <c r="AH161" i="16" s="1"/>
  <c r="AK157" i="16" s="1"/>
  <c r="AK161" i="16" s="1"/>
  <c r="AN157" i="16" s="1"/>
  <c r="AN161" i="16" s="1"/>
  <c r="AQ157" i="16" s="1"/>
  <c r="AQ161" i="16" s="1"/>
  <c r="AT157" i="16" s="1"/>
  <c r="AT161" i="16" s="1"/>
  <c r="AW157" i="16" s="1"/>
  <c r="AW161" i="16" s="1"/>
  <c r="AZ157" i="16" s="1"/>
  <c r="AZ161" i="16" s="1"/>
  <c r="K168" i="16"/>
  <c r="L164" i="16" s="1"/>
  <c r="L168" i="16" s="1"/>
  <c r="M164" i="16" s="1"/>
  <c r="M168" i="16" s="1"/>
  <c r="N164" i="16" s="1"/>
  <c r="N168" i="16" s="1"/>
  <c r="O164" i="16" s="1"/>
  <c r="O168" i="16" s="1"/>
  <c r="P164" i="16" s="1"/>
  <c r="P168" i="16" s="1"/>
  <c r="Q164" i="16" s="1"/>
  <c r="Q168" i="16" s="1"/>
  <c r="R164" i="16" s="1"/>
  <c r="R168" i="16" s="1"/>
  <c r="S164" i="16" s="1"/>
  <c r="S168" i="16" s="1"/>
  <c r="T164" i="16" s="1"/>
  <c r="T168" i="16" s="1"/>
  <c r="U164" i="16" s="1"/>
  <c r="U168" i="16" s="1"/>
  <c r="V164" i="16" s="1"/>
  <c r="V168" i="16" s="1"/>
  <c r="W164" i="16" s="1"/>
  <c r="W168" i="16" s="1"/>
  <c r="X164" i="16" s="1"/>
  <c r="X168" i="16" s="1"/>
  <c r="Y164" i="16" s="1"/>
  <c r="Y168" i="16" s="1"/>
  <c r="AB164" i="16" s="1"/>
  <c r="AB168" i="16" s="1"/>
  <c r="AE164" i="16" s="1"/>
  <c r="AE168" i="16" s="1"/>
  <c r="AH164" i="16" s="1"/>
  <c r="AH168" i="16" s="1"/>
  <c r="AK164" i="16" s="1"/>
  <c r="AK168" i="16" s="1"/>
  <c r="AN164" i="16" s="1"/>
  <c r="AN168" i="16" s="1"/>
  <c r="AQ164" i="16" s="1"/>
  <c r="AQ168" i="16" s="1"/>
  <c r="AT164" i="16" s="1"/>
  <c r="AT168" i="16" s="1"/>
  <c r="AW164" i="16" s="1"/>
  <c r="AW168" i="16" s="1"/>
  <c r="AZ164" i="16" s="1"/>
  <c r="AZ168" i="16" s="1"/>
  <c r="M64" i="28"/>
  <c r="BO85" i="28"/>
  <c r="AT85" i="28"/>
  <c r="V85" i="28"/>
  <c r="M87" i="30"/>
  <c r="J87" i="28"/>
  <c r="P75" i="30"/>
  <c r="M75" i="28"/>
  <c r="P73" i="30"/>
  <c r="E30" i="29"/>
  <c r="J114" i="41"/>
  <c r="I37" i="41"/>
  <c r="J124" i="41"/>
  <c r="J31" i="32"/>
  <c r="AN116" i="16"/>
  <c r="AT116" i="16"/>
  <c r="J89" i="28"/>
  <c r="M89" i="30"/>
  <c r="J171" i="30"/>
  <c r="J171" i="28" s="1"/>
  <c r="Y70" i="30"/>
  <c r="H37" i="41"/>
  <c r="H133" i="41" s="1"/>
  <c r="J57" i="41"/>
  <c r="H73" i="32"/>
  <c r="H104" i="32" s="1"/>
  <c r="H105" i="32" s="1"/>
  <c r="H126" i="32" s="1"/>
  <c r="C19" i="52" s="1"/>
  <c r="D19" i="52" s="1"/>
  <c r="J73" i="28"/>
  <c r="P43" i="30"/>
  <c r="M51" i="30"/>
  <c r="M51" i="28" s="1"/>
  <c r="M42" i="28" s="1"/>
  <c r="V38" i="30"/>
  <c r="S38" i="28"/>
  <c r="P36" i="30"/>
  <c r="M41" i="30"/>
  <c r="M41" i="28" s="1"/>
  <c r="M35" i="28" s="1"/>
  <c r="E35" i="29"/>
  <c r="G73" i="41"/>
  <c r="J46" i="41"/>
  <c r="J48" i="41" s="1"/>
  <c r="D104" i="32"/>
  <c r="D105" i="32" s="1"/>
  <c r="G138" i="16"/>
  <c r="G139" i="16" s="1"/>
  <c r="G141" i="16" s="1"/>
  <c r="G118" i="16" s="1"/>
  <c r="S138" i="16"/>
  <c r="S131" i="16" s="1"/>
  <c r="AQ138" i="16"/>
  <c r="AQ139" i="16" s="1"/>
  <c r="AQ141" i="16" s="1"/>
  <c r="AQ118" i="16" s="1"/>
  <c r="AQ119" i="16" s="1"/>
  <c r="AQ130" i="16" s="1"/>
  <c r="M59" i="28"/>
  <c r="M73" i="28"/>
  <c r="S91" i="30"/>
  <c r="P91" i="28"/>
  <c r="P185" i="30"/>
  <c r="P185" i="28" s="1"/>
  <c r="S40" i="30"/>
  <c r="P40" i="28"/>
  <c r="J114" i="32"/>
  <c r="C27" i="52" s="1"/>
  <c r="E27" i="52" s="1"/>
  <c r="J82" i="32"/>
  <c r="P48" i="30"/>
  <c r="M48" i="28"/>
  <c r="Y33" i="30"/>
  <c r="V33" i="28"/>
  <c r="H48" i="16"/>
  <c r="I48" i="16" s="1"/>
  <c r="M90" i="30"/>
  <c r="J178" i="30"/>
  <c r="J178" i="28" s="1"/>
  <c r="J90" i="28"/>
  <c r="V53" i="30"/>
  <c r="G61" i="16"/>
  <c r="H61" i="16" s="1"/>
  <c r="F67" i="16"/>
  <c r="P77" i="30"/>
  <c r="M77" i="28"/>
  <c r="F57" i="16"/>
  <c r="N122" i="30"/>
  <c r="O122" i="30" s="1"/>
  <c r="O116" i="28" s="1"/>
  <c r="AR122" i="30"/>
  <c r="AS122" i="30" s="1"/>
  <c r="AS116" i="28" s="1"/>
  <c r="BJ122" i="30"/>
  <c r="BK122" i="30" s="1"/>
  <c r="BK116" i="28" s="1"/>
  <c r="BM122" i="30"/>
  <c r="BN122" i="30" s="1"/>
  <c r="BN116" i="28" s="1"/>
  <c r="J185" i="30"/>
  <c r="K122" i="30"/>
  <c r="L122" i="30" s="1"/>
  <c r="L116" i="28" s="1"/>
  <c r="Q122" i="30"/>
  <c r="R122" i="30" s="1"/>
  <c r="R116" i="28" s="1"/>
  <c r="AL122" i="30"/>
  <c r="AM122" i="30" s="1"/>
  <c r="AM116" i="28" s="1"/>
  <c r="G57" i="16"/>
  <c r="T122" i="30"/>
  <c r="T116" i="28" s="1"/>
  <c r="AI122" i="30"/>
  <c r="AI116" i="28" s="1"/>
  <c r="E166" i="26"/>
  <c r="E188" i="26" s="1"/>
  <c r="C33" i="15"/>
  <c r="AG369" i="24"/>
  <c r="AK369" i="24" s="1"/>
  <c r="C27" i="15"/>
  <c r="C24" i="15"/>
  <c r="AM13" i="24"/>
  <c r="AN13" i="24" s="1"/>
  <c r="AO13" i="24" s="1"/>
  <c r="AL21" i="24"/>
  <c r="BL12" i="24"/>
  <c r="BL14" i="24" s="1"/>
  <c r="BU14" i="24" a="1"/>
  <c r="BU14" i="24" s="1"/>
  <c r="BU15" i="24" s="1" a="1"/>
  <c r="BU15" i="24" s="1"/>
  <c r="BN12" i="24" s="1"/>
  <c r="BD12" i="24"/>
  <c r="BD19" i="24" s="1"/>
  <c r="I104" i="41"/>
  <c r="I105" i="41" s="1"/>
  <c r="I126" i="41" s="1"/>
  <c r="C10" i="52" s="1"/>
  <c r="D10" i="52" s="1"/>
  <c r="E36" i="29"/>
  <c r="E165" i="26"/>
  <c r="E187" i="26" s="1"/>
  <c r="F179" i="26"/>
  <c r="F191" i="26" s="1"/>
  <c r="V8" i="24"/>
  <c r="E29" i="29"/>
  <c r="C37" i="29"/>
  <c r="G10" i="27"/>
  <c r="I10" i="27"/>
  <c r="L8" i="27"/>
  <c r="E164" i="26"/>
  <c r="F178" i="26"/>
  <c r="F190" i="26" s="1"/>
  <c r="I133" i="41"/>
  <c r="F177" i="26"/>
  <c r="F189" i="26" s="1"/>
  <c r="E31" i="29"/>
  <c r="G8" i="27"/>
  <c r="I8" i="27"/>
  <c r="E170" i="26"/>
  <c r="F176" i="26"/>
  <c r="F188" i="26" s="1"/>
  <c r="AH13" i="24"/>
  <c r="AH406" i="24"/>
  <c r="E32" i="29"/>
  <c r="E169" i="26"/>
  <c r="F175" i="26"/>
  <c r="BS14" i="24" a="1"/>
  <c r="BS14" i="24" s="1"/>
  <c r="I105" i="32"/>
  <c r="I126" i="32" s="1"/>
  <c r="E167" i="26"/>
  <c r="E189" i="26" s="1"/>
  <c r="H133" i="32"/>
  <c r="J16" i="41"/>
  <c r="D48" i="41"/>
  <c r="J67" i="32"/>
  <c r="G30" i="16"/>
  <c r="H25" i="16"/>
  <c r="J36" i="41"/>
  <c r="G32" i="16"/>
  <c r="F40" i="16"/>
  <c r="U205" i="30"/>
  <c r="X203" i="30"/>
  <c r="F30" i="16"/>
  <c r="H138" i="16"/>
  <c r="H139" i="16" s="1"/>
  <c r="H141" i="16" s="1"/>
  <c r="H118" i="16" s="1"/>
  <c r="L138" i="16"/>
  <c r="L131" i="16" s="1"/>
  <c r="P138" i="16"/>
  <c r="P139" i="16" s="1"/>
  <c r="P141" i="16" s="1"/>
  <c r="P118" i="16" s="1"/>
  <c r="T138" i="16"/>
  <c r="T139" i="16" s="1"/>
  <c r="T141" i="16" s="1"/>
  <c r="T118" i="16" s="1"/>
  <c r="X138" i="16"/>
  <c r="X139" i="16" s="1"/>
  <c r="X141" i="16" s="1"/>
  <c r="X118" i="16" s="1"/>
  <c r="AH138" i="16"/>
  <c r="AH139" i="16" s="1"/>
  <c r="AH141" i="16" s="1"/>
  <c r="AH118" i="16" s="1"/>
  <c r="AT138" i="16"/>
  <c r="AT139" i="16" s="1"/>
  <c r="AT141" i="16" s="1"/>
  <c r="AT118" i="16" s="1"/>
  <c r="I138" i="16"/>
  <c r="I131" i="16" s="1"/>
  <c r="M138" i="16"/>
  <c r="M131" i="16" s="1"/>
  <c r="Q138" i="16"/>
  <c r="Q131" i="16" s="1"/>
  <c r="U138" i="16"/>
  <c r="U131" i="16" s="1"/>
  <c r="Y138" i="16"/>
  <c r="Y131" i="16" s="1"/>
  <c r="AK138" i="16"/>
  <c r="AK131" i="16" s="1"/>
  <c r="AW138" i="16"/>
  <c r="AW131" i="16" s="1"/>
  <c r="F138" i="16"/>
  <c r="F139" i="16" s="1"/>
  <c r="F141" i="16" s="1"/>
  <c r="F118" i="16" s="1"/>
  <c r="J138" i="16"/>
  <c r="J131" i="16" s="1"/>
  <c r="N138" i="16"/>
  <c r="N131" i="16" s="1"/>
  <c r="R138" i="16"/>
  <c r="R139" i="16" s="1"/>
  <c r="R141" i="16" s="1"/>
  <c r="R118" i="16" s="1"/>
  <c r="V138" i="16"/>
  <c r="V139" i="16" s="1"/>
  <c r="V141" i="16" s="1"/>
  <c r="V118" i="16" s="1"/>
  <c r="AB138" i="16"/>
  <c r="AB139" i="16" s="1"/>
  <c r="AB141" i="16" s="1"/>
  <c r="AB118" i="16" s="1"/>
  <c r="AN138" i="16"/>
  <c r="AN131" i="16" s="1"/>
  <c r="AZ138" i="16"/>
  <c r="AZ139" i="16" s="1"/>
  <c r="AZ141" i="16" s="1"/>
  <c r="AZ118" i="16" s="1"/>
  <c r="AZ119" i="16" s="1"/>
  <c r="AZ130" i="16" s="1"/>
  <c r="T205" i="30"/>
  <c r="W203" i="30"/>
  <c r="BO54" i="30"/>
  <c r="BO54" i="28" s="1"/>
  <c r="BL54" i="28"/>
  <c r="B14" i="15"/>
  <c r="C14" i="15"/>
  <c r="Z75" i="26" s="1"/>
  <c r="AB75" i="26" s="1"/>
  <c r="AC75" i="26" s="1"/>
  <c r="R205" i="30"/>
  <c r="R206" i="30" s="1"/>
  <c r="Y85" i="28"/>
  <c r="AW85" i="28"/>
  <c r="H85" i="28"/>
  <c r="AB85" i="28"/>
  <c r="AZ85" i="28"/>
  <c r="J192" i="30"/>
  <c r="J192" i="28" s="1"/>
  <c r="J116" i="28"/>
  <c r="I85" i="28"/>
  <c r="AE85" i="28"/>
  <c r="BC85" i="28"/>
  <c r="AZ56" i="30"/>
  <c r="J85" i="28"/>
  <c r="AH85" i="28"/>
  <c r="BF85" i="28"/>
  <c r="W53" i="16"/>
  <c r="M85" i="28"/>
  <c r="AK85" i="28"/>
  <c r="BI85" i="28"/>
  <c r="P85" i="28"/>
  <c r="AN85" i="28"/>
  <c r="BL85" i="28"/>
  <c r="S85" i="28"/>
  <c r="AQ85" i="28"/>
  <c r="I54" i="16"/>
  <c r="H57" i="16"/>
  <c r="H43" i="16"/>
  <c r="I43" i="16" s="1"/>
  <c r="J43" i="16" s="1"/>
  <c r="K43" i="16" s="1"/>
  <c r="L43" i="16" s="1"/>
  <c r="M43" i="16" s="1"/>
  <c r="N43" i="16" s="1"/>
  <c r="O43" i="16" s="1"/>
  <c r="P43" i="16" s="1"/>
  <c r="Q43" i="16" s="1"/>
  <c r="R43" i="16" s="1"/>
  <c r="S43" i="16" s="1"/>
  <c r="T43" i="16" s="1"/>
  <c r="U43" i="16" s="1"/>
  <c r="V43" i="16" s="1"/>
  <c r="W43" i="16" s="1"/>
  <c r="X43" i="16" s="1"/>
  <c r="L60" i="16"/>
  <c r="Q59" i="16"/>
  <c r="J42" i="16"/>
  <c r="G45" i="16"/>
  <c r="H45" i="16" s="1"/>
  <c r="I45" i="16" s="1"/>
  <c r="J45" i="16" s="1"/>
  <c r="K45" i="16" s="1"/>
  <c r="L45" i="16" s="1"/>
  <c r="M45" i="16" s="1"/>
  <c r="N45" i="16" s="1"/>
  <c r="O45" i="16" s="1"/>
  <c r="P45" i="16" s="1"/>
  <c r="Q45" i="16" s="1"/>
  <c r="R45" i="16" s="1"/>
  <c r="S45" i="16" s="1"/>
  <c r="T45" i="16" s="1"/>
  <c r="U45" i="16" s="1"/>
  <c r="V45" i="16" s="1"/>
  <c r="W45" i="16" s="1"/>
  <c r="X45" i="16" s="1"/>
  <c r="F46" i="16"/>
  <c r="E80" i="16"/>
  <c r="B19" i="15"/>
  <c r="C19" i="15"/>
  <c r="B18" i="15"/>
  <c r="C18" i="15"/>
  <c r="C28" i="15"/>
  <c r="K9" i="30"/>
  <c r="C16" i="15"/>
  <c r="Z85" i="26" s="1"/>
  <c r="AB85" i="26" s="1"/>
  <c r="AC85" i="26" s="1"/>
  <c r="BJ17" i="24"/>
  <c r="F192" i="26"/>
  <c r="H133" i="26"/>
  <c r="J181" i="26"/>
  <c r="J111" i="26"/>
  <c r="K101" i="26"/>
  <c r="D193" i="26"/>
  <c r="G156" i="26"/>
  <c r="O144" i="26" s="1"/>
  <c r="BI14" i="24"/>
  <c r="J16" i="32"/>
  <c r="C24" i="52" s="1"/>
  <c r="I101" i="26"/>
  <c r="I81" i="26"/>
  <c r="F171" i="26"/>
  <c r="G181" i="26"/>
  <c r="J91" i="26"/>
  <c r="I171" i="26"/>
  <c r="I181" i="26"/>
  <c r="I111" i="26"/>
  <c r="E68" i="26"/>
  <c r="K111" i="26"/>
  <c r="I91" i="26"/>
  <c r="H171" i="26"/>
  <c r="H181" i="26"/>
  <c r="BB13" i="24"/>
  <c r="BB14" i="24"/>
  <c r="BJ14" i="24"/>
  <c r="BA14" i="24"/>
  <c r="BJ18" i="24"/>
  <c r="BJ13" i="24"/>
  <c r="BH13" i="24" s="1"/>
  <c r="BA13" i="24"/>
  <c r="BB16" i="24"/>
  <c r="J81" i="26"/>
  <c r="K136" i="26" s="1"/>
  <c r="O154" i="26" s="1"/>
  <c r="J101" i="26"/>
  <c r="BI16" i="24"/>
  <c r="G171" i="26"/>
  <c r="BA16" i="24"/>
  <c r="BJ16" i="24"/>
  <c r="G145" i="41"/>
  <c r="H9" i="28"/>
  <c r="AI4" i="24"/>
  <c r="AG337" i="24"/>
  <c r="AK337" i="24" s="1"/>
  <c r="AG375" i="24"/>
  <c r="AK375" i="24" s="1"/>
  <c r="AL219" i="24"/>
  <c r="AG227" i="24"/>
  <c r="AK227" i="24" s="1"/>
  <c r="AM283" i="24"/>
  <c r="AN283" i="24" s="1"/>
  <c r="AO283" i="24" s="1"/>
  <c r="AP283" i="24" s="1"/>
  <c r="AQ283" i="24" s="1"/>
  <c r="AL17" i="24"/>
  <c r="AG39" i="24"/>
  <c r="AK39" i="24" s="1"/>
  <c r="AM43" i="24"/>
  <c r="AN43" i="24" s="1"/>
  <c r="AO43" i="24" s="1"/>
  <c r="AP43" i="24" s="1"/>
  <c r="AQ43" i="24" s="1"/>
  <c r="AG44" i="24"/>
  <c r="AK44" i="24" s="1"/>
  <c r="AH110" i="24"/>
  <c r="AH43" i="24"/>
  <c r="AL19" i="24"/>
  <c r="AL153" i="24"/>
  <c r="AH201" i="24"/>
  <c r="AG15" i="24"/>
  <c r="AK15" i="24" s="1"/>
  <c r="AL121" i="24"/>
  <c r="AL135" i="24"/>
  <c r="AH185" i="24"/>
  <c r="AG203" i="24"/>
  <c r="AK203" i="24" s="1"/>
  <c r="AM345" i="24"/>
  <c r="AN345" i="24" s="1"/>
  <c r="AO345" i="24" s="1"/>
  <c r="AP345" i="24" s="1"/>
  <c r="AQ345" i="24" s="1"/>
  <c r="AL366" i="24"/>
  <c r="AG367" i="24"/>
  <c r="AK367" i="24" s="1"/>
  <c r="AL370" i="24"/>
  <c r="AG396" i="24"/>
  <c r="AK396" i="24" s="1"/>
  <c r="AG397" i="24"/>
  <c r="AK397" i="24" s="1"/>
  <c r="AH130" i="24"/>
  <c r="N179" i="24"/>
  <c r="AH283" i="24"/>
  <c r="AH315" i="24"/>
  <c r="AG14" i="24"/>
  <c r="AK14" i="24" s="1"/>
  <c r="AM93" i="24"/>
  <c r="AN93" i="24" s="1"/>
  <c r="AO93" i="24" s="1"/>
  <c r="AP93" i="24" s="1"/>
  <c r="AQ93" i="24" s="1"/>
  <c r="AL108" i="24"/>
  <c r="AM137" i="24"/>
  <c r="AN137" i="24" s="1"/>
  <c r="AO137" i="24" s="1"/>
  <c r="AP137" i="24" s="1"/>
  <c r="AQ137" i="24" s="1"/>
  <c r="AM155" i="24"/>
  <c r="AN155" i="24" s="1"/>
  <c r="AO155" i="24" s="1"/>
  <c r="AP155" i="24" s="1"/>
  <c r="AQ155" i="24" s="1"/>
  <c r="AG189" i="24"/>
  <c r="AK189" i="24" s="1"/>
  <c r="AL249" i="24"/>
  <c r="AG299" i="24"/>
  <c r="AK299" i="24" s="1"/>
  <c r="AM315" i="24"/>
  <c r="AN315" i="24" s="1"/>
  <c r="AO315" i="24" s="1"/>
  <c r="AP315" i="24" s="1"/>
  <c r="AQ315" i="24" s="1"/>
  <c r="AL321" i="24"/>
  <c r="AM355" i="24"/>
  <c r="AN355" i="24" s="1"/>
  <c r="AO355" i="24" s="1"/>
  <c r="AP355" i="24" s="1"/>
  <c r="AQ355" i="24" s="1"/>
  <c r="AL374" i="24"/>
  <c r="AL403" i="24"/>
  <c r="AG46" i="24"/>
  <c r="AK46" i="24" s="1"/>
  <c r="AH54" i="24"/>
  <c r="AH93" i="24"/>
  <c r="AL185" i="24"/>
  <c r="AM191" i="24"/>
  <c r="AN191" i="24" s="1"/>
  <c r="AO191" i="24" s="1"/>
  <c r="AP191" i="24" s="1"/>
  <c r="AQ191" i="24" s="1"/>
  <c r="AL265" i="24"/>
  <c r="N287" i="24"/>
  <c r="AG355" i="24"/>
  <c r="AK355" i="24" s="1"/>
  <c r="AH370" i="24"/>
  <c r="AG371" i="24"/>
  <c r="AK371" i="24" s="1"/>
  <c r="AL383" i="24"/>
  <c r="AH355" i="24"/>
  <c r="AM33" i="24"/>
  <c r="AN33" i="24" s="1"/>
  <c r="AO33" i="24" s="1"/>
  <c r="AP33" i="24" s="1"/>
  <c r="AQ33" i="24" s="1"/>
  <c r="AH45" i="24"/>
  <c r="AH95" i="24"/>
  <c r="AH100" i="24"/>
  <c r="AH105" i="24"/>
  <c r="AH106" i="24"/>
  <c r="AM119" i="24"/>
  <c r="AN119" i="24" s="1"/>
  <c r="AO119" i="24" s="1"/>
  <c r="AP119" i="24" s="1"/>
  <c r="AQ119" i="24" s="1"/>
  <c r="AL130" i="24"/>
  <c r="AL131" i="24"/>
  <c r="AL132" i="24"/>
  <c r="AH161" i="24"/>
  <c r="AH219" i="24"/>
  <c r="AH239" i="24"/>
  <c r="AG287" i="24"/>
  <c r="AK287" i="24" s="1"/>
  <c r="AH407" i="24"/>
  <c r="AL45" i="24"/>
  <c r="AH119" i="24"/>
  <c r="AH121" i="24"/>
  <c r="AH135" i="24"/>
  <c r="AH137" i="24"/>
  <c r="AG165" i="24"/>
  <c r="AK165" i="24" s="1"/>
  <c r="AM303" i="24"/>
  <c r="AN303" i="24" s="1"/>
  <c r="AO303" i="24" s="1"/>
  <c r="AP303" i="24" s="1"/>
  <c r="AQ303" i="24" s="1"/>
  <c r="AG335" i="24"/>
  <c r="AK335" i="24" s="1"/>
  <c r="AG376" i="24"/>
  <c r="AK376" i="24" s="1"/>
  <c r="AG385" i="24"/>
  <c r="AK385" i="24" s="1"/>
  <c r="I9" i="15"/>
  <c r="C21" i="15"/>
  <c r="F30" i="15"/>
  <c r="H30" i="15"/>
  <c r="AL28" i="24"/>
  <c r="AL41" i="24"/>
  <c r="AH47" i="24"/>
  <c r="AH88" i="24"/>
  <c r="AM118" i="24"/>
  <c r="AN118" i="24" s="1"/>
  <c r="AO118" i="24" s="1"/>
  <c r="AP118" i="24" s="1"/>
  <c r="AQ118" i="24" s="1"/>
  <c r="AM146" i="24"/>
  <c r="AN146" i="24" s="1"/>
  <c r="AO146" i="24" s="1"/>
  <c r="AP146" i="24" s="1"/>
  <c r="AQ146" i="24" s="1"/>
  <c r="AL163" i="24"/>
  <c r="AL175" i="24"/>
  <c r="AG179" i="24"/>
  <c r="AK179" i="24" s="1"/>
  <c r="AL187" i="24"/>
  <c r="AL211" i="24"/>
  <c r="AM243" i="24"/>
  <c r="AN243" i="24" s="1"/>
  <c r="AO243" i="24" s="1"/>
  <c r="AP243" i="24" s="1"/>
  <c r="AQ243" i="24" s="1"/>
  <c r="AG247" i="24"/>
  <c r="AK247" i="24" s="1"/>
  <c r="AM309" i="24"/>
  <c r="AN309" i="24" s="1"/>
  <c r="AO309" i="24" s="1"/>
  <c r="AP309" i="24" s="1"/>
  <c r="AQ309" i="24" s="1"/>
  <c r="AM335" i="24"/>
  <c r="AN335" i="24" s="1"/>
  <c r="AO335" i="24" s="1"/>
  <c r="AP335" i="24" s="1"/>
  <c r="AQ335" i="24" s="1"/>
  <c r="AM365" i="24"/>
  <c r="AN365" i="24" s="1"/>
  <c r="AO365" i="24" s="1"/>
  <c r="AP365" i="24" s="1"/>
  <c r="AQ365" i="24" s="1"/>
  <c r="B22" i="15"/>
  <c r="G30" i="15"/>
  <c r="B31" i="15"/>
  <c r="C34" i="15"/>
  <c r="AH211" i="24"/>
  <c r="D30" i="15"/>
  <c r="AH28" i="24"/>
  <c r="AH118" i="24"/>
  <c r="AH146" i="24"/>
  <c r="AH165" i="24"/>
  <c r="AM205" i="24"/>
  <c r="AN205" i="24" s="1"/>
  <c r="AO205" i="24" s="1"/>
  <c r="AP205" i="24" s="1"/>
  <c r="AQ205" i="24" s="1"/>
  <c r="AH243" i="24"/>
  <c r="AG361" i="24"/>
  <c r="AK361" i="24" s="1"/>
  <c r="B9" i="15"/>
  <c r="E30" i="15"/>
  <c r="F69" i="29"/>
  <c r="CF81" i="29"/>
  <c r="F68" i="29"/>
  <c r="L66" i="29"/>
  <c r="BX81" i="29" s="1"/>
  <c r="BV81" i="29"/>
  <c r="F65" i="29"/>
  <c r="L65" i="29"/>
  <c r="BW81" i="29" s="1"/>
  <c r="M102" i="30"/>
  <c r="M102" i="28" s="1"/>
  <c r="J102" i="28"/>
  <c r="AY20" i="24"/>
  <c r="E130" i="41"/>
  <c r="E132" i="41"/>
  <c r="F130" i="32"/>
  <c r="J103" i="28"/>
  <c r="J200" i="30"/>
  <c r="J201" i="30" s="1"/>
  <c r="J202" i="30" s="1"/>
  <c r="G130" i="41"/>
  <c r="G132" i="41"/>
  <c r="I130" i="32"/>
  <c r="G149" i="30"/>
  <c r="I130" i="41"/>
  <c r="H7" i="28"/>
  <c r="P101" i="30"/>
  <c r="S101" i="30" s="1"/>
  <c r="M101" i="28"/>
  <c r="C193" i="26"/>
  <c r="P103" i="30"/>
  <c r="S103" i="30" s="1"/>
  <c r="M103" i="28"/>
  <c r="G151" i="30"/>
  <c r="F151" i="28"/>
  <c r="J145" i="32"/>
  <c r="G145" i="32"/>
  <c r="E145" i="32"/>
  <c r="H145" i="32"/>
  <c r="A144" i="32"/>
  <c r="S199" i="30"/>
  <c r="F150" i="28"/>
  <c r="G150" i="30"/>
  <c r="J101" i="28"/>
  <c r="J130" i="32"/>
  <c r="I132" i="32"/>
  <c r="K10" i="38"/>
  <c r="L10" i="38" s="1"/>
  <c r="M10" i="38" s="1"/>
  <c r="N10" i="38" s="1"/>
  <c r="O10" i="38" s="1"/>
  <c r="P10" i="38" s="1"/>
  <c r="Q10" i="38" s="1"/>
  <c r="R10" i="38" s="1"/>
  <c r="S10" i="38" s="1"/>
  <c r="T10" i="38" s="1"/>
  <c r="U10" i="38" s="1"/>
  <c r="V10" i="38" s="1"/>
  <c r="W10" i="38" s="1"/>
  <c r="X10" i="38" s="1"/>
  <c r="Y10" i="38" s="1"/>
  <c r="Z10" i="38" s="1"/>
  <c r="AA10" i="38" s="1"/>
  <c r="AB10" i="38" s="1"/>
  <c r="AC10" i="38" s="1"/>
  <c r="AD10" i="38" s="1"/>
  <c r="AD8" i="38" s="1"/>
  <c r="BO165" i="30" s="1"/>
  <c r="BO165" i="28" s="1"/>
  <c r="J5" i="28"/>
  <c r="J208" i="30"/>
  <c r="A144" i="41"/>
  <c r="A147" i="32"/>
  <c r="A147" i="41"/>
  <c r="D145" i="32"/>
  <c r="I145" i="32"/>
  <c r="E145" i="41"/>
  <c r="M16" i="28"/>
  <c r="P16" i="30"/>
  <c r="AN2" i="24"/>
  <c r="A145" i="41"/>
  <c r="H145" i="41"/>
  <c r="D145" i="41"/>
  <c r="I145" i="41"/>
  <c r="J144" i="41"/>
  <c r="F145" i="41"/>
  <c r="J144" i="32"/>
  <c r="F145" i="32"/>
  <c r="J66" i="26"/>
  <c r="J46" i="26"/>
  <c r="J16" i="26"/>
  <c r="J26" i="26"/>
  <c r="BA18" i="24"/>
  <c r="BB18" i="24"/>
  <c r="BI18" i="24"/>
  <c r="J36" i="26"/>
  <c r="BA19" i="24"/>
  <c r="BA15" i="24"/>
  <c r="BB19" i="24"/>
  <c r="BB15" i="24"/>
  <c r="BI19" i="24"/>
  <c r="BH19" i="24" s="1"/>
  <c r="BI15" i="24"/>
  <c r="BH15" i="24" s="1"/>
  <c r="BA17" i="24"/>
  <c r="BB17" i="24"/>
  <c r="BI17" i="24"/>
  <c r="F6" i="28"/>
  <c r="AX116" i="28"/>
  <c r="K6" i="28"/>
  <c r="P134" i="30"/>
  <c r="D130" i="32"/>
  <c r="H130" i="32"/>
  <c r="D132" i="32"/>
  <c r="H132" i="32"/>
  <c r="I132" i="41"/>
  <c r="G130" i="32"/>
  <c r="C7" i="36"/>
  <c r="I7" i="36" s="1"/>
  <c r="G8" i="36"/>
  <c r="G10" i="36" s="1"/>
  <c r="G11" i="36" s="1"/>
  <c r="G12" i="36" s="1"/>
  <c r="G13" i="36" s="1"/>
  <c r="G14" i="36" s="1"/>
  <c r="G15" i="36" s="1"/>
  <c r="G16" i="36" s="1"/>
  <c r="G17" i="36" s="1"/>
  <c r="G18" i="36" s="1"/>
  <c r="G19" i="36" s="1"/>
  <c r="G20" i="36" s="1"/>
  <c r="G21" i="36" s="1"/>
  <c r="G22" i="36" s="1"/>
  <c r="G23" i="36" s="1"/>
  <c r="G25" i="36" s="1"/>
  <c r="E30" i="36"/>
  <c r="K30" i="36" s="1"/>
  <c r="Q8" i="36"/>
  <c r="E8" i="36"/>
  <c r="K8" i="36" s="1"/>
  <c r="W2" i="36"/>
  <c r="B7" i="36"/>
  <c r="C29" i="36" s="1"/>
  <c r="I29" i="36" s="1"/>
  <c r="W5" i="36"/>
  <c r="A32" i="36" s="1"/>
  <c r="A34" i="36" s="1"/>
  <c r="A35" i="36" s="1"/>
  <c r="A36" i="36" s="1"/>
  <c r="A37" i="36" s="1"/>
  <c r="A38" i="36" s="1"/>
  <c r="A39" i="36" s="1"/>
  <c r="A40" i="36" s="1"/>
  <c r="Q4" i="36"/>
  <c r="O8" i="36"/>
  <c r="K32" i="36"/>
  <c r="F130" i="41"/>
  <c r="J130" i="41"/>
  <c r="D130" i="41"/>
  <c r="H130" i="41"/>
  <c r="D132" i="41"/>
  <c r="H132" i="41"/>
  <c r="J32" i="28"/>
  <c r="M32" i="30"/>
  <c r="M4" i="30"/>
  <c r="J4" i="28"/>
  <c r="P5" i="30"/>
  <c r="M5" i="28"/>
  <c r="N6" i="28"/>
  <c r="Q6" i="30"/>
  <c r="K208" i="30"/>
  <c r="K46" i="26"/>
  <c r="C30" i="15"/>
  <c r="AL124" i="24"/>
  <c r="AM124" i="24"/>
  <c r="AN124" i="24" s="1"/>
  <c r="AO124" i="24" s="1"/>
  <c r="AP124" i="24" s="1"/>
  <c r="AQ124" i="24" s="1"/>
  <c r="AH124" i="24"/>
  <c r="AM173" i="24"/>
  <c r="AN173" i="24" s="1"/>
  <c r="AO173" i="24" s="1"/>
  <c r="AP173" i="24" s="1"/>
  <c r="AQ173" i="24" s="1"/>
  <c r="AL173" i="24"/>
  <c r="AM289" i="24"/>
  <c r="AN289" i="24" s="1"/>
  <c r="AO289" i="24" s="1"/>
  <c r="AP289" i="24" s="1"/>
  <c r="AQ289" i="24" s="1"/>
  <c r="AG289" i="24"/>
  <c r="AK289" i="24" s="1"/>
  <c r="AG293" i="24"/>
  <c r="AK293" i="24" s="1"/>
  <c r="N293" i="24"/>
  <c r="AM231" i="24"/>
  <c r="AN231" i="24" s="1"/>
  <c r="AO231" i="24" s="1"/>
  <c r="AP231" i="24" s="1"/>
  <c r="AQ231" i="24" s="1"/>
  <c r="AL231" i="24"/>
  <c r="AL57" i="24"/>
  <c r="AM57" i="24"/>
  <c r="AN57" i="24" s="1"/>
  <c r="AO57" i="24" s="1"/>
  <c r="AP57" i="24" s="1"/>
  <c r="AQ57" i="24" s="1"/>
  <c r="AH57" i="24"/>
  <c r="AL68" i="24"/>
  <c r="AH68" i="24"/>
  <c r="AL90" i="24"/>
  <c r="AH90" i="24"/>
  <c r="AG195" i="24"/>
  <c r="AK195" i="24" s="1"/>
  <c r="AH231" i="24"/>
  <c r="AL319" i="24"/>
  <c r="AM319" i="24"/>
  <c r="AN319" i="24" s="1"/>
  <c r="AO319" i="24" s="1"/>
  <c r="AP319" i="24" s="1"/>
  <c r="AQ319" i="24" s="1"/>
  <c r="AG341" i="24"/>
  <c r="AK341" i="24" s="1"/>
  <c r="AG383" i="24"/>
  <c r="AK383" i="24" s="1"/>
  <c r="N383" i="24"/>
  <c r="AH392" i="24"/>
  <c r="AG392" i="24"/>
  <c r="AK392" i="24" s="1"/>
  <c r="AL48" i="24"/>
  <c r="AH48" i="24"/>
  <c r="AM253" i="24"/>
  <c r="AN253" i="24" s="1"/>
  <c r="AO253" i="24" s="1"/>
  <c r="AP253" i="24" s="1"/>
  <c r="AQ253" i="24" s="1"/>
  <c r="AL253" i="24"/>
  <c r="AG253" i="24"/>
  <c r="AK253" i="24" s="1"/>
  <c r="AG345" i="24"/>
  <c r="AK345" i="24" s="1"/>
  <c r="AM29" i="24"/>
  <c r="AN29" i="24" s="1"/>
  <c r="AO29" i="24" s="1"/>
  <c r="AP29" i="24" s="1"/>
  <c r="AQ29" i="24" s="1"/>
  <c r="AL29" i="24"/>
  <c r="AH29" i="24"/>
  <c r="AL84" i="24"/>
  <c r="AM84" i="24"/>
  <c r="AN84" i="24" s="1"/>
  <c r="AO84" i="24" s="1"/>
  <c r="AP84" i="24" s="1"/>
  <c r="AQ84" i="24" s="1"/>
  <c r="AH84" i="24"/>
  <c r="AH173" i="24"/>
  <c r="AL213" i="24"/>
  <c r="AM213" i="24"/>
  <c r="AN213" i="24" s="1"/>
  <c r="AO213" i="24" s="1"/>
  <c r="AP213" i="24" s="1"/>
  <c r="AQ213" i="24" s="1"/>
  <c r="AL218" i="24"/>
  <c r="AM218" i="24"/>
  <c r="AN218" i="24" s="1"/>
  <c r="AO218" i="24" s="1"/>
  <c r="AP218" i="24" s="1"/>
  <c r="AQ218" i="24" s="1"/>
  <c r="AH218" i="24"/>
  <c r="AM221" i="24"/>
  <c r="AN221" i="24" s="1"/>
  <c r="AO221" i="24" s="1"/>
  <c r="AP221" i="24" s="1"/>
  <c r="AQ221" i="24" s="1"/>
  <c r="AL221" i="24"/>
  <c r="AG221" i="24"/>
  <c r="AK221" i="24" s="1"/>
  <c r="AG24" i="24"/>
  <c r="AK24" i="24" s="1"/>
  <c r="AG33" i="24"/>
  <c r="AK33" i="24" s="1"/>
  <c r="AL50" i="24"/>
  <c r="AG58" i="24"/>
  <c r="AK58" i="24" s="1"/>
  <c r="AM77" i="24"/>
  <c r="AN77" i="24" s="1"/>
  <c r="AO77" i="24" s="1"/>
  <c r="AP77" i="24" s="1"/>
  <c r="AQ77" i="24" s="1"/>
  <c r="AM104" i="24"/>
  <c r="AN104" i="24" s="1"/>
  <c r="AO104" i="24" s="1"/>
  <c r="AP104" i="24" s="1"/>
  <c r="AQ104" i="24" s="1"/>
  <c r="AL117" i="24"/>
  <c r="AL136" i="24"/>
  <c r="AL143" i="24"/>
  <c r="AL144" i="24"/>
  <c r="AL145" i="24"/>
  <c r="AM167" i="24"/>
  <c r="AN167" i="24" s="1"/>
  <c r="AO167" i="24" s="1"/>
  <c r="AP167" i="24" s="1"/>
  <c r="AQ167" i="24" s="1"/>
  <c r="AG169" i="24"/>
  <c r="AK169" i="24" s="1"/>
  <c r="AG171" i="24"/>
  <c r="AK171" i="24" s="1"/>
  <c r="AL181" i="24"/>
  <c r="AM227" i="24"/>
  <c r="AN227" i="24" s="1"/>
  <c r="AO227" i="24" s="1"/>
  <c r="AP227" i="24" s="1"/>
  <c r="AQ227" i="24" s="1"/>
  <c r="AH247" i="24"/>
  <c r="AM247" i="24"/>
  <c r="AN247" i="24" s="1"/>
  <c r="AO247" i="24" s="1"/>
  <c r="AP247" i="24" s="1"/>
  <c r="AQ247" i="24" s="1"/>
  <c r="B20" i="15"/>
  <c r="B32" i="15"/>
  <c r="AL161" i="24"/>
  <c r="AL165" i="24"/>
  <c r="AG225" i="24"/>
  <c r="AK225" i="24" s="1"/>
  <c r="AG303" i="24"/>
  <c r="AK303" i="24" s="1"/>
  <c r="AG309" i="24"/>
  <c r="AK309" i="24" s="1"/>
  <c r="AG321" i="24"/>
  <c r="AK321" i="24" s="1"/>
  <c r="AG339" i="24"/>
  <c r="AK339" i="24" s="1"/>
  <c r="AH383" i="24"/>
  <c r="AG401" i="24"/>
  <c r="AK401" i="24" s="1"/>
  <c r="P111" i="26"/>
  <c r="AG28" i="24"/>
  <c r="AK28" i="24" s="1"/>
  <c r="AH65" i="24"/>
  <c r="AH66" i="24"/>
  <c r="AH72" i="24"/>
  <c r="AH77" i="24"/>
  <c r="AH103" i="24"/>
  <c r="AH104" i="24"/>
  <c r="AH117" i="24"/>
  <c r="AH136" i="24"/>
  <c r="AH143" i="24"/>
  <c r="AH181" i="24"/>
  <c r="AG191" i="24"/>
  <c r="AK191" i="24" s="1"/>
  <c r="AH214" i="24"/>
  <c r="AH227" i="24"/>
  <c r="AG305" i="24"/>
  <c r="AK305" i="24" s="1"/>
  <c r="AL355" i="24"/>
  <c r="N361" i="24"/>
  <c r="N369" i="24"/>
  <c r="AH399" i="24"/>
  <c r="AM142" i="24"/>
  <c r="AN142" i="24" s="1"/>
  <c r="AO142" i="24" s="1"/>
  <c r="AP142" i="24" s="1"/>
  <c r="AQ142" i="24" s="1"/>
  <c r="AH142" i="24"/>
  <c r="AL237" i="24"/>
  <c r="AM237" i="24"/>
  <c r="AN237" i="24" s="1"/>
  <c r="AO237" i="24" s="1"/>
  <c r="AP237" i="24" s="1"/>
  <c r="AQ237" i="24" s="1"/>
  <c r="AG237" i="24"/>
  <c r="AK237" i="24" s="1"/>
  <c r="AG319" i="24"/>
  <c r="AK319" i="24" s="1"/>
  <c r="N319" i="24"/>
  <c r="K26" i="26"/>
  <c r="K36" i="26"/>
  <c r="AI5" i="24"/>
  <c r="AH14" i="24"/>
  <c r="AH15" i="24"/>
  <c r="AM16" i="24"/>
  <c r="AN16" i="24" s="1"/>
  <c r="AO16" i="24" s="1"/>
  <c r="AP16" i="24" s="1"/>
  <c r="AQ16" i="24" s="1"/>
  <c r="AH17" i="24"/>
  <c r="AM21" i="24"/>
  <c r="AN21" i="24" s="1"/>
  <c r="AO21" i="24" s="1"/>
  <c r="AP21" i="24" s="1"/>
  <c r="AQ21" i="24" s="1"/>
  <c r="AM22" i="24"/>
  <c r="AN22" i="24" s="1"/>
  <c r="AO22" i="24" s="1"/>
  <c r="AP22" i="24" s="1"/>
  <c r="AQ22" i="24" s="1"/>
  <c r="AG29" i="24"/>
  <c r="AK29" i="24" s="1"/>
  <c r="AG32" i="24"/>
  <c r="AK32" i="24" s="1"/>
  <c r="AH33" i="24"/>
  <c r="AL98" i="24"/>
  <c r="AH98" i="24"/>
  <c r="AM120" i="24"/>
  <c r="AN120" i="24" s="1"/>
  <c r="AO120" i="24" s="1"/>
  <c r="AP120" i="24" s="1"/>
  <c r="AQ120" i="24" s="1"/>
  <c r="AH120" i="24"/>
  <c r="AL120" i="24"/>
  <c r="AM129" i="24"/>
  <c r="AN129" i="24" s="1"/>
  <c r="AO129" i="24" s="1"/>
  <c r="AP129" i="24" s="1"/>
  <c r="AQ129" i="24" s="1"/>
  <c r="AH129" i="24"/>
  <c r="AL134" i="24"/>
  <c r="AM134" i="24"/>
  <c r="AN134" i="24" s="1"/>
  <c r="AO134" i="24" s="1"/>
  <c r="AP134" i="24" s="1"/>
  <c r="AQ134" i="24" s="1"/>
  <c r="AG167" i="24"/>
  <c r="AK167" i="24" s="1"/>
  <c r="AM197" i="24"/>
  <c r="AN197" i="24" s="1"/>
  <c r="AO197" i="24" s="1"/>
  <c r="AP197" i="24" s="1"/>
  <c r="AQ197" i="24" s="1"/>
  <c r="AH197" i="24"/>
  <c r="AL197" i="24"/>
  <c r="AL207" i="24"/>
  <c r="AM207" i="24"/>
  <c r="AN207" i="24" s="1"/>
  <c r="AO207" i="24" s="1"/>
  <c r="AP207" i="24" s="1"/>
  <c r="AQ207" i="24" s="1"/>
  <c r="AL233" i="24"/>
  <c r="AM233" i="24"/>
  <c r="AN233" i="24" s="1"/>
  <c r="AO233" i="24" s="1"/>
  <c r="AP233" i="24" s="1"/>
  <c r="AQ233" i="24" s="1"/>
  <c r="AG243" i="24"/>
  <c r="AK243" i="24" s="1"/>
  <c r="N243" i="24"/>
  <c r="AM331" i="24"/>
  <c r="AN331" i="24" s="1"/>
  <c r="AO331" i="24" s="1"/>
  <c r="AP331" i="24" s="1"/>
  <c r="AQ331" i="24" s="1"/>
  <c r="AG331" i="24"/>
  <c r="AK331" i="24" s="1"/>
  <c r="AL331" i="24"/>
  <c r="B15" i="15"/>
  <c r="C15" i="15"/>
  <c r="AH25" i="24"/>
  <c r="AL76" i="24"/>
  <c r="AH76" i="24"/>
  <c r="AM76" i="24"/>
  <c r="AN76" i="24" s="1"/>
  <c r="AO76" i="24" s="1"/>
  <c r="AP76" i="24" s="1"/>
  <c r="AQ76" i="24" s="1"/>
  <c r="AH156" i="24"/>
  <c r="N283" i="24"/>
  <c r="AG283" i="24"/>
  <c r="AK283" i="24" s="1"/>
  <c r="AL14" i="24"/>
  <c r="AL15" i="24"/>
  <c r="AH31" i="24"/>
  <c r="AL34" i="24"/>
  <c r="AG35" i="24"/>
  <c r="AK35" i="24" s="1"/>
  <c r="AL96" i="24"/>
  <c r="AH96" i="24"/>
  <c r="AM96" i="24"/>
  <c r="AN96" i="24" s="1"/>
  <c r="AO96" i="24" s="1"/>
  <c r="AP96" i="24" s="1"/>
  <c r="AQ96" i="24" s="1"/>
  <c r="AH168" i="24"/>
  <c r="AM177" i="24"/>
  <c r="AN177" i="24" s="1"/>
  <c r="AO177" i="24" s="1"/>
  <c r="AP177" i="24" s="1"/>
  <c r="AQ177" i="24" s="1"/>
  <c r="AL189" i="24"/>
  <c r="AH189" i="24"/>
  <c r="AM189" i="24"/>
  <c r="AN189" i="24" s="1"/>
  <c r="AO189" i="24" s="1"/>
  <c r="AP189" i="24" s="1"/>
  <c r="AQ189" i="24" s="1"/>
  <c r="AM215" i="24"/>
  <c r="AN215" i="24" s="1"/>
  <c r="AO215" i="24" s="1"/>
  <c r="AP215" i="24" s="1"/>
  <c r="AQ215" i="24" s="1"/>
  <c r="AG215" i="24"/>
  <c r="AK215" i="24" s="1"/>
  <c r="N231" i="24"/>
  <c r="AG231" i="24"/>
  <c r="AK231" i="24" s="1"/>
  <c r="N315" i="24"/>
  <c r="AG315" i="24"/>
  <c r="AK315" i="24" s="1"/>
  <c r="AL325" i="24"/>
  <c r="AM325" i="24"/>
  <c r="AN325" i="24" s="1"/>
  <c r="AO325" i="24" s="1"/>
  <c r="AP325" i="24" s="1"/>
  <c r="AQ325" i="24" s="1"/>
  <c r="AG325" i="24"/>
  <c r="AK325" i="24" s="1"/>
  <c r="AH331" i="24"/>
  <c r="AG395" i="24"/>
  <c r="AK395" i="24" s="1"/>
  <c r="AM395" i="24"/>
  <c r="AN395" i="24" s="1"/>
  <c r="AO395" i="24" s="1"/>
  <c r="AP395" i="24" s="1"/>
  <c r="AQ395" i="24" s="1"/>
  <c r="B23" i="15"/>
  <c r="C23" i="15"/>
  <c r="AL59" i="24"/>
  <c r="AH59" i="24"/>
  <c r="AM59" i="24"/>
  <c r="AN59" i="24" s="1"/>
  <c r="AO59" i="24" s="1"/>
  <c r="AP59" i="24" s="1"/>
  <c r="AQ59" i="24" s="1"/>
  <c r="AL97" i="24"/>
  <c r="AH97" i="24"/>
  <c r="AL259" i="24"/>
  <c r="AM259" i="24"/>
  <c r="AN259" i="24" s="1"/>
  <c r="AO259" i="24" s="1"/>
  <c r="AP259" i="24" s="1"/>
  <c r="AQ259" i="24" s="1"/>
  <c r="AH259" i="24"/>
  <c r="AG31" i="24"/>
  <c r="AK31" i="24" s="1"/>
  <c r="AM37" i="24"/>
  <c r="AN37" i="24" s="1"/>
  <c r="AO37" i="24" s="1"/>
  <c r="AP37" i="24" s="1"/>
  <c r="AQ37" i="24" s="1"/>
  <c r="AL37" i="24"/>
  <c r="AL69" i="24"/>
  <c r="AH69" i="24"/>
  <c r="AM69" i="24"/>
  <c r="AN69" i="24" s="1"/>
  <c r="AO69" i="24" s="1"/>
  <c r="AP69" i="24" s="1"/>
  <c r="AQ69" i="24" s="1"/>
  <c r="AL74" i="24"/>
  <c r="AH74" i="24"/>
  <c r="AL140" i="24"/>
  <c r="AM140" i="24"/>
  <c r="AN140" i="24" s="1"/>
  <c r="AO140" i="24" s="1"/>
  <c r="AP140" i="24" s="1"/>
  <c r="AQ140" i="24" s="1"/>
  <c r="AH140" i="24"/>
  <c r="AG155" i="24"/>
  <c r="AK155" i="24" s="1"/>
  <c r="N205" i="24"/>
  <c r="AG205" i="24"/>
  <c r="AK205" i="24" s="1"/>
  <c r="AG265" i="24"/>
  <c r="AK265" i="24" s="1"/>
  <c r="AL269" i="24"/>
  <c r="AM269" i="24"/>
  <c r="AN269" i="24" s="1"/>
  <c r="AO269" i="24" s="1"/>
  <c r="AP269" i="24" s="1"/>
  <c r="AQ269" i="24" s="1"/>
  <c r="AG269" i="24"/>
  <c r="AK269" i="24" s="1"/>
  <c r="AL299" i="24"/>
  <c r="AH299" i="24"/>
  <c r="AM299" i="24"/>
  <c r="AN299" i="24" s="1"/>
  <c r="AO299" i="24" s="1"/>
  <c r="AP299" i="24" s="1"/>
  <c r="AQ299" i="24" s="1"/>
  <c r="AL349" i="24"/>
  <c r="AG349" i="24"/>
  <c r="AK349" i="24" s="1"/>
  <c r="AM349" i="24"/>
  <c r="AN349" i="24" s="1"/>
  <c r="AO349" i="24" s="1"/>
  <c r="AP349" i="24" s="1"/>
  <c r="AQ349" i="24" s="1"/>
  <c r="AG363" i="24"/>
  <c r="AK363" i="24" s="1"/>
  <c r="N363" i="24"/>
  <c r="AG43" i="24"/>
  <c r="AK43" i="24" s="1"/>
  <c r="AG50" i="24"/>
  <c r="AK50" i="24" s="1"/>
  <c r="AG52" i="24"/>
  <c r="AK52" i="24" s="1"/>
  <c r="AG60" i="24"/>
  <c r="AK60" i="24" s="1"/>
  <c r="AH61" i="24"/>
  <c r="AH63" i="24"/>
  <c r="AH64" i="24"/>
  <c r="AH80" i="24"/>
  <c r="AH82" i="24"/>
  <c r="AH85" i="24"/>
  <c r="AH92" i="24"/>
  <c r="AH101" i="24"/>
  <c r="AH113" i="24"/>
  <c r="AH114" i="24"/>
  <c r="AH126" i="24"/>
  <c r="AH133" i="24"/>
  <c r="AG153" i="24"/>
  <c r="AK153" i="24" s="1"/>
  <c r="N213" i="24"/>
  <c r="AG224" i="24"/>
  <c r="AK224" i="24" s="1"/>
  <c r="AG241" i="24"/>
  <c r="AK241" i="24" s="1"/>
  <c r="AG249" i="24"/>
  <c r="AK249" i="24" s="1"/>
  <c r="AH263" i="24"/>
  <c r="AL263" i="24"/>
  <c r="AL341" i="24"/>
  <c r="AM341" i="24"/>
  <c r="AN341" i="24" s="1"/>
  <c r="AO341" i="24" s="1"/>
  <c r="AP341" i="24" s="1"/>
  <c r="AQ341" i="24" s="1"/>
  <c r="AG351" i="24"/>
  <c r="AK351" i="24" s="1"/>
  <c r="N351" i="24"/>
  <c r="AL367" i="24"/>
  <c r="AH367" i="24"/>
  <c r="AM367" i="24"/>
  <c r="AN367" i="24" s="1"/>
  <c r="AO367" i="24" s="1"/>
  <c r="AP367" i="24" s="1"/>
  <c r="AQ367" i="24" s="1"/>
  <c r="C17" i="15"/>
  <c r="C25" i="15"/>
  <c r="C29" i="15"/>
  <c r="B29" i="15"/>
  <c r="AL61" i="24"/>
  <c r="AM64" i="24"/>
  <c r="AN64" i="24" s="1"/>
  <c r="AO64" i="24" s="1"/>
  <c r="AP64" i="24" s="1"/>
  <c r="AQ64" i="24" s="1"/>
  <c r="AM85" i="24"/>
  <c r="AN85" i="24" s="1"/>
  <c r="AO85" i="24" s="1"/>
  <c r="AP85" i="24" s="1"/>
  <c r="AQ85" i="24" s="1"/>
  <c r="AM92" i="24"/>
  <c r="AN92" i="24" s="1"/>
  <c r="AO92" i="24" s="1"/>
  <c r="AP92" i="24" s="1"/>
  <c r="AQ92" i="24" s="1"/>
  <c r="AM101" i="24"/>
  <c r="AN101" i="24" s="1"/>
  <c r="AO101" i="24" s="1"/>
  <c r="AP101" i="24" s="1"/>
  <c r="AQ101" i="24" s="1"/>
  <c r="AH108" i="24"/>
  <c r="AL114" i="24"/>
  <c r="AL115" i="24"/>
  <c r="AL116" i="24"/>
  <c r="AL133" i="24"/>
  <c r="AH149" i="24"/>
  <c r="AG151" i="24"/>
  <c r="AK151" i="24" s="1"/>
  <c r="AH153" i="24"/>
  <c r="AG173" i="24"/>
  <c r="AK173" i="24" s="1"/>
  <c r="AG187" i="24"/>
  <c r="AK187" i="24" s="1"/>
  <c r="AL201" i="24"/>
  <c r="AL203" i="24"/>
  <c r="AH205" i="24"/>
  <c r="AG207" i="24"/>
  <c r="AK207" i="24" s="1"/>
  <c r="N227" i="24"/>
  <c r="AG233" i="24"/>
  <c r="AK233" i="24" s="1"/>
  <c r="AG259" i="24"/>
  <c r="AK259" i="24" s="1"/>
  <c r="AG263" i="24"/>
  <c r="AK263" i="24" s="1"/>
  <c r="AG275" i="24"/>
  <c r="AK275" i="24" s="1"/>
  <c r="AL279" i="24"/>
  <c r="AM305" i="24"/>
  <c r="AN305" i="24" s="1"/>
  <c r="AO305" i="24" s="1"/>
  <c r="AP305" i="24" s="1"/>
  <c r="AQ305" i="24" s="1"/>
  <c r="AM321" i="24"/>
  <c r="AN321" i="24" s="1"/>
  <c r="AO321" i="24" s="1"/>
  <c r="AP321" i="24" s="1"/>
  <c r="AQ321" i="24" s="1"/>
  <c r="AG323" i="24"/>
  <c r="AK323" i="24" s="1"/>
  <c r="AL344" i="24"/>
  <c r="AM344" i="24"/>
  <c r="AN344" i="24" s="1"/>
  <c r="AO344" i="24" s="1"/>
  <c r="AP344" i="24" s="1"/>
  <c r="AQ344" i="24" s="1"/>
  <c r="AH360" i="24"/>
  <c r="AG360" i="24"/>
  <c r="AK360" i="24" s="1"/>
  <c r="I412" i="24"/>
  <c r="I399" i="24"/>
  <c r="I390" i="24"/>
  <c r="I372" i="24"/>
  <c r="I367" i="24"/>
  <c r="I364" i="24"/>
  <c r="I355" i="24"/>
  <c r="I354" i="24"/>
  <c r="I352" i="24"/>
  <c r="I351" i="24"/>
  <c r="I403" i="24"/>
  <c r="I388" i="24"/>
  <c r="I382" i="24"/>
  <c r="I379" i="24"/>
  <c r="I373" i="24"/>
  <c r="I365" i="24"/>
  <c r="I358" i="24"/>
  <c r="I347" i="24"/>
  <c r="I401" i="24"/>
  <c r="I398" i="24"/>
  <c r="I396" i="24"/>
  <c r="I361" i="24"/>
  <c r="I357" i="24"/>
  <c r="I353" i="24"/>
  <c r="I350" i="24"/>
  <c r="I345" i="24"/>
  <c r="I342" i="24"/>
  <c r="I341" i="24"/>
  <c r="I338" i="24"/>
  <c r="I337" i="24"/>
  <c r="I332" i="24"/>
  <c r="I326" i="24"/>
  <c r="I325" i="24"/>
  <c r="AG297" i="24"/>
  <c r="AK297" i="24" s="1"/>
  <c r="AL337" i="24"/>
  <c r="AM337" i="24"/>
  <c r="AN337" i="24" s="1"/>
  <c r="AO337" i="24" s="1"/>
  <c r="AP337" i="24" s="1"/>
  <c r="AQ337" i="24" s="1"/>
  <c r="AL359" i="24"/>
  <c r="AL379" i="24"/>
  <c r="AH379" i="24"/>
  <c r="AM379" i="24"/>
  <c r="AN379" i="24" s="1"/>
  <c r="AO379" i="24" s="1"/>
  <c r="AP379" i="24" s="1"/>
  <c r="AQ379" i="24" s="1"/>
  <c r="AG379" i="24"/>
  <c r="AK379" i="24" s="1"/>
  <c r="AH345" i="24"/>
  <c r="AG381" i="24"/>
  <c r="AK381" i="24" s="1"/>
  <c r="AG387" i="24"/>
  <c r="AK387" i="24" s="1"/>
  <c r="AH396" i="24"/>
  <c r="AG403" i="24"/>
  <c r="AK403" i="24" s="1"/>
  <c r="G9" i="15"/>
  <c r="AH327" i="24"/>
  <c r="N335" i="24"/>
  <c r="AG342" i="24"/>
  <c r="AK342" i="24" s="1"/>
  <c r="AG343" i="24"/>
  <c r="AK343" i="24" s="1"/>
  <c r="AL351" i="24"/>
  <c r="AG373" i="24"/>
  <c r="AK373" i="24" s="1"/>
  <c r="AM378" i="24"/>
  <c r="AN378" i="24" s="1"/>
  <c r="AO378" i="24" s="1"/>
  <c r="AP378" i="24" s="1"/>
  <c r="AQ378" i="24" s="1"/>
  <c r="AM381" i="24"/>
  <c r="AN381" i="24" s="1"/>
  <c r="AO381" i="24" s="1"/>
  <c r="AP381" i="24" s="1"/>
  <c r="AQ381" i="24" s="1"/>
  <c r="AL386" i="24"/>
  <c r="AL399" i="24"/>
  <c r="AM402" i="24"/>
  <c r="AN402" i="24" s="1"/>
  <c r="AO402" i="24" s="1"/>
  <c r="AP402" i="24" s="1"/>
  <c r="AQ402" i="24" s="1"/>
  <c r="AH403" i="24"/>
  <c r="AH412" i="24"/>
  <c r="C35" i="15"/>
  <c r="D9" i="15"/>
  <c r="AH78" i="24"/>
  <c r="AH94" i="24"/>
  <c r="AH125" i="24"/>
  <c r="AH141" i="24"/>
  <c r="AL159" i="24"/>
  <c r="K13" i="27"/>
  <c r="K16" i="26"/>
  <c r="K66" i="26"/>
  <c r="AG18" i="24"/>
  <c r="AK18" i="24" s="1"/>
  <c r="AG19" i="24"/>
  <c r="AK19" i="24" s="1"/>
  <c r="AM20" i="24"/>
  <c r="AN20" i="24" s="1"/>
  <c r="AO20" i="24" s="1"/>
  <c r="AP20" i="24" s="1"/>
  <c r="AQ20" i="24" s="1"/>
  <c r="AG21" i="24"/>
  <c r="AK21" i="24" s="1"/>
  <c r="AG22" i="24"/>
  <c r="AK22" i="24" s="1"/>
  <c r="AG17" i="24"/>
  <c r="AK17" i="24" s="1"/>
  <c r="AH24" i="24"/>
  <c r="AL24" i="24"/>
  <c r="AG25" i="24"/>
  <c r="AK25" i="24" s="1"/>
  <c r="AG26" i="24"/>
  <c r="AK26" i="24" s="1"/>
  <c r="AH30" i="24"/>
  <c r="AH32" i="24"/>
  <c r="AL32" i="24"/>
  <c r="AH37" i="24"/>
  <c r="AH41" i="24"/>
  <c r="AL42" i="24"/>
  <c r="AH44" i="24"/>
  <c r="AM47" i="24"/>
  <c r="AN47" i="24" s="1"/>
  <c r="AO47" i="24" s="1"/>
  <c r="AP47" i="24" s="1"/>
  <c r="AQ47" i="24" s="1"/>
  <c r="AL49" i="24"/>
  <c r="N50" i="24"/>
  <c r="AH51" i="24"/>
  <c r="AG56" i="24"/>
  <c r="AK56" i="24" s="1"/>
  <c r="AH58" i="24"/>
  <c r="AH60" i="24"/>
  <c r="AM63" i="24"/>
  <c r="AN63" i="24" s="1"/>
  <c r="AO63" i="24" s="1"/>
  <c r="AP63" i="24" s="1"/>
  <c r="AQ63" i="24" s="1"/>
  <c r="AM66" i="24"/>
  <c r="AN66" i="24" s="1"/>
  <c r="AO66" i="24" s="1"/>
  <c r="AP66" i="24" s="1"/>
  <c r="AQ66" i="24" s="1"/>
  <c r="AH67" i="24"/>
  <c r="AM74" i="24"/>
  <c r="AN74" i="24" s="1"/>
  <c r="AO74" i="24" s="1"/>
  <c r="AP74" i="24" s="1"/>
  <c r="AQ74" i="24" s="1"/>
  <c r="AH75" i="24"/>
  <c r="AM75" i="24"/>
  <c r="AN75" i="24" s="1"/>
  <c r="AO75" i="24" s="1"/>
  <c r="AP75" i="24" s="1"/>
  <c r="AQ75" i="24" s="1"/>
  <c r="AM82" i="24"/>
  <c r="AN82" i="24" s="1"/>
  <c r="AO82" i="24" s="1"/>
  <c r="AP82" i="24" s="1"/>
  <c r="AQ82" i="24" s="1"/>
  <c r="AH83" i="24"/>
  <c r="AM83" i="24"/>
  <c r="AN83" i="24" s="1"/>
  <c r="AO83" i="24" s="1"/>
  <c r="AP83" i="24" s="1"/>
  <c r="AQ83" i="24" s="1"/>
  <c r="AM90" i="24"/>
  <c r="AN90" i="24" s="1"/>
  <c r="AO90" i="24" s="1"/>
  <c r="AP90" i="24" s="1"/>
  <c r="AQ90" i="24" s="1"/>
  <c r="AH91" i="24"/>
  <c r="AM91" i="24"/>
  <c r="AN91" i="24" s="1"/>
  <c r="AO91" i="24" s="1"/>
  <c r="AP91" i="24" s="1"/>
  <c r="AQ91" i="24" s="1"/>
  <c r="AM95" i="24"/>
  <c r="AN95" i="24" s="1"/>
  <c r="AO95" i="24" s="1"/>
  <c r="AP95" i="24" s="1"/>
  <c r="AQ95" i="24" s="1"/>
  <c r="AM98" i="24"/>
  <c r="AN98" i="24" s="1"/>
  <c r="AO98" i="24" s="1"/>
  <c r="AP98" i="24" s="1"/>
  <c r="AQ98" i="24" s="1"/>
  <c r="AH99" i="24"/>
  <c r="AM103" i="24"/>
  <c r="AN103" i="24" s="1"/>
  <c r="AO103" i="24" s="1"/>
  <c r="AP103" i="24" s="1"/>
  <c r="AQ103" i="24" s="1"/>
  <c r="AM106" i="24"/>
  <c r="AN106" i="24" s="1"/>
  <c r="AO106" i="24" s="1"/>
  <c r="AP106" i="24" s="1"/>
  <c r="AQ106" i="24" s="1"/>
  <c r="AH107" i="24"/>
  <c r="AL110" i="24"/>
  <c r="AL111" i="24"/>
  <c r="AL112" i="24"/>
  <c r="AL113" i="24"/>
  <c r="AH115" i="24"/>
  <c r="AH116" i="24"/>
  <c r="AL126" i="24"/>
  <c r="AL127" i="24"/>
  <c r="AL128" i="24"/>
  <c r="AL129" i="24"/>
  <c r="AH131" i="24"/>
  <c r="AH132" i="24"/>
  <c r="AL142" i="24"/>
  <c r="AH144" i="24"/>
  <c r="AH145" i="24"/>
  <c r="AL149" i="24"/>
  <c r="AL157" i="24"/>
  <c r="AH157" i="24"/>
  <c r="AG159" i="24"/>
  <c r="AK159" i="24" s="1"/>
  <c r="AG175" i="24"/>
  <c r="AK175" i="24" s="1"/>
  <c r="N175" i="24"/>
  <c r="AL179" i="24"/>
  <c r="AG183" i="24"/>
  <c r="AK183" i="24" s="1"/>
  <c r="N183" i="24"/>
  <c r="AM195" i="24"/>
  <c r="AN195" i="24" s="1"/>
  <c r="AO195" i="24" s="1"/>
  <c r="AP195" i="24" s="1"/>
  <c r="AQ195" i="24" s="1"/>
  <c r="AL195" i="24"/>
  <c r="AG199" i="24"/>
  <c r="AK199" i="24" s="1"/>
  <c r="N199" i="24"/>
  <c r="N235" i="24"/>
  <c r="AG235" i="24"/>
  <c r="AK235" i="24" s="1"/>
  <c r="AM245" i="24"/>
  <c r="AN245" i="24" s="1"/>
  <c r="AO245" i="24" s="1"/>
  <c r="AP245" i="24" s="1"/>
  <c r="AQ245" i="24" s="1"/>
  <c r="AG245" i="24"/>
  <c r="AK245" i="24" s="1"/>
  <c r="AL245" i="24"/>
  <c r="AM267" i="24"/>
  <c r="AN267" i="24" s="1"/>
  <c r="AO267" i="24" s="1"/>
  <c r="AP267" i="24" s="1"/>
  <c r="AQ267" i="24" s="1"/>
  <c r="AL267" i="24"/>
  <c r="AH267" i="24"/>
  <c r="AG267" i="24"/>
  <c r="AK267" i="24" s="1"/>
  <c r="AH55" i="24"/>
  <c r="AH109" i="24"/>
  <c r="AH138" i="24"/>
  <c r="AG161" i="24"/>
  <c r="AK161" i="24" s="1"/>
  <c r="N161" i="24"/>
  <c r="AG163" i="24"/>
  <c r="AK163" i="24" s="1"/>
  <c r="N163" i="24"/>
  <c r="AM273" i="24"/>
  <c r="AN273" i="24" s="1"/>
  <c r="AO273" i="24" s="1"/>
  <c r="AP273" i="24" s="1"/>
  <c r="AQ273" i="24" s="1"/>
  <c r="AL273" i="24"/>
  <c r="AG273" i="24"/>
  <c r="AK273" i="24" s="1"/>
  <c r="V6" i="24"/>
  <c r="AL18" i="24"/>
  <c r="AH22" i="24"/>
  <c r="AH23" i="24"/>
  <c r="AG13" i="24"/>
  <c r="AK13" i="24" s="1"/>
  <c r="AL25" i="24"/>
  <c r="AH27" i="24"/>
  <c r="AG30" i="24"/>
  <c r="AK30" i="24" s="1"/>
  <c r="N34" i="24"/>
  <c r="N35" i="24"/>
  <c r="N39" i="24"/>
  <c r="N44" i="24"/>
  <c r="AH49" i="24"/>
  <c r="AL52" i="24"/>
  <c r="AL53" i="24"/>
  <c r="N60" i="24"/>
  <c r="AM65" i="24"/>
  <c r="AN65" i="24" s="1"/>
  <c r="AO65" i="24" s="1"/>
  <c r="AP65" i="24" s="1"/>
  <c r="AQ65" i="24" s="1"/>
  <c r="AM68" i="24"/>
  <c r="AN68" i="24" s="1"/>
  <c r="AO68" i="24" s="1"/>
  <c r="AP68" i="24" s="1"/>
  <c r="AQ68" i="24" s="1"/>
  <c r="AM72" i="24"/>
  <c r="AN72" i="24" s="1"/>
  <c r="AO72" i="24" s="1"/>
  <c r="AP72" i="24" s="1"/>
  <c r="AQ72" i="24" s="1"/>
  <c r="AH73" i="24"/>
  <c r="AM73" i="24"/>
  <c r="AN73" i="24" s="1"/>
  <c r="AO73" i="24" s="1"/>
  <c r="AP73" i="24" s="1"/>
  <c r="AQ73" i="24" s="1"/>
  <c r="AM80" i="24"/>
  <c r="AN80" i="24" s="1"/>
  <c r="AO80" i="24" s="1"/>
  <c r="AP80" i="24" s="1"/>
  <c r="AQ80" i="24" s="1"/>
  <c r="AH81" i="24"/>
  <c r="AM81" i="24"/>
  <c r="AN81" i="24" s="1"/>
  <c r="AO81" i="24" s="1"/>
  <c r="AP81" i="24" s="1"/>
  <c r="AQ81" i="24" s="1"/>
  <c r="AM88" i="24"/>
  <c r="AN88" i="24" s="1"/>
  <c r="AO88" i="24" s="1"/>
  <c r="AP88" i="24" s="1"/>
  <c r="AQ88" i="24" s="1"/>
  <c r="AH89" i="24"/>
  <c r="AM89" i="24"/>
  <c r="AN89" i="24" s="1"/>
  <c r="AO89" i="24" s="1"/>
  <c r="AP89" i="24" s="1"/>
  <c r="AQ89" i="24" s="1"/>
  <c r="AM97" i="24"/>
  <c r="AN97" i="24" s="1"/>
  <c r="AO97" i="24" s="1"/>
  <c r="AP97" i="24" s="1"/>
  <c r="AQ97" i="24" s="1"/>
  <c r="AM100" i="24"/>
  <c r="AN100" i="24" s="1"/>
  <c r="AO100" i="24" s="1"/>
  <c r="AP100" i="24" s="1"/>
  <c r="AQ100" i="24" s="1"/>
  <c r="AM105" i="24"/>
  <c r="AN105" i="24" s="1"/>
  <c r="AO105" i="24" s="1"/>
  <c r="AP105" i="24" s="1"/>
  <c r="AQ105" i="24" s="1"/>
  <c r="AL109" i="24"/>
  <c r="AH111" i="24"/>
  <c r="AH112" i="24"/>
  <c r="AL122" i="24"/>
  <c r="AL123" i="24"/>
  <c r="AL125" i="24"/>
  <c r="AH127" i="24"/>
  <c r="AH128" i="24"/>
  <c r="AL138" i="24"/>
  <c r="AL139" i="24"/>
  <c r="AL141" i="24"/>
  <c r="AL147" i="24"/>
  <c r="AL148" i="24"/>
  <c r="AL151" i="24"/>
  <c r="AH152" i="24"/>
  <c r="AG157" i="24"/>
  <c r="AK157" i="24" s="1"/>
  <c r="AH164" i="24"/>
  <c r="AM169" i="24"/>
  <c r="AN169" i="24" s="1"/>
  <c r="AO169" i="24" s="1"/>
  <c r="AP169" i="24" s="1"/>
  <c r="AQ169" i="24" s="1"/>
  <c r="AL169" i="24"/>
  <c r="AH169" i="24"/>
  <c r="AL177" i="24"/>
  <c r="AH177" i="24"/>
  <c r="AH184" i="24"/>
  <c r="AH200" i="24"/>
  <c r="AM257" i="24"/>
  <c r="AN257" i="24" s="1"/>
  <c r="AO257" i="24" s="1"/>
  <c r="AP257" i="24" s="1"/>
  <c r="AQ257" i="24" s="1"/>
  <c r="AL257" i="24"/>
  <c r="AG257" i="24"/>
  <c r="AK257" i="24" s="1"/>
  <c r="AM261" i="24"/>
  <c r="AN261" i="24" s="1"/>
  <c r="AO261" i="24" s="1"/>
  <c r="AP261" i="24" s="1"/>
  <c r="AQ261" i="24" s="1"/>
  <c r="AG261" i="24"/>
  <c r="AK261" i="24" s="1"/>
  <c r="AL261" i="24"/>
  <c r="AM301" i="24"/>
  <c r="AN301" i="24" s="1"/>
  <c r="AO301" i="24" s="1"/>
  <c r="AP301" i="24" s="1"/>
  <c r="AQ301" i="24" s="1"/>
  <c r="AG301" i="24"/>
  <c r="AK301" i="24" s="1"/>
  <c r="AL301" i="24"/>
  <c r="AM347" i="24"/>
  <c r="AN347" i="24" s="1"/>
  <c r="AO347" i="24" s="1"/>
  <c r="AP347" i="24" s="1"/>
  <c r="AQ347" i="24" s="1"/>
  <c r="AG347" i="24"/>
  <c r="AK347" i="24" s="1"/>
  <c r="AL347" i="24"/>
  <c r="AH70" i="24"/>
  <c r="AH86" i="24"/>
  <c r="AH102" i="24"/>
  <c r="AH122" i="24"/>
  <c r="AH147" i="24"/>
  <c r="AM193" i="24"/>
  <c r="AN193" i="24" s="1"/>
  <c r="AO193" i="24" s="1"/>
  <c r="AP193" i="24" s="1"/>
  <c r="AQ193" i="24" s="1"/>
  <c r="AG193" i="24"/>
  <c r="AK193" i="24" s="1"/>
  <c r="AL193" i="24"/>
  <c r="AH193" i="24"/>
  <c r="AM209" i="24"/>
  <c r="AN209" i="24" s="1"/>
  <c r="AO209" i="24" s="1"/>
  <c r="AP209" i="24" s="1"/>
  <c r="AQ209" i="24" s="1"/>
  <c r="AG209" i="24"/>
  <c r="AK209" i="24" s="1"/>
  <c r="AL209" i="24"/>
  <c r="AH209" i="24"/>
  <c r="AG216" i="24"/>
  <c r="AK216" i="24" s="1"/>
  <c r="N216" i="24"/>
  <c r="AG223" i="24"/>
  <c r="AK223" i="24" s="1"/>
  <c r="N223" i="24"/>
  <c r="AM251" i="24"/>
  <c r="AN251" i="24" s="1"/>
  <c r="AO251" i="24" s="1"/>
  <c r="AP251" i="24" s="1"/>
  <c r="AQ251" i="24" s="1"/>
  <c r="AL251" i="24"/>
  <c r="AH251" i="24"/>
  <c r="AG251" i="24"/>
  <c r="AK251" i="24" s="1"/>
  <c r="AC111" i="26"/>
  <c r="AH18" i="24"/>
  <c r="AG23" i="24"/>
  <c r="AK23" i="24" s="1"/>
  <c r="AH26" i="24"/>
  <c r="N38" i="24"/>
  <c r="N42" i="24"/>
  <c r="N48" i="24"/>
  <c r="AM51" i="24"/>
  <c r="AN51" i="24" s="1"/>
  <c r="AO51" i="24" s="1"/>
  <c r="AP51" i="24" s="1"/>
  <c r="AQ51" i="24" s="1"/>
  <c r="AH53" i="24"/>
  <c r="AM55" i="24"/>
  <c r="AN55" i="24" s="1"/>
  <c r="AO55" i="24" s="1"/>
  <c r="AP55" i="24" s="1"/>
  <c r="AQ55" i="24" s="1"/>
  <c r="AL58" i="24"/>
  <c r="AM67" i="24"/>
  <c r="AN67" i="24" s="1"/>
  <c r="AO67" i="24" s="1"/>
  <c r="AP67" i="24" s="1"/>
  <c r="AQ67" i="24" s="1"/>
  <c r="AM70" i="24"/>
  <c r="AN70" i="24" s="1"/>
  <c r="AO70" i="24" s="1"/>
  <c r="AP70" i="24" s="1"/>
  <c r="AQ70" i="24" s="1"/>
  <c r="AH71" i="24"/>
  <c r="AM71" i="24"/>
  <c r="AN71" i="24" s="1"/>
  <c r="AO71" i="24" s="1"/>
  <c r="AP71" i="24" s="1"/>
  <c r="AQ71" i="24" s="1"/>
  <c r="AM78" i="24"/>
  <c r="AN78" i="24" s="1"/>
  <c r="AO78" i="24" s="1"/>
  <c r="AP78" i="24" s="1"/>
  <c r="AQ78" i="24" s="1"/>
  <c r="AH79" i="24"/>
  <c r="AM79" i="24"/>
  <c r="AN79" i="24" s="1"/>
  <c r="AO79" i="24" s="1"/>
  <c r="AP79" i="24" s="1"/>
  <c r="AQ79" i="24" s="1"/>
  <c r="AM86" i="24"/>
  <c r="AN86" i="24" s="1"/>
  <c r="AO86" i="24" s="1"/>
  <c r="AP86" i="24" s="1"/>
  <c r="AQ86" i="24" s="1"/>
  <c r="AH87" i="24"/>
  <c r="AM87" i="24"/>
  <c r="AN87" i="24" s="1"/>
  <c r="AO87" i="24" s="1"/>
  <c r="AP87" i="24" s="1"/>
  <c r="AQ87" i="24" s="1"/>
  <c r="AM94" i="24"/>
  <c r="AN94" i="24" s="1"/>
  <c r="AO94" i="24" s="1"/>
  <c r="AP94" i="24" s="1"/>
  <c r="AQ94" i="24" s="1"/>
  <c r="AM99" i="24"/>
  <c r="AN99" i="24" s="1"/>
  <c r="AO99" i="24" s="1"/>
  <c r="AP99" i="24" s="1"/>
  <c r="AQ99" i="24" s="1"/>
  <c r="AM102" i="24"/>
  <c r="AN102" i="24" s="1"/>
  <c r="AO102" i="24" s="1"/>
  <c r="AP102" i="24" s="1"/>
  <c r="AQ102" i="24" s="1"/>
  <c r="AM107" i="24"/>
  <c r="AN107" i="24" s="1"/>
  <c r="AO107" i="24" s="1"/>
  <c r="AP107" i="24" s="1"/>
  <c r="AQ107" i="24" s="1"/>
  <c r="AH123" i="24"/>
  <c r="AH139" i="24"/>
  <c r="AH148" i="24"/>
  <c r="N151" i="24"/>
  <c r="AM159" i="24"/>
  <c r="AN159" i="24" s="1"/>
  <c r="AO159" i="24" s="1"/>
  <c r="AP159" i="24" s="1"/>
  <c r="AQ159" i="24" s="1"/>
  <c r="AM171" i="24"/>
  <c r="AN171" i="24" s="1"/>
  <c r="AO171" i="24" s="1"/>
  <c r="AP171" i="24" s="1"/>
  <c r="AQ171" i="24" s="1"/>
  <c r="AL171" i="24"/>
  <c r="AH172" i="24"/>
  <c r="AH176" i="24"/>
  <c r="AG177" i="24"/>
  <c r="AK177" i="24" s="1"/>
  <c r="AL226" i="24"/>
  <c r="AM226" i="24"/>
  <c r="AN226" i="24" s="1"/>
  <c r="AO226" i="24" s="1"/>
  <c r="AP226" i="24" s="1"/>
  <c r="AQ226" i="24" s="1"/>
  <c r="N155" i="24"/>
  <c r="N167" i="24"/>
  <c r="AL183" i="24"/>
  <c r="AG185" i="24"/>
  <c r="AK185" i="24" s="1"/>
  <c r="AH188" i="24"/>
  <c r="N191" i="24"/>
  <c r="AL199" i="24"/>
  <c r="AG201" i="24"/>
  <c r="AK201" i="24" s="1"/>
  <c r="AH204" i="24"/>
  <c r="N207" i="24"/>
  <c r="AG211" i="24"/>
  <c r="AK211" i="24" s="1"/>
  <c r="AG213" i="24"/>
  <c r="AK213" i="24" s="1"/>
  <c r="AG219" i="24"/>
  <c r="AK219" i="24" s="1"/>
  <c r="AH222" i="24"/>
  <c r="AM229" i="24"/>
  <c r="AN229" i="24" s="1"/>
  <c r="AO229" i="24" s="1"/>
  <c r="AP229" i="24" s="1"/>
  <c r="AQ229" i="24" s="1"/>
  <c r="AG229" i="24"/>
  <c r="AK229" i="24" s="1"/>
  <c r="AM235" i="24"/>
  <c r="AN235" i="24" s="1"/>
  <c r="AO235" i="24" s="1"/>
  <c r="AP235" i="24" s="1"/>
  <c r="AQ235" i="24" s="1"/>
  <c r="AL235" i="24"/>
  <c r="AH235" i="24"/>
  <c r="AM291" i="24"/>
  <c r="AN291" i="24" s="1"/>
  <c r="AO291" i="24" s="1"/>
  <c r="AP291" i="24" s="1"/>
  <c r="AQ291" i="24" s="1"/>
  <c r="AL291" i="24"/>
  <c r="AG291" i="24"/>
  <c r="AK291" i="24" s="1"/>
  <c r="AG181" i="24"/>
  <c r="AK181" i="24" s="1"/>
  <c r="N187" i="24"/>
  <c r="AG197" i="24"/>
  <c r="AK197" i="24" s="1"/>
  <c r="N203" i="24"/>
  <c r="AH215" i="24"/>
  <c r="AL223" i="24"/>
  <c r="AH223" i="24"/>
  <c r="N224" i="24"/>
  <c r="AM239" i="24"/>
  <c r="AN239" i="24" s="1"/>
  <c r="AO239" i="24" s="1"/>
  <c r="AP239" i="24" s="1"/>
  <c r="AQ239" i="24" s="1"/>
  <c r="AG239" i="24"/>
  <c r="AK239" i="24" s="1"/>
  <c r="N279" i="24"/>
  <c r="AL293" i="24"/>
  <c r="AM293" i="24"/>
  <c r="AN293" i="24" s="1"/>
  <c r="AO293" i="24" s="1"/>
  <c r="AP293" i="24" s="1"/>
  <c r="AQ293" i="24" s="1"/>
  <c r="AL307" i="24"/>
  <c r="AH307" i="24"/>
  <c r="AM307" i="24"/>
  <c r="AN307" i="24" s="1"/>
  <c r="AO307" i="24" s="1"/>
  <c r="AP307" i="24" s="1"/>
  <c r="AQ307" i="24" s="1"/>
  <c r="AG307" i="24"/>
  <c r="AK307" i="24" s="1"/>
  <c r="AL329" i="24"/>
  <c r="AM329" i="24"/>
  <c r="AN329" i="24" s="1"/>
  <c r="AO329" i="24" s="1"/>
  <c r="AP329" i="24" s="1"/>
  <c r="AQ329" i="24" s="1"/>
  <c r="AG329" i="24"/>
  <c r="AK329" i="24" s="1"/>
  <c r="AL353" i="24"/>
  <c r="AH353" i="24"/>
  <c r="AM353" i="24"/>
  <c r="AN353" i="24" s="1"/>
  <c r="AO353" i="24" s="1"/>
  <c r="AP353" i="24" s="1"/>
  <c r="AQ353" i="24" s="1"/>
  <c r="AG353" i="24"/>
  <c r="AK353" i="24" s="1"/>
  <c r="AL215" i="24"/>
  <c r="N218" i="24"/>
  <c r="AM241" i="24"/>
  <c r="AN241" i="24" s="1"/>
  <c r="AO241" i="24" s="1"/>
  <c r="AP241" i="24" s="1"/>
  <c r="AQ241" i="24" s="1"/>
  <c r="AL241" i="24"/>
  <c r="AM255" i="24"/>
  <c r="AN255" i="24" s="1"/>
  <c r="AO255" i="24" s="1"/>
  <c r="AP255" i="24" s="1"/>
  <c r="AQ255" i="24" s="1"/>
  <c r="AG255" i="24"/>
  <c r="AK255" i="24" s="1"/>
  <c r="AL255" i="24"/>
  <c r="AH255" i="24"/>
  <c r="AM271" i="24"/>
  <c r="AN271" i="24" s="1"/>
  <c r="AO271" i="24" s="1"/>
  <c r="AP271" i="24" s="1"/>
  <c r="AQ271" i="24" s="1"/>
  <c r="AG271" i="24"/>
  <c r="AK271" i="24" s="1"/>
  <c r="AL271" i="24"/>
  <c r="AH271" i="24"/>
  <c r="AG277" i="24"/>
  <c r="AK277" i="24" s="1"/>
  <c r="N277" i="24"/>
  <c r="AM295" i="24"/>
  <c r="AN295" i="24" s="1"/>
  <c r="AO295" i="24" s="1"/>
  <c r="AP295" i="24" s="1"/>
  <c r="AQ295" i="24" s="1"/>
  <c r="AG295" i="24"/>
  <c r="AK295" i="24" s="1"/>
  <c r="AH295" i="24"/>
  <c r="AL295" i="24"/>
  <c r="AM311" i="24"/>
  <c r="AN311" i="24" s="1"/>
  <c r="AO311" i="24" s="1"/>
  <c r="AP311" i="24" s="1"/>
  <c r="AQ311" i="24" s="1"/>
  <c r="AG311" i="24"/>
  <c r="AK311" i="24" s="1"/>
  <c r="AL311" i="24"/>
  <c r="AH311" i="24"/>
  <c r="AM362" i="24"/>
  <c r="AN362" i="24" s="1"/>
  <c r="AO362" i="24" s="1"/>
  <c r="AP362" i="24" s="1"/>
  <c r="AQ362" i="24" s="1"/>
  <c r="AH362" i="24"/>
  <c r="AL362" i="24"/>
  <c r="AG365" i="24"/>
  <c r="AK365" i="24" s="1"/>
  <c r="N365" i="24"/>
  <c r="N386" i="24"/>
  <c r="AL405" i="24"/>
  <c r="AH405" i="24"/>
  <c r="AG405" i="24"/>
  <c r="AK405" i="24" s="1"/>
  <c r="AL408" i="24"/>
  <c r="AH408" i="24"/>
  <c r="AM281" i="24"/>
  <c r="AN281" i="24" s="1"/>
  <c r="AO281" i="24" s="1"/>
  <c r="AP281" i="24" s="1"/>
  <c r="AQ281" i="24" s="1"/>
  <c r="AM285" i="24"/>
  <c r="AN285" i="24" s="1"/>
  <c r="AO285" i="24" s="1"/>
  <c r="AP285" i="24" s="1"/>
  <c r="AQ285" i="24" s="1"/>
  <c r="AG285" i="24"/>
  <c r="AK285" i="24" s="1"/>
  <c r="AL287" i="24"/>
  <c r="AH287" i="24"/>
  <c r="AL313" i="24"/>
  <c r="AM313" i="24"/>
  <c r="AN313" i="24" s="1"/>
  <c r="AO313" i="24" s="1"/>
  <c r="AP313" i="24" s="1"/>
  <c r="AQ313" i="24" s="1"/>
  <c r="AG377" i="24"/>
  <c r="AK377" i="24" s="1"/>
  <c r="AG384" i="24"/>
  <c r="AK384" i="24" s="1"/>
  <c r="AM391" i="24"/>
  <c r="AN391" i="24" s="1"/>
  <c r="AO391" i="24" s="1"/>
  <c r="AP391" i="24" s="1"/>
  <c r="AQ391" i="24" s="1"/>
  <c r="AG391" i="24"/>
  <c r="AK391" i="24" s="1"/>
  <c r="AL391" i="24"/>
  <c r="AH391" i="24"/>
  <c r="AL404" i="24"/>
  <c r="AH404" i="24"/>
  <c r="N233" i="24"/>
  <c r="N249" i="24"/>
  <c r="N265" i="24"/>
  <c r="AG281" i="24"/>
  <c r="AK281" i="24" s="1"/>
  <c r="AM297" i="24"/>
  <c r="AN297" i="24" s="1"/>
  <c r="AO297" i="24" s="1"/>
  <c r="AP297" i="24" s="1"/>
  <c r="AQ297" i="24" s="1"/>
  <c r="AM333" i="24"/>
  <c r="AN333" i="24" s="1"/>
  <c r="AO333" i="24" s="1"/>
  <c r="AP333" i="24" s="1"/>
  <c r="AQ333" i="24" s="1"/>
  <c r="AG333" i="24"/>
  <c r="AK333" i="24" s="1"/>
  <c r="AL339" i="24"/>
  <c r="AH339" i="24"/>
  <c r="AM339" i="24"/>
  <c r="AN339" i="24" s="1"/>
  <c r="AO339" i="24" s="1"/>
  <c r="AP339" i="24" s="1"/>
  <c r="AQ339" i="24" s="1"/>
  <c r="AM275" i="24"/>
  <c r="AN275" i="24" s="1"/>
  <c r="AO275" i="24" s="1"/>
  <c r="AP275" i="24" s="1"/>
  <c r="AQ275" i="24" s="1"/>
  <c r="AL277" i="24"/>
  <c r="AM279" i="24"/>
  <c r="AN279" i="24" s="1"/>
  <c r="AO279" i="24" s="1"/>
  <c r="AP279" i="24" s="1"/>
  <c r="AQ279" i="24" s="1"/>
  <c r="AG279" i="24"/>
  <c r="AK279" i="24" s="1"/>
  <c r="AL285" i="24"/>
  <c r="AL289" i="24"/>
  <c r="AG313" i="24"/>
  <c r="AK313" i="24" s="1"/>
  <c r="AM317" i="24"/>
  <c r="AN317" i="24" s="1"/>
  <c r="AO317" i="24" s="1"/>
  <c r="AP317" i="24" s="1"/>
  <c r="AQ317" i="24" s="1"/>
  <c r="AG317" i="24"/>
  <c r="AK317" i="24" s="1"/>
  <c r="AL323" i="24"/>
  <c r="AH323" i="24"/>
  <c r="AM323" i="24"/>
  <c r="AN323" i="24" s="1"/>
  <c r="AO323" i="24" s="1"/>
  <c r="AP323" i="24" s="1"/>
  <c r="AQ323" i="24" s="1"/>
  <c r="AM327" i="24"/>
  <c r="AN327" i="24" s="1"/>
  <c r="AO327" i="24" s="1"/>
  <c r="AP327" i="24" s="1"/>
  <c r="AQ327" i="24" s="1"/>
  <c r="AG327" i="24"/>
  <c r="AK327" i="24" s="1"/>
  <c r="AG407" i="24"/>
  <c r="AK407" i="24" s="1"/>
  <c r="N407" i="24"/>
  <c r="AL409" i="24"/>
  <c r="AH409" i="24"/>
  <c r="AG409" i="24"/>
  <c r="AK409" i="24" s="1"/>
  <c r="N411" i="24"/>
  <c r="AH303" i="24"/>
  <c r="AH319" i="24"/>
  <c r="AH335" i="24"/>
  <c r="AH349" i="24"/>
  <c r="AG368" i="24"/>
  <c r="AK368" i="24" s="1"/>
  <c r="AH368" i="24"/>
  <c r="I410" i="24"/>
  <c r="I409" i="24"/>
  <c r="I406" i="24"/>
  <c r="I405" i="24"/>
  <c r="I395" i="24"/>
  <c r="I392" i="24"/>
  <c r="I378" i="24"/>
  <c r="I376" i="24"/>
  <c r="I369" i="24"/>
  <c r="I363" i="24"/>
  <c r="I362" i="24"/>
  <c r="I360" i="24"/>
  <c r="I400" i="24"/>
  <c r="I397" i="24"/>
  <c r="I387" i="24"/>
  <c r="I386" i="24"/>
  <c r="I384" i="24"/>
  <c r="I381" i="24"/>
  <c r="I380" i="24"/>
  <c r="I375" i="24"/>
  <c r="I371" i="24"/>
  <c r="I366" i="24"/>
  <c r="G8" i="15"/>
  <c r="H8" i="15" s="1"/>
  <c r="I8" i="15" s="1"/>
  <c r="J8" i="15" s="1"/>
  <c r="I411" i="24"/>
  <c r="I408" i="24"/>
  <c r="I407" i="24"/>
  <c r="I404" i="24"/>
  <c r="I402" i="24"/>
  <c r="I394" i="24"/>
  <c r="I393" i="24"/>
  <c r="I391" i="24"/>
  <c r="I377" i="24"/>
  <c r="I370" i="24"/>
  <c r="I368" i="24"/>
  <c r="AG357" i="24"/>
  <c r="AK357" i="24" s="1"/>
  <c r="AL357" i="24"/>
  <c r="AM359" i="24"/>
  <c r="AN359" i="24" s="1"/>
  <c r="AO359" i="24" s="1"/>
  <c r="AP359" i="24" s="1"/>
  <c r="AQ359" i="24" s="1"/>
  <c r="AG359" i="24"/>
  <c r="AK359" i="24" s="1"/>
  <c r="AM375" i="24"/>
  <c r="AN375" i="24" s="1"/>
  <c r="AO375" i="24" s="1"/>
  <c r="AP375" i="24" s="1"/>
  <c r="AQ375" i="24" s="1"/>
  <c r="AL375" i="24"/>
  <c r="AH375" i="24"/>
  <c r="AM394" i="24"/>
  <c r="AN394" i="24" s="1"/>
  <c r="AO394" i="24" s="1"/>
  <c r="AP394" i="24" s="1"/>
  <c r="AQ394" i="24" s="1"/>
  <c r="AL394" i="24"/>
  <c r="AG411" i="24"/>
  <c r="AK411" i="24" s="1"/>
  <c r="AG389" i="24"/>
  <c r="AK389" i="24" s="1"/>
  <c r="AL410" i="24"/>
  <c r="AH411" i="24"/>
  <c r="AL411" i="24"/>
  <c r="AM412" i="24"/>
  <c r="AN412" i="24" s="1"/>
  <c r="AO412" i="24" s="1"/>
  <c r="AP412" i="24" s="1"/>
  <c r="AQ412" i="24" s="1"/>
  <c r="F9" i="15"/>
  <c r="J9" i="15"/>
  <c r="AH371" i="24"/>
  <c r="AL371" i="24"/>
  <c r="AL378" i="24"/>
  <c r="AH384" i="24"/>
  <c r="AH386" i="24"/>
  <c r="AH387" i="24"/>
  <c r="AL387" i="24"/>
  <c r="AL389" i="24"/>
  <c r="AG399" i="24"/>
  <c r="AK399" i="24" s="1"/>
  <c r="AH400" i="24"/>
  <c r="AH363" i="24"/>
  <c r="AL363" i="24"/>
  <c r="AL373" i="24"/>
  <c r="AH395" i="24"/>
  <c r="AL395" i="24"/>
  <c r="AG400" i="24"/>
  <c r="AK400" i="24" s="1"/>
  <c r="C9" i="15"/>
  <c r="Z6" i="24"/>
  <c r="Z7" i="24" s="1"/>
  <c r="AG27" i="24"/>
  <c r="AK27" i="24" s="1"/>
  <c r="AL38" i="24"/>
  <c r="AG121" i="24"/>
  <c r="AK121" i="24" s="1"/>
  <c r="N121" i="24"/>
  <c r="AG125" i="24"/>
  <c r="AK125" i="24" s="1"/>
  <c r="N125" i="24"/>
  <c r="AG143" i="24"/>
  <c r="AK143" i="24" s="1"/>
  <c r="N143" i="24"/>
  <c r="AG147" i="24"/>
  <c r="AK147" i="24" s="1"/>
  <c r="N147" i="24"/>
  <c r="AG150" i="24"/>
  <c r="AK150" i="24" s="1"/>
  <c r="AM150" i="24"/>
  <c r="AN150" i="24" s="1"/>
  <c r="AO150" i="24" s="1"/>
  <c r="AP150" i="24" s="1"/>
  <c r="AQ150" i="24" s="1"/>
  <c r="AL150" i="24"/>
  <c r="AH150" i="24"/>
  <c r="AF6" i="24"/>
  <c r="AF7" i="24" s="1"/>
  <c r="F9" i="57" s="1"/>
  <c r="AG16" i="24"/>
  <c r="AK16" i="24" s="1"/>
  <c r="AG20" i="24"/>
  <c r="AK20" i="24" s="1"/>
  <c r="N21" i="24"/>
  <c r="N25" i="24"/>
  <c r="AM26" i="24"/>
  <c r="AN26" i="24" s="1"/>
  <c r="AO26" i="24" s="1"/>
  <c r="AP26" i="24" s="1"/>
  <c r="AQ26" i="24" s="1"/>
  <c r="AL27" i="24"/>
  <c r="N29" i="24"/>
  <c r="AM30" i="24"/>
  <c r="AN30" i="24" s="1"/>
  <c r="AO30" i="24" s="1"/>
  <c r="AP30" i="24" s="1"/>
  <c r="AQ30" i="24" s="1"/>
  <c r="AL31" i="24"/>
  <c r="N33" i="24"/>
  <c r="AG34" i="24"/>
  <c r="AK34" i="24" s="1"/>
  <c r="AL35" i="24"/>
  <c r="AH36" i="24"/>
  <c r="AG38" i="24"/>
  <c r="AK38" i="24" s="1"/>
  <c r="AL39" i="24"/>
  <c r="AH40" i="24"/>
  <c r="AG42" i="24"/>
  <c r="AK42" i="24" s="1"/>
  <c r="AM48" i="24"/>
  <c r="AN48" i="24" s="1"/>
  <c r="AO48" i="24" s="1"/>
  <c r="AP48" i="24" s="1"/>
  <c r="AQ48" i="24" s="1"/>
  <c r="AG53" i="24"/>
  <c r="AK53" i="24" s="1"/>
  <c r="N53" i="24"/>
  <c r="AM54" i="24"/>
  <c r="AN54" i="24" s="1"/>
  <c r="AO54" i="24" s="1"/>
  <c r="AP54" i="24" s="1"/>
  <c r="AQ54" i="24" s="1"/>
  <c r="AG59" i="24"/>
  <c r="AK59" i="24" s="1"/>
  <c r="N59" i="24"/>
  <c r="AG111" i="24"/>
  <c r="AK111" i="24" s="1"/>
  <c r="N111" i="24"/>
  <c r="AG115" i="24"/>
  <c r="AK115" i="24" s="1"/>
  <c r="N115" i="24"/>
  <c r="AG119" i="24"/>
  <c r="AK119" i="24" s="1"/>
  <c r="N119" i="24"/>
  <c r="AG123" i="24"/>
  <c r="AK123" i="24" s="1"/>
  <c r="N123" i="24"/>
  <c r="AG127" i="24"/>
  <c r="AK127" i="24" s="1"/>
  <c r="N127" i="24"/>
  <c r="AG131" i="24"/>
  <c r="AK131" i="24" s="1"/>
  <c r="N131" i="24"/>
  <c r="AG135" i="24"/>
  <c r="AK135" i="24" s="1"/>
  <c r="N135" i="24"/>
  <c r="AG139" i="24"/>
  <c r="AK139" i="24" s="1"/>
  <c r="N139" i="24"/>
  <c r="AG145" i="24"/>
  <c r="AK145" i="24" s="1"/>
  <c r="N145" i="24"/>
  <c r="AG149" i="24"/>
  <c r="AK149" i="24" s="1"/>
  <c r="N149" i="24"/>
  <c r="AG154" i="24"/>
  <c r="AK154" i="24" s="1"/>
  <c r="AM154" i="24"/>
  <c r="AN154" i="24" s="1"/>
  <c r="AO154" i="24" s="1"/>
  <c r="AP154" i="24" s="1"/>
  <c r="AQ154" i="24" s="1"/>
  <c r="AL154" i="24"/>
  <c r="AH154" i="24"/>
  <c r="AG162" i="24"/>
  <c r="AK162" i="24" s="1"/>
  <c r="AM162" i="24"/>
  <c r="AN162" i="24" s="1"/>
  <c r="AO162" i="24" s="1"/>
  <c r="AP162" i="24" s="1"/>
  <c r="AQ162" i="24" s="1"/>
  <c r="AL162" i="24"/>
  <c r="AH162" i="24"/>
  <c r="AG170" i="24"/>
  <c r="AK170" i="24" s="1"/>
  <c r="AM170" i="24"/>
  <c r="AN170" i="24" s="1"/>
  <c r="AO170" i="24" s="1"/>
  <c r="AP170" i="24" s="1"/>
  <c r="AQ170" i="24" s="1"/>
  <c r="AL170" i="24"/>
  <c r="AH170" i="24"/>
  <c r="AG178" i="24"/>
  <c r="AK178" i="24" s="1"/>
  <c r="AM178" i="24"/>
  <c r="AN178" i="24" s="1"/>
  <c r="AO178" i="24" s="1"/>
  <c r="AP178" i="24" s="1"/>
  <c r="AQ178" i="24" s="1"/>
  <c r="AL178" i="24"/>
  <c r="AH178" i="24"/>
  <c r="AG186" i="24"/>
  <c r="AK186" i="24" s="1"/>
  <c r="AM186" i="24"/>
  <c r="AN186" i="24" s="1"/>
  <c r="AO186" i="24" s="1"/>
  <c r="AP186" i="24" s="1"/>
  <c r="AQ186" i="24" s="1"/>
  <c r="AL186" i="24"/>
  <c r="AH186" i="24"/>
  <c r="AG194" i="24"/>
  <c r="AK194" i="24" s="1"/>
  <c r="AM194" i="24"/>
  <c r="AN194" i="24" s="1"/>
  <c r="AO194" i="24" s="1"/>
  <c r="AP194" i="24" s="1"/>
  <c r="AQ194" i="24" s="1"/>
  <c r="AL194" i="24"/>
  <c r="AH194" i="24"/>
  <c r="AG202" i="24"/>
  <c r="AK202" i="24" s="1"/>
  <c r="AM202" i="24"/>
  <c r="AN202" i="24" s="1"/>
  <c r="AO202" i="24" s="1"/>
  <c r="AP202" i="24" s="1"/>
  <c r="AQ202" i="24" s="1"/>
  <c r="AL202" i="24"/>
  <c r="AH202" i="24"/>
  <c r="AG210" i="24"/>
  <c r="AK210" i="24" s="1"/>
  <c r="AM210" i="24"/>
  <c r="AN210" i="24" s="1"/>
  <c r="AO210" i="24" s="1"/>
  <c r="AP210" i="24" s="1"/>
  <c r="AQ210" i="24" s="1"/>
  <c r="AL210" i="24"/>
  <c r="AH210" i="24"/>
  <c r="AH217" i="24"/>
  <c r="AM217" i="24"/>
  <c r="AN217" i="24" s="1"/>
  <c r="AO217" i="24" s="1"/>
  <c r="AP217" i="24" s="1"/>
  <c r="AQ217" i="24" s="1"/>
  <c r="AG217" i="24"/>
  <c r="AK217" i="24" s="1"/>
  <c r="AH393" i="24"/>
  <c r="AM393" i="24"/>
  <c r="AN393" i="24" s="1"/>
  <c r="AO393" i="24" s="1"/>
  <c r="AP393" i="24" s="1"/>
  <c r="AQ393" i="24" s="1"/>
  <c r="AG393" i="24"/>
  <c r="AK393" i="24" s="1"/>
  <c r="AL393" i="24"/>
  <c r="AG41" i="24"/>
  <c r="AK41" i="24" s="1"/>
  <c r="N41" i="24"/>
  <c r="AM62" i="24"/>
  <c r="AN62" i="24" s="1"/>
  <c r="AO62" i="24" s="1"/>
  <c r="AP62" i="24" s="1"/>
  <c r="AQ62" i="24" s="1"/>
  <c r="AG113" i="24"/>
  <c r="AK113" i="24" s="1"/>
  <c r="N113" i="24"/>
  <c r="AG117" i="24"/>
  <c r="AK117" i="24" s="1"/>
  <c r="N117" i="24"/>
  <c r="AG129" i="24"/>
  <c r="AK129" i="24" s="1"/>
  <c r="N129" i="24"/>
  <c r="AG141" i="24"/>
  <c r="AK141" i="24" s="1"/>
  <c r="N141" i="24"/>
  <c r="AG174" i="24"/>
  <c r="AK174" i="24" s="1"/>
  <c r="AM174" i="24"/>
  <c r="AN174" i="24" s="1"/>
  <c r="AO174" i="24" s="1"/>
  <c r="AP174" i="24" s="1"/>
  <c r="AQ174" i="24" s="1"/>
  <c r="AL174" i="24"/>
  <c r="AH174" i="24"/>
  <c r="N13" i="24"/>
  <c r="AH16" i="24"/>
  <c r="N17" i="24"/>
  <c r="AH20" i="24"/>
  <c r="N26" i="24"/>
  <c r="AM27" i="24"/>
  <c r="AN27" i="24" s="1"/>
  <c r="AO27" i="24" s="1"/>
  <c r="AP27" i="24" s="1"/>
  <c r="AQ27" i="24" s="1"/>
  <c r="N30" i="24"/>
  <c r="AM31" i="24"/>
  <c r="AN31" i="24" s="1"/>
  <c r="AO31" i="24" s="1"/>
  <c r="AP31" i="24" s="1"/>
  <c r="AQ31" i="24" s="1"/>
  <c r="AH34" i="24"/>
  <c r="AL36" i="24"/>
  <c r="AM36" i="24"/>
  <c r="AN36" i="24" s="1"/>
  <c r="AO36" i="24" s="1"/>
  <c r="AP36" i="24" s="1"/>
  <c r="AQ36" i="24" s="1"/>
  <c r="AH38" i="24"/>
  <c r="AL40" i="24"/>
  <c r="AM40" i="24"/>
  <c r="AN40" i="24" s="1"/>
  <c r="AO40" i="24" s="1"/>
  <c r="AP40" i="24" s="1"/>
  <c r="AQ40" i="24" s="1"/>
  <c r="AH42" i="24"/>
  <c r="AG47" i="24"/>
  <c r="AK47" i="24" s="1"/>
  <c r="N47" i="24"/>
  <c r="AM52" i="24"/>
  <c r="AN52" i="24" s="1"/>
  <c r="AO52" i="24" s="1"/>
  <c r="AP52" i="24" s="1"/>
  <c r="AQ52" i="24" s="1"/>
  <c r="AG57" i="24"/>
  <c r="AK57" i="24" s="1"/>
  <c r="N57" i="24"/>
  <c r="AM58" i="24"/>
  <c r="AN58" i="24" s="1"/>
  <c r="AO58" i="24" s="1"/>
  <c r="AP58" i="24" s="1"/>
  <c r="AQ58" i="24" s="1"/>
  <c r="AG62" i="24"/>
  <c r="AK62" i="24" s="1"/>
  <c r="AG63" i="24"/>
  <c r="AK63" i="24" s="1"/>
  <c r="N63" i="24"/>
  <c r="AG65" i="24"/>
  <c r="AK65" i="24" s="1"/>
  <c r="N65" i="24"/>
  <c r="AG67" i="24"/>
  <c r="AK67" i="24" s="1"/>
  <c r="N67" i="24"/>
  <c r="AG69" i="24"/>
  <c r="AK69" i="24" s="1"/>
  <c r="N69" i="24"/>
  <c r="AG71" i="24"/>
  <c r="AK71" i="24" s="1"/>
  <c r="N71" i="24"/>
  <c r="AG73" i="24"/>
  <c r="AK73" i="24" s="1"/>
  <c r="N73" i="24"/>
  <c r="AG75" i="24"/>
  <c r="AK75" i="24" s="1"/>
  <c r="N75" i="24"/>
  <c r="AG77" i="24"/>
  <c r="AK77" i="24" s="1"/>
  <c r="N77" i="24"/>
  <c r="AG79" i="24"/>
  <c r="AK79" i="24" s="1"/>
  <c r="N79" i="24"/>
  <c r="AG81" i="24"/>
  <c r="AK81" i="24" s="1"/>
  <c r="N81" i="24"/>
  <c r="AG83" i="24"/>
  <c r="AK83" i="24" s="1"/>
  <c r="N83" i="24"/>
  <c r="AG85" i="24"/>
  <c r="AK85" i="24" s="1"/>
  <c r="N85" i="24"/>
  <c r="AG87" i="24"/>
  <c r="AK87" i="24" s="1"/>
  <c r="N87" i="24"/>
  <c r="AG89" i="24"/>
  <c r="AK89" i="24" s="1"/>
  <c r="N89" i="24"/>
  <c r="AG91" i="24"/>
  <c r="AK91" i="24" s="1"/>
  <c r="N91" i="24"/>
  <c r="AG93" i="24"/>
  <c r="AK93" i="24" s="1"/>
  <c r="N93" i="24"/>
  <c r="AG95" i="24"/>
  <c r="AK95" i="24" s="1"/>
  <c r="N95" i="24"/>
  <c r="AG97" i="24"/>
  <c r="AK97" i="24" s="1"/>
  <c r="N97" i="24"/>
  <c r="AG99" i="24"/>
  <c r="AK99" i="24" s="1"/>
  <c r="N99" i="24"/>
  <c r="AG101" i="24"/>
  <c r="AK101" i="24" s="1"/>
  <c r="N101" i="24"/>
  <c r="AG103" i="24"/>
  <c r="AK103" i="24" s="1"/>
  <c r="N103" i="24"/>
  <c r="AG105" i="24"/>
  <c r="AK105" i="24" s="1"/>
  <c r="N105" i="24"/>
  <c r="AG107" i="24"/>
  <c r="AK107" i="24" s="1"/>
  <c r="N107" i="24"/>
  <c r="AG110" i="24"/>
  <c r="AK110" i="24" s="1"/>
  <c r="N110" i="24"/>
  <c r="AG114" i="24"/>
  <c r="AK114" i="24" s="1"/>
  <c r="N114" i="24"/>
  <c r="AG118" i="24"/>
  <c r="AK118" i="24" s="1"/>
  <c r="N118" i="24"/>
  <c r="AG122" i="24"/>
  <c r="AK122" i="24" s="1"/>
  <c r="N122" i="24"/>
  <c r="AG126" i="24"/>
  <c r="AK126" i="24" s="1"/>
  <c r="N126" i="24"/>
  <c r="AG130" i="24"/>
  <c r="AK130" i="24" s="1"/>
  <c r="N130" i="24"/>
  <c r="AG134" i="24"/>
  <c r="AK134" i="24" s="1"/>
  <c r="N134" i="24"/>
  <c r="AG138" i="24"/>
  <c r="AK138" i="24" s="1"/>
  <c r="N138" i="24"/>
  <c r="AG142" i="24"/>
  <c r="AK142" i="24" s="1"/>
  <c r="N142" i="24"/>
  <c r="AG146" i="24"/>
  <c r="AK146" i="24" s="1"/>
  <c r="N146" i="24"/>
  <c r="AG214" i="24"/>
  <c r="AK214" i="24" s="1"/>
  <c r="AM214" i="24"/>
  <c r="AN214" i="24" s="1"/>
  <c r="AO214" i="24" s="1"/>
  <c r="AP214" i="24" s="1"/>
  <c r="AQ214" i="24" s="1"/>
  <c r="AG230" i="24"/>
  <c r="AK230" i="24" s="1"/>
  <c r="AM230" i="24"/>
  <c r="AN230" i="24" s="1"/>
  <c r="AO230" i="24" s="1"/>
  <c r="AP230" i="24" s="1"/>
  <c r="AQ230" i="24" s="1"/>
  <c r="AL230" i="24"/>
  <c r="AH230" i="24"/>
  <c r="AM240" i="24"/>
  <c r="AN240" i="24" s="1"/>
  <c r="AO240" i="24" s="1"/>
  <c r="AP240" i="24" s="1"/>
  <c r="AQ240" i="24" s="1"/>
  <c r="AL240" i="24"/>
  <c r="AG240" i="24"/>
  <c r="AK240" i="24" s="1"/>
  <c r="AH240" i="24"/>
  <c r="AG262" i="24"/>
  <c r="AK262" i="24" s="1"/>
  <c r="AM262" i="24"/>
  <c r="AN262" i="24" s="1"/>
  <c r="AO262" i="24" s="1"/>
  <c r="AP262" i="24" s="1"/>
  <c r="AQ262" i="24" s="1"/>
  <c r="AL262" i="24"/>
  <c r="AH262" i="24"/>
  <c r="AM272" i="24"/>
  <c r="AN272" i="24" s="1"/>
  <c r="AO272" i="24" s="1"/>
  <c r="AP272" i="24" s="1"/>
  <c r="AQ272" i="24" s="1"/>
  <c r="AL272" i="24"/>
  <c r="AG272" i="24"/>
  <c r="AK272" i="24" s="1"/>
  <c r="AH272" i="24"/>
  <c r="AG294" i="24"/>
  <c r="AK294" i="24" s="1"/>
  <c r="AM294" i="24"/>
  <c r="AN294" i="24" s="1"/>
  <c r="AO294" i="24" s="1"/>
  <c r="AP294" i="24" s="1"/>
  <c r="AQ294" i="24" s="1"/>
  <c r="AL294" i="24"/>
  <c r="AH294" i="24"/>
  <c r="AM304" i="24"/>
  <c r="AN304" i="24" s="1"/>
  <c r="AO304" i="24" s="1"/>
  <c r="AP304" i="24" s="1"/>
  <c r="AQ304" i="24" s="1"/>
  <c r="AL304" i="24"/>
  <c r="AG304" i="24"/>
  <c r="AK304" i="24" s="1"/>
  <c r="AH304" i="24"/>
  <c r="AG326" i="24"/>
  <c r="AK326" i="24" s="1"/>
  <c r="AM326" i="24"/>
  <c r="AN326" i="24" s="1"/>
  <c r="AO326" i="24" s="1"/>
  <c r="AP326" i="24" s="1"/>
  <c r="AQ326" i="24" s="1"/>
  <c r="AL326" i="24"/>
  <c r="AH326" i="24"/>
  <c r="AM336" i="24"/>
  <c r="AN336" i="24" s="1"/>
  <c r="AO336" i="24" s="1"/>
  <c r="AP336" i="24" s="1"/>
  <c r="AQ336" i="24" s="1"/>
  <c r="AL336" i="24"/>
  <c r="AG336" i="24"/>
  <c r="AK336" i="24" s="1"/>
  <c r="AH336" i="24"/>
  <c r="AH343" i="24"/>
  <c r="AM343" i="24"/>
  <c r="AN343" i="24" s="1"/>
  <c r="AO343" i="24" s="1"/>
  <c r="AP343" i="24" s="1"/>
  <c r="AQ343" i="24" s="1"/>
  <c r="AL343" i="24"/>
  <c r="AG382" i="24"/>
  <c r="AK382" i="24" s="1"/>
  <c r="AM382" i="24"/>
  <c r="AN382" i="24" s="1"/>
  <c r="AO382" i="24" s="1"/>
  <c r="AP382" i="24" s="1"/>
  <c r="AQ382" i="24" s="1"/>
  <c r="AH382" i="24"/>
  <c r="AL382" i="24"/>
  <c r="AG37" i="24"/>
  <c r="AK37" i="24" s="1"/>
  <c r="N37" i="24"/>
  <c r="AG45" i="24"/>
  <c r="AK45" i="24" s="1"/>
  <c r="N45" i="24"/>
  <c r="AM46" i="24"/>
  <c r="AN46" i="24" s="1"/>
  <c r="AO46" i="24" s="1"/>
  <c r="AP46" i="24" s="1"/>
  <c r="AQ46" i="24" s="1"/>
  <c r="AG51" i="24"/>
  <c r="AK51" i="24" s="1"/>
  <c r="N51" i="24"/>
  <c r="AM56" i="24"/>
  <c r="AN56" i="24" s="1"/>
  <c r="AO56" i="24" s="1"/>
  <c r="AP56" i="24" s="1"/>
  <c r="AQ56" i="24" s="1"/>
  <c r="AG61" i="24"/>
  <c r="AK61" i="24" s="1"/>
  <c r="N61" i="24"/>
  <c r="AG109" i="24"/>
  <c r="AK109" i="24" s="1"/>
  <c r="N109" i="24"/>
  <c r="AG133" i="24"/>
  <c r="AK133" i="24" s="1"/>
  <c r="N133" i="24"/>
  <c r="AG137" i="24"/>
  <c r="AK137" i="24" s="1"/>
  <c r="N137" i="24"/>
  <c r="AG158" i="24"/>
  <c r="AK158" i="24" s="1"/>
  <c r="AM158" i="24"/>
  <c r="AN158" i="24" s="1"/>
  <c r="AO158" i="24" s="1"/>
  <c r="AP158" i="24" s="1"/>
  <c r="AQ158" i="24" s="1"/>
  <c r="AL158" i="24"/>
  <c r="AH158" i="24"/>
  <c r="AG166" i="24"/>
  <c r="AK166" i="24" s="1"/>
  <c r="AM166" i="24"/>
  <c r="AN166" i="24" s="1"/>
  <c r="AO166" i="24" s="1"/>
  <c r="AP166" i="24" s="1"/>
  <c r="AQ166" i="24" s="1"/>
  <c r="AL166" i="24"/>
  <c r="AH166" i="24"/>
  <c r="AG182" i="24"/>
  <c r="AK182" i="24" s="1"/>
  <c r="AM182" i="24"/>
  <c r="AN182" i="24" s="1"/>
  <c r="AO182" i="24" s="1"/>
  <c r="AP182" i="24" s="1"/>
  <c r="AQ182" i="24" s="1"/>
  <c r="AL182" i="24"/>
  <c r="AH182" i="24"/>
  <c r="AG190" i="24"/>
  <c r="AK190" i="24" s="1"/>
  <c r="AM190" i="24"/>
  <c r="AN190" i="24" s="1"/>
  <c r="AO190" i="24" s="1"/>
  <c r="AP190" i="24" s="1"/>
  <c r="AQ190" i="24" s="1"/>
  <c r="AL190" i="24"/>
  <c r="AH190" i="24"/>
  <c r="AG198" i="24"/>
  <c r="AK198" i="24" s="1"/>
  <c r="AM198" i="24"/>
  <c r="AN198" i="24" s="1"/>
  <c r="AO198" i="24" s="1"/>
  <c r="AP198" i="24" s="1"/>
  <c r="AQ198" i="24" s="1"/>
  <c r="AL198" i="24"/>
  <c r="AH198" i="24"/>
  <c r="AG206" i="24"/>
  <c r="AK206" i="24" s="1"/>
  <c r="AM206" i="24"/>
  <c r="AN206" i="24" s="1"/>
  <c r="AO206" i="24" s="1"/>
  <c r="AP206" i="24" s="1"/>
  <c r="AQ206" i="24" s="1"/>
  <c r="AL206" i="24"/>
  <c r="AH206" i="24"/>
  <c r="AM15" i="24"/>
  <c r="AN15" i="24" s="1"/>
  <c r="AO15" i="24" s="1"/>
  <c r="AP15" i="24" s="1"/>
  <c r="AQ15" i="24" s="1"/>
  <c r="AM19" i="24"/>
  <c r="AN19" i="24" s="1"/>
  <c r="AO19" i="24" s="1"/>
  <c r="AP19" i="24" s="1"/>
  <c r="AQ19" i="24" s="1"/>
  <c r="AM23" i="24"/>
  <c r="AN23" i="24" s="1"/>
  <c r="AO23" i="24" s="1"/>
  <c r="AP23" i="24" s="1"/>
  <c r="AQ23" i="24" s="1"/>
  <c r="N24" i="24"/>
  <c r="N28" i="24"/>
  <c r="N32" i="24"/>
  <c r="AH35" i="24"/>
  <c r="AM35" i="24"/>
  <c r="AN35" i="24" s="1"/>
  <c r="AO35" i="24" s="1"/>
  <c r="AP35" i="24" s="1"/>
  <c r="AQ35" i="24" s="1"/>
  <c r="AG36" i="24"/>
  <c r="AK36" i="24" s="1"/>
  <c r="AH39" i="24"/>
  <c r="AM39" i="24"/>
  <c r="AN39" i="24" s="1"/>
  <c r="AO39" i="24" s="1"/>
  <c r="AP39" i="24" s="1"/>
  <c r="AQ39" i="24" s="1"/>
  <c r="AG40" i="24"/>
  <c r="AK40" i="24" s="1"/>
  <c r="AM44" i="24"/>
  <c r="AN44" i="24" s="1"/>
  <c r="AO44" i="24" s="1"/>
  <c r="AP44" i="24" s="1"/>
  <c r="AQ44" i="24" s="1"/>
  <c r="AH46" i="24"/>
  <c r="AL46" i="24"/>
  <c r="AG48" i="24"/>
  <c r="AK48" i="24" s="1"/>
  <c r="AG49" i="24"/>
  <c r="AK49" i="24" s="1"/>
  <c r="N49" i="24"/>
  <c r="AM50" i="24"/>
  <c r="AN50" i="24" s="1"/>
  <c r="AO50" i="24" s="1"/>
  <c r="AP50" i="24" s="1"/>
  <c r="AQ50" i="24" s="1"/>
  <c r="AG54" i="24"/>
  <c r="AK54" i="24" s="1"/>
  <c r="AG55" i="24"/>
  <c r="AK55" i="24" s="1"/>
  <c r="N55" i="24"/>
  <c r="AH56" i="24"/>
  <c r="AL56" i="24"/>
  <c r="AM60" i="24"/>
  <c r="AN60" i="24" s="1"/>
  <c r="AO60" i="24" s="1"/>
  <c r="AP60" i="24" s="1"/>
  <c r="AQ60" i="24" s="1"/>
  <c r="AH62" i="24"/>
  <c r="AL62" i="24"/>
  <c r="AG64" i="24"/>
  <c r="AK64" i="24" s="1"/>
  <c r="N64" i="24"/>
  <c r="AG66" i="24"/>
  <c r="AK66" i="24" s="1"/>
  <c r="N66" i="24"/>
  <c r="AG68" i="24"/>
  <c r="AK68" i="24" s="1"/>
  <c r="N68" i="24"/>
  <c r="AG70" i="24"/>
  <c r="AK70" i="24" s="1"/>
  <c r="N70" i="24"/>
  <c r="AG72" i="24"/>
  <c r="AK72" i="24" s="1"/>
  <c r="N72" i="24"/>
  <c r="AG74" i="24"/>
  <c r="AK74" i="24" s="1"/>
  <c r="N74" i="24"/>
  <c r="AG76" i="24"/>
  <c r="AK76" i="24" s="1"/>
  <c r="N76" i="24"/>
  <c r="AG78" i="24"/>
  <c r="AK78" i="24" s="1"/>
  <c r="N78" i="24"/>
  <c r="AG80" i="24"/>
  <c r="AK80" i="24" s="1"/>
  <c r="N80" i="24"/>
  <c r="AG82" i="24"/>
  <c r="AK82" i="24" s="1"/>
  <c r="N82" i="24"/>
  <c r="AG84" i="24"/>
  <c r="AK84" i="24" s="1"/>
  <c r="N84" i="24"/>
  <c r="AG86" i="24"/>
  <c r="AK86" i="24" s="1"/>
  <c r="N86" i="24"/>
  <c r="AG88" i="24"/>
  <c r="AK88" i="24" s="1"/>
  <c r="N88" i="24"/>
  <c r="AG90" i="24"/>
  <c r="AK90" i="24" s="1"/>
  <c r="N90" i="24"/>
  <c r="AG92" i="24"/>
  <c r="AK92" i="24" s="1"/>
  <c r="N92" i="24"/>
  <c r="AG94" i="24"/>
  <c r="AK94" i="24" s="1"/>
  <c r="N94" i="24"/>
  <c r="AG96" i="24"/>
  <c r="AK96" i="24" s="1"/>
  <c r="N96" i="24"/>
  <c r="AG98" i="24"/>
  <c r="AK98" i="24" s="1"/>
  <c r="N98" i="24"/>
  <c r="AG100" i="24"/>
  <c r="AK100" i="24" s="1"/>
  <c r="N100" i="24"/>
  <c r="AG102" i="24"/>
  <c r="AK102" i="24" s="1"/>
  <c r="N102" i="24"/>
  <c r="AG104" i="24"/>
  <c r="AK104" i="24" s="1"/>
  <c r="N104" i="24"/>
  <c r="AG106" i="24"/>
  <c r="AK106" i="24" s="1"/>
  <c r="N106" i="24"/>
  <c r="AG108" i="24"/>
  <c r="AK108" i="24" s="1"/>
  <c r="N108" i="24"/>
  <c r="AG112" i="24"/>
  <c r="AK112" i="24" s="1"/>
  <c r="N112" i="24"/>
  <c r="AG116" i="24"/>
  <c r="AK116" i="24" s="1"/>
  <c r="N116" i="24"/>
  <c r="AG120" i="24"/>
  <c r="AK120" i="24" s="1"/>
  <c r="N120" i="24"/>
  <c r="AG124" i="24"/>
  <c r="AK124" i="24" s="1"/>
  <c r="N124" i="24"/>
  <c r="AG128" i="24"/>
  <c r="AK128" i="24" s="1"/>
  <c r="N128" i="24"/>
  <c r="AG132" i="24"/>
  <c r="AK132" i="24" s="1"/>
  <c r="N132" i="24"/>
  <c r="AG136" i="24"/>
  <c r="AK136" i="24" s="1"/>
  <c r="N136" i="24"/>
  <c r="AG140" i="24"/>
  <c r="AK140" i="24" s="1"/>
  <c r="N140" i="24"/>
  <c r="AG144" i="24"/>
  <c r="AK144" i="24" s="1"/>
  <c r="N144" i="24"/>
  <c r="AG148" i="24"/>
  <c r="AK148" i="24" s="1"/>
  <c r="N148" i="24"/>
  <c r="AL217" i="24"/>
  <c r="AM220" i="24"/>
  <c r="AN220" i="24" s="1"/>
  <c r="AO220" i="24" s="1"/>
  <c r="AP220" i="24" s="1"/>
  <c r="AQ220" i="24" s="1"/>
  <c r="AL220" i="24"/>
  <c r="AH220" i="24"/>
  <c r="AG220" i="24"/>
  <c r="AK220" i="24" s="1"/>
  <c r="AG246" i="24"/>
  <c r="AK246" i="24" s="1"/>
  <c r="AM246" i="24"/>
  <c r="AN246" i="24" s="1"/>
  <c r="AO246" i="24" s="1"/>
  <c r="AP246" i="24" s="1"/>
  <c r="AQ246" i="24" s="1"/>
  <c r="AL246" i="24"/>
  <c r="AH246" i="24"/>
  <c r="AM256" i="24"/>
  <c r="AN256" i="24" s="1"/>
  <c r="AO256" i="24" s="1"/>
  <c r="AP256" i="24" s="1"/>
  <c r="AQ256" i="24" s="1"/>
  <c r="AL256" i="24"/>
  <c r="AG256" i="24"/>
  <c r="AK256" i="24" s="1"/>
  <c r="AH256" i="24"/>
  <c r="AG278" i="24"/>
  <c r="AK278" i="24" s="1"/>
  <c r="AM278" i="24"/>
  <c r="AN278" i="24" s="1"/>
  <c r="AO278" i="24" s="1"/>
  <c r="AP278" i="24" s="1"/>
  <c r="AQ278" i="24" s="1"/>
  <c r="AL278" i="24"/>
  <c r="AH278" i="24"/>
  <c r="AM288" i="24"/>
  <c r="AN288" i="24" s="1"/>
  <c r="AO288" i="24" s="1"/>
  <c r="AP288" i="24" s="1"/>
  <c r="AQ288" i="24" s="1"/>
  <c r="AL288" i="24"/>
  <c r="AG288" i="24"/>
  <c r="AK288" i="24" s="1"/>
  <c r="AH288" i="24"/>
  <c r="AG310" i="24"/>
  <c r="AK310" i="24" s="1"/>
  <c r="AM310" i="24"/>
  <c r="AN310" i="24" s="1"/>
  <c r="AO310" i="24" s="1"/>
  <c r="AP310" i="24" s="1"/>
  <c r="AQ310" i="24" s="1"/>
  <c r="AL310" i="24"/>
  <c r="AH310" i="24"/>
  <c r="AM320" i="24"/>
  <c r="AN320" i="24" s="1"/>
  <c r="AO320" i="24" s="1"/>
  <c r="AP320" i="24" s="1"/>
  <c r="AQ320" i="24" s="1"/>
  <c r="AL320" i="24"/>
  <c r="AG320" i="24"/>
  <c r="AK320" i="24" s="1"/>
  <c r="AH320" i="24"/>
  <c r="AM380" i="24"/>
  <c r="AN380" i="24" s="1"/>
  <c r="AO380" i="24" s="1"/>
  <c r="AP380" i="24" s="1"/>
  <c r="AQ380" i="24" s="1"/>
  <c r="AL380" i="24"/>
  <c r="AH380" i="24"/>
  <c r="AG380" i="24"/>
  <c r="AK380" i="24" s="1"/>
  <c r="AG398" i="24"/>
  <c r="AK398" i="24" s="1"/>
  <c r="AH398" i="24"/>
  <c r="AL398" i="24"/>
  <c r="AM398" i="24"/>
  <c r="AN398" i="24" s="1"/>
  <c r="AO398" i="24" s="1"/>
  <c r="AP398" i="24" s="1"/>
  <c r="AQ398" i="24" s="1"/>
  <c r="AM212" i="24"/>
  <c r="AN212" i="24" s="1"/>
  <c r="AO212" i="24" s="1"/>
  <c r="AP212" i="24" s="1"/>
  <c r="AQ212" i="24" s="1"/>
  <c r="AL212" i="24"/>
  <c r="AG222" i="24"/>
  <c r="AK222" i="24" s="1"/>
  <c r="AH225" i="24"/>
  <c r="AM232" i="24"/>
  <c r="AN232" i="24" s="1"/>
  <c r="AO232" i="24" s="1"/>
  <c r="AP232" i="24" s="1"/>
  <c r="AQ232" i="24" s="1"/>
  <c r="AL232" i="24"/>
  <c r="AG232" i="24"/>
  <c r="AK232" i="24" s="1"/>
  <c r="AG238" i="24"/>
  <c r="AK238" i="24" s="1"/>
  <c r="AM238" i="24"/>
  <c r="AN238" i="24" s="1"/>
  <c r="AO238" i="24" s="1"/>
  <c r="AP238" i="24" s="1"/>
  <c r="AQ238" i="24" s="1"/>
  <c r="AL238" i="24"/>
  <c r="AM248" i="24"/>
  <c r="AN248" i="24" s="1"/>
  <c r="AO248" i="24" s="1"/>
  <c r="AP248" i="24" s="1"/>
  <c r="AQ248" i="24" s="1"/>
  <c r="AL248" i="24"/>
  <c r="AG248" i="24"/>
  <c r="AK248" i="24" s="1"/>
  <c r="AG254" i="24"/>
  <c r="AK254" i="24" s="1"/>
  <c r="AM254" i="24"/>
  <c r="AN254" i="24" s="1"/>
  <c r="AO254" i="24" s="1"/>
  <c r="AP254" i="24" s="1"/>
  <c r="AQ254" i="24" s="1"/>
  <c r="AL254" i="24"/>
  <c r="AM264" i="24"/>
  <c r="AN264" i="24" s="1"/>
  <c r="AO264" i="24" s="1"/>
  <c r="AP264" i="24" s="1"/>
  <c r="AQ264" i="24" s="1"/>
  <c r="AL264" i="24"/>
  <c r="AG264" i="24"/>
  <c r="AK264" i="24" s="1"/>
  <c r="AG270" i="24"/>
  <c r="AK270" i="24" s="1"/>
  <c r="AM270" i="24"/>
  <c r="AN270" i="24" s="1"/>
  <c r="AO270" i="24" s="1"/>
  <c r="AP270" i="24" s="1"/>
  <c r="AQ270" i="24" s="1"/>
  <c r="AL270" i="24"/>
  <c r="AM280" i="24"/>
  <c r="AN280" i="24" s="1"/>
  <c r="AO280" i="24" s="1"/>
  <c r="AP280" i="24" s="1"/>
  <c r="AQ280" i="24" s="1"/>
  <c r="AL280" i="24"/>
  <c r="AG280" i="24"/>
  <c r="AK280" i="24" s="1"/>
  <c r="AG286" i="24"/>
  <c r="AK286" i="24" s="1"/>
  <c r="AM286" i="24"/>
  <c r="AN286" i="24" s="1"/>
  <c r="AO286" i="24" s="1"/>
  <c r="AP286" i="24" s="1"/>
  <c r="AQ286" i="24" s="1"/>
  <c r="AL286" i="24"/>
  <c r="AM296" i="24"/>
  <c r="AN296" i="24" s="1"/>
  <c r="AO296" i="24" s="1"/>
  <c r="AP296" i="24" s="1"/>
  <c r="AQ296" i="24" s="1"/>
  <c r="AL296" i="24"/>
  <c r="AG296" i="24"/>
  <c r="AK296" i="24" s="1"/>
  <c r="AG302" i="24"/>
  <c r="AK302" i="24" s="1"/>
  <c r="AM302" i="24"/>
  <c r="AN302" i="24" s="1"/>
  <c r="AO302" i="24" s="1"/>
  <c r="AP302" i="24" s="1"/>
  <c r="AQ302" i="24" s="1"/>
  <c r="AL302" i="24"/>
  <c r="AM312" i="24"/>
  <c r="AN312" i="24" s="1"/>
  <c r="AO312" i="24" s="1"/>
  <c r="AP312" i="24" s="1"/>
  <c r="AQ312" i="24" s="1"/>
  <c r="AL312" i="24"/>
  <c r="AG312" i="24"/>
  <c r="AK312" i="24" s="1"/>
  <c r="AG318" i="24"/>
  <c r="AK318" i="24" s="1"/>
  <c r="AM318" i="24"/>
  <c r="AN318" i="24" s="1"/>
  <c r="AO318" i="24" s="1"/>
  <c r="AP318" i="24" s="1"/>
  <c r="AQ318" i="24" s="1"/>
  <c r="AL318" i="24"/>
  <c r="AM328" i="24"/>
  <c r="AN328" i="24" s="1"/>
  <c r="AO328" i="24" s="1"/>
  <c r="AP328" i="24" s="1"/>
  <c r="AQ328" i="24" s="1"/>
  <c r="AL328" i="24"/>
  <c r="AG328" i="24"/>
  <c r="AK328" i="24" s="1"/>
  <c r="AG334" i="24"/>
  <c r="AK334" i="24" s="1"/>
  <c r="AM334" i="24"/>
  <c r="AN334" i="24" s="1"/>
  <c r="AO334" i="24" s="1"/>
  <c r="AP334" i="24" s="1"/>
  <c r="AQ334" i="24" s="1"/>
  <c r="AL334" i="24"/>
  <c r="AG358" i="24"/>
  <c r="AK358" i="24" s="1"/>
  <c r="AM358" i="24"/>
  <c r="AN358" i="24" s="1"/>
  <c r="AO358" i="24" s="1"/>
  <c r="AP358" i="24" s="1"/>
  <c r="AQ358" i="24" s="1"/>
  <c r="AH358" i="24"/>
  <c r="AH151" i="24"/>
  <c r="AG152" i="24"/>
  <c r="AK152" i="24" s="1"/>
  <c r="AH155" i="24"/>
  <c r="AG156" i="24"/>
  <c r="AK156" i="24" s="1"/>
  <c r="AH159" i="24"/>
  <c r="AG160" i="24"/>
  <c r="AK160" i="24" s="1"/>
  <c r="AH163" i="24"/>
  <c r="AG164" i="24"/>
  <c r="AK164" i="24" s="1"/>
  <c r="AH167" i="24"/>
  <c r="AG168" i="24"/>
  <c r="AK168" i="24" s="1"/>
  <c r="AH171" i="24"/>
  <c r="AG172" i="24"/>
  <c r="AK172" i="24" s="1"/>
  <c r="AH175" i="24"/>
  <c r="AG176" i="24"/>
  <c r="AK176" i="24" s="1"/>
  <c r="AH179" i="24"/>
  <c r="AG180" i="24"/>
  <c r="AK180" i="24" s="1"/>
  <c r="AH183" i="24"/>
  <c r="AG184" i="24"/>
  <c r="AK184" i="24" s="1"/>
  <c r="AH187" i="24"/>
  <c r="AG188" i="24"/>
  <c r="AK188" i="24" s="1"/>
  <c r="AH191" i="24"/>
  <c r="AG192" i="24"/>
  <c r="AK192" i="24" s="1"/>
  <c r="AH195" i="24"/>
  <c r="AG196" i="24"/>
  <c r="AK196" i="24" s="1"/>
  <c r="AH199" i="24"/>
  <c r="AG200" i="24"/>
  <c r="AK200" i="24" s="1"/>
  <c r="AH203" i="24"/>
  <c r="AG204" i="24"/>
  <c r="AK204" i="24" s="1"/>
  <c r="AH207" i="24"/>
  <c r="AG208" i="24"/>
  <c r="AK208" i="24" s="1"/>
  <c r="AH212" i="24"/>
  <c r="AG218" i="24"/>
  <c r="AK218" i="24" s="1"/>
  <c r="AH221" i="24"/>
  <c r="AM224" i="24"/>
  <c r="AN224" i="24" s="1"/>
  <c r="AO224" i="24" s="1"/>
  <c r="AP224" i="24" s="1"/>
  <c r="AQ224" i="24" s="1"/>
  <c r="AL224" i="24"/>
  <c r="AM228" i="24"/>
  <c r="AN228" i="24" s="1"/>
  <c r="AO228" i="24" s="1"/>
  <c r="AP228" i="24" s="1"/>
  <c r="AQ228" i="24" s="1"/>
  <c r="AL228" i="24"/>
  <c r="AG228" i="24"/>
  <c r="AK228" i="24" s="1"/>
  <c r="AG234" i="24"/>
  <c r="AK234" i="24" s="1"/>
  <c r="AM234" i="24"/>
  <c r="AN234" i="24" s="1"/>
  <c r="AO234" i="24" s="1"/>
  <c r="AP234" i="24" s="1"/>
  <c r="AQ234" i="24" s="1"/>
  <c r="AL234" i="24"/>
  <c r="AM244" i="24"/>
  <c r="AN244" i="24" s="1"/>
  <c r="AO244" i="24" s="1"/>
  <c r="AP244" i="24" s="1"/>
  <c r="AQ244" i="24" s="1"/>
  <c r="AL244" i="24"/>
  <c r="AG244" i="24"/>
  <c r="AK244" i="24" s="1"/>
  <c r="AG250" i="24"/>
  <c r="AK250" i="24" s="1"/>
  <c r="AM250" i="24"/>
  <c r="AN250" i="24" s="1"/>
  <c r="AO250" i="24" s="1"/>
  <c r="AP250" i="24" s="1"/>
  <c r="AQ250" i="24" s="1"/>
  <c r="AL250" i="24"/>
  <c r="AM260" i="24"/>
  <c r="AN260" i="24" s="1"/>
  <c r="AO260" i="24" s="1"/>
  <c r="AP260" i="24" s="1"/>
  <c r="AQ260" i="24" s="1"/>
  <c r="AL260" i="24"/>
  <c r="AG260" i="24"/>
  <c r="AK260" i="24" s="1"/>
  <c r="AG266" i="24"/>
  <c r="AK266" i="24" s="1"/>
  <c r="AM266" i="24"/>
  <c r="AN266" i="24" s="1"/>
  <c r="AO266" i="24" s="1"/>
  <c r="AP266" i="24" s="1"/>
  <c r="AQ266" i="24" s="1"/>
  <c r="AL266" i="24"/>
  <c r="AM276" i="24"/>
  <c r="AN276" i="24" s="1"/>
  <c r="AO276" i="24" s="1"/>
  <c r="AP276" i="24" s="1"/>
  <c r="AQ276" i="24" s="1"/>
  <c r="AL276" i="24"/>
  <c r="AG276" i="24"/>
  <c r="AK276" i="24" s="1"/>
  <c r="AG282" i="24"/>
  <c r="AK282" i="24" s="1"/>
  <c r="AM282" i="24"/>
  <c r="AN282" i="24" s="1"/>
  <c r="AO282" i="24" s="1"/>
  <c r="AP282" i="24" s="1"/>
  <c r="AQ282" i="24" s="1"/>
  <c r="AL282" i="24"/>
  <c r="AM292" i="24"/>
  <c r="AN292" i="24" s="1"/>
  <c r="AO292" i="24" s="1"/>
  <c r="AP292" i="24" s="1"/>
  <c r="AQ292" i="24" s="1"/>
  <c r="AL292" i="24"/>
  <c r="AG292" i="24"/>
  <c r="AK292" i="24" s="1"/>
  <c r="AG298" i="24"/>
  <c r="AK298" i="24" s="1"/>
  <c r="AM298" i="24"/>
  <c r="AN298" i="24" s="1"/>
  <c r="AO298" i="24" s="1"/>
  <c r="AP298" i="24" s="1"/>
  <c r="AQ298" i="24" s="1"/>
  <c r="AL298" i="24"/>
  <c r="AM308" i="24"/>
  <c r="AN308" i="24" s="1"/>
  <c r="AO308" i="24" s="1"/>
  <c r="AP308" i="24" s="1"/>
  <c r="AQ308" i="24" s="1"/>
  <c r="AL308" i="24"/>
  <c r="AG308" i="24"/>
  <c r="AK308" i="24" s="1"/>
  <c r="AG314" i="24"/>
  <c r="AK314" i="24" s="1"/>
  <c r="AM314" i="24"/>
  <c r="AN314" i="24" s="1"/>
  <c r="AO314" i="24" s="1"/>
  <c r="AP314" i="24" s="1"/>
  <c r="AQ314" i="24" s="1"/>
  <c r="AL314" i="24"/>
  <c r="AM324" i="24"/>
  <c r="AN324" i="24" s="1"/>
  <c r="AO324" i="24" s="1"/>
  <c r="AP324" i="24" s="1"/>
  <c r="AQ324" i="24" s="1"/>
  <c r="AL324" i="24"/>
  <c r="AG324" i="24"/>
  <c r="AK324" i="24" s="1"/>
  <c r="AG330" i="24"/>
  <c r="AK330" i="24" s="1"/>
  <c r="AM330" i="24"/>
  <c r="AN330" i="24" s="1"/>
  <c r="AO330" i="24" s="1"/>
  <c r="AP330" i="24" s="1"/>
  <c r="AQ330" i="24" s="1"/>
  <c r="AL330" i="24"/>
  <c r="AM340" i="24"/>
  <c r="AN340" i="24" s="1"/>
  <c r="AO340" i="24" s="1"/>
  <c r="AP340" i="24" s="1"/>
  <c r="AQ340" i="24" s="1"/>
  <c r="AL340" i="24"/>
  <c r="AG340" i="24"/>
  <c r="AK340" i="24" s="1"/>
  <c r="AM348" i="24"/>
  <c r="AN348" i="24" s="1"/>
  <c r="AO348" i="24" s="1"/>
  <c r="AP348" i="24" s="1"/>
  <c r="AQ348" i="24" s="1"/>
  <c r="AL348" i="24"/>
  <c r="AG348" i="24"/>
  <c r="AK348" i="24" s="1"/>
  <c r="AH348" i="24"/>
  <c r="AG350" i="24"/>
  <c r="AK350" i="24" s="1"/>
  <c r="AM350" i="24"/>
  <c r="AN350" i="24" s="1"/>
  <c r="AO350" i="24" s="1"/>
  <c r="AP350" i="24" s="1"/>
  <c r="AQ350" i="24" s="1"/>
  <c r="AL350" i="24"/>
  <c r="AH350" i="24"/>
  <c r="AM372" i="24"/>
  <c r="AN372" i="24" s="1"/>
  <c r="AO372" i="24" s="1"/>
  <c r="AP372" i="24" s="1"/>
  <c r="AQ372" i="24" s="1"/>
  <c r="AL372" i="24"/>
  <c r="AG372" i="24"/>
  <c r="AK372" i="24" s="1"/>
  <c r="AH372" i="24"/>
  <c r="AH385" i="24"/>
  <c r="AM385" i="24"/>
  <c r="AN385" i="24" s="1"/>
  <c r="AO385" i="24" s="1"/>
  <c r="AP385" i="24" s="1"/>
  <c r="AQ385" i="24" s="1"/>
  <c r="AL152" i="24"/>
  <c r="AM152" i="24"/>
  <c r="AN152" i="24" s="1"/>
  <c r="AO152" i="24" s="1"/>
  <c r="AP152" i="24" s="1"/>
  <c r="AQ152" i="24" s="1"/>
  <c r="AL156" i="24"/>
  <c r="AM156" i="24"/>
  <c r="AN156" i="24" s="1"/>
  <c r="AO156" i="24" s="1"/>
  <c r="AP156" i="24" s="1"/>
  <c r="AQ156" i="24" s="1"/>
  <c r="AL160" i="24"/>
  <c r="AM160" i="24"/>
  <c r="AN160" i="24" s="1"/>
  <c r="AO160" i="24" s="1"/>
  <c r="AP160" i="24" s="1"/>
  <c r="AQ160" i="24" s="1"/>
  <c r="AL164" i="24"/>
  <c r="AM164" i="24"/>
  <c r="AN164" i="24" s="1"/>
  <c r="AO164" i="24" s="1"/>
  <c r="AP164" i="24" s="1"/>
  <c r="AQ164" i="24" s="1"/>
  <c r="AL168" i="24"/>
  <c r="AM168" i="24"/>
  <c r="AN168" i="24" s="1"/>
  <c r="AO168" i="24" s="1"/>
  <c r="AP168" i="24" s="1"/>
  <c r="AQ168" i="24" s="1"/>
  <c r="AL172" i="24"/>
  <c r="AM172" i="24"/>
  <c r="AN172" i="24" s="1"/>
  <c r="AO172" i="24" s="1"/>
  <c r="AP172" i="24" s="1"/>
  <c r="AQ172" i="24" s="1"/>
  <c r="AL176" i="24"/>
  <c r="AM176" i="24"/>
  <c r="AN176" i="24" s="1"/>
  <c r="AO176" i="24" s="1"/>
  <c r="AP176" i="24" s="1"/>
  <c r="AQ176" i="24" s="1"/>
  <c r="AL180" i="24"/>
  <c r="AM180" i="24"/>
  <c r="AN180" i="24" s="1"/>
  <c r="AO180" i="24" s="1"/>
  <c r="AP180" i="24" s="1"/>
  <c r="AQ180" i="24" s="1"/>
  <c r="AL184" i="24"/>
  <c r="AM184" i="24"/>
  <c r="AN184" i="24" s="1"/>
  <c r="AO184" i="24" s="1"/>
  <c r="AP184" i="24" s="1"/>
  <c r="AQ184" i="24" s="1"/>
  <c r="AL188" i="24"/>
  <c r="AM188" i="24"/>
  <c r="AN188" i="24" s="1"/>
  <c r="AO188" i="24" s="1"/>
  <c r="AP188" i="24" s="1"/>
  <c r="AQ188" i="24" s="1"/>
  <c r="AL192" i="24"/>
  <c r="AM192" i="24"/>
  <c r="AN192" i="24" s="1"/>
  <c r="AO192" i="24" s="1"/>
  <c r="AP192" i="24" s="1"/>
  <c r="AQ192" i="24" s="1"/>
  <c r="AL196" i="24"/>
  <c r="AM196" i="24"/>
  <c r="AN196" i="24" s="1"/>
  <c r="AO196" i="24" s="1"/>
  <c r="AP196" i="24" s="1"/>
  <c r="AQ196" i="24" s="1"/>
  <c r="AL200" i="24"/>
  <c r="AM200" i="24"/>
  <c r="AN200" i="24" s="1"/>
  <c r="AO200" i="24" s="1"/>
  <c r="AP200" i="24" s="1"/>
  <c r="AQ200" i="24" s="1"/>
  <c r="AL204" i="24"/>
  <c r="AM204" i="24"/>
  <c r="AN204" i="24" s="1"/>
  <c r="AO204" i="24" s="1"/>
  <c r="AP204" i="24" s="1"/>
  <c r="AQ204" i="24" s="1"/>
  <c r="AL208" i="24"/>
  <c r="AM208" i="24"/>
  <c r="AN208" i="24" s="1"/>
  <c r="AO208" i="24" s="1"/>
  <c r="AP208" i="24" s="1"/>
  <c r="AQ208" i="24" s="1"/>
  <c r="AG212" i="24"/>
  <c r="AK212" i="24" s="1"/>
  <c r="AH213" i="24"/>
  <c r="AM216" i="24"/>
  <c r="AN216" i="24" s="1"/>
  <c r="AO216" i="24" s="1"/>
  <c r="AP216" i="24" s="1"/>
  <c r="AQ216" i="24" s="1"/>
  <c r="AL216" i="24"/>
  <c r="AM222" i="24"/>
  <c r="AN222" i="24" s="1"/>
  <c r="AO222" i="24" s="1"/>
  <c r="AP222" i="24" s="1"/>
  <c r="AQ222" i="24" s="1"/>
  <c r="AM225" i="24"/>
  <c r="AN225" i="24" s="1"/>
  <c r="AO225" i="24" s="1"/>
  <c r="AP225" i="24" s="1"/>
  <c r="AQ225" i="24" s="1"/>
  <c r="AG226" i="24"/>
  <c r="AK226" i="24" s="1"/>
  <c r="AH232" i="24"/>
  <c r="AM236" i="24"/>
  <c r="AN236" i="24" s="1"/>
  <c r="AO236" i="24" s="1"/>
  <c r="AP236" i="24" s="1"/>
  <c r="AQ236" i="24" s="1"/>
  <c r="AL236" i="24"/>
  <c r="AG236" i="24"/>
  <c r="AK236" i="24" s="1"/>
  <c r="AH238" i="24"/>
  <c r="AG242" i="24"/>
  <c r="AK242" i="24" s="1"/>
  <c r="AM242" i="24"/>
  <c r="AN242" i="24" s="1"/>
  <c r="AO242" i="24" s="1"/>
  <c r="AP242" i="24" s="1"/>
  <c r="AQ242" i="24" s="1"/>
  <c r="AL242" i="24"/>
  <c r="AH248" i="24"/>
  <c r="AM252" i="24"/>
  <c r="AN252" i="24" s="1"/>
  <c r="AO252" i="24" s="1"/>
  <c r="AP252" i="24" s="1"/>
  <c r="AQ252" i="24" s="1"/>
  <c r="AL252" i="24"/>
  <c r="AG252" i="24"/>
  <c r="AK252" i="24" s="1"/>
  <c r="AH254" i="24"/>
  <c r="AG258" i="24"/>
  <c r="AK258" i="24" s="1"/>
  <c r="AM258" i="24"/>
  <c r="AN258" i="24" s="1"/>
  <c r="AO258" i="24" s="1"/>
  <c r="AP258" i="24" s="1"/>
  <c r="AQ258" i="24" s="1"/>
  <c r="AL258" i="24"/>
  <c r="AH264" i="24"/>
  <c r="AM268" i="24"/>
  <c r="AN268" i="24" s="1"/>
  <c r="AO268" i="24" s="1"/>
  <c r="AP268" i="24" s="1"/>
  <c r="AQ268" i="24" s="1"/>
  <c r="AL268" i="24"/>
  <c r="AG268" i="24"/>
  <c r="AK268" i="24" s="1"/>
  <c r="AH270" i="24"/>
  <c r="AG274" i="24"/>
  <c r="AK274" i="24" s="1"/>
  <c r="AM274" i="24"/>
  <c r="AN274" i="24" s="1"/>
  <c r="AO274" i="24" s="1"/>
  <c r="AP274" i="24" s="1"/>
  <c r="AQ274" i="24" s="1"/>
  <c r="AL274" i="24"/>
  <c r="AH280" i="24"/>
  <c r="AM284" i="24"/>
  <c r="AN284" i="24" s="1"/>
  <c r="AO284" i="24" s="1"/>
  <c r="AP284" i="24" s="1"/>
  <c r="AQ284" i="24" s="1"/>
  <c r="AL284" i="24"/>
  <c r="AG284" i="24"/>
  <c r="AK284" i="24" s="1"/>
  <c r="AH286" i="24"/>
  <c r="AG290" i="24"/>
  <c r="AK290" i="24" s="1"/>
  <c r="AM290" i="24"/>
  <c r="AN290" i="24" s="1"/>
  <c r="AO290" i="24" s="1"/>
  <c r="AP290" i="24" s="1"/>
  <c r="AQ290" i="24" s="1"/>
  <c r="AL290" i="24"/>
  <c r="AH296" i="24"/>
  <c r="AM300" i="24"/>
  <c r="AN300" i="24" s="1"/>
  <c r="AO300" i="24" s="1"/>
  <c r="AP300" i="24" s="1"/>
  <c r="AQ300" i="24" s="1"/>
  <c r="AL300" i="24"/>
  <c r="AG300" i="24"/>
  <c r="AK300" i="24" s="1"/>
  <c r="AH302" i="24"/>
  <c r="AG306" i="24"/>
  <c r="AK306" i="24" s="1"/>
  <c r="AM306" i="24"/>
  <c r="AN306" i="24" s="1"/>
  <c r="AO306" i="24" s="1"/>
  <c r="AP306" i="24" s="1"/>
  <c r="AQ306" i="24" s="1"/>
  <c r="AL306" i="24"/>
  <c r="AH312" i="24"/>
  <c r="AM316" i="24"/>
  <c r="AN316" i="24" s="1"/>
  <c r="AO316" i="24" s="1"/>
  <c r="AP316" i="24" s="1"/>
  <c r="AQ316" i="24" s="1"/>
  <c r="AL316" i="24"/>
  <c r="AG316" i="24"/>
  <c r="AK316" i="24" s="1"/>
  <c r="AH318" i="24"/>
  <c r="AG322" i="24"/>
  <c r="AK322" i="24" s="1"/>
  <c r="AM322" i="24"/>
  <c r="AN322" i="24" s="1"/>
  <c r="AO322" i="24" s="1"/>
  <c r="AP322" i="24" s="1"/>
  <c r="AQ322" i="24" s="1"/>
  <c r="AL322" i="24"/>
  <c r="AH328" i="24"/>
  <c r="AM332" i="24"/>
  <c r="AN332" i="24" s="1"/>
  <c r="AO332" i="24" s="1"/>
  <c r="AP332" i="24" s="1"/>
  <c r="AQ332" i="24" s="1"/>
  <c r="AL332" i="24"/>
  <c r="AG332" i="24"/>
  <c r="AK332" i="24" s="1"/>
  <c r="AH334" i="24"/>
  <c r="AG338" i="24"/>
  <c r="AK338" i="24" s="1"/>
  <c r="AM338" i="24"/>
  <c r="AN338" i="24" s="1"/>
  <c r="AO338" i="24" s="1"/>
  <c r="AP338" i="24" s="1"/>
  <c r="AQ338" i="24" s="1"/>
  <c r="AL338" i="24"/>
  <c r="AL358" i="24"/>
  <c r="AH361" i="24"/>
  <c r="AM361" i="24"/>
  <c r="AN361" i="24" s="1"/>
  <c r="AO361" i="24" s="1"/>
  <c r="AP361" i="24" s="1"/>
  <c r="AQ361" i="24" s="1"/>
  <c r="AG390" i="24"/>
  <c r="AK390" i="24" s="1"/>
  <c r="AM390" i="24"/>
  <c r="AN390" i="24" s="1"/>
  <c r="AO390" i="24" s="1"/>
  <c r="AP390" i="24" s="1"/>
  <c r="AQ390" i="24" s="1"/>
  <c r="AH390" i="24"/>
  <c r="AG344" i="24"/>
  <c r="AK344" i="24" s="1"/>
  <c r="AG354" i="24"/>
  <c r="AK354" i="24" s="1"/>
  <c r="AM354" i="24"/>
  <c r="AN354" i="24" s="1"/>
  <c r="AO354" i="24" s="1"/>
  <c r="AP354" i="24" s="1"/>
  <c r="AQ354" i="24" s="1"/>
  <c r="AL354" i="24"/>
  <c r="AM356" i="24"/>
  <c r="AN356" i="24" s="1"/>
  <c r="AO356" i="24" s="1"/>
  <c r="AP356" i="24" s="1"/>
  <c r="AQ356" i="24" s="1"/>
  <c r="AL356" i="24"/>
  <c r="AG356" i="24"/>
  <c r="AK356" i="24" s="1"/>
  <c r="AH356" i="24"/>
  <c r="AM364" i="24"/>
  <c r="AN364" i="24" s="1"/>
  <c r="AO364" i="24" s="1"/>
  <c r="AP364" i="24" s="1"/>
  <c r="AQ364" i="24" s="1"/>
  <c r="AL364" i="24"/>
  <c r="AH364" i="24"/>
  <c r="AG364" i="24"/>
  <c r="AK364" i="24" s="1"/>
  <c r="AH369" i="24"/>
  <c r="AM369" i="24"/>
  <c r="AN369" i="24" s="1"/>
  <c r="AO369" i="24" s="1"/>
  <c r="AP369" i="24" s="1"/>
  <c r="AQ369" i="24" s="1"/>
  <c r="AH377" i="24"/>
  <c r="AM377" i="24"/>
  <c r="AN377" i="24" s="1"/>
  <c r="AO377" i="24" s="1"/>
  <c r="AP377" i="24" s="1"/>
  <c r="AQ377" i="24" s="1"/>
  <c r="AH401" i="24"/>
  <c r="AM401" i="24"/>
  <c r="AN401" i="24" s="1"/>
  <c r="AO401" i="24" s="1"/>
  <c r="AP401" i="24" s="1"/>
  <c r="AQ401" i="24" s="1"/>
  <c r="AL401" i="24"/>
  <c r="AH229" i="24"/>
  <c r="AH233" i="24"/>
  <c r="AH237" i="24"/>
  <c r="AH241" i="24"/>
  <c r="AH245" i="24"/>
  <c r="AH249" i="24"/>
  <c r="AH253" i="24"/>
  <c r="AH257" i="24"/>
  <c r="AH261" i="24"/>
  <c r="AH265" i="24"/>
  <c r="AH269" i="24"/>
  <c r="AH273" i="24"/>
  <c r="AH277" i="24"/>
  <c r="AH281" i="24"/>
  <c r="AH285" i="24"/>
  <c r="AH289" i="24"/>
  <c r="AH293" i="24"/>
  <c r="AH297" i="24"/>
  <c r="AH301" i="24"/>
  <c r="AH305" i="24"/>
  <c r="AH309" i="24"/>
  <c r="AH313" i="24"/>
  <c r="AH317" i="24"/>
  <c r="AH321" i="24"/>
  <c r="AH325" i="24"/>
  <c r="AH329" i="24"/>
  <c r="AH333" i="24"/>
  <c r="AH337" i="24"/>
  <c r="AH341" i="24"/>
  <c r="AM342" i="24"/>
  <c r="AN342" i="24" s="1"/>
  <c r="AO342" i="24" s="1"/>
  <c r="AP342" i="24" s="1"/>
  <c r="AQ342" i="24" s="1"/>
  <c r="AL342" i="24"/>
  <c r="AG346" i="24"/>
  <c r="AK346" i="24" s="1"/>
  <c r="AM346" i="24"/>
  <c r="AN346" i="24" s="1"/>
  <c r="AO346" i="24" s="1"/>
  <c r="AP346" i="24" s="1"/>
  <c r="AQ346" i="24" s="1"/>
  <c r="AL346" i="24"/>
  <c r="AM352" i="24"/>
  <c r="AN352" i="24" s="1"/>
  <c r="AO352" i="24" s="1"/>
  <c r="AP352" i="24" s="1"/>
  <c r="AQ352" i="24" s="1"/>
  <c r="AL352" i="24"/>
  <c r="AG352" i="24"/>
  <c r="AK352" i="24" s="1"/>
  <c r="AG366" i="24"/>
  <c r="AK366" i="24" s="1"/>
  <c r="AM366" i="24"/>
  <c r="AN366" i="24" s="1"/>
  <c r="AO366" i="24" s="1"/>
  <c r="AP366" i="24" s="1"/>
  <c r="AQ366" i="24" s="1"/>
  <c r="AL369" i="24"/>
  <c r="AG374" i="24"/>
  <c r="AK374" i="24" s="1"/>
  <c r="AM374" i="24"/>
  <c r="AN374" i="24" s="1"/>
  <c r="AO374" i="24" s="1"/>
  <c r="AP374" i="24" s="1"/>
  <c r="AQ374" i="24" s="1"/>
  <c r="AL377" i="24"/>
  <c r="AM388" i="24"/>
  <c r="AN388" i="24" s="1"/>
  <c r="AO388" i="24" s="1"/>
  <c r="AP388" i="24" s="1"/>
  <c r="AQ388" i="24" s="1"/>
  <c r="AL388" i="24"/>
  <c r="AG388" i="24"/>
  <c r="AK388" i="24" s="1"/>
  <c r="AH388" i="24"/>
  <c r="AH347" i="24"/>
  <c r="AH351" i="24"/>
  <c r="AG362" i="24"/>
  <c r="AK362" i="24" s="1"/>
  <c r="AH365" i="24"/>
  <c r="AM368" i="24"/>
  <c r="AN368" i="24" s="1"/>
  <c r="AO368" i="24" s="1"/>
  <c r="AP368" i="24" s="1"/>
  <c r="AQ368" i="24" s="1"/>
  <c r="AL368" i="24"/>
  <c r="AG378" i="24"/>
  <c r="AK378" i="24" s="1"/>
  <c r="AH381" i="24"/>
  <c r="AM384" i="24"/>
  <c r="AN384" i="24" s="1"/>
  <c r="AO384" i="24" s="1"/>
  <c r="AP384" i="24" s="1"/>
  <c r="AQ384" i="24" s="1"/>
  <c r="AL384" i="24"/>
  <c r="AH397" i="24"/>
  <c r="AM397" i="24"/>
  <c r="AN397" i="24" s="1"/>
  <c r="AO397" i="24" s="1"/>
  <c r="AP397" i="24" s="1"/>
  <c r="AQ397" i="24" s="1"/>
  <c r="AL397" i="24"/>
  <c r="AG402" i="24"/>
  <c r="AK402" i="24" s="1"/>
  <c r="AH402" i="24"/>
  <c r="AM404" i="24"/>
  <c r="AN404" i="24" s="1"/>
  <c r="AO404" i="24" s="1"/>
  <c r="AP404" i="24" s="1"/>
  <c r="AQ404" i="24" s="1"/>
  <c r="AG404" i="24"/>
  <c r="AK404" i="24" s="1"/>
  <c r="AM406" i="24"/>
  <c r="AN406" i="24" s="1"/>
  <c r="AO406" i="24" s="1"/>
  <c r="AP406" i="24" s="1"/>
  <c r="AQ406" i="24" s="1"/>
  <c r="AG406" i="24"/>
  <c r="AK406" i="24" s="1"/>
  <c r="AM408" i="24"/>
  <c r="AN408" i="24" s="1"/>
  <c r="AO408" i="24" s="1"/>
  <c r="AP408" i="24" s="1"/>
  <c r="AQ408" i="24" s="1"/>
  <c r="AG408" i="24"/>
  <c r="AK408" i="24" s="1"/>
  <c r="AM410" i="24"/>
  <c r="AN410" i="24" s="1"/>
  <c r="AO410" i="24" s="1"/>
  <c r="AP410" i="24" s="1"/>
  <c r="AQ410" i="24" s="1"/>
  <c r="AG410" i="24"/>
  <c r="AK410" i="24" s="1"/>
  <c r="AH357" i="24"/>
  <c r="AM360" i="24"/>
  <c r="AN360" i="24" s="1"/>
  <c r="AO360" i="24" s="1"/>
  <c r="AP360" i="24" s="1"/>
  <c r="AQ360" i="24" s="1"/>
  <c r="AL360" i="24"/>
  <c r="AG370" i="24"/>
  <c r="AK370" i="24" s="1"/>
  <c r="AH373" i="24"/>
  <c r="AM376" i="24"/>
  <c r="AN376" i="24" s="1"/>
  <c r="AO376" i="24" s="1"/>
  <c r="AP376" i="24" s="1"/>
  <c r="AQ376" i="24" s="1"/>
  <c r="AL376" i="24"/>
  <c r="AG386" i="24"/>
  <c r="AK386" i="24" s="1"/>
  <c r="AH389" i="24"/>
  <c r="AM392" i="24"/>
  <c r="AN392" i="24" s="1"/>
  <c r="AO392" i="24" s="1"/>
  <c r="AP392" i="24" s="1"/>
  <c r="AQ392" i="24" s="1"/>
  <c r="AL392" i="24"/>
  <c r="AG394" i="24"/>
  <c r="AK394" i="24" s="1"/>
  <c r="AH394" i="24"/>
  <c r="AG412" i="24"/>
  <c r="AK412" i="24" s="1"/>
  <c r="N412" i="24"/>
  <c r="AL396" i="24"/>
  <c r="AM396" i="24"/>
  <c r="AN396" i="24" s="1"/>
  <c r="AO396" i="24" s="1"/>
  <c r="AP396" i="24" s="1"/>
  <c r="AQ396" i="24" s="1"/>
  <c r="AL400" i="24"/>
  <c r="AM400" i="24"/>
  <c r="AN400" i="24" s="1"/>
  <c r="AO400" i="24" s="1"/>
  <c r="AP400" i="24" s="1"/>
  <c r="AQ400" i="24" s="1"/>
  <c r="AM405" i="24"/>
  <c r="AN405" i="24" s="1"/>
  <c r="AO405" i="24" s="1"/>
  <c r="AP405" i="24" s="1"/>
  <c r="AQ405" i="24" s="1"/>
  <c r="AM407" i="24"/>
  <c r="AN407" i="24" s="1"/>
  <c r="AO407" i="24" s="1"/>
  <c r="AP407" i="24" s="1"/>
  <c r="AQ407" i="24" s="1"/>
  <c r="AM409" i="24"/>
  <c r="AN409" i="24" s="1"/>
  <c r="AO409" i="24" s="1"/>
  <c r="AP409" i="24" s="1"/>
  <c r="AQ409" i="24" s="1"/>
  <c r="AM411" i="24"/>
  <c r="AN411" i="24" s="1"/>
  <c r="AO411" i="24" s="1"/>
  <c r="AP411" i="24" s="1"/>
  <c r="AQ411" i="24" s="1"/>
  <c r="K8" i="38"/>
  <c r="J165" i="30" s="1"/>
  <c r="AE7" i="38"/>
  <c r="H13" i="27" l="1"/>
  <c r="J13" i="27"/>
  <c r="AA28" i="36"/>
  <c r="J136" i="26"/>
  <c r="O155" i="26" s="1"/>
  <c r="O156" i="26" s="1"/>
  <c r="F132" i="41"/>
  <c r="F13" i="27"/>
  <c r="AE119" i="16"/>
  <c r="AE130" i="16" s="1"/>
  <c r="J114" i="30"/>
  <c r="E101" i="16"/>
  <c r="AB119" i="16"/>
  <c r="AB130" i="16" s="1"/>
  <c r="G142" i="57"/>
  <c r="F142" i="30"/>
  <c r="V21" i="57"/>
  <c r="E20" i="57"/>
  <c r="I20" i="30" s="1"/>
  <c r="E14" i="57"/>
  <c r="I14" i="30" s="1"/>
  <c r="J15" i="30"/>
  <c r="V15" i="57"/>
  <c r="D15" i="57"/>
  <c r="H15" i="30" s="1"/>
  <c r="N15" i="57"/>
  <c r="W15" i="57"/>
  <c r="E18" i="57"/>
  <c r="I18" i="30" s="1"/>
  <c r="N81" i="57"/>
  <c r="F83" i="57"/>
  <c r="F95" i="57"/>
  <c r="J95" i="30" s="1"/>
  <c r="E17" i="57"/>
  <c r="I17" i="30" s="1"/>
  <c r="F55" i="59"/>
  <c r="K56" i="59"/>
  <c r="E65" i="59"/>
  <c r="K62" i="59" s="1"/>
  <c r="E55" i="59"/>
  <c r="G26" i="57"/>
  <c r="F25" i="57"/>
  <c r="W9" i="57"/>
  <c r="N9" i="57"/>
  <c r="V9" i="57"/>
  <c r="O9" i="57"/>
  <c r="J9" i="30"/>
  <c r="J9" i="28" s="1"/>
  <c r="G25" i="57"/>
  <c r="E9" i="57"/>
  <c r="BD17" i="24"/>
  <c r="H11" i="30"/>
  <c r="D26" i="57"/>
  <c r="H26" i="30" s="1"/>
  <c r="J26" i="30"/>
  <c r="J26" i="28" s="1"/>
  <c r="N26" i="57"/>
  <c r="AS7" i="24"/>
  <c r="AS8" i="24" s="1"/>
  <c r="X122" i="30"/>
  <c r="X116" i="28" s="1"/>
  <c r="AH131" i="16"/>
  <c r="G67" i="16"/>
  <c r="K81" i="26"/>
  <c r="H51" i="16"/>
  <c r="AC91" i="26"/>
  <c r="K91" i="26"/>
  <c r="AC81" i="26"/>
  <c r="J174" i="30"/>
  <c r="M170" i="30" s="1"/>
  <c r="M170" i="28" s="1"/>
  <c r="Y67" i="28"/>
  <c r="AP122" i="30"/>
  <c r="AP116" i="28" s="1"/>
  <c r="N139" i="16"/>
  <c r="N141" i="16" s="1"/>
  <c r="N118" i="16" s="1"/>
  <c r="S80" i="30"/>
  <c r="V80" i="30" s="1"/>
  <c r="AE131" i="16"/>
  <c r="AE133" i="16" s="1"/>
  <c r="K7" i="28"/>
  <c r="V67" i="28"/>
  <c r="S67" i="28"/>
  <c r="D28" i="52"/>
  <c r="I7" i="32"/>
  <c r="C20" i="52"/>
  <c r="D20" i="52" s="1"/>
  <c r="H126" i="41"/>
  <c r="C9" i="52" s="1"/>
  <c r="D9" i="52" s="1"/>
  <c r="E24" i="52"/>
  <c r="D27" i="52"/>
  <c r="D24" i="52"/>
  <c r="I55" i="47"/>
  <c r="F126" i="41"/>
  <c r="C7" i="52" s="1"/>
  <c r="D7" i="52" s="1"/>
  <c r="AC7" i="24"/>
  <c r="P76" i="26"/>
  <c r="P86" i="26"/>
  <c r="BE22" i="24"/>
  <c r="K139" i="16"/>
  <c r="K141" i="16" s="1"/>
  <c r="K118" i="16" s="1"/>
  <c r="BG116" i="28"/>
  <c r="AZ131" i="16"/>
  <c r="AZ133" i="16" s="1"/>
  <c r="BB122" i="30"/>
  <c r="BB116" i="28" s="1"/>
  <c r="D126" i="32"/>
  <c r="C15" i="52" s="1"/>
  <c r="D15" i="52" s="1"/>
  <c r="V3" i="24"/>
  <c r="E132" i="32"/>
  <c r="G105" i="32"/>
  <c r="E126" i="32"/>
  <c r="T206" i="30"/>
  <c r="AT119" i="16"/>
  <c r="AT130" i="16" s="1"/>
  <c r="J73" i="32"/>
  <c r="H23" i="16"/>
  <c r="AL116" i="28"/>
  <c r="AQ131" i="16"/>
  <c r="AQ133" i="16" s="1"/>
  <c r="P170" i="26"/>
  <c r="M161" i="30"/>
  <c r="M161" i="28" s="1"/>
  <c r="O139" i="16"/>
  <c r="O141" i="16" s="1"/>
  <c r="O118" i="16" s="1"/>
  <c r="Z116" i="28"/>
  <c r="P88" i="30"/>
  <c r="S88" i="30" s="1"/>
  <c r="BI46" i="30"/>
  <c r="BF46" i="28"/>
  <c r="BL61" i="30"/>
  <c r="BI61" i="28"/>
  <c r="N9" i="30"/>
  <c r="N25" i="30" s="1"/>
  <c r="S65" i="30"/>
  <c r="P65" i="28"/>
  <c r="AB72" i="30"/>
  <c r="Y72" i="28"/>
  <c r="AB47" i="30"/>
  <c r="Y47" i="28"/>
  <c r="AD122" i="30"/>
  <c r="AD116" i="28" s="1"/>
  <c r="AT7" i="24"/>
  <c r="AT8" i="24" s="1"/>
  <c r="BL13" i="24"/>
  <c r="BL15" i="24"/>
  <c r="BL17" i="24"/>
  <c r="BL19" i="24"/>
  <c r="BL16" i="24"/>
  <c r="BL18" i="24"/>
  <c r="P53" i="47"/>
  <c r="P54" i="47"/>
  <c r="S74" i="30"/>
  <c r="P74" i="28"/>
  <c r="O53" i="47"/>
  <c r="O54" i="47"/>
  <c r="J73" i="41"/>
  <c r="AZ37" i="30"/>
  <c r="AW37" i="28"/>
  <c r="Y45" i="30"/>
  <c r="V45" i="28"/>
  <c r="M20" i="30"/>
  <c r="J20" i="28"/>
  <c r="AU116" i="28"/>
  <c r="J93" i="28"/>
  <c r="AH119" i="16"/>
  <c r="AH130" i="16" s="1"/>
  <c r="G132" i="32"/>
  <c r="G126" i="32"/>
  <c r="C18" i="52" s="1"/>
  <c r="D18" i="52" s="1"/>
  <c r="M55" i="47"/>
  <c r="K55" i="47"/>
  <c r="S55" i="30"/>
  <c r="P55" i="28"/>
  <c r="P57" i="30"/>
  <c r="P57" i="28" s="1"/>
  <c r="P52" i="28" s="1"/>
  <c r="F132" i="32"/>
  <c r="F126" i="32"/>
  <c r="L54" i="47"/>
  <c r="L53" i="47"/>
  <c r="N53" i="47"/>
  <c r="N54" i="47"/>
  <c r="AE44" i="30"/>
  <c r="AB44" i="28"/>
  <c r="S50" i="30"/>
  <c r="P50" i="28"/>
  <c r="J53" i="47"/>
  <c r="J54" i="47"/>
  <c r="M17" i="30"/>
  <c r="J17" i="28"/>
  <c r="S49" i="30"/>
  <c r="P49" i="28"/>
  <c r="AE67" i="30"/>
  <c r="AB67" i="28"/>
  <c r="AB71" i="30"/>
  <c r="Y71" i="28"/>
  <c r="H54" i="47"/>
  <c r="H53" i="47"/>
  <c r="G54" i="47"/>
  <c r="G53" i="47"/>
  <c r="F54" i="47"/>
  <c r="Q51" i="47"/>
  <c r="D51" i="47" s="1"/>
  <c r="F53" i="47"/>
  <c r="J14" i="28"/>
  <c r="M14" i="30"/>
  <c r="M18" i="30"/>
  <c r="J18" i="28"/>
  <c r="Y39" i="30"/>
  <c r="V39" i="28"/>
  <c r="BM116" i="28"/>
  <c r="AG122" i="30"/>
  <c r="AG116" i="28" s="1"/>
  <c r="BE122" i="30"/>
  <c r="BE116" i="28" s="1"/>
  <c r="I45" i="28"/>
  <c r="H70" i="28"/>
  <c r="AJ122" i="30"/>
  <c r="AK211" i="30" s="1"/>
  <c r="U122" i="30"/>
  <c r="U116" i="28" s="1"/>
  <c r="M81" i="30"/>
  <c r="M81" i="28" s="1"/>
  <c r="W131" i="16"/>
  <c r="L139" i="16"/>
  <c r="L141" i="16" s="1"/>
  <c r="L118" i="16" s="1"/>
  <c r="I139" i="16"/>
  <c r="I141" i="16" s="1"/>
  <c r="I118" i="16" s="1"/>
  <c r="M139" i="16"/>
  <c r="M141" i="16" s="1"/>
  <c r="M118" i="16" s="1"/>
  <c r="S139" i="16"/>
  <c r="S141" i="16" s="1"/>
  <c r="S118" i="16" s="1"/>
  <c r="J139" i="16"/>
  <c r="J141" i="16" s="1"/>
  <c r="J118" i="16" s="1"/>
  <c r="M21" i="28"/>
  <c r="F13" i="16"/>
  <c r="F16" i="16" s="1"/>
  <c r="I46" i="16"/>
  <c r="E82" i="16"/>
  <c r="E98" i="16" s="1"/>
  <c r="F109" i="57" s="1"/>
  <c r="H46" i="16"/>
  <c r="AW139" i="16"/>
  <c r="AW141" i="16" s="1"/>
  <c r="AW118" i="16" s="1"/>
  <c r="AW119" i="16" s="1"/>
  <c r="AW130" i="16" s="1"/>
  <c r="AW133" i="16" s="1"/>
  <c r="R131" i="16"/>
  <c r="G131" i="16"/>
  <c r="F131" i="16"/>
  <c r="S211" i="30"/>
  <c r="Q116" i="28"/>
  <c r="BJ116" i="28"/>
  <c r="O8" i="38"/>
  <c r="V165" i="30" s="1"/>
  <c r="V165" i="28" s="1"/>
  <c r="M8" i="38"/>
  <c r="P165" i="30" s="1"/>
  <c r="P165" i="28" s="1"/>
  <c r="P8" i="38"/>
  <c r="Y165" i="30" s="1"/>
  <c r="Y165" i="28" s="1"/>
  <c r="Z8" i="38"/>
  <c r="BC165" i="30" s="1"/>
  <c r="BC165" i="28" s="1"/>
  <c r="B31" i="36"/>
  <c r="H31" i="36" s="1"/>
  <c r="P102" i="30"/>
  <c r="S102" i="30" s="1"/>
  <c r="J37" i="32"/>
  <c r="L13" i="27"/>
  <c r="I13" i="27"/>
  <c r="O59" i="26"/>
  <c r="O66" i="26" s="1"/>
  <c r="O19" i="26"/>
  <c r="O26" i="26" s="1"/>
  <c r="O49" i="26"/>
  <c r="O56" i="26" s="1"/>
  <c r="O39" i="26"/>
  <c r="O46" i="26" s="1"/>
  <c r="O29" i="26"/>
  <c r="O36" i="26" s="1"/>
  <c r="O9" i="26"/>
  <c r="O16" i="26" s="1"/>
  <c r="BN18" i="24"/>
  <c r="BN13" i="24"/>
  <c r="BN16" i="24"/>
  <c r="S59" i="30"/>
  <c r="P62" i="30"/>
  <c r="P62" i="28" s="1"/>
  <c r="P58" i="28" s="1"/>
  <c r="P59" i="28"/>
  <c r="AK139" i="16"/>
  <c r="AK141" i="16" s="1"/>
  <c r="AK118" i="16" s="1"/>
  <c r="AK119" i="16" s="1"/>
  <c r="AK130" i="16" s="1"/>
  <c r="AK133" i="16" s="1"/>
  <c r="H80" i="28"/>
  <c r="I118" i="28"/>
  <c r="BD16" i="24"/>
  <c r="BD13" i="24"/>
  <c r="BD14" i="24"/>
  <c r="J188" i="30"/>
  <c r="J185" i="28"/>
  <c r="M90" i="28"/>
  <c r="P90" i="30"/>
  <c r="M178" i="30"/>
  <c r="M178" i="28" s="1"/>
  <c r="AB33" i="30"/>
  <c r="Y33" i="28"/>
  <c r="V40" i="30"/>
  <c r="S40" i="28"/>
  <c r="Y38" i="30"/>
  <c r="V38" i="28"/>
  <c r="P87" i="30"/>
  <c r="M87" i="28"/>
  <c r="H38" i="28"/>
  <c r="H60" i="28"/>
  <c r="K116" i="28"/>
  <c r="BD18" i="24"/>
  <c r="I127" i="32"/>
  <c r="J181" i="30"/>
  <c r="J181" i="28" s="1"/>
  <c r="P169" i="26"/>
  <c r="S64" i="30"/>
  <c r="P68" i="30"/>
  <c r="P68" i="28" s="1"/>
  <c r="P63" i="28" s="1"/>
  <c r="P64" i="28"/>
  <c r="AB70" i="30"/>
  <c r="Y70" i="28"/>
  <c r="P76" i="30"/>
  <c r="P78" i="30" s="1"/>
  <c r="P78" i="28" s="1"/>
  <c r="P69" i="28" s="1"/>
  <c r="M76" i="28"/>
  <c r="I19" i="28"/>
  <c r="H131" i="16"/>
  <c r="H49" i="28"/>
  <c r="P211" i="30"/>
  <c r="M211" i="30"/>
  <c r="AR116" i="28"/>
  <c r="BD15" i="24"/>
  <c r="BN15" i="24"/>
  <c r="BN14" i="24"/>
  <c r="G104" i="41"/>
  <c r="G105" i="41" s="1"/>
  <c r="G126" i="41" s="1"/>
  <c r="C8" i="52" s="1"/>
  <c r="D8" i="52" s="1"/>
  <c r="S48" i="30"/>
  <c r="P48" i="28"/>
  <c r="S43" i="30"/>
  <c r="P51" i="30"/>
  <c r="P51" i="28" s="1"/>
  <c r="P42" i="28" s="1"/>
  <c r="P43" i="28"/>
  <c r="S73" i="30"/>
  <c r="P73" i="28"/>
  <c r="H76" i="28"/>
  <c r="I39" i="28"/>
  <c r="N116" i="28"/>
  <c r="J193" i="30"/>
  <c r="J193" i="28" s="1"/>
  <c r="BN17" i="24"/>
  <c r="P77" i="28"/>
  <c r="S77" i="30"/>
  <c r="Y53" i="30"/>
  <c r="V53" i="28"/>
  <c r="P89" i="30"/>
  <c r="M89" i="28"/>
  <c r="M171" i="30"/>
  <c r="M171" i="28" s="1"/>
  <c r="M19" i="30"/>
  <c r="J19" i="28"/>
  <c r="V66" i="30"/>
  <c r="S66" i="28"/>
  <c r="J21" i="16"/>
  <c r="I23" i="16"/>
  <c r="V91" i="30"/>
  <c r="S185" i="30"/>
  <c r="S185" i="28" s="1"/>
  <c r="S91" i="28"/>
  <c r="K9" i="28"/>
  <c r="I121" i="28"/>
  <c r="H56" i="28"/>
  <c r="BN19" i="24"/>
  <c r="J37" i="41"/>
  <c r="J133" i="41" s="1"/>
  <c r="P161" i="30"/>
  <c r="P161" i="28" s="1"/>
  <c r="S36" i="30"/>
  <c r="P41" i="30"/>
  <c r="P41" i="28" s="1"/>
  <c r="P35" i="28" s="1"/>
  <c r="P36" i="28"/>
  <c r="S75" i="30"/>
  <c r="P75" i="28"/>
  <c r="E192" i="26"/>
  <c r="G13" i="27"/>
  <c r="H7" i="41"/>
  <c r="H127" i="41"/>
  <c r="E7" i="41"/>
  <c r="E127" i="41"/>
  <c r="F7" i="41"/>
  <c r="F127" i="41"/>
  <c r="I7" i="41"/>
  <c r="I127" i="41"/>
  <c r="H7" i="32"/>
  <c r="H127" i="32"/>
  <c r="J54" i="16"/>
  <c r="I57" i="16"/>
  <c r="BE12" i="24"/>
  <c r="T131" i="16"/>
  <c r="AB131" i="16"/>
  <c r="M60" i="16"/>
  <c r="X205" i="30"/>
  <c r="AA203" i="30"/>
  <c r="H18" i="28"/>
  <c r="I22" i="28"/>
  <c r="H75" i="28"/>
  <c r="F142" i="28"/>
  <c r="E191" i="26"/>
  <c r="I61" i="16"/>
  <c r="H67" i="16"/>
  <c r="S81" i="30" s="1"/>
  <c r="BC56" i="30"/>
  <c r="AZ56" i="28"/>
  <c r="U206" i="30"/>
  <c r="D104" i="41"/>
  <c r="J104" i="32"/>
  <c r="L104" i="32" s="1"/>
  <c r="E171" i="26"/>
  <c r="E193" i="26" s="1"/>
  <c r="BM12" i="24"/>
  <c r="K25" i="30"/>
  <c r="K25" i="28" s="1"/>
  <c r="AT131" i="16"/>
  <c r="R59" i="16"/>
  <c r="X53" i="16"/>
  <c r="BS15" i="24" a="1"/>
  <c r="BS15" i="24" s="1"/>
  <c r="BS16" i="24" s="1" a="1"/>
  <c r="BS16" i="24" s="1"/>
  <c r="BG12" i="24" s="1"/>
  <c r="BU16" i="24" a="1"/>
  <c r="BU16" i="24" s="1"/>
  <c r="BU17" i="24" s="1" a="1"/>
  <c r="BU17" i="24" s="1"/>
  <c r="K42" i="16"/>
  <c r="J46" i="16"/>
  <c r="H30" i="16"/>
  <c r="I25" i="16"/>
  <c r="Y139" i="16"/>
  <c r="Y141" i="16" s="1"/>
  <c r="Y118" i="16" s="1"/>
  <c r="Y119" i="16" s="1"/>
  <c r="Y130" i="16" s="1"/>
  <c r="Y133" i="16" s="1"/>
  <c r="U139" i="16"/>
  <c r="U141" i="16" s="1"/>
  <c r="U118" i="16" s="1"/>
  <c r="AN139" i="16"/>
  <c r="AN141" i="16" s="1"/>
  <c r="AN118" i="16" s="1"/>
  <c r="AN119" i="16" s="1"/>
  <c r="AN130" i="16" s="1"/>
  <c r="AN133" i="16" s="1"/>
  <c r="X131" i="16"/>
  <c r="P131" i="16"/>
  <c r="V131" i="16"/>
  <c r="H40" i="28"/>
  <c r="E186" i="26"/>
  <c r="F80" i="16"/>
  <c r="G46" i="16"/>
  <c r="P81" i="30" s="1"/>
  <c r="AC8" i="38"/>
  <c r="BL165" i="30" s="1"/>
  <c r="BL165" i="28" s="1"/>
  <c r="Q139" i="16"/>
  <c r="Q141" i="16" s="1"/>
  <c r="Q118" i="16" s="1"/>
  <c r="I54" i="28"/>
  <c r="I122" i="28"/>
  <c r="J48" i="16"/>
  <c r="I51" i="16"/>
  <c r="Z203" i="30"/>
  <c r="W205" i="30"/>
  <c r="H32" i="16"/>
  <c r="G40" i="16"/>
  <c r="P165" i="26"/>
  <c r="F187" i="26"/>
  <c r="P164" i="26"/>
  <c r="BH17" i="24"/>
  <c r="AZ14" i="24"/>
  <c r="P166" i="26"/>
  <c r="P168" i="26"/>
  <c r="F181" i="26"/>
  <c r="F193" i="26" s="1"/>
  <c r="I136" i="26"/>
  <c r="O141" i="26" s="1"/>
  <c r="BH14" i="24"/>
  <c r="AZ16" i="24"/>
  <c r="AZ13" i="24"/>
  <c r="BH18" i="24"/>
  <c r="BH16" i="24"/>
  <c r="BA20" i="24"/>
  <c r="AZ18" i="24"/>
  <c r="J68" i="26"/>
  <c r="O140" i="26" s="1"/>
  <c r="AA8" i="38"/>
  <c r="BF165" i="30" s="1"/>
  <c r="BF165" i="28" s="1"/>
  <c r="V8" i="38"/>
  <c r="AQ165" i="30" s="1"/>
  <c r="AQ165" i="28" s="1"/>
  <c r="AB8" i="38"/>
  <c r="BI165" i="30" s="1"/>
  <c r="BI165" i="28" s="1"/>
  <c r="Y8" i="38"/>
  <c r="AZ165" i="30" s="1"/>
  <c r="AZ165" i="28" s="1"/>
  <c r="S8" i="38"/>
  <c r="AH165" i="30" s="1"/>
  <c r="AH165" i="28" s="1"/>
  <c r="N8" i="38"/>
  <c r="S165" i="30" s="1"/>
  <c r="S165" i="28" s="1"/>
  <c r="Q8" i="38"/>
  <c r="AB165" i="30" s="1"/>
  <c r="AB165" i="28" s="1"/>
  <c r="L8" i="38"/>
  <c r="M165" i="30" s="1"/>
  <c r="M165" i="28" s="1"/>
  <c r="W8" i="38"/>
  <c r="AT165" i="30" s="1"/>
  <c r="AT165" i="28" s="1"/>
  <c r="R8" i="38"/>
  <c r="AE165" i="30" s="1"/>
  <c r="AE165" i="28" s="1"/>
  <c r="T8" i="38"/>
  <c r="AK165" i="30" s="1"/>
  <c r="AK165" i="28" s="1"/>
  <c r="U8" i="38"/>
  <c r="AN165" i="30" s="1"/>
  <c r="AN165" i="28" s="1"/>
  <c r="X8" i="38"/>
  <c r="AW165" i="30" s="1"/>
  <c r="AW165" i="28" s="1"/>
  <c r="P103" i="28"/>
  <c r="P101" i="28"/>
  <c r="B30" i="15"/>
  <c r="F131" i="30"/>
  <c r="F130" i="28" s="1"/>
  <c r="H20" i="28"/>
  <c r="H32" i="28"/>
  <c r="H66" i="28"/>
  <c r="I71" i="28"/>
  <c r="H33" i="28"/>
  <c r="J86" i="28"/>
  <c r="M86" i="30"/>
  <c r="M200" i="30" s="1"/>
  <c r="M201" i="30" s="1"/>
  <c r="M202" i="30" s="1"/>
  <c r="C132" i="30"/>
  <c r="F132" i="30"/>
  <c r="G129" i="30"/>
  <c r="C131" i="30"/>
  <c r="C130" i="28" s="1"/>
  <c r="F129" i="28"/>
  <c r="V199" i="30"/>
  <c r="I16" i="28"/>
  <c r="H74" i="28"/>
  <c r="I48" i="28"/>
  <c r="I90" i="28"/>
  <c r="I61" i="28"/>
  <c r="H36" i="28"/>
  <c r="I89" i="28"/>
  <c r="I55" i="28"/>
  <c r="H15" i="28"/>
  <c r="H7" i="36"/>
  <c r="G30" i="36"/>
  <c r="G32" i="36" s="1"/>
  <c r="G34" i="36" s="1"/>
  <c r="G35" i="36" s="1"/>
  <c r="G36" i="36" s="1"/>
  <c r="G37" i="36" s="1"/>
  <c r="G38" i="36" s="1"/>
  <c r="G39" i="36" s="1"/>
  <c r="G40" i="36" s="1"/>
  <c r="G41" i="36" s="1"/>
  <c r="G42" i="36" s="1"/>
  <c r="G43" i="36" s="1"/>
  <c r="G44" i="36" s="1"/>
  <c r="G45" i="36" s="1"/>
  <c r="G46" i="36" s="1"/>
  <c r="G48" i="36" s="1"/>
  <c r="P16" i="28"/>
  <c r="S16" i="30"/>
  <c r="J165" i="28"/>
  <c r="BB20" i="24"/>
  <c r="AZ15" i="24"/>
  <c r="P167" i="26"/>
  <c r="AZ17" i="24"/>
  <c r="AZ19" i="24"/>
  <c r="S134" i="30"/>
  <c r="P140" i="30"/>
  <c r="Y211" i="30"/>
  <c r="H88" i="28"/>
  <c r="H44" i="28"/>
  <c r="I119" i="28"/>
  <c r="H72" i="28"/>
  <c r="H17" i="28"/>
  <c r="H65" i="28"/>
  <c r="E25" i="36"/>
  <c r="K25" i="36" s="1"/>
  <c r="A25" i="36" s="1"/>
  <c r="W4" i="36"/>
  <c r="W3" i="36"/>
  <c r="E48" i="36"/>
  <c r="K48" i="36" s="1"/>
  <c r="K51" i="36" s="1"/>
  <c r="A30" i="36"/>
  <c r="Q7" i="30"/>
  <c r="N7" i="28"/>
  <c r="O9" i="36"/>
  <c r="S8" i="36"/>
  <c r="A41" i="36"/>
  <c r="A42" i="36" s="1"/>
  <c r="A43" i="36" s="1"/>
  <c r="A44" i="36" s="1"/>
  <c r="A45" i="36" s="1"/>
  <c r="A46" i="36" s="1"/>
  <c r="A48" i="36"/>
  <c r="A50" i="36" s="1"/>
  <c r="I46" i="28"/>
  <c r="H46" i="28"/>
  <c r="AA116" i="28"/>
  <c r="AB211" i="30"/>
  <c r="P32" i="30"/>
  <c r="M34" i="30"/>
  <c r="M32" i="28"/>
  <c r="V101" i="30"/>
  <c r="S101" i="28"/>
  <c r="S103" i="28"/>
  <c r="V103" i="30"/>
  <c r="P4" i="30"/>
  <c r="M4" i="28"/>
  <c r="S5" i="30"/>
  <c r="P5" i="28"/>
  <c r="L208" i="30"/>
  <c r="T6" i="30"/>
  <c r="Q6" i="28"/>
  <c r="I7" i="24"/>
  <c r="AC8" i="24"/>
  <c r="AN7" i="24"/>
  <c r="AN8" i="24" s="1"/>
  <c r="AP13" i="24"/>
  <c r="AO7" i="24"/>
  <c r="AO8" i="24" s="1"/>
  <c r="BE23" i="24"/>
  <c r="AM7" i="24"/>
  <c r="AM8" i="24" s="1"/>
  <c r="AB133" i="16" l="1"/>
  <c r="AB28" i="36"/>
  <c r="M15" i="30"/>
  <c r="J15" i="28"/>
  <c r="J109" i="30"/>
  <c r="J109" i="28" s="1"/>
  <c r="D111" i="57"/>
  <c r="H111" i="30" s="1"/>
  <c r="E15" i="57"/>
  <c r="I15" i="30" s="1"/>
  <c r="I15" i="28" s="1"/>
  <c r="J55" i="47"/>
  <c r="H83" i="57"/>
  <c r="J83" i="30"/>
  <c r="W83" i="57"/>
  <c r="V83" i="57"/>
  <c r="W5" i="57" s="1"/>
  <c r="X5" i="57" s="1"/>
  <c r="K55" i="59"/>
  <c r="F6" i="59" s="1"/>
  <c r="AH133" i="16"/>
  <c r="L58" i="59"/>
  <c r="I40" i="59" s="1"/>
  <c r="C39" i="59" s="1"/>
  <c r="L62" i="59"/>
  <c r="I41" i="59" s="1"/>
  <c r="I37" i="59"/>
  <c r="I38" i="59" s="1"/>
  <c r="C35" i="59" s="1"/>
  <c r="F74" i="59"/>
  <c r="G74" i="59" s="1"/>
  <c r="C30" i="59" s="1"/>
  <c r="I9" i="30"/>
  <c r="E25" i="57"/>
  <c r="I25" i="30" s="1"/>
  <c r="I25" i="28" s="1"/>
  <c r="J25" i="30"/>
  <c r="J25" i="28" s="1"/>
  <c r="N25" i="57"/>
  <c r="W25" i="57"/>
  <c r="V25" i="57"/>
  <c r="I11" i="30"/>
  <c r="E26" i="57"/>
  <c r="I26" i="30" s="1"/>
  <c r="I26" i="28" s="1"/>
  <c r="P88" i="28"/>
  <c r="D136" i="32"/>
  <c r="S80" i="28"/>
  <c r="H45" i="28"/>
  <c r="W206" i="30"/>
  <c r="D127" i="32"/>
  <c r="D7" i="32"/>
  <c r="B29" i="51" s="1"/>
  <c r="B30" i="51" s="1"/>
  <c r="M191" i="30"/>
  <c r="I76" i="28"/>
  <c r="J174" i="28"/>
  <c r="Q9" i="30"/>
  <c r="T9" i="30" s="1"/>
  <c r="E7" i="32"/>
  <c r="C16" i="52"/>
  <c r="D16" i="52" s="1"/>
  <c r="J133" i="32"/>
  <c r="C25" i="52"/>
  <c r="F7" i="32"/>
  <c r="C17" i="52"/>
  <c r="D17" i="52" s="1"/>
  <c r="P85" i="26"/>
  <c r="P91" i="26" s="1"/>
  <c r="P75" i="26"/>
  <c r="P81" i="26" s="1"/>
  <c r="H117" i="28"/>
  <c r="W70" i="30"/>
  <c r="Z70" i="30"/>
  <c r="T70" i="30"/>
  <c r="Q70" i="30"/>
  <c r="N70" i="30"/>
  <c r="K70" i="30"/>
  <c r="I60" i="28"/>
  <c r="H122" i="28"/>
  <c r="I18" i="28"/>
  <c r="G55" i="47"/>
  <c r="P55" i="47"/>
  <c r="E127" i="32"/>
  <c r="BO61" i="30"/>
  <c r="BO61" i="28" s="1"/>
  <c r="BL61" i="28"/>
  <c r="AT133" i="16"/>
  <c r="F127" i="32"/>
  <c r="F82" i="16"/>
  <c r="N9" i="28"/>
  <c r="J130" i="30"/>
  <c r="J209" i="30"/>
  <c r="BL46" i="30"/>
  <c r="BI46" i="28"/>
  <c r="M177" i="30"/>
  <c r="M177" i="28" s="1"/>
  <c r="H118" i="28"/>
  <c r="AE211" i="30"/>
  <c r="I49" i="28"/>
  <c r="H39" i="28"/>
  <c r="H86" i="28"/>
  <c r="I75" i="28"/>
  <c r="BL20" i="24"/>
  <c r="P102" i="28"/>
  <c r="H71" i="28"/>
  <c r="M174" i="30"/>
  <c r="P170" i="30" s="1"/>
  <c r="X206" i="30"/>
  <c r="N55" i="47"/>
  <c r="AE47" i="30"/>
  <c r="AC47" i="30" s="1"/>
  <c r="AB47" i="28"/>
  <c r="L55" i="47"/>
  <c r="AE72" i="30"/>
  <c r="AC72" i="30" s="1"/>
  <c r="AB72" i="28"/>
  <c r="J104" i="41"/>
  <c r="J132" i="32"/>
  <c r="Q54" i="47"/>
  <c r="D54" i="47" s="1"/>
  <c r="V65" i="30"/>
  <c r="S65" i="28"/>
  <c r="H22" i="28"/>
  <c r="I32" i="28"/>
  <c r="P18" i="30"/>
  <c r="N18" i="30" s="1"/>
  <c r="M18" i="28"/>
  <c r="H55" i="47"/>
  <c r="AH44" i="30"/>
  <c r="AF44" i="30" s="1"/>
  <c r="AE44" i="28"/>
  <c r="O55" i="47"/>
  <c r="P14" i="30"/>
  <c r="N14" i="30" s="1"/>
  <c r="M14" i="28"/>
  <c r="P17" i="30"/>
  <c r="N17" i="30" s="1"/>
  <c r="M17" i="28"/>
  <c r="V55" i="30"/>
  <c r="T55" i="30" s="1"/>
  <c r="S55" i="28"/>
  <c r="S57" i="30"/>
  <c r="S57" i="28" s="1"/>
  <c r="S52" i="28" s="1"/>
  <c r="P20" i="30"/>
  <c r="N20" i="30" s="1"/>
  <c r="M20" i="28"/>
  <c r="H48" i="28"/>
  <c r="F55" i="47"/>
  <c r="Q53" i="47"/>
  <c r="D53" i="47" s="1"/>
  <c r="AE71" i="30"/>
  <c r="AC71" i="30" s="1"/>
  <c r="AB71" i="28"/>
  <c r="G7" i="32"/>
  <c r="G127" i="32"/>
  <c r="AB45" i="30"/>
  <c r="Y45" i="28"/>
  <c r="AH67" i="30"/>
  <c r="AF67" i="30" s="1"/>
  <c r="AE67" i="28"/>
  <c r="V74" i="30"/>
  <c r="T74" i="30" s="1"/>
  <c r="S74" i="28"/>
  <c r="AB39" i="30"/>
  <c r="Z39" i="30" s="1"/>
  <c r="Y39" i="28"/>
  <c r="V50" i="30"/>
  <c r="T50" i="30" s="1"/>
  <c r="S50" i="28"/>
  <c r="BC37" i="30"/>
  <c r="BA37" i="30" s="1"/>
  <c r="AZ37" i="28"/>
  <c r="V49" i="30"/>
  <c r="T49" i="30" s="1"/>
  <c r="S49" i="28"/>
  <c r="AJ116" i="28"/>
  <c r="I74" i="28"/>
  <c r="I80" i="28"/>
  <c r="AH211" i="30"/>
  <c r="V211" i="30"/>
  <c r="F98" i="16"/>
  <c r="F101" i="16"/>
  <c r="H80" i="16"/>
  <c r="S81" i="28"/>
  <c r="G13" i="16"/>
  <c r="G16" i="16" s="1"/>
  <c r="P21" i="28"/>
  <c r="I56" i="28"/>
  <c r="I70" i="28"/>
  <c r="H62" i="28"/>
  <c r="H58" i="28" s="1"/>
  <c r="I65" i="28"/>
  <c r="H59" i="28"/>
  <c r="I44" i="28"/>
  <c r="H121" i="28"/>
  <c r="H89" i="28"/>
  <c r="I38" i="28"/>
  <c r="O68" i="26"/>
  <c r="BN20" i="24"/>
  <c r="BD20" i="24"/>
  <c r="H26" i="28"/>
  <c r="G7" i="41"/>
  <c r="G127" i="41"/>
  <c r="AB38" i="30"/>
  <c r="Z38" i="30" s="1"/>
  <c r="Y38" i="28"/>
  <c r="Y53" i="28"/>
  <c r="AB53" i="30"/>
  <c r="Z53" i="30" s="1"/>
  <c r="V48" i="30"/>
  <c r="T48" i="30" s="1"/>
  <c r="S48" i="28"/>
  <c r="V59" i="30"/>
  <c r="T59" i="30" s="1"/>
  <c r="S62" i="30"/>
  <c r="S62" i="28" s="1"/>
  <c r="S58" i="28" s="1"/>
  <c r="S59" i="28"/>
  <c r="H14" i="28"/>
  <c r="Y66" i="30"/>
  <c r="W66" i="30" s="1"/>
  <c r="V66" i="28"/>
  <c r="V77" i="30"/>
  <c r="T77" i="30" s="1"/>
  <c r="S77" i="28"/>
  <c r="S76" i="30"/>
  <c r="S78" i="30" s="1"/>
  <c r="S78" i="28" s="1"/>
  <c r="S69" i="28" s="1"/>
  <c r="P76" i="28"/>
  <c r="S64" i="28"/>
  <c r="S68" i="30"/>
  <c r="S68" i="28" s="1"/>
  <c r="S63" i="28" s="1"/>
  <c r="V64" i="30"/>
  <c r="Y40" i="30"/>
  <c r="W40" i="30" s="1"/>
  <c r="V40" i="28"/>
  <c r="H90" i="28"/>
  <c r="J105" i="32"/>
  <c r="V75" i="30"/>
  <c r="T75" i="30" s="1"/>
  <c r="S75" i="28"/>
  <c r="S89" i="30"/>
  <c r="Q89" i="30" s="1"/>
  <c r="P171" i="30"/>
  <c r="P171" i="28" s="1"/>
  <c r="P89" i="28"/>
  <c r="V43" i="30"/>
  <c r="T43" i="30" s="1"/>
  <c r="S43" i="28"/>
  <c r="S51" i="30"/>
  <c r="S51" i="28" s="1"/>
  <c r="S42" i="28" s="1"/>
  <c r="M184" i="30"/>
  <c r="J188" i="28"/>
  <c r="H19" i="28"/>
  <c r="I36" i="28"/>
  <c r="I33" i="28"/>
  <c r="H61" i="28"/>
  <c r="J132" i="41"/>
  <c r="Y91" i="30"/>
  <c r="W91" i="30" s="1"/>
  <c r="V91" i="28"/>
  <c r="V185" i="30"/>
  <c r="V185" i="28" s="1"/>
  <c r="Y80" i="30"/>
  <c r="W80" i="30" s="1"/>
  <c r="V80" i="28"/>
  <c r="AE33" i="30"/>
  <c r="AB33" i="28"/>
  <c r="V36" i="30"/>
  <c r="S41" i="30"/>
  <c r="S41" i="28" s="1"/>
  <c r="S35" i="28" s="1"/>
  <c r="S36" i="28"/>
  <c r="K21" i="16"/>
  <c r="J23" i="16"/>
  <c r="P19" i="30"/>
  <c r="N19" i="30" s="1"/>
  <c r="M19" i="28"/>
  <c r="V73" i="30"/>
  <c r="T73" i="30" s="1"/>
  <c r="S73" i="28"/>
  <c r="S90" i="30"/>
  <c r="Q90" i="30" s="1"/>
  <c r="P178" i="30"/>
  <c r="P178" i="28" s="1"/>
  <c r="P90" i="28"/>
  <c r="I20" i="28"/>
  <c r="H55" i="28"/>
  <c r="V88" i="30"/>
  <c r="T88" i="30" s="1"/>
  <c r="S161" i="30"/>
  <c r="S161" i="28" s="1"/>
  <c r="S88" i="28"/>
  <c r="AE70" i="30"/>
  <c r="AC70" i="30" s="1"/>
  <c r="AB70" i="28"/>
  <c r="S87" i="30"/>
  <c r="Q87" i="30" s="1"/>
  <c r="P87" i="28"/>
  <c r="BS17" i="24" a="1"/>
  <c r="BS17" i="24" s="1"/>
  <c r="BS18" i="24" s="1" a="1"/>
  <c r="BS18" i="24" s="1"/>
  <c r="J61" i="16"/>
  <c r="I67" i="16"/>
  <c r="V81" i="30" s="1"/>
  <c r="AD203" i="30"/>
  <c r="AA205" i="30"/>
  <c r="BE13" i="24"/>
  <c r="BE17" i="24"/>
  <c r="BE18" i="24"/>
  <c r="BE16" i="24"/>
  <c r="BE14" i="24"/>
  <c r="BE15" i="24"/>
  <c r="BE19" i="24"/>
  <c r="J25" i="16"/>
  <c r="I30" i="16"/>
  <c r="BU18" i="24" a="1"/>
  <c r="BU18" i="24" s="1"/>
  <c r="H34" i="28"/>
  <c r="H31" i="28" s="1"/>
  <c r="AC203" i="30"/>
  <c r="Z205" i="30"/>
  <c r="Z206" i="30" s="1"/>
  <c r="K48" i="16"/>
  <c r="J51" i="16"/>
  <c r="P81" i="28"/>
  <c r="G80" i="16"/>
  <c r="BO12" i="24"/>
  <c r="K54" i="16"/>
  <c r="J57" i="16"/>
  <c r="BG18" i="24"/>
  <c r="BG16" i="24"/>
  <c r="BG19" i="24"/>
  <c r="BG17" i="24"/>
  <c r="BG15" i="24"/>
  <c r="BG14" i="24"/>
  <c r="BG13" i="24"/>
  <c r="D105" i="41"/>
  <c r="D126" i="41" s="1"/>
  <c r="C5" i="52" s="1"/>
  <c r="D5" i="52" s="1"/>
  <c r="BF56" i="30"/>
  <c r="BD56" i="30" s="1"/>
  <c r="BC56" i="28"/>
  <c r="N60" i="16"/>
  <c r="BF12" i="24"/>
  <c r="S59" i="16"/>
  <c r="BM15" i="24"/>
  <c r="BM13" i="24"/>
  <c r="BM14" i="24"/>
  <c r="BM19" i="24"/>
  <c r="BM17" i="24"/>
  <c r="BM16" i="24"/>
  <c r="BM18" i="24"/>
  <c r="L104" i="41"/>
  <c r="J105" i="41"/>
  <c r="J126" i="41" s="1"/>
  <c r="I40" i="28"/>
  <c r="O142" i="26"/>
  <c r="O145" i="26" s="1"/>
  <c r="O146" i="26" s="1"/>
  <c r="O151" i="26" s="1"/>
  <c r="I72" i="28"/>
  <c r="H54" i="28"/>
  <c r="I88" i="28"/>
  <c r="H40" i="16"/>
  <c r="I32" i="16"/>
  <c r="I66" i="28"/>
  <c r="L42" i="16"/>
  <c r="K46" i="16"/>
  <c r="BH20" i="24"/>
  <c r="AZ20" i="24"/>
  <c r="AE8" i="38"/>
  <c r="T4" i="38"/>
  <c r="H16" i="28"/>
  <c r="P86" i="30"/>
  <c r="P200" i="30" s="1"/>
  <c r="P201" i="30" s="1"/>
  <c r="P202" i="30" s="1"/>
  <c r="M93" i="30"/>
  <c r="M93" i="28" s="1"/>
  <c r="M86" i="28"/>
  <c r="Y199" i="30"/>
  <c r="F131" i="28"/>
  <c r="F132" i="28"/>
  <c r="C132" i="28"/>
  <c r="C131" i="28"/>
  <c r="H102" i="28"/>
  <c r="G130" i="30"/>
  <c r="G132" i="30" s="1"/>
  <c r="G131" i="30"/>
  <c r="E26" i="36"/>
  <c r="K26" i="36"/>
  <c r="H119" i="28"/>
  <c r="V16" i="30"/>
  <c r="T16" i="30" s="1"/>
  <c r="S16" i="28"/>
  <c r="H123" i="28"/>
  <c r="H51" i="28"/>
  <c r="H42" i="28" s="1"/>
  <c r="H68" i="28"/>
  <c r="H63" i="28" s="1"/>
  <c r="M191" i="28"/>
  <c r="M193" i="30"/>
  <c r="V134" i="30"/>
  <c r="S140" i="30"/>
  <c r="H93" i="28"/>
  <c r="I17" i="28"/>
  <c r="H78" i="28"/>
  <c r="H69" i="28" s="1"/>
  <c r="H53" i="28"/>
  <c r="H57" i="28"/>
  <c r="H52" i="28" s="1"/>
  <c r="AX22" i="30"/>
  <c r="AU118" i="30"/>
  <c r="AO11" i="30"/>
  <c r="AX54" i="30"/>
  <c r="AX118" i="30"/>
  <c r="AU37" i="30"/>
  <c r="AR60" i="30"/>
  <c r="AL116" i="30"/>
  <c r="AI37" i="30"/>
  <c r="AX37" i="30"/>
  <c r="AU54" i="30"/>
  <c r="AU121" i="30"/>
  <c r="AR119" i="30"/>
  <c r="AX117" i="30"/>
  <c r="AR11" i="30"/>
  <c r="AO118" i="30"/>
  <c r="AX120" i="30"/>
  <c r="AU119" i="30"/>
  <c r="AO56" i="30"/>
  <c r="AL54" i="30"/>
  <c r="AL120" i="30"/>
  <c r="AX11" i="30"/>
  <c r="AX60" i="30"/>
  <c r="AX116" i="30"/>
  <c r="AU60" i="30"/>
  <c r="AL56" i="30"/>
  <c r="AR118" i="30"/>
  <c r="AF37" i="30"/>
  <c r="AF119" i="30"/>
  <c r="AC119" i="30"/>
  <c r="W11" i="30"/>
  <c r="W39" i="30"/>
  <c r="AO22" i="30"/>
  <c r="AO119" i="30"/>
  <c r="AX61" i="30"/>
  <c r="AX119" i="30"/>
  <c r="AO121" i="30"/>
  <c r="AL60" i="30"/>
  <c r="Z47" i="30"/>
  <c r="AR61" i="30"/>
  <c r="AI119" i="30"/>
  <c r="AC44" i="30"/>
  <c r="Z44" i="30"/>
  <c r="AU61" i="30"/>
  <c r="AR22" i="30"/>
  <c r="AU56" i="30"/>
  <c r="AR37" i="30"/>
  <c r="AL61" i="30"/>
  <c r="AL121" i="30"/>
  <c r="AC37" i="30"/>
  <c r="W22" i="30"/>
  <c r="AI46" i="30"/>
  <c r="AC116" i="30"/>
  <c r="Z22" i="30"/>
  <c r="Z72" i="30"/>
  <c r="Z117" i="30"/>
  <c r="W56" i="30"/>
  <c r="AU22" i="30"/>
  <c r="AU120" i="30"/>
  <c r="AO37" i="30"/>
  <c r="AL117" i="30"/>
  <c r="AI54" i="30"/>
  <c r="AI121" i="30"/>
  <c r="AF61" i="30"/>
  <c r="T65" i="30"/>
  <c r="AR116" i="30"/>
  <c r="AL119" i="30"/>
  <c r="AX56" i="30"/>
  <c r="AR117" i="30"/>
  <c r="AR56" i="30"/>
  <c r="AO54" i="30"/>
  <c r="AL118" i="30"/>
  <c r="AL22" i="30"/>
  <c r="AI61" i="30"/>
  <c r="AI118" i="30"/>
  <c r="Z116" i="30"/>
  <c r="W33" i="30"/>
  <c r="AX121" i="30"/>
  <c r="AF116" i="30"/>
  <c r="AC120" i="30"/>
  <c r="Z33" i="30"/>
  <c r="Z54" i="30"/>
  <c r="Z121" i="30"/>
  <c r="AI11" i="30"/>
  <c r="AI60" i="30"/>
  <c r="AF46" i="30"/>
  <c r="Z56" i="30"/>
  <c r="AL37" i="30"/>
  <c r="AO60" i="30"/>
  <c r="AU11" i="30"/>
  <c r="AI56" i="30"/>
  <c r="AF118" i="30"/>
  <c r="AC61" i="30"/>
  <c r="Z37" i="30"/>
  <c r="Z119" i="30"/>
  <c r="AO116" i="30"/>
  <c r="W54" i="30"/>
  <c r="T22" i="30"/>
  <c r="T53" i="30"/>
  <c r="T80" i="30"/>
  <c r="Q45" i="30"/>
  <c r="Q67" i="30"/>
  <c r="Q91" i="30"/>
  <c r="N37" i="30"/>
  <c r="N67" i="30"/>
  <c r="N119" i="30"/>
  <c r="K40" i="30"/>
  <c r="K61" i="30"/>
  <c r="AR46" i="30"/>
  <c r="AC54" i="30"/>
  <c r="T33" i="30"/>
  <c r="T54" i="30"/>
  <c r="T121" i="30"/>
  <c r="Q40" i="30"/>
  <c r="Q64" i="30"/>
  <c r="Q119" i="30"/>
  <c r="N38" i="30"/>
  <c r="N59" i="30"/>
  <c r="N80" i="30"/>
  <c r="K16" i="30"/>
  <c r="K50" i="30"/>
  <c r="K74" i="30"/>
  <c r="AL11" i="30"/>
  <c r="AI116" i="30"/>
  <c r="Z67" i="30"/>
  <c r="T56" i="30"/>
  <c r="Q54" i="30"/>
  <c r="Q75" i="30"/>
  <c r="Q121" i="30"/>
  <c r="N40" i="30"/>
  <c r="N61" i="30"/>
  <c r="N87" i="30"/>
  <c r="K18" i="30"/>
  <c r="K48" i="30"/>
  <c r="K72" i="30"/>
  <c r="AR120" i="30"/>
  <c r="AR121" i="30"/>
  <c r="AC56" i="30"/>
  <c r="Z120" i="30"/>
  <c r="W46" i="30"/>
  <c r="W38" i="30"/>
  <c r="AI120" i="30"/>
  <c r="AF117" i="30"/>
  <c r="W71" i="30"/>
  <c r="W121" i="30"/>
  <c r="T38" i="30"/>
  <c r="T71" i="30"/>
  <c r="T120" i="30"/>
  <c r="Q33" i="30"/>
  <c r="Q55" i="30"/>
  <c r="N47" i="30"/>
  <c r="N77" i="30"/>
  <c r="K19" i="30"/>
  <c r="K49" i="30"/>
  <c r="K73" i="30"/>
  <c r="AC117" i="30"/>
  <c r="T44" i="30"/>
  <c r="T66" i="30"/>
  <c r="Q50" i="30"/>
  <c r="Q77" i="30"/>
  <c r="N48" i="30"/>
  <c r="N116" i="30"/>
  <c r="K37" i="30"/>
  <c r="K64" i="30"/>
  <c r="W53" i="30"/>
  <c r="W120" i="30"/>
  <c r="T46" i="30"/>
  <c r="Q16" i="30"/>
  <c r="Q44" i="30"/>
  <c r="Q66" i="30"/>
  <c r="N50" i="30"/>
  <c r="N72" i="30"/>
  <c r="N118" i="30"/>
  <c r="K39" i="30"/>
  <c r="K60" i="30"/>
  <c r="AC60" i="30"/>
  <c r="AO61" i="30"/>
  <c r="W45" i="30"/>
  <c r="AI22" i="30"/>
  <c r="AF54" i="30"/>
  <c r="Z60" i="30"/>
  <c r="AC46" i="30"/>
  <c r="AC118" i="30"/>
  <c r="W44" i="30"/>
  <c r="AC11" i="30"/>
  <c r="W37" i="30"/>
  <c r="T11" i="30"/>
  <c r="T47" i="30"/>
  <c r="Q11" i="30"/>
  <c r="Q39" i="30"/>
  <c r="Q61" i="30"/>
  <c r="N53" i="30"/>
  <c r="N88" i="30"/>
  <c r="K36" i="30"/>
  <c r="K55" i="30"/>
  <c r="K77" i="30"/>
  <c r="AF60" i="30"/>
  <c r="AC33" i="30"/>
  <c r="Z118" i="30"/>
  <c r="W61" i="30"/>
  <c r="T72" i="30"/>
  <c r="T117" i="30"/>
  <c r="Q36" i="30"/>
  <c r="Q56" i="30"/>
  <c r="Q88" i="30"/>
  <c r="N54" i="30"/>
  <c r="N74" i="30"/>
  <c r="N120" i="30"/>
  <c r="K46" i="30"/>
  <c r="Z45" i="30"/>
  <c r="Q48" i="30"/>
  <c r="Q71" i="30"/>
  <c r="Q117" i="30"/>
  <c r="N36" i="30"/>
  <c r="N56" i="30"/>
  <c r="N76" i="30"/>
  <c r="K14" i="30"/>
  <c r="K44" i="30"/>
  <c r="K66" i="30"/>
  <c r="W67" i="30"/>
  <c r="AU117" i="30"/>
  <c r="AF120" i="30"/>
  <c r="AF56" i="30"/>
  <c r="W60" i="30"/>
  <c r="T116" i="30"/>
  <c r="Q118" i="30"/>
  <c r="K45" i="30"/>
  <c r="AF121" i="30"/>
  <c r="W72" i="30"/>
  <c r="N16" i="30"/>
  <c r="K20" i="30"/>
  <c r="AF11" i="30"/>
  <c r="W116" i="30"/>
  <c r="Q38" i="30"/>
  <c r="N46" i="30"/>
  <c r="K54" i="30"/>
  <c r="Q37" i="30"/>
  <c r="N117" i="30"/>
  <c r="K87" i="30"/>
  <c r="BA118" i="30"/>
  <c r="BM60" i="30"/>
  <c r="BJ46" i="30"/>
  <c r="BJ118" i="30"/>
  <c r="BG61" i="30"/>
  <c r="W47" i="30"/>
  <c r="T36" i="30"/>
  <c r="N22" i="30"/>
  <c r="N121" i="30"/>
  <c r="K75" i="30"/>
  <c r="BA22" i="30"/>
  <c r="Q53" i="30"/>
  <c r="N49" i="30"/>
  <c r="K86" i="30"/>
  <c r="BM120" i="30"/>
  <c r="BJ54" i="30"/>
  <c r="BJ121" i="30"/>
  <c r="AR54" i="30"/>
  <c r="AC67" i="30"/>
  <c r="Q49" i="30"/>
  <c r="N73" i="30"/>
  <c r="T39" i="30"/>
  <c r="Q46" i="30"/>
  <c r="N64" i="30"/>
  <c r="T64" i="30"/>
  <c r="N91" i="30"/>
  <c r="AC22" i="30"/>
  <c r="Q80" i="30"/>
  <c r="N55" i="30"/>
  <c r="K47" i="30"/>
  <c r="K116" i="30"/>
  <c r="BM117" i="30"/>
  <c r="BG118" i="30"/>
  <c r="BD61" i="30"/>
  <c r="W119" i="30"/>
  <c r="Q65" i="30"/>
  <c r="N60" i="30"/>
  <c r="K117" i="30"/>
  <c r="BA46" i="30"/>
  <c r="BA119" i="30"/>
  <c r="BG46" i="30"/>
  <c r="AC121" i="30"/>
  <c r="T67" i="30"/>
  <c r="Q116" i="30"/>
  <c r="K43" i="30"/>
  <c r="K103" i="30"/>
  <c r="BA121" i="30"/>
  <c r="AI117" i="30"/>
  <c r="Z46" i="30"/>
  <c r="Q72" i="30"/>
  <c r="K15" i="30"/>
  <c r="AF22" i="30"/>
  <c r="T60" i="30"/>
  <c r="Q73" i="30"/>
  <c r="N89" i="30"/>
  <c r="T119" i="30"/>
  <c r="K33" i="30"/>
  <c r="Q120" i="30"/>
  <c r="N75" i="30"/>
  <c r="K71" i="30"/>
  <c r="K120" i="30"/>
  <c r="BA61" i="30"/>
  <c r="BM54" i="30"/>
  <c r="BM121" i="30"/>
  <c r="BJ61" i="30"/>
  <c r="BD46" i="30"/>
  <c r="BD118" i="30"/>
  <c r="T118" i="30"/>
  <c r="K53" i="30"/>
  <c r="K121" i="30"/>
  <c r="BM11" i="30"/>
  <c r="T91" i="30"/>
  <c r="N11" i="30"/>
  <c r="K65" i="30"/>
  <c r="K119" i="30"/>
  <c r="BM116" i="30"/>
  <c r="BJ22" i="30"/>
  <c r="BJ117" i="30"/>
  <c r="BG22" i="30"/>
  <c r="AO117" i="30"/>
  <c r="N43" i="30"/>
  <c r="T37" i="30"/>
  <c r="Q59" i="30"/>
  <c r="N39" i="30"/>
  <c r="BM22" i="30"/>
  <c r="BD119" i="30"/>
  <c r="N71" i="30"/>
  <c r="BJ60" i="30"/>
  <c r="BG54" i="30"/>
  <c r="BD11" i="30"/>
  <c r="BD60" i="30"/>
  <c r="K118" i="30"/>
  <c r="BA116" i="30"/>
  <c r="N90" i="30"/>
  <c r="BM119" i="30"/>
  <c r="T40" i="30"/>
  <c r="BM92" i="30"/>
  <c r="AO92" i="30"/>
  <c r="Z92" i="30"/>
  <c r="N92" i="30"/>
  <c r="AX92" i="30"/>
  <c r="AI92" i="30"/>
  <c r="AO46" i="30"/>
  <c r="K67" i="30"/>
  <c r="N33" i="30"/>
  <c r="K90" i="30"/>
  <c r="N45" i="30"/>
  <c r="K22" i="30"/>
  <c r="AL92" i="30"/>
  <c r="AU92" i="30"/>
  <c r="AL46" i="30"/>
  <c r="Z11" i="30"/>
  <c r="W117" i="30"/>
  <c r="K56" i="30"/>
  <c r="N66" i="30"/>
  <c r="K11" i="30"/>
  <c r="K88" i="30"/>
  <c r="BJ119" i="30"/>
  <c r="T45" i="30"/>
  <c r="BA117" i="30"/>
  <c r="BJ11" i="30"/>
  <c r="BG11" i="30"/>
  <c r="BG117" i="30"/>
  <c r="BD22" i="30"/>
  <c r="BD117" i="30"/>
  <c r="BA54" i="30"/>
  <c r="BD120" i="30"/>
  <c r="K89" i="30"/>
  <c r="T61" i="30"/>
  <c r="K59" i="30"/>
  <c r="BG120" i="30"/>
  <c r="BA60" i="30"/>
  <c r="K38" i="30"/>
  <c r="BD92" i="30"/>
  <c r="AF92" i="30"/>
  <c r="T92" i="30"/>
  <c r="Q47" i="30"/>
  <c r="AR92" i="30"/>
  <c r="AX46" i="30"/>
  <c r="N101" i="30"/>
  <c r="BG119" i="30"/>
  <c r="BG60" i="30"/>
  <c r="Z61" i="30"/>
  <c r="BA56" i="30"/>
  <c r="BG116" i="30"/>
  <c r="W92" i="30"/>
  <c r="K102" i="30"/>
  <c r="AO120" i="30"/>
  <c r="Q22" i="30"/>
  <c r="W118" i="30"/>
  <c r="K76" i="30"/>
  <c r="K91" i="30"/>
  <c r="Q43" i="30"/>
  <c r="BM118" i="30"/>
  <c r="Q74" i="30"/>
  <c r="BG121" i="30"/>
  <c r="BD54" i="30"/>
  <c r="BD121" i="30"/>
  <c r="K80" i="30"/>
  <c r="AU116" i="30"/>
  <c r="BA11" i="30"/>
  <c r="K101" i="30"/>
  <c r="BD116" i="30"/>
  <c r="BA92" i="30"/>
  <c r="AC92" i="30"/>
  <c r="Q92" i="30"/>
  <c r="BA120" i="30"/>
  <c r="BG92" i="30"/>
  <c r="AU46" i="30"/>
  <c r="Z71" i="30"/>
  <c r="N44" i="30"/>
  <c r="Q60" i="30"/>
  <c r="K17" i="30"/>
  <c r="BJ120" i="30"/>
  <c r="N65" i="30"/>
  <c r="BJ92" i="30"/>
  <c r="K92" i="30"/>
  <c r="BJ116" i="30"/>
  <c r="N103" i="30"/>
  <c r="H103" i="28"/>
  <c r="I103" i="28"/>
  <c r="H50" i="28"/>
  <c r="I50" i="28"/>
  <c r="I64" i="28"/>
  <c r="H64" i="28"/>
  <c r="Q103" i="30"/>
  <c r="Q103" i="28" s="1"/>
  <c r="K32" i="30"/>
  <c r="Q101" i="30"/>
  <c r="R101" i="30" s="1"/>
  <c r="R101" i="28" s="1"/>
  <c r="N102" i="30"/>
  <c r="I101" i="28"/>
  <c r="H101" i="28"/>
  <c r="H120" i="28"/>
  <c r="I120" i="28"/>
  <c r="H47" i="28"/>
  <c r="I47" i="28"/>
  <c r="I67" i="28"/>
  <c r="H67" i="28"/>
  <c r="I73" i="28"/>
  <c r="H73" i="28"/>
  <c r="I43" i="28"/>
  <c r="H43" i="28"/>
  <c r="I91" i="28"/>
  <c r="H91" i="28"/>
  <c r="I37" i="28"/>
  <c r="H37" i="28"/>
  <c r="I77" i="28"/>
  <c r="H77" i="28"/>
  <c r="I87" i="28"/>
  <c r="H87" i="28"/>
  <c r="E51" i="36"/>
  <c r="X3" i="36"/>
  <c r="T7" i="30"/>
  <c r="Q7" i="28"/>
  <c r="U9" i="36"/>
  <c r="S9" i="36"/>
  <c r="O10" i="36"/>
  <c r="I59" i="28"/>
  <c r="I86" i="28"/>
  <c r="I102" i="28"/>
  <c r="I117" i="28"/>
  <c r="I14" i="28"/>
  <c r="M34" i="28"/>
  <c r="M31" i="28" s="1"/>
  <c r="M83" i="30"/>
  <c r="M83" i="28" s="1"/>
  <c r="P34" i="30"/>
  <c r="S32" i="30"/>
  <c r="N32" i="30"/>
  <c r="P32" i="28"/>
  <c r="Y101" i="30"/>
  <c r="T101" i="30"/>
  <c r="V101" i="28"/>
  <c r="T103" i="30"/>
  <c r="T103" i="28" s="1"/>
  <c r="Y103" i="30"/>
  <c r="V103" i="28"/>
  <c r="V102" i="30"/>
  <c r="S102" i="28"/>
  <c r="Q102" i="30"/>
  <c r="Q102" i="28" s="1"/>
  <c r="V5" i="30"/>
  <c r="S5" i="28"/>
  <c r="M208" i="30"/>
  <c r="W6" i="30"/>
  <c r="T6" i="28"/>
  <c r="Q25" i="30"/>
  <c r="Q25" i="28" s="1"/>
  <c r="S4" i="30"/>
  <c r="P4" i="28"/>
  <c r="N25" i="28"/>
  <c r="AQ13" i="24"/>
  <c r="AQ7" i="24" s="1"/>
  <c r="AQ8" i="24" s="1"/>
  <c r="AP7" i="24"/>
  <c r="AP8" i="24" s="1"/>
  <c r="Q9" i="28" l="1"/>
  <c r="AC28" i="36"/>
  <c r="L55" i="59"/>
  <c r="D12" i="57"/>
  <c r="D24" i="57" s="1"/>
  <c r="H24" i="30" s="1"/>
  <c r="E111" i="57"/>
  <c r="I111" i="30" s="1"/>
  <c r="AA206" i="30"/>
  <c r="P15" i="30"/>
  <c r="M15" i="28"/>
  <c r="F7" i="59"/>
  <c r="F8" i="59" s="1"/>
  <c r="F9" i="59" s="1"/>
  <c r="F10" i="59" s="1"/>
  <c r="F11" i="59" s="1"/>
  <c r="F12" i="59" s="1"/>
  <c r="F13" i="59" s="1"/>
  <c r="F14" i="59" s="1"/>
  <c r="F15" i="59" s="1"/>
  <c r="F16" i="59" s="1"/>
  <c r="F17" i="59" s="1"/>
  <c r="F18" i="59" s="1"/>
  <c r="F19" i="59" s="1"/>
  <c r="F20" i="59" s="1"/>
  <c r="F21" i="59" s="1"/>
  <c r="J10" i="30"/>
  <c r="M10" i="30" s="1"/>
  <c r="P10" i="30" s="1"/>
  <c r="S10" i="30" s="1"/>
  <c r="V10" i="30" s="1"/>
  <c r="Y10" i="30" s="1"/>
  <c r="AB10" i="30" s="1"/>
  <c r="AE10" i="30" s="1"/>
  <c r="AH10" i="30" s="1"/>
  <c r="AK10" i="30" s="1"/>
  <c r="AN10" i="30" s="1"/>
  <c r="AQ10" i="30" s="1"/>
  <c r="AT10" i="30" s="1"/>
  <c r="AW10" i="30" s="1"/>
  <c r="AZ10" i="30" s="1"/>
  <c r="BC10" i="30" s="1"/>
  <c r="BF10" i="30" s="1"/>
  <c r="BI10" i="30" s="1"/>
  <c r="BL10" i="30" s="1"/>
  <c r="BO10" i="30" s="1"/>
  <c r="I31" i="59"/>
  <c r="I9" i="28"/>
  <c r="L9" i="30"/>
  <c r="BM61" i="30"/>
  <c r="J7" i="32"/>
  <c r="H11" i="28"/>
  <c r="H111" i="28"/>
  <c r="Q76" i="30"/>
  <c r="Q78" i="30" s="1"/>
  <c r="Q78" i="28" s="1"/>
  <c r="Q69" i="28" s="1"/>
  <c r="M174" i="28"/>
  <c r="J126" i="32"/>
  <c r="C26" i="52"/>
  <c r="C29" i="52" s="1"/>
  <c r="E25" i="52"/>
  <c r="D25" i="52"/>
  <c r="F116" i="16"/>
  <c r="F119" i="16" s="1"/>
  <c r="F130" i="16" s="1"/>
  <c r="F133" i="16" s="1"/>
  <c r="M109" i="30"/>
  <c r="M109" i="28" s="1"/>
  <c r="J127" i="41"/>
  <c r="G128" i="41" s="1"/>
  <c r="C11" i="52"/>
  <c r="D11" i="52" s="1"/>
  <c r="P133" i="26"/>
  <c r="I62" i="28"/>
  <c r="I58" i="28" s="1"/>
  <c r="BO46" i="30"/>
  <c r="BL46" i="28"/>
  <c r="M181" i="30"/>
  <c r="M181" i="28" s="1"/>
  <c r="I11" i="28"/>
  <c r="AH72" i="30"/>
  <c r="AE72" i="28"/>
  <c r="J127" i="32"/>
  <c r="F128" i="32" s="1"/>
  <c r="D55" i="47"/>
  <c r="Y65" i="30"/>
  <c r="V65" i="28"/>
  <c r="AH47" i="30"/>
  <c r="AE47" i="28"/>
  <c r="J160" i="30"/>
  <c r="J167" i="30" s="1"/>
  <c r="Q5" i="51" s="1"/>
  <c r="B26" i="51"/>
  <c r="B25" i="51" s="1"/>
  <c r="S20" i="30"/>
  <c r="P20" i="28"/>
  <c r="AE39" i="30"/>
  <c r="AB39" i="28"/>
  <c r="Y49" i="30"/>
  <c r="V49" i="28"/>
  <c r="Y74" i="30"/>
  <c r="V74" i="28"/>
  <c r="AH71" i="30"/>
  <c r="AE71" i="28"/>
  <c r="Y55" i="30"/>
  <c r="V55" i="28"/>
  <c r="V57" i="30"/>
  <c r="V57" i="28" s="1"/>
  <c r="V52" i="28" s="1"/>
  <c r="AK44" i="30"/>
  <c r="AH44" i="28"/>
  <c r="BF37" i="30"/>
  <c r="BC37" i="28"/>
  <c r="AK67" i="30"/>
  <c r="AH67" i="28"/>
  <c r="D56" i="47"/>
  <c r="D58" i="47" s="1"/>
  <c r="D60" i="47" s="1"/>
  <c r="Q55" i="47"/>
  <c r="S17" i="30"/>
  <c r="P17" i="28"/>
  <c r="Y50" i="30"/>
  <c r="V50" i="28"/>
  <c r="AE45" i="30"/>
  <c r="AB45" i="28"/>
  <c r="S14" i="30"/>
  <c r="P14" i="28"/>
  <c r="S18" i="30"/>
  <c r="P18" i="28"/>
  <c r="V81" i="28"/>
  <c r="G82" i="16"/>
  <c r="S21" i="28"/>
  <c r="H13" i="16"/>
  <c r="H16" i="16" s="1"/>
  <c r="H82" i="16" s="1"/>
  <c r="H98" i="16" s="1"/>
  <c r="S109" i="30" s="1"/>
  <c r="V87" i="30"/>
  <c r="S87" i="28"/>
  <c r="Y36" i="30"/>
  <c r="V36" i="28"/>
  <c r="V41" i="30"/>
  <c r="V41" i="28" s="1"/>
  <c r="V35" i="28" s="1"/>
  <c r="V62" i="30"/>
  <c r="V62" i="28" s="1"/>
  <c r="V58" i="28" s="1"/>
  <c r="V59" i="28"/>
  <c r="Y59" i="30"/>
  <c r="I34" i="28"/>
  <c r="I31" i="28" s="1"/>
  <c r="S19" i="30"/>
  <c r="P19" i="28"/>
  <c r="Y75" i="30"/>
  <c r="V75" i="28"/>
  <c r="V76" i="30"/>
  <c r="V78" i="30" s="1"/>
  <c r="V78" i="28" s="1"/>
  <c r="V69" i="28" s="1"/>
  <c r="S76" i="28"/>
  <c r="AE38" i="30"/>
  <c r="AB38" i="28"/>
  <c r="V88" i="28"/>
  <c r="Y88" i="30"/>
  <c r="V161" i="30"/>
  <c r="V161" i="28" s="1"/>
  <c r="S178" i="30"/>
  <c r="S178" i="28" s="1"/>
  <c r="V90" i="30"/>
  <c r="S90" i="28"/>
  <c r="AH33" i="30"/>
  <c r="AE33" i="28"/>
  <c r="Y43" i="30"/>
  <c r="V51" i="30"/>
  <c r="V51" i="28" s="1"/>
  <c r="V42" i="28" s="1"/>
  <c r="V43" i="28"/>
  <c r="Y48" i="30"/>
  <c r="V48" i="28"/>
  <c r="H95" i="28"/>
  <c r="AH70" i="30"/>
  <c r="AF70" i="30" s="1"/>
  <c r="AE70" i="28"/>
  <c r="L21" i="16"/>
  <c r="K23" i="16"/>
  <c r="Y91" i="28"/>
  <c r="AB91" i="30"/>
  <c r="Y185" i="30"/>
  <c r="Y185" i="28" s="1"/>
  <c r="Y64" i="30"/>
  <c r="V68" i="30"/>
  <c r="V68" i="28" s="1"/>
  <c r="V63" i="28" s="1"/>
  <c r="V64" i="28"/>
  <c r="Y77" i="30"/>
  <c r="V77" i="28"/>
  <c r="BS19" i="24" a="1"/>
  <c r="BS19" i="24" s="1"/>
  <c r="BS20" i="24" s="1" a="1"/>
  <c r="BS20" i="24" s="1"/>
  <c r="BS21" i="24" s="1" a="1"/>
  <c r="BS21" i="24" s="1"/>
  <c r="AB80" i="30"/>
  <c r="Y80" i="28"/>
  <c r="AE53" i="30"/>
  <c r="AB53" i="28"/>
  <c r="Y73" i="30"/>
  <c r="V73" i="28"/>
  <c r="M184" i="28"/>
  <c r="M188" i="30"/>
  <c r="S89" i="28"/>
  <c r="S171" i="30"/>
  <c r="S171" i="28" s="1"/>
  <c r="V89" i="30"/>
  <c r="AB40" i="30"/>
  <c r="Y40" i="28"/>
  <c r="AB66" i="30"/>
  <c r="Y66" i="28"/>
  <c r="J83" i="28"/>
  <c r="J84" i="30"/>
  <c r="J84" i="28" s="1"/>
  <c r="J32" i="16"/>
  <c r="I40" i="16"/>
  <c r="BI56" i="30"/>
  <c r="BF56" i="28"/>
  <c r="L48" i="16"/>
  <c r="K51" i="16"/>
  <c r="BU19" i="24" a="1"/>
  <c r="BU19" i="24" s="1"/>
  <c r="K61" i="16"/>
  <c r="J67" i="16"/>
  <c r="Y81" i="30" s="1"/>
  <c r="P177" i="30"/>
  <c r="BE20" i="24"/>
  <c r="D7" i="41"/>
  <c r="J7" i="41" s="1"/>
  <c r="D127" i="41"/>
  <c r="D136" i="41"/>
  <c r="AC205" i="30"/>
  <c r="AC206" i="30" s="1"/>
  <c r="AF203" i="30"/>
  <c r="M42" i="16"/>
  <c r="L46" i="16"/>
  <c r="BF16" i="24"/>
  <c r="BC16" i="24" s="1"/>
  <c r="BF14" i="24"/>
  <c r="BC14" i="24" s="1"/>
  <c r="BF18" i="24"/>
  <c r="BC18" i="24" s="1"/>
  <c r="BF19" i="24"/>
  <c r="BC19" i="24" s="1"/>
  <c r="BF13" i="24"/>
  <c r="BF17" i="24"/>
  <c r="BC17" i="24" s="1"/>
  <c r="BF15" i="24"/>
  <c r="BC15" i="24" s="1"/>
  <c r="BG20" i="24"/>
  <c r="L54" i="16"/>
  <c r="K57" i="16"/>
  <c r="H41" i="28"/>
  <c r="H35" i="28" s="1"/>
  <c r="I128" i="41"/>
  <c r="E128" i="41"/>
  <c r="H128" i="41"/>
  <c r="BM20" i="24"/>
  <c r="T59" i="16"/>
  <c r="O60" i="16"/>
  <c r="BO16" i="24"/>
  <c r="BK16" i="24" s="1"/>
  <c r="BO19" i="24"/>
  <c r="BK19" i="24" s="1"/>
  <c r="BO18" i="24"/>
  <c r="BK18" i="24" s="1"/>
  <c r="BO15" i="24"/>
  <c r="BK15" i="24" s="1"/>
  <c r="BO13" i="24"/>
  <c r="BK13" i="24" s="1"/>
  <c r="BO17" i="24"/>
  <c r="BK17" i="24" s="1"/>
  <c r="BO14" i="24"/>
  <c r="BK14" i="24" s="1"/>
  <c r="K25" i="16"/>
  <c r="J30" i="16"/>
  <c r="AG203" i="30"/>
  <c r="AD205" i="30"/>
  <c r="AD206" i="30" s="1"/>
  <c r="I80" i="16"/>
  <c r="M95" i="30"/>
  <c r="M95" i="28" s="1"/>
  <c r="N86" i="30"/>
  <c r="N93" i="30" s="1"/>
  <c r="N93" i="28" s="1"/>
  <c r="P86" i="28"/>
  <c r="S86" i="30"/>
  <c r="S200" i="30" s="1"/>
  <c r="S201" i="30" s="1"/>
  <c r="S202" i="30" s="1"/>
  <c r="P93" i="30"/>
  <c r="P93" i="28" s="1"/>
  <c r="I41" i="28"/>
  <c r="I35" i="28" s="1"/>
  <c r="AB199" i="30"/>
  <c r="U8" i="36"/>
  <c r="AF8" i="36" s="1"/>
  <c r="Z9" i="36"/>
  <c r="AF9" i="36"/>
  <c r="H24" i="36"/>
  <c r="B24" i="36" s="1"/>
  <c r="C47" i="36" s="1"/>
  <c r="I47" i="36" s="1"/>
  <c r="I24" i="36"/>
  <c r="I78" i="28"/>
  <c r="I69" i="28" s="1"/>
  <c r="V16" i="28"/>
  <c r="Y16" i="30"/>
  <c r="P174" i="30"/>
  <c r="P170" i="28"/>
  <c r="H83" i="28"/>
  <c r="K34" i="30"/>
  <c r="K34" i="28" s="1"/>
  <c r="K31" i="28" s="1"/>
  <c r="Q101" i="28"/>
  <c r="L32" i="30"/>
  <c r="L32" i="28" s="1"/>
  <c r="I51" i="28"/>
  <c r="I42" i="28" s="1"/>
  <c r="I123" i="28"/>
  <c r="K32" i="28"/>
  <c r="Y134" i="30"/>
  <c r="V140" i="30"/>
  <c r="P191" i="30"/>
  <c r="M193" i="28"/>
  <c r="K209" i="30"/>
  <c r="I93" i="28"/>
  <c r="I68" i="28"/>
  <c r="I63" i="28" s="1"/>
  <c r="O65" i="30"/>
  <c r="O65" i="28" s="1"/>
  <c r="N65" i="28"/>
  <c r="O44" i="30"/>
  <c r="O44" i="28" s="1"/>
  <c r="N44" i="28"/>
  <c r="K101" i="28"/>
  <c r="L101" i="30"/>
  <c r="BD122" i="28"/>
  <c r="BE121" i="30"/>
  <c r="BE122" i="28" s="1"/>
  <c r="R43" i="30"/>
  <c r="Q43" i="28"/>
  <c r="Q51" i="30"/>
  <c r="Q51" i="28" s="1"/>
  <c r="Q42" i="28" s="1"/>
  <c r="W119" i="28"/>
  <c r="X118" i="30"/>
  <c r="X119" i="28" s="1"/>
  <c r="AG92" i="30"/>
  <c r="AG92" i="28" s="1"/>
  <c r="AF92" i="28"/>
  <c r="AA11" i="30"/>
  <c r="Z11" i="28"/>
  <c r="Z26" i="30"/>
  <c r="Z26" i="28" s="1"/>
  <c r="AP92" i="30"/>
  <c r="AP92" i="28" s="1"/>
  <c r="AO92" i="28"/>
  <c r="BE119" i="30"/>
  <c r="BE120" i="28" s="1"/>
  <c r="BD120" i="28"/>
  <c r="AP117" i="30"/>
  <c r="AP118" i="28" s="1"/>
  <c r="AO118" i="28"/>
  <c r="U119" i="30"/>
  <c r="U120" i="28" s="1"/>
  <c r="T120" i="28"/>
  <c r="Z46" i="28"/>
  <c r="AA46" i="30"/>
  <c r="AA46" i="28" s="1"/>
  <c r="U77" i="30"/>
  <c r="U77" i="28" s="1"/>
  <c r="T77" i="28"/>
  <c r="Q53" i="28"/>
  <c r="Q57" i="30"/>
  <c r="Q57" i="28" s="1"/>
  <c r="Q52" i="28" s="1"/>
  <c r="R53" i="30"/>
  <c r="BA22" i="28"/>
  <c r="BB22" i="30"/>
  <c r="BB22" i="28" s="1"/>
  <c r="BG61" i="28"/>
  <c r="BH61" i="30"/>
  <c r="BH61" i="28" s="1"/>
  <c r="K87" i="28"/>
  <c r="L87" i="30"/>
  <c r="L87" i="28" s="1"/>
  <c r="W72" i="28"/>
  <c r="X72" i="30"/>
  <c r="X72" i="28" s="1"/>
  <c r="N121" i="28"/>
  <c r="O120" i="30"/>
  <c r="O121" i="28" s="1"/>
  <c r="X61" i="30"/>
  <c r="X61" i="28" s="1"/>
  <c r="W61" i="28"/>
  <c r="R87" i="30"/>
  <c r="R87" i="28" s="1"/>
  <c r="Q87" i="28"/>
  <c r="K60" i="28"/>
  <c r="L60" i="30"/>
  <c r="L60" i="28" s="1"/>
  <c r="W121" i="28"/>
  <c r="X120" i="30"/>
  <c r="X121" i="28" s="1"/>
  <c r="N20" i="28"/>
  <c r="O20" i="30"/>
  <c r="O20" i="28" s="1"/>
  <c r="L49" i="30"/>
  <c r="L49" i="28" s="1"/>
  <c r="K49" i="28"/>
  <c r="X38" i="30"/>
  <c r="X38" i="28" s="1"/>
  <c r="W38" i="28"/>
  <c r="Q54" i="28"/>
  <c r="R54" i="30"/>
  <c r="R54" i="28" s="1"/>
  <c r="K50" i="28"/>
  <c r="L50" i="30"/>
  <c r="L50" i="28" s="1"/>
  <c r="X91" i="30"/>
  <c r="X91" i="28" s="1"/>
  <c r="W91" i="28"/>
  <c r="N37" i="28"/>
  <c r="O37" i="30"/>
  <c r="O37" i="28" s="1"/>
  <c r="AP116" i="30"/>
  <c r="AO117" i="28"/>
  <c r="AJ11" i="30"/>
  <c r="AI11" i="28"/>
  <c r="AI26" i="30"/>
  <c r="AI26" i="28" s="1"/>
  <c r="AA121" i="30"/>
  <c r="AA122" i="28" s="1"/>
  <c r="Z122" i="28"/>
  <c r="AU22" i="28"/>
  <c r="AV22" i="30"/>
  <c r="AV22" i="28" s="1"/>
  <c r="AD116" i="30"/>
  <c r="AC117" i="28"/>
  <c r="AC124" i="30"/>
  <c r="AC123" i="28" s="1"/>
  <c r="AA53" i="30"/>
  <c r="Z53" i="28"/>
  <c r="AL122" i="28"/>
  <c r="AM121" i="30"/>
  <c r="AM122" i="28" s="1"/>
  <c r="AS22" i="30"/>
  <c r="AS22" i="28" s="1"/>
  <c r="AR22" i="28"/>
  <c r="AI120" i="28"/>
  <c r="AJ119" i="30"/>
  <c r="AJ120" i="28" s="1"/>
  <c r="AO122" i="28"/>
  <c r="AP121" i="30"/>
  <c r="AP122" i="28" s="1"/>
  <c r="AO56" i="28"/>
  <c r="AP56" i="30"/>
  <c r="AP56" i="28" s="1"/>
  <c r="AR120" i="28"/>
  <c r="AS119" i="30"/>
  <c r="AS120" i="28" s="1"/>
  <c r="I53" i="28"/>
  <c r="R103" i="30"/>
  <c r="R103" i="28" s="1"/>
  <c r="L92" i="30"/>
  <c r="L92" i="28" s="1"/>
  <c r="K92" i="28"/>
  <c r="BG92" i="28"/>
  <c r="BH92" i="30"/>
  <c r="BH92" i="28" s="1"/>
  <c r="AD92" i="30"/>
  <c r="AD92" i="28" s="1"/>
  <c r="AC92" i="28"/>
  <c r="AU117" i="28"/>
  <c r="AV116" i="30"/>
  <c r="BD54" i="28"/>
  <c r="BE54" i="30"/>
  <c r="BE54" i="28" s="1"/>
  <c r="R74" i="30"/>
  <c r="R74" i="28" s="1"/>
  <c r="Q74" i="28"/>
  <c r="K76" i="28"/>
  <c r="L76" i="30"/>
  <c r="L76" i="28" s="1"/>
  <c r="AO121" i="28"/>
  <c r="AP120" i="30"/>
  <c r="AP121" i="28" s="1"/>
  <c r="BG124" i="30"/>
  <c r="BG123" i="28" s="1"/>
  <c r="BH116" i="30"/>
  <c r="BG117" i="28"/>
  <c r="Q47" i="28"/>
  <c r="R47" i="30"/>
  <c r="R47" i="28" s="1"/>
  <c r="K38" i="28"/>
  <c r="L38" i="30"/>
  <c r="L38" i="28" s="1"/>
  <c r="BG121" i="28"/>
  <c r="BH120" i="30"/>
  <c r="BH121" i="28" s="1"/>
  <c r="L59" i="30"/>
  <c r="K62" i="30"/>
  <c r="K62" i="28" s="1"/>
  <c r="K58" i="28" s="1"/>
  <c r="K59" i="28"/>
  <c r="BD118" i="28"/>
  <c r="BE117" i="30"/>
  <c r="BE118" i="28" s="1"/>
  <c r="BG118" i="28"/>
  <c r="BH117" i="30"/>
  <c r="BH118" i="28" s="1"/>
  <c r="BB117" i="30"/>
  <c r="BB118" i="28" s="1"/>
  <c r="BA118" i="28"/>
  <c r="BK119" i="30"/>
  <c r="BK120" i="28" s="1"/>
  <c r="BJ120" i="28"/>
  <c r="U55" i="30"/>
  <c r="U55" i="28" s="1"/>
  <c r="T55" i="28"/>
  <c r="L90" i="30"/>
  <c r="L90" i="28" s="1"/>
  <c r="K90" i="28"/>
  <c r="K67" i="28"/>
  <c r="L67" i="30"/>
  <c r="L67" i="28" s="1"/>
  <c r="O92" i="30"/>
  <c r="O92" i="28" s="1"/>
  <c r="N92" i="28"/>
  <c r="O90" i="30"/>
  <c r="O90" i="28" s="1"/>
  <c r="N90" i="28"/>
  <c r="BB116" i="30"/>
  <c r="BA117" i="28"/>
  <c r="BA124" i="30"/>
  <c r="BA123" i="28" s="1"/>
  <c r="N51" i="30"/>
  <c r="N51" i="28" s="1"/>
  <c r="N42" i="28" s="1"/>
  <c r="O43" i="30"/>
  <c r="N43" i="28"/>
  <c r="BH22" i="30"/>
  <c r="BH22" i="28" s="1"/>
  <c r="BG22" i="28"/>
  <c r="BK22" i="30"/>
  <c r="BK22" i="28" s="1"/>
  <c r="BJ22" i="28"/>
  <c r="U91" i="30"/>
  <c r="U91" i="28" s="1"/>
  <c r="T91" i="28"/>
  <c r="BD56" i="28"/>
  <c r="BE56" i="30"/>
  <c r="BE56" i="28" s="1"/>
  <c r="K122" i="28"/>
  <c r="L121" i="30"/>
  <c r="L122" i="28" s="1"/>
  <c r="U118" i="30"/>
  <c r="U119" i="28" s="1"/>
  <c r="T119" i="28"/>
  <c r="K71" i="28"/>
  <c r="L71" i="30"/>
  <c r="L71" i="28" s="1"/>
  <c r="L33" i="30"/>
  <c r="L33" i="28" s="1"/>
  <c r="K33" i="28"/>
  <c r="T62" i="30"/>
  <c r="T62" i="28" s="1"/>
  <c r="T58" i="28" s="1"/>
  <c r="U59" i="30"/>
  <c r="T59" i="28"/>
  <c r="K51" i="30"/>
  <c r="K51" i="28" s="1"/>
  <c r="K42" i="28" s="1"/>
  <c r="L43" i="30"/>
  <c r="K43" i="28"/>
  <c r="BB46" i="30"/>
  <c r="BB46" i="28" s="1"/>
  <c r="BA46" i="28"/>
  <c r="N60" i="28"/>
  <c r="O60" i="30"/>
  <c r="O60" i="28" s="1"/>
  <c r="BH118" i="30"/>
  <c r="BH119" i="28" s="1"/>
  <c r="BG119" i="28"/>
  <c r="Q80" i="28"/>
  <c r="R80" i="30"/>
  <c r="R80" i="28" s="1"/>
  <c r="T68" i="30"/>
  <c r="T68" i="28" s="1"/>
  <c r="T63" i="28" s="1"/>
  <c r="T64" i="28"/>
  <c r="U64" i="30"/>
  <c r="R46" i="30"/>
  <c r="R46" i="28" s="1"/>
  <c r="Q46" i="28"/>
  <c r="N73" i="28"/>
  <c r="O73" i="30"/>
  <c r="O73" i="28" s="1"/>
  <c r="AC67" i="28"/>
  <c r="AD67" i="30"/>
  <c r="AD67" i="28" s="1"/>
  <c r="K93" i="30"/>
  <c r="K93" i="28" s="1"/>
  <c r="K86" i="28"/>
  <c r="L86" i="30"/>
  <c r="O121" i="30"/>
  <c r="O122" i="28" s="1"/>
  <c r="N122" i="28"/>
  <c r="W47" i="28"/>
  <c r="X47" i="30"/>
  <c r="X47" i="28" s="1"/>
  <c r="BJ119" i="28"/>
  <c r="BK118" i="30"/>
  <c r="BK119" i="28" s="1"/>
  <c r="O17" i="30"/>
  <c r="O17" i="28" s="1"/>
  <c r="N17" i="28"/>
  <c r="R38" i="30"/>
  <c r="R38" i="28" s="1"/>
  <c r="Q38" i="28"/>
  <c r="O16" i="30"/>
  <c r="O16" i="28" s="1"/>
  <c r="N16" i="28"/>
  <c r="K45" i="28"/>
  <c r="L45" i="30"/>
  <c r="L45" i="28" s="1"/>
  <c r="O76" i="30"/>
  <c r="O76" i="28" s="1"/>
  <c r="N76" i="28"/>
  <c r="Q71" i="28"/>
  <c r="R71" i="30"/>
  <c r="R71" i="28" s="1"/>
  <c r="U50" i="30"/>
  <c r="U50" i="28" s="1"/>
  <c r="T50" i="28"/>
  <c r="Z45" i="28"/>
  <c r="AA45" i="30"/>
  <c r="AA45" i="28" s="1"/>
  <c r="K70" i="28"/>
  <c r="K78" i="30"/>
  <c r="K78" i="28" s="1"/>
  <c r="K69" i="28" s="1"/>
  <c r="L70" i="30"/>
  <c r="N54" i="28"/>
  <c r="O54" i="30"/>
  <c r="O54" i="28" s="1"/>
  <c r="Q41" i="30"/>
  <c r="Q41" i="28" s="1"/>
  <c r="Q35" i="28" s="1"/>
  <c r="Q36" i="28"/>
  <c r="R36" i="30"/>
  <c r="K77" i="28"/>
  <c r="L77" i="30"/>
  <c r="L77" i="28" s="1"/>
  <c r="N57" i="30"/>
  <c r="N57" i="28" s="1"/>
  <c r="N52" i="28" s="1"/>
  <c r="O53" i="30"/>
  <c r="N53" i="28"/>
  <c r="Q39" i="28"/>
  <c r="R39" i="30"/>
  <c r="R39" i="28" s="1"/>
  <c r="U11" i="30"/>
  <c r="T11" i="28"/>
  <c r="T26" i="30"/>
  <c r="T26" i="28" s="1"/>
  <c r="AC46" i="28"/>
  <c r="AD46" i="30"/>
  <c r="AD46" i="28" s="1"/>
  <c r="Z60" i="28"/>
  <c r="AA60" i="30"/>
  <c r="AA60" i="28" s="1"/>
  <c r="W45" i="28"/>
  <c r="X45" i="30"/>
  <c r="X45" i="28" s="1"/>
  <c r="AC60" i="28"/>
  <c r="AD60" i="30"/>
  <c r="AD60" i="28" s="1"/>
  <c r="N119" i="28"/>
  <c r="O118" i="30"/>
  <c r="O119" i="28" s="1"/>
  <c r="R90" i="30"/>
  <c r="R90" i="28" s="1"/>
  <c r="Q90" i="28"/>
  <c r="T70" i="28"/>
  <c r="U70" i="30"/>
  <c r="W53" i="28"/>
  <c r="X53" i="30"/>
  <c r="N70" i="28"/>
  <c r="O70" i="30"/>
  <c r="N78" i="30"/>
  <c r="N78" i="28" s="1"/>
  <c r="N69" i="28" s="1"/>
  <c r="Q50" i="28"/>
  <c r="R50" i="30"/>
  <c r="R50" i="28" s="1"/>
  <c r="T44" i="28"/>
  <c r="U44" i="30"/>
  <c r="U44" i="28" s="1"/>
  <c r="O77" i="30"/>
  <c r="O77" i="28" s="1"/>
  <c r="N77" i="28"/>
  <c r="R55" i="30"/>
  <c r="R55" i="28" s="1"/>
  <c r="Q55" i="28"/>
  <c r="U38" i="30"/>
  <c r="U38" i="28" s="1"/>
  <c r="T38" i="28"/>
  <c r="AG117" i="30"/>
  <c r="AG118" i="28" s="1"/>
  <c r="AF118" i="28"/>
  <c r="X46" i="30"/>
  <c r="X46" i="28" s="1"/>
  <c r="W46" i="28"/>
  <c r="AS121" i="30"/>
  <c r="AS122" i="28" s="1"/>
  <c r="AR122" i="28"/>
  <c r="U49" i="30"/>
  <c r="U49" i="28" s="1"/>
  <c r="T49" i="28"/>
  <c r="L18" i="30"/>
  <c r="L18" i="28" s="1"/>
  <c r="K18" i="28"/>
  <c r="Q122" i="28"/>
  <c r="R121" i="30"/>
  <c r="R122" i="28" s="1"/>
  <c r="T88" i="28"/>
  <c r="U88" i="30"/>
  <c r="U88" i="28" s="1"/>
  <c r="AM11" i="30"/>
  <c r="AL11" i="28"/>
  <c r="AL26" i="30"/>
  <c r="AL26" i="28" s="1"/>
  <c r="N80" i="28"/>
  <c r="O80" i="30"/>
  <c r="O80" i="28" s="1"/>
  <c r="Q68" i="30"/>
  <c r="Q68" i="28" s="1"/>
  <c r="Q63" i="28" s="1"/>
  <c r="Q64" i="28"/>
  <c r="R64" i="30"/>
  <c r="U54" i="30"/>
  <c r="U54" i="28" s="1"/>
  <c r="T54" i="28"/>
  <c r="O119" i="30"/>
  <c r="O120" i="28" s="1"/>
  <c r="N120" i="28"/>
  <c r="Q67" i="28"/>
  <c r="R67" i="30"/>
  <c r="R67" i="28" s="1"/>
  <c r="U53" i="30"/>
  <c r="T57" i="30"/>
  <c r="T57" i="28" s="1"/>
  <c r="T52" i="28" s="1"/>
  <c r="T53" i="28"/>
  <c r="AC72" i="28"/>
  <c r="AD72" i="30"/>
  <c r="AD72" i="28" s="1"/>
  <c r="AA37" i="30"/>
  <c r="AA37" i="28" s="1"/>
  <c r="Z37" i="28"/>
  <c r="AJ56" i="30"/>
  <c r="AJ56" i="28" s="1"/>
  <c r="AI56" i="28"/>
  <c r="Z54" i="28"/>
  <c r="AA54" i="30"/>
  <c r="AA54" i="28" s="1"/>
  <c r="X33" i="30"/>
  <c r="X33" i="28" s="1"/>
  <c r="W33" i="28"/>
  <c r="AJ118" i="30"/>
  <c r="AJ119" i="28" s="1"/>
  <c r="AI119" i="28"/>
  <c r="U43" i="30"/>
  <c r="T51" i="30"/>
  <c r="T51" i="28" s="1"/>
  <c r="T42" i="28" s="1"/>
  <c r="T43" i="28"/>
  <c r="AO37" i="28"/>
  <c r="AP37" i="30"/>
  <c r="AP37" i="28" s="1"/>
  <c r="W56" i="28"/>
  <c r="X56" i="30"/>
  <c r="X56" i="28" s="1"/>
  <c r="AG44" i="30"/>
  <c r="AG44" i="28" s="1"/>
  <c r="AF44" i="28"/>
  <c r="X22" i="30"/>
  <c r="X22" i="28" s="1"/>
  <c r="W22" i="28"/>
  <c r="AM61" i="30"/>
  <c r="AM61" i="28" s="1"/>
  <c r="AL61" i="28"/>
  <c r="AX120" i="28"/>
  <c r="AY119" i="30"/>
  <c r="AY120" i="28" s="1"/>
  <c r="AP119" i="30"/>
  <c r="AP120" i="28" s="1"/>
  <c r="AO120" i="28"/>
  <c r="W11" i="28"/>
  <c r="W26" i="30"/>
  <c r="W26" i="28" s="1"/>
  <c r="X11" i="30"/>
  <c r="AD119" i="30"/>
  <c r="AD120" i="28" s="1"/>
  <c r="AC120" i="28"/>
  <c r="AG67" i="30"/>
  <c r="AG67" i="28" s="1"/>
  <c r="AF67" i="28"/>
  <c r="AX11" i="28"/>
  <c r="AX26" i="30"/>
  <c r="AX26" i="28" s="1"/>
  <c r="AY11" i="30"/>
  <c r="AO124" i="30"/>
  <c r="AO123" i="28" s="1"/>
  <c r="AP118" i="30"/>
  <c r="AP119" i="28" s="1"/>
  <c r="AO119" i="28"/>
  <c r="AJ37" i="30"/>
  <c r="AJ37" i="28" s="1"/>
  <c r="AI37" i="28"/>
  <c r="AX54" i="28"/>
  <c r="AY54" i="30"/>
  <c r="AY54" i="28" s="1"/>
  <c r="AY22" i="30"/>
  <c r="AY22" i="28" s="1"/>
  <c r="AX22" i="28"/>
  <c r="BH121" i="30"/>
  <c r="BH122" i="28" s="1"/>
  <c r="BG122" i="28"/>
  <c r="K102" i="28"/>
  <c r="L102" i="30"/>
  <c r="L102" i="28" s="1"/>
  <c r="AA61" i="30"/>
  <c r="AA61" i="28" s="1"/>
  <c r="Z61" i="28"/>
  <c r="BA54" i="28"/>
  <c r="BB54" i="30"/>
  <c r="BB54" i="28" s="1"/>
  <c r="U45" i="30"/>
  <c r="U45" i="28" s="1"/>
  <c r="T45" i="28"/>
  <c r="O66" i="30"/>
  <c r="O66" i="28" s="1"/>
  <c r="N66" i="28"/>
  <c r="BM120" i="28"/>
  <c r="BN119" i="30"/>
  <c r="BN120" i="28" s="1"/>
  <c r="K119" i="28"/>
  <c r="L118" i="30"/>
  <c r="L119" i="28" s="1"/>
  <c r="BJ60" i="28"/>
  <c r="BK60" i="30"/>
  <c r="BK60" i="28" s="1"/>
  <c r="L65" i="30"/>
  <c r="L65" i="28" s="1"/>
  <c r="K65" i="28"/>
  <c r="K15" i="28"/>
  <c r="L15" i="30"/>
  <c r="L15" i="28" s="1"/>
  <c r="BB121" i="30"/>
  <c r="BB122" i="28" s="1"/>
  <c r="BA122" i="28"/>
  <c r="U67" i="30"/>
  <c r="U67" i="28" s="1"/>
  <c r="T67" i="28"/>
  <c r="BE61" i="30"/>
  <c r="BE61" i="28" s="1"/>
  <c r="BD61" i="28"/>
  <c r="K47" i="28"/>
  <c r="L47" i="30"/>
  <c r="L47" i="28" s="1"/>
  <c r="BK46" i="30"/>
  <c r="BK46" i="28" s="1"/>
  <c r="BJ46" i="28"/>
  <c r="AG11" i="30"/>
  <c r="AF11" i="28"/>
  <c r="AF26" i="30"/>
  <c r="AF26" i="28" s="1"/>
  <c r="L44" i="30"/>
  <c r="L44" i="28" s="1"/>
  <c r="K44" i="28"/>
  <c r="W80" i="28"/>
  <c r="X80" i="30"/>
  <c r="X80" i="28" s="1"/>
  <c r="T72" i="28"/>
  <c r="U72" i="30"/>
  <c r="U72" i="28" s="1"/>
  <c r="K36" i="28"/>
  <c r="K41" i="30"/>
  <c r="K41" i="28" s="1"/>
  <c r="K35" i="28" s="1"/>
  <c r="L36" i="30"/>
  <c r="W37" i="28"/>
  <c r="X37" i="30"/>
  <c r="X37" i="28" s="1"/>
  <c r="AG54" i="30"/>
  <c r="AG54" i="28" s="1"/>
  <c r="AF54" i="28"/>
  <c r="W71" i="28"/>
  <c r="X71" i="30"/>
  <c r="X71" i="28" s="1"/>
  <c r="AR121" i="28"/>
  <c r="AS120" i="30"/>
  <c r="AS121" i="28" s="1"/>
  <c r="N61" i="28"/>
  <c r="O61" i="30"/>
  <c r="O61" i="28" s="1"/>
  <c r="T122" i="28"/>
  <c r="U121" i="30"/>
  <c r="U122" i="28" s="1"/>
  <c r="L61" i="30"/>
  <c r="L61" i="28" s="1"/>
  <c r="K61" i="28"/>
  <c r="AO60" i="28"/>
  <c r="AP60" i="30"/>
  <c r="AP60" i="28" s="1"/>
  <c r="AF124" i="30"/>
  <c r="AF123" i="28" s="1"/>
  <c r="AG116" i="30"/>
  <c r="AF117" i="28"/>
  <c r="AL118" i="28"/>
  <c r="AM117" i="30"/>
  <c r="AM118" i="28" s="1"/>
  <c r="AS61" i="30"/>
  <c r="AS61" i="28" s="1"/>
  <c r="AR61" i="28"/>
  <c r="AY117" i="30"/>
  <c r="AY118" i="28" s="1"/>
  <c r="AX118" i="28"/>
  <c r="AX119" i="28"/>
  <c r="AY118" i="30"/>
  <c r="AY119" i="28" s="1"/>
  <c r="N103" i="28"/>
  <c r="O103" i="30"/>
  <c r="O103" i="28" s="1"/>
  <c r="BK92" i="30"/>
  <c r="BK92" i="28" s="1"/>
  <c r="BJ92" i="28"/>
  <c r="Q60" i="28"/>
  <c r="R60" i="30"/>
  <c r="R60" i="28" s="1"/>
  <c r="AU46" i="28"/>
  <c r="AV46" i="30"/>
  <c r="AV46" i="28" s="1"/>
  <c r="BA121" i="28"/>
  <c r="BB120" i="30"/>
  <c r="BB121" i="28" s="1"/>
  <c r="BA92" i="28"/>
  <c r="BB92" i="30"/>
  <c r="BB92" i="28" s="1"/>
  <c r="BD117" i="28"/>
  <c r="BE116" i="30"/>
  <c r="BD124" i="30"/>
  <c r="BD123" i="28" s="1"/>
  <c r="L80" i="30"/>
  <c r="L80" i="28" s="1"/>
  <c r="K80" i="28"/>
  <c r="BG120" i="28"/>
  <c r="BH119" i="30"/>
  <c r="BH120" i="28" s="1"/>
  <c r="AX46" i="28"/>
  <c r="AY46" i="30"/>
  <c r="AY46" i="28" s="1"/>
  <c r="U92" i="30"/>
  <c r="U92" i="28" s="1"/>
  <c r="T92" i="28"/>
  <c r="BA60" i="28"/>
  <c r="BB60" i="30"/>
  <c r="BB60" i="28" s="1"/>
  <c r="T61" i="28"/>
  <c r="U61" i="30"/>
  <c r="U61" i="28" s="1"/>
  <c r="L89" i="30"/>
  <c r="L89" i="28" s="1"/>
  <c r="K89" i="28"/>
  <c r="BB37" i="30"/>
  <c r="BB37" i="28" s="1"/>
  <c r="BA37" i="28"/>
  <c r="K11" i="28"/>
  <c r="K26" i="30"/>
  <c r="K26" i="28" s="1"/>
  <c r="L11" i="30"/>
  <c r="W118" i="28"/>
  <c r="X117" i="30"/>
  <c r="X118" i="28" s="1"/>
  <c r="AU92" i="28"/>
  <c r="AV92" i="30"/>
  <c r="AV92" i="28" s="1"/>
  <c r="L22" i="30"/>
  <c r="L22" i="28" s="1"/>
  <c r="K22" i="28"/>
  <c r="AJ92" i="30"/>
  <c r="AJ92" i="28" s="1"/>
  <c r="AI92" i="28"/>
  <c r="AA92" i="30"/>
  <c r="AA92" i="28" s="1"/>
  <c r="Z92" i="28"/>
  <c r="BE60" i="30"/>
  <c r="BE60" i="28" s="1"/>
  <c r="BD60" i="28"/>
  <c r="BG54" i="28"/>
  <c r="BH54" i="30"/>
  <c r="BH54" i="28" s="1"/>
  <c r="O71" i="30"/>
  <c r="O71" i="28" s="1"/>
  <c r="N71" i="28"/>
  <c r="BM22" i="28"/>
  <c r="BN22" i="30"/>
  <c r="BN22" i="28" s="1"/>
  <c r="R59" i="30"/>
  <c r="Q62" i="30"/>
  <c r="Q62" i="28" s="1"/>
  <c r="Q58" i="28" s="1"/>
  <c r="Q59" i="28"/>
  <c r="BJ118" i="28"/>
  <c r="BK117" i="30"/>
  <c r="BK118" i="28" s="1"/>
  <c r="BM117" i="28"/>
  <c r="BN116" i="30"/>
  <c r="BM124" i="30"/>
  <c r="BM123" i="28" s="1"/>
  <c r="K120" i="28"/>
  <c r="L119" i="30"/>
  <c r="L120" i="28" s="1"/>
  <c r="BM61" i="28"/>
  <c r="BN61" i="30"/>
  <c r="BN61" i="28" s="1"/>
  <c r="L53" i="30"/>
  <c r="K53" i="28"/>
  <c r="K57" i="30"/>
  <c r="K57" i="28" s="1"/>
  <c r="K52" i="28" s="1"/>
  <c r="BD46" i="28"/>
  <c r="BE46" i="30"/>
  <c r="BE46" i="28" s="1"/>
  <c r="BM122" i="28"/>
  <c r="BN121" i="30"/>
  <c r="BN122" i="28" s="1"/>
  <c r="BA61" i="28"/>
  <c r="BB61" i="30"/>
  <c r="BB61" i="28" s="1"/>
  <c r="N75" i="28"/>
  <c r="O75" i="30"/>
  <c r="O75" i="28" s="1"/>
  <c r="O14" i="30"/>
  <c r="O14" i="28" s="1"/>
  <c r="N14" i="28"/>
  <c r="O89" i="30"/>
  <c r="O89" i="28" s="1"/>
  <c r="N89" i="28"/>
  <c r="AG22" i="30"/>
  <c r="AG22" i="28" s="1"/>
  <c r="AF22" i="28"/>
  <c r="Q124" i="30"/>
  <c r="Q123" i="28" s="1"/>
  <c r="R116" i="30"/>
  <c r="Q117" i="28"/>
  <c r="BH46" i="30"/>
  <c r="BH46" i="28" s="1"/>
  <c r="BG46" i="28"/>
  <c r="BB119" i="30"/>
  <c r="BB120" i="28" s="1"/>
  <c r="BA120" i="28"/>
  <c r="Q65" i="28"/>
  <c r="R65" i="30"/>
  <c r="R65" i="28" s="1"/>
  <c r="K124" i="30"/>
  <c r="K123" i="28" s="1"/>
  <c r="K117" i="28"/>
  <c r="L116" i="30"/>
  <c r="AC22" i="28"/>
  <c r="AD22" i="30"/>
  <c r="AD22" i="28" s="1"/>
  <c r="T39" i="28"/>
  <c r="U39" i="30"/>
  <c r="U39" i="28" s="1"/>
  <c r="Q49" i="28"/>
  <c r="R49" i="30"/>
  <c r="R49" i="28" s="1"/>
  <c r="AR54" i="28"/>
  <c r="AS54" i="30"/>
  <c r="AS54" i="28" s="1"/>
  <c r="BJ54" i="28"/>
  <c r="BK54" i="30"/>
  <c r="BK54" i="28" s="1"/>
  <c r="N49" i="28"/>
  <c r="O49" i="30"/>
  <c r="O49" i="28" s="1"/>
  <c r="N22" i="28"/>
  <c r="O22" i="30"/>
  <c r="O22" i="28" s="1"/>
  <c r="BN60" i="30"/>
  <c r="BN60" i="28" s="1"/>
  <c r="BM60" i="28"/>
  <c r="Q37" i="28"/>
  <c r="R37" i="30"/>
  <c r="R37" i="28" s="1"/>
  <c r="W117" i="28"/>
  <c r="W124" i="30"/>
  <c r="W123" i="28" s="1"/>
  <c r="X116" i="30"/>
  <c r="Q119" i="28"/>
  <c r="R118" i="30"/>
  <c r="R119" i="28" s="1"/>
  <c r="AG56" i="30"/>
  <c r="AG56" i="28" s="1"/>
  <c r="AF56" i="28"/>
  <c r="AU118" i="28"/>
  <c r="AV117" i="30"/>
  <c r="AV118" i="28" s="1"/>
  <c r="K66" i="28"/>
  <c r="L66" i="30"/>
  <c r="L66" i="28" s="1"/>
  <c r="N56" i="28"/>
  <c r="O56" i="30"/>
  <c r="O56" i="28" s="1"/>
  <c r="Q48" i="28"/>
  <c r="R48" i="30"/>
  <c r="R48" i="28" s="1"/>
  <c r="T16" i="28"/>
  <c r="U16" i="30"/>
  <c r="U16" i="28" s="1"/>
  <c r="K46" i="28"/>
  <c r="L46" i="30"/>
  <c r="L46" i="28" s="1"/>
  <c r="T118" i="28"/>
  <c r="U117" i="30"/>
  <c r="U118" i="28" s="1"/>
  <c r="AD33" i="30"/>
  <c r="AD33" i="28" s="1"/>
  <c r="AC33" i="28"/>
  <c r="K55" i="28"/>
  <c r="L55" i="30"/>
  <c r="L55" i="28" s="1"/>
  <c r="N19" i="28"/>
  <c r="O19" i="30"/>
  <c r="O19" i="28" s="1"/>
  <c r="R11" i="30"/>
  <c r="Q11" i="28"/>
  <c r="Q26" i="30"/>
  <c r="Q26" i="28" s="1"/>
  <c r="W44" i="28"/>
  <c r="X44" i="30"/>
  <c r="X44" i="28" s="1"/>
  <c r="AP61" i="30"/>
  <c r="AP61" i="28" s="1"/>
  <c r="AO61" i="28"/>
  <c r="N72" i="28"/>
  <c r="O72" i="30"/>
  <c r="O72" i="28" s="1"/>
  <c r="R66" i="30"/>
  <c r="R66" i="28" s="1"/>
  <c r="Q66" i="28"/>
  <c r="T46" i="28"/>
  <c r="U46" i="30"/>
  <c r="U46" i="28" s="1"/>
  <c r="K68" i="30"/>
  <c r="K68" i="28" s="1"/>
  <c r="K63" i="28" s="1"/>
  <c r="L64" i="30"/>
  <c r="K64" i="28"/>
  <c r="N48" i="28"/>
  <c r="O48" i="30"/>
  <c r="O48" i="28" s="1"/>
  <c r="AC118" i="28"/>
  <c r="AD117" i="30"/>
  <c r="AD118" i="28" s="1"/>
  <c r="K73" i="28"/>
  <c r="L73" i="30"/>
  <c r="L73" i="28" s="1"/>
  <c r="O47" i="30"/>
  <c r="O47" i="28" s="1"/>
  <c r="N47" i="28"/>
  <c r="R33" i="30"/>
  <c r="R33" i="28" s="1"/>
  <c r="Q33" i="28"/>
  <c r="X121" i="30"/>
  <c r="X122" i="28" s="1"/>
  <c r="W122" i="28"/>
  <c r="AJ120" i="30"/>
  <c r="AJ121" i="28" s="1"/>
  <c r="AI121" i="28"/>
  <c r="Z39" i="28"/>
  <c r="AA39" i="30"/>
  <c r="AA39" i="28" s="1"/>
  <c r="AA120" i="30"/>
  <c r="AA121" i="28" s="1"/>
  <c r="Z121" i="28"/>
  <c r="N87" i="28"/>
  <c r="O87" i="30"/>
  <c r="O87" i="28" s="1"/>
  <c r="R75" i="30"/>
  <c r="R75" i="28" s="1"/>
  <c r="Q75" i="28"/>
  <c r="T56" i="28"/>
  <c r="U56" i="30"/>
  <c r="U56" i="28" s="1"/>
  <c r="Z67" i="28"/>
  <c r="AA67" i="30"/>
  <c r="AA67" i="28" s="1"/>
  <c r="K74" i="28"/>
  <c r="L74" i="30"/>
  <c r="L74" i="28" s="1"/>
  <c r="O59" i="30"/>
  <c r="N59" i="28"/>
  <c r="N62" i="30"/>
  <c r="N62" i="28" s="1"/>
  <c r="N58" i="28" s="1"/>
  <c r="Q40" i="28"/>
  <c r="R40" i="30"/>
  <c r="R40" i="28" s="1"/>
  <c r="U33" i="30"/>
  <c r="U33" i="28" s="1"/>
  <c r="T33" i="28"/>
  <c r="AS46" i="30"/>
  <c r="AS46" i="28" s="1"/>
  <c r="AR46" i="28"/>
  <c r="N67" i="28"/>
  <c r="O67" i="30"/>
  <c r="O67" i="28" s="1"/>
  <c r="Q45" i="28"/>
  <c r="R45" i="30"/>
  <c r="R45" i="28" s="1"/>
  <c r="U22" i="30"/>
  <c r="U22" i="28" s="1"/>
  <c r="T22" i="28"/>
  <c r="AD61" i="30"/>
  <c r="AD61" i="28" s="1"/>
  <c r="AC61" i="28"/>
  <c r="AU26" i="30"/>
  <c r="AU26" i="28" s="1"/>
  <c r="AU11" i="28"/>
  <c r="AV11" i="30"/>
  <c r="AI60" i="28"/>
  <c r="AJ60" i="30"/>
  <c r="AJ60" i="28" s="1"/>
  <c r="X40" i="30"/>
  <c r="X40" i="28" s="1"/>
  <c r="W40" i="28"/>
  <c r="Z33" i="28"/>
  <c r="AA33" i="30"/>
  <c r="AA33" i="28" s="1"/>
  <c r="Z117" i="28"/>
  <c r="AA116" i="30"/>
  <c r="Z124" i="30"/>
  <c r="Z123" i="28" s="1"/>
  <c r="AD47" i="30"/>
  <c r="AD47" i="28" s="1"/>
  <c r="AC47" i="28"/>
  <c r="AI61" i="28"/>
  <c r="AJ61" i="30"/>
  <c r="AJ61" i="28" s="1"/>
  <c r="AR56" i="28"/>
  <c r="AS56" i="30"/>
  <c r="AS56" i="28" s="1"/>
  <c r="AR118" i="28"/>
  <c r="AS117" i="30"/>
  <c r="AS118" i="28" s="1"/>
  <c r="AX56" i="28"/>
  <c r="AY56" i="30"/>
  <c r="AY56" i="28" s="1"/>
  <c r="AR124" i="30"/>
  <c r="AR123" i="28" s="1"/>
  <c r="AR117" i="28"/>
  <c r="AS116" i="30"/>
  <c r="AG61" i="30"/>
  <c r="AG61" i="28" s="1"/>
  <c r="AF61" i="28"/>
  <c r="AI54" i="28"/>
  <c r="AJ54" i="30"/>
  <c r="AJ54" i="28" s="1"/>
  <c r="AU121" i="28"/>
  <c r="AV120" i="30"/>
  <c r="AV121" i="28" s="1"/>
  <c r="Z22" i="28"/>
  <c r="AA22" i="30"/>
  <c r="AA22" i="28" s="1"/>
  <c r="AD37" i="30"/>
  <c r="AD37" i="28" s="1"/>
  <c r="AC37" i="28"/>
  <c r="AR37" i="28"/>
  <c r="AS37" i="30"/>
  <c r="AS37" i="28" s="1"/>
  <c r="AA44" i="30"/>
  <c r="AA44" i="28" s="1"/>
  <c r="Z44" i="28"/>
  <c r="AC44" i="28"/>
  <c r="AD44" i="30"/>
  <c r="AD44" i="28" s="1"/>
  <c r="AX61" i="28"/>
  <c r="AY61" i="30"/>
  <c r="AY61" i="28" s="1"/>
  <c r="AP22" i="30"/>
  <c r="AP22" i="28" s="1"/>
  <c r="AO22" i="28"/>
  <c r="AC70" i="28"/>
  <c r="AD70" i="30"/>
  <c r="AF37" i="28"/>
  <c r="AG37" i="30"/>
  <c r="AG37" i="28" s="1"/>
  <c r="AM56" i="30"/>
  <c r="AM56" i="28" s="1"/>
  <c r="AL56" i="28"/>
  <c r="AX124" i="30"/>
  <c r="AX123" i="28" s="1"/>
  <c r="AY116" i="30"/>
  <c r="AX117" i="28"/>
  <c r="AL121" i="28"/>
  <c r="AM120" i="30"/>
  <c r="AM121" i="28" s="1"/>
  <c r="AU122" i="28"/>
  <c r="AV121" i="30"/>
  <c r="AV122" i="28" s="1"/>
  <c r="AL117" i="28"/>
  <c r="AL124" i="30"/>
  <c r="AL123" i="28" s="1"/>
  <c r="AM116" i="30"/>
  <c r="AR60" i="28"/>
  <c r="AS60" i="30"/>
  <c r="AS60" i="28" s="1"/>
  <c r="AU37" i="28"/>
  <c r="AV37" i="30"/>
  <c r="AV37" i="28" s="1"/>
  <c r="BD121" i="28"/>
  <c r="BE120" i="30"/>
  <c r="BE121" i="28" s="1"/>
  <c r="BG11" i="28"/>
  <c r="BG26" i="30"/>
  <c r="BG26" i="28" s="1"/>
  <c r="BH11" i="30"/>
  <c r="AM92" i="30"/>
  <c r="AM92" i="28" s="1"/>
  <c r="AL92" i="28"/>
  <c r="AP46" i="30"/>
  <c r="AP46" i="28" s="1"/>
  <c r="AO46" i="28"/>
  <c r="T40" i="28"/>
  <c r="U40" i="30"/>
  <c r="U40" i="28" s="1"/>
  <c r="T37" i="28"/>
  <c r="U37" i="30"/>
  <c r="U37" i="28" s="1"/>
  <c r="Q121" i="28"/>
  <c r="R120" i="30"/>
  <c r="R121" i="28" s="1"/>
  <c r="R73" i="30"/>
  <c r="R73" i="28" s="1"/>
  <c r="Q73" i="28"/>
  <c r="K118" i="28"/>
  <c r="L117" i="30"/>
  <c r="L118" i="28" s="1"/>
  <c r="O91" i="30"/>
  <c r="O91" i="28" s="1"/>
  <c r="N91" i="28"/>
  <c r="L54" i="30"/>
  <c r="L54" i="28" s="1"/>
  <c r="K54" i="28"/>
  <c r="T124" i="30"/>
  <c r="T123" i="28" s="1"/>
  <c r="T117" i="28"/>
  <c r="U116" i="30"/>
  <c r="N41" i="30"/>
  <c r="N41" i="28" s="1"/>
  <c r="N35" i="28" s="1"/>
  <c r="O36" i="30"/>
  <c r="N36" i="28"/>
  <c r="Q88" i="28"/>
  <c r="R88" i="30"/>
  <c r="R88" i="28" s="1"/>
  <c r="AF60" i="28"/>
  <c r="AG60" i="30"/>
  <c r="AG60" i="28" s="1"/>
  <c r="U75" i="30"/>
  <c r="U75" i="28" s="1"/>
  <c r="T75" i="28"/>
  <c r="Z70" i="28"/>
  <c r="AA70" i="30"/>
  <c r="O50" i="30"/>
  <c r="O50" i="28" s="1"/>
  <c r="N50" i="28"/>
  <c r="R44" i="30"/>
  <c r="R44" i="28" s="1"/>
  <c r="Q44" i="28"/>
  <c r="L37" i="30"/>
  <c r="L37" i="28" s="1"/>
  <c r="K37" i="28"/>
  <c r="T121" i="28"/>
  <c r="U120" i="30"/>
  <c r="U121" i="28" s="1"/>
  <c r="AC56" i="28"/>
  <c r="AD56" i="30"/>
  <c r="AD56" i="28" s="1"/>
  <c r="L72" i="30"/>
  <c r="L72" i="28" s="1"/>
  <c r="K72" i="28"/>
  <c r="O38" i="30"/>
  <c r="O38" i="28" s="1"/>
  <c r="N38" i="28"/>
  <c r="AC54" i="28"/>
  <c r="AD54" i="30"/>
  <c r="AD54" i="28" s="1"/>
  <c r="AG118" i="30"/>
  <c r="AG119" i="28" s="1"/>
  <c r="AF119" i="28"/>
  <c r="AL37" i="28"/>
  <c r="AM37" i="30"/>
  <c r="AM37" i="28" s="1"/>
  <c r="AG46" i="30"/>
  <c r="AG46" i="28" s="1"/>
  <c r="AF46" i="28"/>
  <c r="AC121" i="28"/>
  <c r="AD120" i="30"/>
  <c r="AD121" i="28" s="1"/>
  <c r="AL120" i="28"/>
  <c r="AM119" i="30"/>
  <c r="AM120" i="28" s="1"/>
  <c r="Z118" i="28"/>
  <c r="AA117" i="30"/>
  <c r="AA118" i="28" s="1"/>
  <c r="AX121" i="28"/>
  <c r="AY120" i="30"/>
  <c r="AY121" i="28" s="1"/>
  <c r="N102" i="28"/>
  <c r="O102" i="30"/>
  <c r="O102" i="28" s="1"/>
  <c r="BJ124" i="30"/>
  <c r="BJ123" i="28" s="1"/>
  <c r="BK116" i="30"/>
  <c r="BJ117" i="28"/>
  <c r="BK120" i="30"/>
  <c r="BK121" i="28" s="1"/>
  <c r="BJ121" i="28"/>
  <c r="L17" i="30"/>
  <c r="L17" i="28" s="1"/>
  <c r="K17" i="28"/>
  <c r="Z71" i="28"/>
  <c r="AA71" i="30"/>
  <c r="AA71" i="28" s="1"/>
  <c r="Q92" i="28"/>
  <c r="R92" i="30"/>
  <c r="R92" i="28" s="1"/>
  <c r="R70" i="30"/>
  <c r="Q70" i="28"/>
  <c r="BA11" i="28"/>
  <c r="BB11" i="30"/>
  <c r="BA26" i="30"/>
  <c r="BA26" i="28" s="1"/>
  <c r="BM119" i="28"/>
  <c r="BN118" i="30"/>
  <c r="BN119" i="28" s="1"/>
  <c r="L91" i="30"/>
  <c r="L91" i="28" s="1"/>
  <c r="K91" i="28"/>
  <c r="Q22" i="28"/>
  <c r="R22" i="30"/>
  <c r="R22" i="28" s="1"/>
  <c r="X92" i="30"/>
  <c r="X92" i="28" s="1"/>
  <c r="W92" i="28"/>
  <c r="BB56" i="30"/>
  <c r="BB56" i="28" s="1"/>
  <c r="BA56" i="28"/>
  <c r="BH60" i="30"/>
  <c r="BH60" i="28" s="1"/>
  <c r="BG60" i="28"/>
  <c r="O101" i="30"/>
  <c r="N101" i="28"/>
  <c r="AS92" i="30"/>
  <c r="AS92" i="28" s="1"/>
  <c r="AR92" i="28"/>
  <c r="BD92" i="28"/>
  <c r="BE92" i="30"/>
  <c r="BE92" i="28" s="1"/>
  <c r="BE22" i="30"/>
  <c r="BE22" i="28" s="1"/>
  <c r="BD22" i="28"/>
  <c r="BK11" i="30"/>
  <c r="BJ26" i="30"/>
  <c r="BJ26" i="28" s="1"/>
  <c r="BJ11" i="28"/>
  <c r="L88" i="30"/>
  <c r="L88" i="28" s="1"/>
  <c r="K88" i="28"/>
  <c r="L56" i="30"/>
  <c r="L56" i="28" s="1"/>
  <c r="K56" i="28"/>
  <c r="AM46" i="30"/>
  <c r="AM46" i="28" s="1"/>
  <c r="AL46" i="28"/>
  <c r="O45" i="30"/>
  <c r="O45" i="28" s="1"/>
  <c r="N45" i="28"/>
  <c r="N33" i="28"/>
  <c r="O33" i="30"/>
  <c r="O33" i="28" s="1"/>
  <c r="AX92" i="28"/>
  <c r="AY92" i="30"/>
  <c r="AY92" i="28" s="1"/>
  <c r="BN92" i="30"/>
  <c r="BN92" i="28" s="1"/>
  <c r="BM92" i="28"/>
  <c r="BD26" i="30"/>
  <c r="BD26" i="28" s="1"/>
  <c r="BD11" i="28"/>
  <c r="BE11" i="30"/>
  <c r="O39" i="30"/>
  <c r="O39" i="28" s="1"/>
  <c r="N39" i="28"/>
  <c r="O11" i="30"/>
  <c r="N11" i="28"/>
  <c r="N26" i="30"/>
  <c r="N26" i="28" s="1"/>
  <c r="BM11" i="28"/>
  <c r="BM26" i="30"/>
  <c r="BM26" i="28" s="1"/>
  <c r="BN11" i="30"/>
  <c r="Q89" i="28"/>
  <c r="R89" i="30"/>
  <c r="R89" i="28" s="1"/>
  <c r="BD119" i="28"/>
  <c r="BE118" i="30"/>
  <c r="BE119" i="28" s="1"/>
  <c r="BJ61" i="28"/>
  <c r="BK61" i="30"/>
  <c r="BK61" i="28" s="1"/>
  <c r="BM54" i="28"/>
  <c r="BN54" i="30"/>
  <c r="BN54" i="28" s="1"/>
  <c r="K121" i="28"/>
  <c r="L120" i="30"/>
  <c r="L121" i="28" s="1"/>
  <c r="U73" i="30"/>
  <c r="U73" i="28" s="1"/>
  <c r="T73" i="28"/>
  <c r="X70" i="30"/>
  <c r="W70" i="28"/>
  <c r="T60" i="28"/>
  <c r="U60" i="30"/>
  <c r="U60" i="28" s="1"/>
  <c r="Q72" i="28"/>
  <c r="R72" i="30"/>
  <c r="R72" i="28" s="1"/>
  <c r="AI118" i="28"/>
  <c r="AJ117" i="30"/>
  <c r="AJ118" i="28" s="1"/>
  <c r="L103" i="30"/>
  <c r="L103" i="28" s="1"/>
  <c r="K103" i="28"/>
  <c r="AD121" i="30"/>
  <c r="AD122" i="28" s="1"/>
  <c r="AC122" i="28"/>
  <c r="X119" i="30"/>
  <c r="X120" i="28" s="1"/>
  <c r="W120" i="28"/>
  <c r="BN117" i="30"/>
  <c r="BN118" i="28" s="1"/>
  <c r="BM118" i="28"/>
  <c r="N55" i="28"/>
  <c r="O55" i="30"/>
  <c r="O55" i="28" s="1"/>
  <c r="N68" i="30"/>
  <c r="N68" i="28" s="1"/>
  <c r="N63" i="28" s="1"/>
  <c r="O64" i="30"/>
  <c r="N64" i="28"/>
  <c r="BJ122" i="28"/>
  <c r="BK121" i="30"/>
  <c r="BK122" i="28" s="1"/>
  <c r="BM121" i="28"/>
  <c r="BN120" i="30"/>
  <c r="BN121" i="28" s="1"/>
  <c r="K75" i="28"/>
  <c r="L75" i="30"/>
  <c r="L75" i="28" s="1"/>
  <c r="U36" i="30"/>
  <c r="T41" i="30"/>
  <c r="T41" i="28" s="1"/>
  <c r="T35" i="28" s="1"/>
  <c r="T36" i="28"/>
  <c r="BB118" i="30"/>
  <c r="BB119" i="28" s="1"/>
  <c r="BA119" i="28"/>
  <c r="O117" i="30"/>
  <c r="O118" i="28" s="1"/>
  <c r="N118" i="28"/>
  <c r="O46" i="30"/>
  <c r="O46" i="28" s="1"/>
  <c r="N46" i="28"/>
  <c r="L20" i="30"/>
  <c r="L20" i="28" s="1"/>
  <c r="K20" i="28"/>
  <c r="AF122" i="28"/>
  <c r="AG121" i="30"/>
  <c r="AG122" i="28" s="1"/>
  <c r="W60" i="28"/>
  <c r="X60" i="30"/>
  <c r="X60" i="28" s="1"/>
  <c r="AG120" i="30"/>
  <c r="AG121" i="28" s="1"/>
  <c r="AF121" i="28"/>
  <c r="X67" i="30"/>
  <c r="X67" i="28" s="1"/>
  <c r="W67" i="28"/>
  <c r="L14" i="30"/>
  <c r="L14" i="28" s="1"/>
  <c r="K14" i="28"/>
  <c r="Q118" i="28"/>
  <c r="R117" i="30"/>
  <c r="R118" i="28" s="1"/>
  <c r="T74" i="28"/>
  <c r="U74" i="30"/>
  <c r="U74" i="28" s="1"/>
  <c r="N74" i="28"/>
  <c r="O74" i="30"/>
  <c r="O74" i="28" s="1"/>
  <c r="Q56" i="28"/>
  <c r="R56" i="30"/>
  <c r="R56" i="28" s="1"/>
  <c r="T48" i="28"/>
  <c r="U48" i="30"/>
  <c r="U48" i="28" s="1"/>
  <c r="Z119" i="28"/>
  <c r="AA118" i="30"/>
  <c r="AA119" i="28" s="1"/>
  <c r="N88" i="28"/>
  <c r="O88" i="30"/>
  <c r="O88" i="28" s="1"/>
  <c r="R61" i="30"/>
  <c r="R61" i="28" s="1"/>
  <c r="Q61" i="28"/>
  <c r="T47" i="28"/>
  <c r="U47" i="30"/>
  <c r="U47" i="28" s="1"/>
  <c r="AD11" i="30"/>
  <c r="AC26" i="30"/>
  <c r="AC26" i="28" s="1"/>
  <c r="AC11" i="28"/>
  <c r="AD118" i="30"/>
  <c r="AD119" i="28" s="1"/>
  <c r="AC119" i="28"/>
  <c r="AI22" i="28"/>
  <c r="AJ22" i="30"/>
  <c r="AJ22" i="28" s="1"/>
  <c r="K39" i="28"/>
  <c r="L39" i="30"/>
  <c r="L39" i="28" s="1"/>
  <c r="O18" i="30"/>
  <c r="O18" i="28" s="1"/>
  <c r="N18" i="28"/>
  <c r="R16" i="30"/>
  <c r="R16" i="28" s="1"/>
  <c r="Q16" i="28"/>
  <c r="N124" i="30"/>
  <c r="N123" i="28" s="1"/>
  <c r="N117" i="28"/>
  <c r="O116" i="30"/>
  <c r="Q77" i="28"/>
  <c r="R77" i="30"/>
  <c r="R77" i="28" s="1"/>
  <c r="T66" i="28"/>
  <c r="U66" i="30"/>
  <c r="U66" i="28" s="1"/>
  <c r="L19" i="30"/>
  <c r="L19" i="28" s="1"/>
  <c r="K19" i="28"/>
  <c r="Q76" i="28"/>
  <c r="T71" i="28"/>
  <c r="U71" i="30"/>
  <c r="U71" i="28" s="1"/>
  <c r="L48" i="30"/>
  <c r="L48" i="28" s="1"/>
  <c r="K48" i="28"/>
  <c r="O40" i="30"/>
  <c r="O40" i="28" s="1"/>
  <c r="N40" i="28"/>
  <c r="AJ116" i="30"/>
  <c r="AI117" i="28"/>
  <c r="AI124" i="30"/>
  <c r="AI123" i="28" s="1"/>
  <c r="K16" i="28"/>
  <c r="L16" i="30"/>
  <c r="L16" i="28" s="1"/>
  <c r="R119" i="30"/>
  <c r="R120" i="28" s="1"/>
  <c r="Q120" i="28"/>
  <c r="X66" i="30"/>
  <c r="X66" i="28" s="1"/>
  <c r="W66" i="28"/>
  <c r="L40" i="30"/>
  <c r="L40" i="28" s="1"/>
  <c r="K40" i="28"/>
  <c r="R91" i="30"/>
  <c r="R91" i="28" s="1"/>
  <c r="Q91" i="28"/>
  <c r="U80" i="30"/>
  <c r="U80" i="28" s="1"/>
  <c r="T80" i="28"/>
  <c r="X54" i="30"/>
  <c r="X54" i="28" s="1"/>
  <c r="W54" i="28"/>
  <c r="AA119" i="30"/>
  <c r="AA120" i="28" s="1"/>
  <c r="Z120" i="28"/>
  <c r="Z56" i="28"/>
  <c r="AA56" i="30"/>
  <c r="AA56" i="28" s="1"/>
  <c r="AX122" i="28"/>
  <c r="AY121" i="30"/>
  <c r="AY122" i="28" s="1"/>
  <c r="AM22" i="30"/>
  <c r="AM22" i="28" s="1"/>
  <c r="AL22" i="28"/>
  <c r="AL119" i="28"/>
  <c r="AM118" i="30"/>
  <c r="AM119" i="28" s="1"/>
  <c r="AO54" i="28"/>
  <c r="AP54" i="30"/>
  <c r="AP54" i="28" s="1"/>
  <c r="U65" i="30"/>
  <c r="U65" i="28" s="1"/>
  <c r="T65" i="28"/>
  <c r="AJ121" i="30"/>
  <c r="AJ122" i="28" s="1"/>
  <c r="AI122" i="28"/>
  <c r="Z72" i="28"/>
  <c r="AA72" i="30"/>
  <c r="AA72" i="28" s="1"/>
  <c r="AD71" i="30"/>
  <c r="AD71" i="28" s="1"/>
  <c r="AC71" i="28"/>
  <c r="AI46" i="28"/>
  <c r="AJ46" i="30"/>
  <c r="AJ46" i="28" s="1"/>
  <c r="AU56" i="28"/>
  <c r="AV56" i="30"/>
  <c r="AV56" i="28" s="1"/>
  <c r="AV61" i="30"/>
  <c r="AV61" i="28" s="1"/>
  <c r="AU61" i="28"/>
  <c r="AA47" i="30"/>
  <c r="AA47" i="28" s="1"/>
  <c r="Z47" i="28"/>
  <c r="AL60" i="28"/>
  <c r="AM60" i="30"/>
  <c r="AM60" i="28" s="1"/>
  <c r="X39" i="30"/>
  <c r="X39" i="28" s="1"/>
  <c r="W39" i="28"/>
  <c r="AA38" i="30"/>
  <c r="AA38" i="28" s="1"/>
  <c r="Z38" i="28"/>
  <c r="AF120" i="28"/>
  <c r="AG119" i="30"/>
  <c r="AG120" i="28" s="1"/>
  <c r="AS118" i="30"/>
  <c r="AS119" i="28" s="1"/>
  <c r="AR119" i="28"/>
  <c r="AV60" i="30"/>
  <c r="AV60" i="28" s="1"/>
  <c r="AU60" i="28"/>
  <c r="AY60" i="30"/>
  <c r="AY60" i="28" s="1"/>
  <c r="AX60" i="28"/>
  <c r="AL54" i="28"/>
  <c r="AM54" i="30"/>
  <c r="AM54" i="28" s="1"/>
  <c r="AU124" i="30"/>
  <c r="AU123" i="28" s="1"/>
  <c r="AU120" i="28"/>
  <c r="AV119" i="30"/>
  <c r="AV120" i="28" s="1"/>
  <c r="AS11" i="30"/>
  <c r="AR11" i="28"/>
  <c r="AR26" i="30"/>
  <c r="AR26" i="28" s="1"/>
  <c r="AV54" i="30"/>
  <c r="AV54" i="28" s="1"/>
  <c r="AU54" i="28"/>
  <c r="AY37" i="30"/>
  <c r="AY37" i="28" s="1"/>
  <c r="AX37" i="28"/>
  <c r="AO11" i="28"/>
  <c r="AO26" i="30"/>
  <c r="AO26" i="28" s="1"/>
  <c r="AP11" i="30"/>
  <c r="AV118" i="30"/>
  <c r="AV119" i="28" s="1"/>
  <c r="AU119" i="28"/>
  <c r="W7" i="30"/>
  <c r="T7" i="28"/>
  <c r="O11" i="36"/>
  <c r="U10" i="36"/>
  <c r="S10" i="36"/>
  <c r="U103" i="30"/>
  <c r="U103" i="28" s="1"/>
  <c r="N32" i="28"/>
  <c r="N34" i="30"/>
  <c r="S34" i="30"/>
  <c r="S32" i="28"/>
  <c r="V32" i="30"/>
  <c r="Q32" i="30"/>
  <c r="R32" i="30" s="1"/>
  <c r="O32" i="30"/>
  <c r="P83" i="30"/>
  <c r="P83" i="28" s="1"/>
  <c r="P34" i="28"/>
  <c r="P31" i="28" s="1"/>
  <c r="T102" i="30"/>
  <c r="T102" i="28" s="1"/>
  <c r="Y102" i="30"/>
  <c r="V102" i="28"/>
  <c r="W101" i="30"/>
  <c r="Y101" i="28"/>
  <c r="AB101" i="30"/>
  <c r="R102" i="30"/>
  <c r="AB103" i="30"/>
  <c r="W103" i="30"/>
  <c r="W103" i="28" s="1"/>
  <c r="Y103" i="28"/>
  <c r="T101" i="28"/>
  <c r="U101" i="30"/>
  <c r="V4" i="30"/>
  <c r="S4" i="28"/>
  <c r="Z6" i="30"/>
  <c r="W6" i="28"/>
  <c r="T25" i="30"/>
  <c r="T25" i="28" s="1"/>
  <c r="W9" i="30"/>
  <c r="T9" i="28"/>
  <c r="V5" i="28"/>
  <c r="Y5" i="30"/>
  <c r="N208" i="30"/>
  <c r="J128" i="41" l="1"/>
  <c r="AD28" i="36"/>
  <c r="J10" i="28"/>
  <c r="M10" i="28" s="1"/>
  <c r="P10" i="28" s="1"/>
  <c r="S10" i="28" s="1"/>
  <c r="V10" i="28" s="1"/>
  <c r="Y10" i="28" s="1"/>
  <c r="AB10" i="28" s="1"/>
  <c r="AE10" i="28" s="1"/>
  <c r="AH10" i="28" s="1"/>
  <c r="AK10" i="28" s="1"/>
  <c r="AN10" i="28" s="1"/>
  <c r="AQ10" i="28" s="1"/>
  <c r="AT10" i="28" s="1"/>
  <c r="AW10" i="28" s="1"/>
  <c r="AZ10" i="28" s="1"/>
  <c r="BC10" i="28" s="1"/>
  <c r="BF10" i="28" s="1"/>
  <c r="BI10" i="28" s="1"/>
  <c r="BL10" i="28" s="1"/>
  <c r="BO10" i="28" s="1"/>
  <c r="E10" i="57"/>
  <c r="D28" i="57"/>
  <c r="D97" i="57" s="1"/>
  <c r="H97" i="30" s="1"/>
  <c r="H12" i="30"/>
  <c r="N12" i="57"/>
  <c r="F12" i="57"/>
  <c r="P15" i="28"/>
  <c r="S15" i="30"/>
  <c r="N15" i="30"/>
  <c r="R76" i="30"/>
  <c r="R76" i="28" s="1"/>
  <c r="F128" i="41"/>
  <c r="D128" i="41"/>
  <c r="M9" i="30"/>
  <c r="L25" i="30"/>
  <c r="L25" i="28" s="1"/>
  <c r="L9" i="28"/>
  <c r="O9" i="30"/>
  <c r="I111" i="28"/>
  <c r="K111" i="30"/>
  <c r="K111" i="28" s="1"/>
  <c r="E29" i="52"/>
  <c r="D29" i="52"/>
  <c r="E26" i="52"/>
  <c r="D26" i="52"/>
  <c r="H128" i="32"/>
  <c r="C21" i="52"/>
  <c r="D21" i="52" s="1"/>
  <c r="C11" i="48"/>
  <c r="D11" i="48" s="1"/>
  <c r="M11" i="48" s="1"/>
  <c r="J128" i="32"/>
  <c r="D128" i="32"/>
  <c r="J96" i="30"/>
  <c r="J96" i="28" s="1"/>
  <c r="J95" i="28"/>
  <c r="E128" i="32"/>
  <c r="BO46" i="28"/>
  <c r="BM46" i="30"/>
  <c r="AK47" i="30"/>
  <c r="AH47" i="28"/>
  <c r="AF47" i="30"/>
  <c r="AB65" i="30"/>
  <c r="Y65" i="28"/>
  <c r="W65" i="30"/>
  <c r="G128" i="32"/>
  <c r="I128" i="32"/>
  <c r="AK72" i="30"/>
  <c r="AH72" i="28"/>
  <c r="AF72" i="30"/>
  <c r="M160" i="30"/>
  <c r="M160" i="28" s="1"/>
  <c r="J160" i="28"/>
  <c r="G159" i="30"/>
  <c r="J168" i="30"/>
  <c r="J167" i="28"/>
  <c r="AB50" i="30"/>
  <c r="Y50" i="28"/>
  <c r="W50" i="30"/>
  <c r="BI37" i="30"/>
  <c r="BF37" i="28"/>
  <c r="BD37" i="30"/>
  <c r="AB74" i="30"/>
  <c r="Y74" i="28"/>
  <c r="W74" i="30"/>
  <c r="V18" i="30"/>
  <c r="S18" i="28"/>
  <c r="Q18" i="30"/>
  <c r="V17" i="30"/>
  <c r="S17" i="28"/>
  <c r="Q17" i="30"/>
  <c r="AN44" i="30"/>
  <c r="AK44" i="28"/>
  <c r="AI44" i="30"/>
  <c r="AB49" i="30"/>
  <c r="Y49" i="28"/>
  <c r="W49" i="30"/>
  <c r="V14" i="30"/>
  <c r="S14" i="28"/>
  <c r="Q14" i="30"/>
  <c r="AB55" i="30"/>
  <c r="Y55" i="28"/>
  <c r="Y57" i="30"/>
  <c r="Y57" i="28" s="1"/>
  <c r="Y52" i="28" s="1"/>
  <c r="W55" i="30"/>
  <c r="AH39" i="30"/>
  <c r="AE39" i="28"/>
  <c r="AC39" i="30"/>
  <c r="AH45" i="30"/>
  <c r="AE45" i="28"/>
  <c r="AC45" i="30"/>
  <c r="AN67" i="30"/>
  <c r="AK67" i="28"/>
  <c r="AI67" i="30"/>
  <c r="AK71" i="30"/>
  <c r="AH71" i="28"/>
  <c r="AF71" i="30"/>
  <c r="V20" i="30"/>
  <c r="S20" i="28"/>
  <c r="Q20" i="30"/>
  <c r="G98" i="16"/>
  <c r="P109" i="30" s="1"/>
  <c r="G101" i="16"/>
  <c r="I13" i="16"/>
  <c r="I16" i="16" s="1"/>
  <c r="I82" i="16" s="1"/>
  <c r="I98" i="16" s="1"/>
  <c r="V109" i="30" s="1"/>
  <c r="V21" i="28"/>
  <c r="H116" i="16"/>
  <c r="H119" i="16" s="1"/>
  <c r="H130" i="16" s="1"/>
  <c r="H133" i="16" s="1"/>
  <c r="O86" i="30"/>
  <c r="O93" i="30" s="1"/>
  <c r="O93" i="28" s="1"/>
  <c r="AE80" i="30"/>
  <c r="AB80" i="28"/>
  <c r="Z80" i="30"/>
  <c r="Z80" i="28" s="1"/>
  <c r="AB48" i="30"/>
  <c r="Y48" i="28"/>
  <c r="W48" i="30"/>
  <c r="AB64" i="30"/>
  <c r="Y68" i="30"/>
  <c r="Y68" i="28" s="1"/>
  <c r="Y63" i="28" s="1"/>
  <c r="Y64" i="28"/>
  <c r="W64" i="30"/>
  <c r="X64" i="30" s="1"/>
  <c r="X64" i="28" s="1"/>
  <c r="BF20" i="24"/>
  <c r="Y88" i="28"/>
  <c r="AB88" i="30"/>
  <c r="Y161" i="30"/>
  <c r="Y161" i="28" s="1"/>
  <c r="W88" i="30"/>
  <c r="AE66" i="30"/>
  <c r="AB66" i="28"/>
  <c r="Z66" i="30"/>
  <c r="M188" i="28"/>
  <c r="P184" i="30"/>
  <c r="AK33" i="30"/>
  <c r="AH33" i="28"/>
  <c r="AF33" i="30"/>
  <c r="Y76" i="30"/>
  <c r="Y78" i="30" s="1"/>
  <c r="Y78" i="28" s="1"/>
  <c r="Y69" i="28" s="1"/>
  <c r="V76" i="28"/>
  <c r="T76" i="30"/>
  <c r="AB59" i="30"/>
  <c r="Y62" i="30"/>
  <c r="Y62" i="28" s="1"/>
  <c r="Y58" i="28" s="1"/>
  <c r="Y59" i="28"/>
  <c r="W59" i="30"/>
  <c r="AB91" i="28"/>
  <c r="AE91" i="30"/>
  <c r="AB185" i="30"/>
  <c r="AB185" i="28" s="1"/>
  <c r="Z91" i="30"/>
  <c r="AK70" i="30"/>
  <c r="AI70" i="30" s="1"/>
  <c r="AH70" i="28"/>
  <c r="AB36" i="30"/>
  <c r="Y41" i="30"/>
  <c r="Y41" i="28" s="1"/>
  <c r="Y35" i="28" s="1"/>
  <c r="Y36" i="28"/>
  <c r="W36" i="30"/>
  <c r="AE40" i="30"/>
  <c r="AB40" i="28"/>
  <c r="Z40" i="30"/>
  <c r="AB77" i="30"/>
  <c r="Y77" i="28"/>
  <c r="W77" i="30"/>
  <c r="Y90" i="30"/>
  <c r="V90" i="28"/>
  <c r="V178" i="30"/>
  <c r="V178" i="28" s="1"/>
  <c r="T90" i="30"/>
  <c r="AH38" i="30"/>
  <c r="AE38" i="28"/>
  <c r="AC38" i="30"/>
  <c r="AB75" i="30"/>
  <c r="Y75" i="28"/>
  <c r="W75" i="30"/>
  <c r="Y89" i="30"/>
  <c r="V171" i="30"/>
  <c r="V171" i="28" s="1"/>
  <c r="V89" i="28"/>
  <c r="T89" i="30"/>
  <c r="AH53" i="30"/>
  <c r="AE53" i="28"/>
  <c r="AC53" i="30"/>
  <c r="Y87" i="30"/>
  <c r="V87" i="28"/>
  <c r="T87" i="30"/>
  <c r="Y73" i="28"/>
  <c r="AB73" i="30"/>
  <c r="W73" i="30"/>
  <c r="M21" i="16"/>
  <c r="L23" i="16"/>
  <c r="AB43" i="30"/>
  <c r="Y51" i="30"/>
  <c r="Y51" i="28" s="1"/>
  <c r="Y42" i="28" s="1"/>
  <c r="Y43" i="28"/>
  <c r="W43" i="30"/>
  <c r="V19" i="30"/>
  <c r="S19" i="28"/>
  <c r="Q19" i="30"/>
  <c r="BK20" i="24"/>
  <c r="K30" i="16"/>
  <c r="L25" i="16"/>
  <c r="BL56" i="30"/>
  <c r="BI56" i="28"/>
  <c r="BG56" i="30"/>
  <c r="P177" i="28"/>
  <c r="P181" i="30"/>
  <c r="BO20" i="24"/>
  <c r="M54" i="16"/>
  <c r="L57" i="16"/>
  <c r="BU20" i="24" a="1"/>
  <c r="BU20" i="24" s="1"/>
  <c r="M48" i="16"/>
  <c r="L51" i="16"/>
  <c r="AJ203" i="30"/>
  <c r="AG205" i="30"/>
  <c r="AG206" i="30" s="1"/>
  <c r="J80" i="16"/>
  <c r="Y81" i="28"/>
  <c r="P60" i="16"/>
  <c r="N42" i="16"/>
  <c r="M46" i="16"/>
  <c r="AF205" i="30"/>
  <c r="AF206" i="30" s="1"/>
  <c r="AI203" i="30"/>
  <c r="L61" i="16"/>
  <c r="K67" i="16"/>
  <c r="AB81" i="30" s="1"/>
  <c r="K32" i="16"/>
  <c r="J40" i="16"/>
  <c r="U59" i="16"/>
  <c r="BS22" i="24" a="1"/>
  <c r="BS22" i="24" s="1"/>
  <c r="BC13" i="24"/>
  <c r="BC20" i="24" s="1"/>
  <c r="N86" i="28"/>
  <c r="P95" i="30"/>
  <c r="P95" i="28" s="1"/>
  <c r="S93" i="30"/>
  <c r="S93" i="28" s="1"/>
  <c r="S86" i="28"/>
  <c r="V86" i="30"/>
  <c r="V200" i="30" s="1"/>
  <c r="V201" i="30" s="1"/>
  <c r="V202" i="30" s="1"/>
  <c r="Q86" i="30"/>
  <c r="AE199" i="30"/>
  <c r="AE24" i="36"/>
  <c r="AF10" i="36"/>
  <c r="Z10" i="36"/>
  <c r="Y24" i="36"/>
  <c r="B49" i="36"/>
  <c r="H49" i="36" s="1"/>
  <c r="G50" i="36" s="1"/>
  <c r="C24" i="36"/>
  <c r="AB16" i="30"/>
  <c r="Y16" i="28"/>
  <c r="W16" i="30"/>
  <c r="S170" i="30"/>
  <c r="P174" i="28"/>
  <c r="L34" i="30"/>
  <c r="L34" i="28" s="1"/>
  <c r="L31" i="28" s="1"/>
  <c r="P191" i="28"/>
  <c r="P193" i="30"/>
  <c r="Y140" i="30"/>
  <c r="AB134" i="30"/>
  <c r="I83" i="28"/>
  <c r="K83" i="30"/>
  <c r="K83" i="28" s="1"/>
  <c r="X70" i="28"/>
  <c r="X124" i="30"/>
  <c r="X123" i="28" s="1"/>
  <c r="X117" i="28"/>
  <c r="R62" i="30"/>
  <c r="R62" i="28" s="1"/>
  <c r="R58" i="28" s="1"/>
  <c r="R59" i="28"/>
  <c r="BE124" i="30"/>
  <c r="BE123" i="28" s="1"/>
  <c r="BE117" i="28"/>
  <c r="AM11" i="28"/>
  <c r="AM26" i="30"/>
  <c r="AM26" i="28" s="1"/>
  <c r="L78" i="30"/>
  <c r="L78" i="28" s="1"/>
  <c r="L69" i="28" s="1"/>
  <c r="L70" i="28"/>
  <c r="L51" i="30"/>
  <c r="L51" i="28" s="1"/>
  <c r="L42" i="28" s="1"/>
  <c r="L43" i="28"/>
  <c r="L59" i="28"/>
  <c r="L62" i="30"/>
  <c r="L62" i="28" s="1"/>
  <c r="L58" i="28" s="1"/>
  <c r="AJ26" i="30"/>
  <c r="AJ26" i="28" s="1"/>
  <c r="AJ11" i="28"/>
  <c r="R53" i="28"/>
  <c r="R57" i="30"/>
  <c r="R57" i="28" s="1"/>
  <c r="R52" i="28" s="1"/>
  <c r="AP11" i="28"/>
  <c r="AP26" i="30"/>
  <c r="AP26" i="28" s="1"/>
  <c r="AJ117" i="28"/>
  <c r="AJ124" i="30"/>
  <c r="AJ123" i="28" s="1"/>
  <c r="O124" i="30"/>
  <c r="O123" i="28" s="1"/>
  <c r="O117" i="28"/>
  <c r="O64" i="28"/>
  <c r="O68" i="30"/>
  <c r="O68" i="28" s="1"/>
  <c r="O63" i="28" s="1"/>
  <c r="BN26" i="30"/>
  <c r="BN26" i="28" s="1"/>
  <c r="BN11" i="28"/>
  <c r="BH11" i="28"/>
  <c r="BH26" i="30"/>
  <c r="BH26" i="28" s="1"/>
  <c r="AY117" i="28"/>
  <c r="AY124" i="30"/>
  <c r="AY123" i="28" s="1"/>
  <c r="AD70" i="28"/>
  <c r="AA117" i="28"/>
  <c r="AA124" i="30"/>
  <c r="AA123" i="28" s="1"/>
  <c r="O59" i="28"/>
  <c r="O62" i="30"/>
  <c r="O62" i="28" s="1"/>
  <c r="O58" i="28" s="1"/>
  <c r="L64" i="28"/>
  <c r="L68" i="30"/>
  <c r="L68" i="28" s="1"/>
  <c r="L63" i="28" s="1"/>
  <c r="AG26" i="30"/>
  <c r="AG26" i="28" s="1"/>
  <c r="AG11" i="28"/>
  <c r="X11" i="28"/>
  <c r="X26" i="30"/>
  <c r="X26" i="28" s="1"/>
  <c r="U53" i="28"/>
  <c r="U57" i="30"/>
  <c r="U57" i="28" s="1"/>
  <c r="U52" i="28" s="1"/>
  <c r="U70" i="28"/>
  <c r="U59" i="28"/>
  <c r="U62" i="30"/>
  <c r="U62" i="28" s="1"/>
  <c r="U58" i="28" s="1"/>
  <c r="AV117" i="28"/>
  <c r="AV124" i="30"/>
  <c r="AV123" i="28" s="1"/>
  <c r="L101" i="28"/>
  <c r="BK26" i="30"/>
  <c r="BK26" i="28" s="1"/>
  <c r="BK11" i="28"/>
  <c r="R78" i="30"/>
  <c r="R78" i="28" s="1"/>
  <c r="R69" i="28" s="1"/>
  <c r="R70" i="28"/>
  <c r="BK124" i="30"/>
  <c r="BK123" i="28" s="1"/>
  <c r="BK117" i="28"/>
  <c r="L53" i="28"/>
  <c r="L57" i="30"/>
  <c r="L57" i="28" s="1"/>
  <c r="L52" i="28" s="1"/>
  <c r="BN117" i="28"/>
  <c r="BN124" i="30"/>
  <c r="BN123" i="28" s="1"/>
  <c r="L26" i="30"/>
  <c r="L26" i="28" s="1"/>
  <c r="L11" i="28"/>
  <c r="L24" i="30"/>
  <c r="AG124" i="30"/>
  <c r="AG123" i="28" s="1"/>
  <c r="AG117" i="28"/>
  <c r="AA53" i="28"/>
  <c r="AA26" i="30"/>
  <c r="AA26" i="28" s="1"/>
  <c r="AA11" i="28"/>
  <c r="R43" i="28"/>
  <c r="R51" i="30"/>
  <c r="R51" i="28" s="1"/>
  <c r="R42" i="28" s="1"/>
  <c r="K95" i="30"/>
  <c r="K95" i="28" s="1"/>
  <c r="AS26" i="30"/>
  <c r="AS26" i="28" s="1"/>
  <c r="AS11" i="28"/>
  <c r="BE11" i="28"/>
  <c r="BE26" i="30"/>
  <c r="BE26" i="28" s="1"/>
  <c r="O101" i="28"/>
  <c r="U117" i="28"/>
  <c r="U124" i="30"/>
  <c r="U123" i="28" s="1"/>
  <c r="AM124" i="30"/>
  <c r="AM123" i="28" s="1"/>
  <c r="AM117" i="28"/>
  <c r="L124" i="30"/>
  <c r="L123" i="28" s="1"/>
  <c r="L117" i="28"/>
  <c r="L41" i="30"/>
  <c r="L41" i="28" s="1"/>
  <c r="L35" i="28" s="1"/>
  <c r="L36" i="28"/>
  <c r="AY26" i="30"/>
  <c r="AY26" i="28" s="1"/>
  <c r="AY11" i="28"/>
  <c r="O78" i="30"/>
  <c r="O78" i="28" s="1"/>
  <c r="O69" i="28" s="1"/>
  <c r="O70" i="28"/>
  <c r="X53" i="28"/>
  <c r="U11" i="28"/>
  <c r="U26" i="30"/>
  <c r="U26" i="28" s="1"/>
  <c r="O57" i="30"/>
  <c r="O57" i="28" s="1"/>
  <c r="O52" i="28" s="1"/>
  <c r="O53" i="28"/>
  <c r="R36" i="28"/>
  <c r="R41" i="30"/>
  <c r="R41" i="28" s="1"/>
  <c r="R35" i="28" s="1"/>
  <c r="L86" i="28"/>
  <c r="L93" i="30"/>
  <c r="L93" i="28" s="1"/>
  <c r="O43" i="28"/>
  <c r="O51" i="30"/>
  <c r="O51" i="28" s="1"/>
  <c r="O42" i="28" s="1"/>
  <c r="I57" i="28"/>
  <c r="I52" i="28" s="1"/>
  <c r="I95" i="28"/>
  <c r="AD124" i="30"/>
  <c r="AD123" i="28" s="1"/>
  <c r="AD117" i="28"/>
  <c r="AP124" i="30"/>
  <c r="AP123" i="28" s="1"/>
  <c r="AP117" i="28"/>
  <c r="AD11" i="28"/>
  <c r="AD26" i="30"/>
  <c r="AD26" i="28" s="1"/>
  <c r="AV11" i="28"/>
  <c r="AV26" i="30"/>
  <c r="AV26" i="28" s="1"/>
  <c r="U64" i="28"/>
  <c r="U68" i="30"/>
  <c r="U68" i="28" s="1"/>
  <c r="U63" i="28" s="1"/>
  <c r="BH117" i="28"/>
  <c r="BH124" i="30"/>
  <c r="BH123" i="28" s="1"/>
  <c r="U41" i="30"/>
  <c r="U41" i="28" s="1"/>
  <c r="U35" i="28" s="1"/>
  <c r="U36" i="28"/>
  <c r="O11" i="28"/>
  <c r="O26" i="30"/>
  <c r="O26" i="28" s="1"/>
  <c r="BB26" i="30"/>
  <c r="BB26" i="28" s="1"/>
  <c r="BB11" i="28"/>
  <c r="AA70" i="28"/>
  <c r="O41" i="30"/>
  <c r="O41" i="28" s="1"/>
  <c r="O35" i="28" s="1"/>
  <c r="O36" i="28"/>
  <c r="AS117" i="28"/>
  <c r="AS124" i="30"/>
  <c r="AS123" i="28" s="1"/>
  <c r="R11" i="28"/>
  <c r="R26" i="30"/>
  <c r="R26" i="28" s="1"/>
  <c r="R117" i="28"/>
  <c r="R124" i="30"/>
  <c r="R123" i="28" s="1"/>
  <c r="U43" i="28"/>
  <c r="U51" i="30"/>
  <c r="U51" i="28" s="1"/>
  <c r="U42" i="28" s="1"/>
  <c r="R68" i="30"/>
  <c r="R68" i="28" s="1"/>
  <c r="R63" i="28" s="1"/>
  <c r="R64" i="28"/>
  <c r="BB117" i="28"/>
  <c r="BB124" i="30"/>
  <c r="BB123" i="28" s="1"/>
  <c r="Z7" i="30"/>
  <c r="W7" i="28"/>
  <c r="S11" i="36"/>
  <c r="O12" i="36"/>
  <c r="U11" i="36"/>
  <c r="X103" i="30"/>
  <c r="X103" i="28" s="1"/>
  <c r="U102" i="30"/>
  <c r="U102" i="28" s="1"/>
  <c r="R34" i="30"/>
  <c r="R32" i="28"/>
  <c r="Q34" i="30"/>
  <c r="Q32" i="28"/>
  <c r="S83" i="30"/>
  <c r="S83" i="28" s="1"/>
  <c r="S34" i="28"/>
  <c r="S31" i="28" s="1"/>
  <c r="V34" i="30"/>
  <c r="V32" i="28"/>
  <c r="Y32" i="30"/>
  <c r="T32" i="30"/>
  <c r="N34" i="28"/>
  <c r="N31" i="28" s="1"/>
  <c r="N95" i="30"/>
  <c r="N95" i="28" s="1"/>
  <c r="N83" i="30"/>
  <c r="O32" i="28"/>
  <c r="O34" i="30"/>
  <c r="U101" i="28"/>
  <c r="R102" i="28"/>
  <c r="Y102" i="28"/>
  <c r="AB102" i="30"/>
  <c r="W102" i="30"/>
  <c r="W102" i="28" s="1"/>
  <c r="AB103" i="28"/>
  <c r="AE103" i="30"/>
  <c r="Z103" i="30"/>
  <c r="Z103" i="28" s="1"/>
  <c r="W101" i="28"/>
  <c r="Z101" i="30"/>
  <c r="AE101" i="30"/>
  <c r="AB101" i="28"/>
  <c r="X101" i="30"/>
  <c r="Y4" i="30"/>
  <c r="V4" i="28"/>
  <c r="AB5" i="30"/>
  <c r="Y5" i="28"/>
  <c r="O208" i="30"/>
  <c r="Z9" i="30"/>
  <c r="W25" i="30"/>
  <c r="W25" i="28" s="1"/>
  <c r="W9" i="28"/>
  <c r="Z6" i="28"/>
  <c r="AC6" i="30"/>
  <c r="D107" i="57" l="1"/>
  <c r="AE28" i="36"/>
  <c r="H28" i="30"/>
  <c r="F10" i="57"/>
  <c r="F24" i="57" s="1"/>
  <c r="V24" i="57" s="1"/>
  <c r="E24" i="57"/>
  <c r="J12" i="30"/>
  <c r="C17" i="48"/>
  <c r="O15" i="30"/>
  <c r="O15" i="28" s="1"/>
  <c r="N15" i="28"/>
  <c r="V15" i="30"/>
  <c r="S15" i="28"/>
  <c r="Q15" i="30"/>
  <c r="Q15" i="28" s="1"/>
  <c r="P9" i="30"/>
  <c r="O25" i="30"/>
  <c r="O25" i="28" s="1"/>
  <c r="O9" i="28"/>
  <c r="R9" i="30"/>
  <c r="M25" i="30"/>
  <c r="M25" i="28" s="1"/>
  <c r="M9" i="28"/>
  <c r="D112" i="57"/>
  <c r="H107" i="30"/>
  <c r="L111" i="30"/>
  <c r="L111" i="28" s="1"/>
  <c r="S95" i="30"/>
  <c r="S95" i="28" s="1"/>
  <c r="O86" i="28"/>
  <c r="BM46" i="28"/>
  <c r="BN46" i="30"/>
  <c r="BN46" i="28" s="1"/>
  <c r="X65" i="30"/>
  <c r="X65" i="28" s="1"/>
  <c r="W65" i="28"/>
  <c r="AF72" i="28"/>
  <c r="AG72" i="30"/>
  <c r="AG72" i="28" s="1"/>
  <c r="AE65" i="30"/>
  <c r="AB65" i="28"/>
  <c r="Z65" i="30"/>
  <c r="Z65" i="28" s="1"/>
  <c r="AN72" i="30"/>
  <c r="AK72" i="28"/>
  <c r="AI72" i="30"/>
  <c r="AI72" i="28" s="1"/>
  <c r="AG47" i="30"/>
  <c r="AG47" i="28" s="1"/>
  <c r="AF47" i="28"/>
  <c r="AN47" i="30"/>
  <c r="AK47" i="28"/>
  <c r="AI47" i="30"/>
  <c r="AI47" i="28" s="1"/>
  <c r="AF71" i="28"/>
  <c r="AG71" i="30"/>
  <c r="AG71" i="28" s="1"/>
  <c r="AK45" i="30"/>
  <c r="AH45" i="28"/>
  <c r="AF45" i="30"/>
  <c r="AF45" i="28" s="1"/>
  <c r="R14" i="30"/>
  <c r="R14" i="28" s="1"/>
  <c r="Q14" i="28"/>
  <c r="AQ44" i="30"/>
  <c r="AN44" i="28"/>
  <c r="AL44" i="30"/>
  <c r="AL44" i="28" s="1"/>
  <c r="AD39" i="30"/>
  <c r="AD39" i="28" s="1"/>
  <c r="AC39" i="28"/>
  <c r="R17" i="30"/>
  <c r="R17" i="28" s="1"/>
  <c r="Q17" i="28"/>
  <c r="AE74" i="30"/>
  <c r="AB74" i="28"/>
  <c r="Z74" i="30"/>
  <c r="Z74" i="28" s="1"/>
  <c r="AN71" i="30"/>
  <c r="AK71" i="28"/>
  <c r="AI71" i="30"/>
  <c r="AI71" i="28" s="1"/>
  <c r="Y14" i="30"/>
  <c r="V14" i="28"/>
  <c r="T14" i="30"/>
  <c r="T14" i="28" s="1"/>
  <c r="BD37" i="28"/>
  <c r="BE37" i="30"/>
  <c r="BE37" i="28" s="1"/>
  <c r="AI67" i="28"/>
  <c r="AJ67" i="30"/>
  <c r="AJ67" i="28" s="1"/>
  <c r="AK39" i="30"/>
  <c r="AH39" i="28"/>
  <c r="AF39" i="30"/>
  <c r="AF39" i="28" s="1"/>
  <c r="W49" i="28"/>
  <c r="X49" i="30"/>
  <c r="X49" i="28" s="1"/>
  <c r="Y17" i="30"/>
  <c r="V17" i="28"/>
  <c r="T17" i="30"/>
  <c r="T17" i="28" s="1"/>
  <c r="W55" i="28"/>
  <c r="W57" i="30"/>
  <c r="W57" i="28" s="1"/>
  <c r="W52" i="28" s="1"/>
  <c r="X55" i="30"/>
  <c r="Q18" i="28"/>
  <c r="R18" i="30"/>
  <c r="R18" i="28" s="1"/>
  <c r="BL37" i="30"/>
  <c r="BI37" i="28"/>
  <c r="BG37" i="30"/>
  <c r="BG37" i="28" s="1"/>
  <c r="R20" i="30"/>
  <c r="R20" i="28" s="1"/>
  <c r="Q20" i="28"/>
  <c r="AQ67" i="30"/>
  <c r="AN67" i="28"/>
  <c r="AL67" i="30"/>
  <c r="AL67" i="28" s="1"/>
  <c r="AE49" i="30"/>
  <c r="AB49" i="28"/>
  <c r="Z49" i="30"/>
  <c r="Z49" i="28" s="1"/>
  <c r="X50" i="30"/>
  <c r="X50" i="28" s="1"/>
  <c r="W50" i="28"/>
  <c r="AC45" i="28"/>
  <c r="AD45" i="30"/>
  <c r="AD45" i="28" s="1"/>
  <c r="AJ44" i="30"/>
  <c r="AJ44" i="28" s="1"/>
  <c r="AI44" i="28"/>
  <c r="Y18" i="30"/>
  <c r="V18" i="28"/>
  <c r="T18" i="30"/>
  <c r="T18" i="28" s="1"/>
  <c r="Y20" i="30"/>
  <c r="V20" i="28"/>
  <c r="T20" i="30"/>
  <c r="T20" i="28" s="1"/>
  <c r="AE55" i="30"/>
  <c r="AB55" i="28"/>
  <c r="Z55" i="30"/>
  <c r="AA55" i="30" s="1"/>
  <c r="AB57" i="30"/>
  <c r="AB57" i="28" s="1"/>
  <c r="AB52" i="28" s="1"/>
  <c r="W74" i="28"/>
  <c r="X74" i="30"/>
  <c r="X74" i="28" s="1"/>
  <c r="Z50" i="30"/>
  <c r="Z50" i="28" s="1"/>
  <c r="AE50" i="30"/>
  <c r="AB50" i="28"/>
  <c r="AB81" i="28"/>
  <c r="G116" i="16"/>
  <c r="G119" i="16" s="1"/>
  <c r="G130" i="16" s="1"/>
  <c r="G133" i="16" s="1"/>
  <c r="T111" i="30"/>
  <c r="I116" i="16"/>
  <c r="I119" i="16" s="1"/>
  <c r="I130" i="16" s="1"/>
  <c r="I133" i="16" s="1"/>
  <c r="Y21" i="28"/>
  <c r="J13" i="16"/>
  <c r="J16" i="16" s="1"/>
  <c r="J82" i="16" s="1"/>
  <c r="J98" i="16" s="1"/>
  <c r="Y109" i="30" s="1"/>
  <c r="S109" i="28"/>
  <c r="Q111" i="30"/>
  <c r="AA80" i="30"/>
  <c r="AA80" i="28" s="1"/>
  <c r="U87" i="30"/>
  <c r="U87" i="28" s="1"/>
  <c r="T87" i="28"/>
  <c r="AD53" i="30"/>
  <c r="AC53" i="28"/>
  <c r="W77" i="28"/>
  <c r="X77" i="30"/>
  <c r="X77" i="28" s="1"/>
  <c r="W62" i="30"/>
  <c r="W62" i="28" s="1"/>
  <c r="W58" i="28" s="1"/>
  <c r="W59" i="28"/>
  <c r="X59" i="30"/>
  <c r="M23" i="16"/>
  <c r="N21" i="16"/>
  <c r="Y171" i="30"/>
  <c r="Y171" i="28" s="1"/>
  <c r="Y89" i="28"/>
  <c r="AB89" i="30"/>
  <c r="W89" i="30"/>
  <c r="W89" i="28" s="1"/>
  <c r="AK38" i="30"/>
  <c r="AH38" i="28"/>
  <c r="AF38" i="30"/>
  <c r="AF38" i="28" s="1"/>
  <c r="AN70" i="30"/>
  <c r="AL70" i="30" s="1"/>
  <c r="AK70" i="28"/>
  <c r="AJ70" i="30"/>
  <c r="AG33" i="30"/>
  <c r="AG33" i="28" s="1"/>
  <c r="AF33" i="28"/>
  <c r="P188" i="30"/>
  <c r="P184" i="28"/>
  <c r="W88" i="28"/>
  <c r="X88" i="30"/>
  <c r="X88" i="28" s="1"/>
  <c r="W64" i="28"/>
  <c r="W68" i="30"/>
  <c r="W68" i="28" s="1"/>
  <c r="W63" i="28" s="1"/>
  <c r="AE48" i="30"/>
  <c r="AB48" i="28"/>
  <c r="Z48" i="30"/>
  <c r="Z48" i="28" s="1"/>
  <c r="Q19" i="28"/>
  <c r="R19" i="30"/>
  <c r="W43" i="28"/>
  <c r="W51" i="30"/>
  <c r="W51" i="28" s="1"/>
  <c r="W42" i="28" s="1"/>
  <c r="X73" i="30"/>
  <c r="W73" i="28"/>
  <c r="AB87" i="30"/>
  <c r="Y87" i="28"/>
  <c r="W87" i="30"/>
  <c r="W87" i="28" s="1"/>
  <c r="X75" i="30"/>
  <c r="X75" i="28" s="1"/>
  <c r="W75" i="28"/>
  <c r="T90" i="28"/>
  <c r="U90" i="30"/>
  <c r="U90" i="28" s="1"/>
  <c r="AE77" i="30"/>
  <c r="AB77" i="28"/>
  <c r="Z77" i="30"/>
  <c r="Z77" i="28" s="1"/>
  <c r="AA91" i="30"/>
  <c r="AA91" i="28" s="1"/>
  <c r="Z91" i="28"/>
  <c r="AK53" i="30"/>
  <c r="AH53" i="28"/>
  <c r="AF53" i="30"/>
  <c r="AG53" i="30" s="1"/>
  <c r="AA40" i="30"/>
  <c r="AA40" i="28" s="1"/>
  <c r="Z40" i="28"/>
  <c r="AE36" i="30"/>
  <c r="AB41" i="30"/>
  <c r="AB41" i="28" s="1"/>
  <c r="AB35" i="28" s="1"/>
  <c r="AB36" i="28"/>
  <c r="Z36" i="30"/>
  <c r="AA36" i="30" s="1"/>
  <c r="AE59" i="30"/>
  <c r="AB59" i="28"/>
  <c r="AB62" i="30"/>
  <c r="AB62" i="28" s="1"/>
  <c r="AB58" i="28" s="1"/>
  <c r="Z59" i="30"/>
  <c r="AA59" i="30" s="1"/>
  <c r="AN33" i="30"/>
  <c r="AK33" i="28"/>
  <c r="AI33" i="30"/>
  <c r="AI33" i="28" s="1"/>
  <c r="Z66" i="28"/>
  <c r="AA66" i="30"/>
  <c r="AA66" i="28" s="1"/>
  <c r="AE88" i="30"/>
  <c r="AB161" i="30"/>
  <c r="AB161" i="28" s="1"/>
  <c r="Z88" i="30"/>
  <c r="Z88" i="28" s="1"/>
  <c r="AB88" i="28"/>
  <c r="W36" i="28"/>
  <c r="X36" i="30"/>
  <c r="W41" i="30"/>
  <c r="W41" i="28" s="1"/>
  <c r="W35" i="28" s="1"/>
  <c r="AB76" i="30"/>
  <c r="AB78" i="30" s="1"/>
  <c r="AB78" i="28" s="1"/>
  <c r="AB69" i="28" s="1"/>
  <c r="Y76" i="28"/>
  <c r="W76" i="30"/>
  <c r="W76" i="28" s="1"/>
  <c r="Y19" i="30"/>
  <c r="V19" i="28"/>
  <c r="T19" i="30"/>
  <c r="T19" i="28" s="1"/>
  <c r="AB73" i="28"/>
  <c r="AE73" i="30"/>
  <c r="Z73" i="30"/>
  <c r="AA73" i="30" s="1"/>
  <c r="T89" i="28"/>
  <c r="U89" i="30"/>
  <c r="U89" i="28" s="1"/>
  <c r="AE75" i="30"/>
  <c r="AB75" i="28"/>
  <c r="Z75" i="30"/>
  <c r="Z75" i="28" s="1"/>
  <c r="AE91" i="28"/>
  <c r="AH91" i="30"/>
  <c r="AC91" i="30"/>
  <c r="AC91" i="28" s="1"/>
  <c r="AE185" i="30"/>
  <c r="AE185" i="28" s="1"/>
  <c r="T76" i="28"/>
  <c r="T78" i="30"/>
  <c r="T78" i="28" s="1"/>
  <c r="T69" i="28" s="1"/>
  <c r="U76" i="30"/>
  <c r="Z64" i="30"/>
  <c r="AA64" i="30" s="1"/>
  <c r="AE64" i="30"/>
  <c r="AB68" i="30"/>
  <c r="AB68" i="28" s="1"/>
  <c r="AB63" i="28" s="1"/>
  <c r="AB64" i="28"/>
  <c r="AH80" i="30"/>
  <c r="AE80" i="28"/>
  <c r="AC80" i="30"/>
  <c r="AC80" i="28" s="1"/>
  <c r="AE43" i="30"/>
  <c r="AB51" i="30"/>
  <c r="AB51" i="28" s="1"/>
  <c r="AB42" i="28" s="1"/>
  <c r="AB43" i="28"/>
  <c r="Z43" i="30"/>
  <c r="AA43" i="30" s="1"/>
  <c r="AD38" i="30"/>
  <c r="AD38" i="28" s="1"/>
  <c r="AC38" i="28"/>
  <c r="AB90" i="30"/>
  <c r="Y178" i="30"/>
  <c r="Y178" i="28" s="1"/>
  <c r="Y90" i="28"/>
  <c r="W90" i="30"/>
  <c r="W90" i="28" s="1"/>
  <c r="AH40" i="30"/>
  <c r="AE40" i="28"/>
  <c r="AC40" i="30"/>
  <c r="AC40" i="28" s="1"/>
  <c r="AG70" i="30"/>
  <c r="AF70" i="28"/>
  <c r="AH66" i="30"/>
  <c r="AE66" i="28"/>
  <c r="AC66" i="30"/>
  <c r="AC66" i="28" s="1"/>
  <c r="W48" i="28"/>
  <c r="X48" i="30"/>
  <c r="X48" i="28" s="1"/>
  <c r="X43" i="30"/>
  <c r="K40" i="16"/>
  <c r="L32" i="16"/>
  <c r="M61" i="16"/>
  <c r="L67" i="16"/>
  <c r="AE81" i="30" s="1"/>
  <c r="AJ205" i="30"/>
  <c r="AJ206" i="30" s="1"/>
  <c r="AM203" i="30"/>
  <c r="N48" i="16"/>
  <c r="M51" i="16"/>
  <c r="BU21" i="24" a="1"/>
  <c r="BU21" i="24" s="1"/>
  <c r="BG56" i="28"/>
  <c r="BH56" i="30"/>
  <c r="V59" i="16"/>
  <c r="Q60" i="16"/>
  <c r="AI205" i="30"/>
  <c r="AI206" i="30" s="1"/>
  <c r="AL203" i="30"/>
  <c r="O42" i="16"/>
  <c r="N46" i="16"/>
  <c r="BO56" i="30"/>
  <c r="BL56" i="28"/>
  <c r="BJ56" i="30"/>
  <c r="BK56" i="30" s="1"/>
  <c r="BS23" i="24" a="1"/>
  <c r="BS23" i="24" s="1"/>
  <c r="K80" i="16"/>
  <c r="N54" i="16"/>
  <c r="M57" i="16"/>
  <c r="M25" i="16"/>
  <c r="L30" i="16"/>
  <c r="S177" i="30"/>
  <c r="P181" i="28"/>
  <c r="V93" i="30"/>
  <c r="V93" i="28" s="1"/>
  <c r="V86" i="28"/>
  <c r="T86" i="30"/>
  <c r="U86" i="30" s="1"/>
  <c r="Y86" i="30"/>
  <c r="Y200" i="30" s="1"/>
  <c r="Y201" i="30" s="1"/>
  <c r="Y202" i="30" s="1"/>
  <c r="Q200" i="30"/>
  <c r="Q201" i="30" s="1"/>
  <c r="Q202" i="30" s="1"/>
  <c r="R86" i="30"/>
  <c r="Q86" i="28"/>
  <c r="Q93" i="30"/>
  <c r="Q93" i="28" s="1"/>
  <c r="AH199" i="30"/>
  <c r="AF11" i="36"/>
  <c r="Z11" i="36"/>
  <c r="AB16" i="28"/>
  <c r="AE16" i="30"/>
  <c r="Z16" i="30"/>
  <c r="Z16" i="28" s="1"/>
  <c r="X16" i="30"/>
  <c r="X16" i="28" s="1"/>
  <c r="W16" i="28"/>
  <c r="S174" i="30"/>
  <c r="S170" i="28"/>
  <c r="AE134" i="30"/>
  <c r="AB140" i="30"/>
  <c r="L209" i="30"/>
  <c r="S191" i="30"/>
  <c r="P193" i="28"/>
  <c r="L95" i="30"/>
  <c r="L95" i="28" s="1"/>
  <c r="L28" i="30"/>
  <c r="L24" i="28"/>
  <c r="L83" i="30"/>
  <c r="L83" i="28" s="1"/>
  <c r="AC7" i="30"/>
  <c r="Z7" i="28"/>
  <c r="U12" i="36"/>
  <c r="S12" i="36"/>
  <c r="O13" i="36"/>
  <c r="X102" i="30"/>
  <c r="X102" i="28" s="1"/>
  <c r="V83" i="30"/>
  <c r="V83" i="28" s="1"/>
  <c r="V34" i="28"/>
  <c r="V31" i="28" s="1"/>
  <c r="N83" i="28"/>
  <c r="AB32" i="30"/>
  <c r="Y34" i="30"/>
  <c r="W32" i="30"/>
  <c r="X32" i="30" s="1"/>
  <c r="Y32" i="28"/>
  <c r="T34" i="30"/>
  <c r="T32" i="28"/>
  <c r="R34" i="28"/>
  <c r="R31" i="28" s="1"/>
  <c r="R83" i="30"/>
  <c r="R83" i="28" s="1"/>
  <c r="O34" i="28"/>
  <c r="O31" i="28" s="1"/>
  <c r="O95" i="30"/>
  <c r="O95" i="28" s="1"/>
  <c r="O83" i="30"/>
  <c r="O83" i="28" s="1"/>
  <c r="U32" i="30"/>
  <c r="Q34" i="28"/>
  <c r="Q31" i="28" s="1"/>
  <c r="Q83" i="30"/>
  <c r="Z101" i="28"/>
  <c r="X101" i="28"/>
  <c r="AA101" i="30"/>
  <c r="AA103" i="30"/>
  <c r="AA103" i="28" s="1"/>
  <c r="AE102" i="30"/>
  <c r="Z102" i="30"/>
  <c r="Z102" i="28" s="1"/>
  <c r="AB102" i="28"/>
  <c r="AC103" i="30"/>
  <c r="AC103" i="28" s="1"/>
  <c r="AE103" i="28"/>
  <c r="AH103" i="30"/>
  <c r="AH101" i="30"/>
  <c r="AE101" i="28"/>
  <c r="AC101" i="30"/>
  <c r="AD101" i="30" s="1"/>
  <c r="AD101" i="28" s="1"/>
  <c r="AC9" i="30"/>
  <c r="Z25" i="30"/>
  <c r="Z25" i="28" s="1"/>
  <c r="Z9" i="28"/>
  <c r="AB4" i="30"/>
  <c r="Y4" i="28"/>
  <c r="AF6" i="30"/>
  <c r="AC6" i="28"/>
  <c r="AE5" i="30"/>
  <c r="P208" i="30"/>
  <c r="AB5" i="28"/>
  <c r="AF28" i="36" l="1"/>
  <c r="O24" i="30"/>
  <c r="O24" i="28" s="1"/>
  <c r="R15" i="30"/>
  <c r="R15" i="28" s="1"/>
  <c r="W24" i="57"/>
  <c r="J24" i="30"/>
  <c r="F28" i="57"/>
  <c r="H28" i="57" s="1"/>
  <c r="E28" i="57"/>
  <c r="I24" i="30"/>
  <c r="I24" i="28" s="1"/>
  <c r="Y15" i="30"/>
  <c r="T15" i="30"/>
  <c r="T15" i="28" s="1"/>
  <c r="V15" i="28"/>
  <c r="S9" i="30"/>
  <c r="R25" i="30"/>
  <c r="R25" i="28" s="1"/>
  <c r="U9" i="30"/>
  <c r="R9" i="28"/>
  <c r="P9" i="28"/>
  <c r="P25" i="30"/>
  <c r="P25" i="28" s="1"/>
  <c r="D126" i="57"/>
  <c r="H126" i="30" s="1"/>
  <c r="H112" i="30"/>
  <c r="AA65" i="30"/>
  <c r="AA65" i="28" s="1"/>
  <c r="T111" i="28"/>
  <c r="Q111" i="28"/>
  <c r="AQ47" i="30"/>
  <c r="AN47" i="28"/>
  <c r="AL47" i="30"/>
  <c r="AL47" i="28" s="1"/>
  <c r="AH65" i="30"/>
  <c r="AE65" i="28"/>
  <c r="AC65" i="30"/>
  <c r="AC65" i="28" s="1"/>
  <c r="AA50" i="30"/>
  <c r="AA50" i="28" s="1"/>
  <c r="AJ72" i="30"/>
  <c r="AJ72" i="28" s="1"/>
  <c r="X68" i="30"/>
  <c r="X68" i="28" s="1"/>
  <c r="X63" i="28" s="1"/>
  <c r="AJ47" i="30"/>
  <c r="AJ47" i="28" s="1"/>
  <c r="AQ72" i="30"/>
  <c r="AN72" i="28"/>
  <c r="AL72" i="30"/>
  <c r="AL72" i="28" s="1"/>
  <c r="U14" i="30"/>
  <c r="U14" i="28" s="1"/>
  <c r="U18" i="30"/>
  <c r="U18" i="28" s="1"/>
  <c r="BH37" i="30"/>
  <c r="BH37" i="28" s="1"/>
  <c r="AA74" i="30"/>
  <c r="AA74" i="28" s="1"/>
  <c r="U20" i="30"/>
  <c r="U20" i="28" s="1"/>
  <c r="AG39" i="30"/>
  <c r="AG39" i="28" s="1"/>
  <c r="AJ71" i="30"/>
  <c r="AJ71" i="28" s="1"/>
  <c r="AM44" i="30"/>
  <c r="AM44" i="28" s="1"/>
  <c r="AA55" i="28"/>
  <c r="AA57" i="30"/>
  <c r="AA57" i="28" s="1"/>
  <c r="AA52" i="28" s="1"/>
  <c r="AB17" i="30"/>
  <c r="Y17" i="28"/>
  <c r="W17" i="30"/>
  <c r="W17" i="28" s="1"/>
  <c r="U19" i="30"/>
  <c r="U19" i="28" s="1"/>
  <c r="Z55" i="28"/>
  <c r="Z57" i="30"/>
  <c r="Z57" i="28" s="1"/>
  <c r="Z52" i="28" s="1"/>
  <c r="AT67" i="30"/>
  <c r="AQ67" i="28"/>
  <c r="AO67" i="30"/>
  <c r="AO67" i="28" s="1"/>
  <c r="AG45" i="30"/>
  <c r="AG45" i="28" s="1"/>
  <c r="AH50" i="30"/>
  <c r="AE50" i="28"/>
  <c r="AC50" i="30"/>
  <c r="AA49" i="30"/>
  <c r="AA49" i="28" s="1"/>
  <c r="X55" i="28"/>
  <c r="X57" i="30"/>
  <c r="X57" i="28" s="1"/>
  <c r="X52" i="28" s="1"/>
  <c r="AQ71" i="30"/>
  <c r="AN71" i="28"/>
  <c r="AL71" i="30"/>
  <c r="AL71" i="28" s="1"/>
  <c r="AB18" i="30"/>
  <c r="Y18" i="28"/>
  <c r="W18" i="30"/>
  <c r="W18" i="28" s="1"/>
  <c r="AN45" i="30"/>
  <c r="AI45" i="30"/>
  <c r="AI45" i="28" s="1"/>
  <c r="AK45" i="28"/>
  <c r="AB20" i="30"/>
  <c r="Y20" i="28"/>
  <c r="W20" i="30"/>
  <c r="W20" i="28" s="1"/>
  <c r="BO37" i="30"/>
  <c r="BL37" i="28"/>
  <c r="BJ37" i="30"/>
  <c r="BJ37" i="28" s="1"/>
  <c r="AH55" i="30"/>
  <c r="AE55" i="28"/>
  <c r="AC55" i="30"/>
  <c r="AD55" i="30" s="1"/>
  <c r="AE57" i="30"/>
  <c r="AE57" i="28" s="1"/>
  <c r="AE52" i="28" s="1"/>
  <c r="AH49" i="30"/>
  <c r="AE49" i="28"/>
  <c r="AC49" i="30"/>
  <c r="AC49" i="28" s="1"/>
  <c r="U17" i="30"/>
  <c r="U17" i="28" s="1"/>
  <c r="AM67" i="30"/>
  <c r="AM67" i="28" s="1"/>
  <c r="AN39" i="30"/>
  <c r="AK39" i="28"/>
  <c r="AI39" i="30"/>
  <c r="AI39" i="28" s="1"/>
  <c r="AB14" i="30"/>
  <c r="Y14" i="28"/>
  <c r="W14" i="30"/>
  <c r="W14" i="28" s="1"/>
  <c r="AH74" i="30"/>
  <c r="AE74" i="28"/>
  <c r="AC74" i="30"/>
  <c r="AC74" i="28" s="1"/>
  <c r="AT44" i="30"/>
  <c r="AQ44" i="28"/>
  <c r="AO44" i="30"/>
  <c r="AO44" i="28" s="1"/>
  <c r="X76" i="30"/>
  <c r="X76" i="28" s="1"/>
  <c r="X90" i="30"/>
  <c r="X90" i="28" s="1"/>
  <c r="X87" i="30"/>
  <c r="X87" i="28" s="1"/>
  <c r="W78" i="30"/>
  <c r="W78" i="28" s="1"/>
  <c r="W69" i="28" s="1"/>
  <c r="AD66" i="30"/>
  <c r="AD66" i="28" s="1"/>
  <c r="AE81" i="28"/>
  <c r="P109" i="28"/>
  <c r="N111" i="30"/>
  <c r="V109" i="28"/>
  <c r="AB21" i="28"/>
  <c r="K13" i="16"/>
  <c r="K16" i="16" s="1"/>
  <c r="K82" i="16" s="1"/>
  <c r="K98" i="16" s="1"/>
  <c r="AB109" i="30" s="1"/>
  <c r="R111" i="30"/>
  <c r="R111" i="28" s="1"/>
  <c r="J116" i="16"/>
  <c r="J119" i="16" s="1"/>
  <c r="J130" i="16" s="1"/>
  <c r="J133" i="16" s="1"/>
  <c r="AD80" i="30"/>
  <c r="AD80" i="28" s="1"/>
  <c r="AA75" i="30"/>
  <c r="AA75" i="28" s="1"/>
  <c r="X89" i="30"/>
  <c r="X89" i="28" s="1"/>
  <c r="AJ33" i="30"/>
  <c r="AJ33" i="28" s="1"/>
  <c r="AA36" i="28"/>
  <c r="AA41" i="30"/>
  <c r="AA41" i="28" s="1"/>
  <c r="AA35" i="28" s="1"/>
  <c r="AA43" i="28"/>
  <c r="Z64" i="28"/>
  <c r="Z68" i="30"/>
  <c r="Z68" i="28" s="1"/>
  <c r="Z63" i="28" s="1"/>
  <c r="AD91" i="30"/>
  <c r="AD91" i="28" s="1"/>
  <c r="AH59" i="30"/>
  <c r="AE62" i="30"/>
  <c r="AE62" i="28" s="1"/>
  <c r="AE58" i="28" s="1"/>
  <c r="AE59" i="28"/>
  <c r="AC59" i="30"/>
  <c r="AD59" i="30" s="1"/>
  <c r="AN53" i="30"/>
  <c r="AK53" i="28"/>
  <c r="AI53" i="30"/>
  <c r="AJ53" i="30" s="1"/>
  <c r="AA77" i="30"/>
  <c r="AA77" i="28" s="1"/>
  <c r="AG38" i="30"/>
  <c r="AG38" i="28" s="1"/>
  <c r="Z89" i="30"/>
  <c r="Z89" i="28" s="1"/>
  <c r="AB171" i="30"/>
  <c r="AB171" i="28" s="1"/>
  <c r="AB89" i="28"/>
  <c r="AE89" i="30"/>
  <c r="X59" i="28"/>
  <c r="X62" i="30"/>
  <c r="X62" i="28" s="1"/>
  <c r="X58" i="28" s="1"/>
  <c r="AD53" i="28"/>
  <c r="AE48" i="28"/>
  <c r="AH48" i="30"/>
  <c r="AC48" i="30"/>
  <c r="AC48" i="28" s="1"/>
  <c r="AC64" i="30"/>
  <c r="AH64" i="30"/>
  <c r="AE68" i="30"/>
  <c r="AE68" i="28" s="1"/>
  <c r="AE63" i="28" s="1"/>
  <c r="AE64" i="28"/>
  <c r="AA73" i="28"/>
  <c r="AE76" i="30"/>
  <c r="AE78" i="30" s="1"/>
  <c r="AE78" i="28" s="1"/>
  <c r="AE69" i="28" s="1"/>
  <c r="AB76" i="28"/>
  <c r="Z76" i="30"/>
  <c r="Z76" i="28" s="1"/>
  <c r="AH36" i="30"/>
  <c r="AE41" i="30"/>
  <c r="AE41" i="28" s="1"/>
  <c r="AE35" i="28" s="1"/>
  <c r="AE36" i="28"/>
  <c r="AC36" i="30"/>
  <c r="AD36" i="30" s="1"/>
  <c r="AE87" i="30"/>
  <c r="AB87" i="28"/>
  <c r="Z87" i="30"/>
  <c r="Z87" i="28" s="1"/>
  <c r="R19" i="28"/>
  <c r="R24" i="30"/>
  <c r="AQ70" i="30"/>
  <c r="AO70" i="30" s="1"/>
  <c r="AN70" i="28"/>
  <c r="AD40" i="30"/>
  <c r="AD40" i="28" s="1"/>
  <c r="Z51" i="30"/>
  <c r="Z51" i="28" s="1"/>
  <c r="Z42" i="28" s="1"/>
  <c r="Z43" i="28"/>
  <c r="AH80" i="28"/>
  <c r="AK80" i="30"/>
  <c r="AF80" i="30"/>
  <c r="AF80" i="28" s="1"/>
  <c r="Z73" i="28"/>
  <c r="AB19" i="30"/>
  <c r="Y19" i="28"/>
  <c r="W19" i="30"/>
  <c r="W19" i="28" s="1"/>
  <c r="X36" i="28"/>
  <c r="X41" i="30"/>
  <c r="X41" i="28" s="1"/>
  <c r="X35" i="28" s="1"/>
  <c r="AC88" i="30"/>
  <c r="AC88" i="28" s="1"/>
  <c r="AH88" i="30"/>
  <c r="AE161" i="30"/>
  <c r="AE161" i="28" s="1"/>
  <c r="AE88" i="28"/>
  <c r="AQ33" i="30"/>
  <c r="AN33" i="28"/>
  <c r="AL33" i="30"/>
  <c r="AL33" i="28" s="1"/>
  <c r="X73" i="28"/>
  <c r="AA48" i="30"/>
  <c r="AA48" i="28" s="1"/>
  <c r="AJ70" i="28"/>
  <c r="AA62" i="30"/>
  <c r="AA62" i="28" s="1"/>
  <c r="AA58" i="28" s="1"/>
  <c r="AA59" i="28"/>
  <c r="AH40" i="28"/>
  <c r="AK40" i="30"/>
  <c r="AF40" i="30"/>
  <c r="AF40" i="28" s="1"/>
  <c r="AH43" i="30"/>
  <c r="AE51" i="30"/>
  <c r="AE51" i="28" s="1"/>
  <c r="AE42" i="28" s="1"/>
  <c r="AE43" i="28"/>
  <c r="AC43" i="30"/>
  <c r="AD43" i="30" s="1"/>
  <c r="S184" i="30"/>
  <c r="P188" i="28"/>
  <c r="AG70" i="28"/>
  <c r="AA64" i="28"/>
  <c r="AH75" i="30"/>
  <c r="AE75" i="28"/>
  <c r="AC75" i="30"/>
  <c r="AC75" i="28" s="1"/>
  <c r="AH73" i="30"/>
  <c r="AE73" i="28"/>
  <c r="AC73" i="30"/>
  <c r="AD73" i="30" s="1"/>
  <c r="Z36" i="28"/>
  <c r="Z41" i="30"/>
  <c r="Z41" i="28" s="1"/>
  <c r="Z35" i="28" s="1"/>
  <c r="AG53" i="28"/>
  <c r="X43" i="28"/>
  <c r="X51" i="30"/>
  <c r="X51" i="28" s="1"/>
  <c r="X42" i="28" s="1"/>
  <c r="AK66" i="30"/>
  <c r="AH66" i="28"/>
  <c r="AF66" i="30"/>
  <c r="AF66" i="28" s="1"/>
  <c r="AE90" i="30"/>
  <c r="AB178" i="30"/>
  <c r="AB178" i="28" s="1"/>
  <c r="AB90" i="28"/>
  <c r="Z90" i="30"/>
  <c r="Z90" i="28" s="1"/>
  <c r="U76" i="28"/>
  <c r="U78" i="30"/>
  <c r="U78" i="28" s="1"/>
  <c r="U69" i="28" s="1"/>
  <c r="AF91" i="30"/>
  <c r="AF91" i="28" s="1"/>
  <c r="AK91" i="30"/>
  <c r="AH185" i="30"/>
  <c r="AH185" i="28" s="1"/>
  <c r="AH91" i="28"/>
  <c r="AA88" i="30"/>
  <c r="AA88" i="28" s="1"/>
  <c r="Z59" i="28"/>
  <c r="Z62" i="30"/>
  <c r="Z62" i="28" s="1"/>
  <c r="Z58" i="28" s="1"/>
  <c r="AF53" i="28"/>
  <c r="AH77" i="30"/>
  <c r="AE77" i="28"/>
  <c r="AC77" i="30"/>
  <c r="AC77" i="28" s="1"/>
  <c r="AI70" i="28"/>
  <c r="AN38" i="30"/>
  <c r="AK38" i="28"/>
  <c r="AI38" i="30"/>
  <c r="AI38" i="28" s="1"/>
  <c r="N23" i="16"/>
  <c r="O21" i="16"/>
  <c r="W59" i="16"/>
  <c r="BH56" i="28"/>
  <c r="BO56" i="28"/>
  <c r="BM56" i="30"/>
  <c r="U111" i="30"/>
  <c r="U111" i="28" s="1"/>
  <c r="BU22" i="24" a="1"/>
  <c r="BU22" i="24" s="1"/>
  <c r="N61" i="16"/>
  <c r="M67" i="16"/>
  <c r="AH81" i="30" s="1"/>
  <c r="BS24" i="24" a="1"/>
  <c r="BS24" i="24" s="1"/>
  <c r="P42" i="16"/>
  <c r="O46" i="16"/>
  <c r="R60" i="16"/>
  <c r="O48" i="16"/>
  <c r="N51" i="16"/>
  <c r="L40" i="16"/>
  <c r="M32" i="16"/>
  <c r="S177" i="28"/>
  <c r="S181" i="30"/>
  <c r="AO203" i="30"/>
  <c r="AL205" i="30"/>
  <c r="AL206" i="30" s="1"/>
  <c r="AM205" i="30"/>
  <c r="AM206" i="30" s="1"/>
  <c r="AP203" i="30"/>
  <c r="Y109" i="28"/>
  <c r="W111" i="30"/>
  <c r="O54" i="16"/>
  <c r="N57" i="16"/>
  <c r="BK56" i="28"/>
  <c r="BJ56" i="28"/>
  <c r="L80" i="16"/>
  <c r="N25" i="16"/>
  <c r="M30" i="16"/>
  <c r="Q95" i="30"/>
  <c r="Q95" i="28" s="1"/>
  <c r="V95" i="30"/>
  <c r="V95" i="28" s="1"/>
  <c r="W86" i="30"/>
  <c r="X86" i="30" s="1"/>
  <c r="Y86" i="28"/>
  <c r="AB86" i="30"/>
  <c r="AB200" i="30" s="1"/>
  <c r="AB201" i="30" s="1"/>
  <c r="AB202" i="30" s="1"/>
  <c r="Y93" i="30"/>
  <c r="Y93" i="28" s="1"/>
  <c r="R93" i="30"/>
  <c r="R200" i="30"/>
  <c r="R201" i="30" s="1"/>
  <c r="R202" i="30" s="1"/>
  <c r="R86" i="28"/>
  <c r="T86" i="28"/>
  <c r="T200" i="30"/>
  <c r="T201" i="30" s="1"/>
  <c r="T202" i="30" s="1"/>
  <c r="T93" i="30"/>
  <c r="T93" i="28" s="1"/>
  <c r="U93" i="30"/>
  <c r="U93" i="28" s="1"/>
  <c r="U200" i="30"/>
  <c r="U201" i="30" s="1"/>
  <c r="U86" i="28"/>
  <c r="AK199" i="30"/>
  <c r="Z12" i="36"/>
  <c r="AF12" i="36"/>
  <c r="AH16" i="30"/>
  <c r="AE16" i="28"/>
  <c r="AC16" i="30"/>
  <c r="AC16" i="28" s="1"/>
  <c r="AA16" i="30"/>
  <c r="AA16" i="28" s="1"/>
  <c r="V170" i="30"/>
  <c r="S174" i="28"/>
  <c r="S193" i="30"/>
  <c r="S191" i="28"/>
  <c r="AH134" i="30"/>
  <c r="AE140" i="30"/>
  <c r="AA102" i="30"/>
  <c r="AA102" i="28" s="1"/>
  <c r="L28" i="28"/>
  <c r="L97" i="30"/>
  <c r="AF7" i="30"/>
  <c r="AC7" i="28"/>
  <c r="U13" i="36"/>
  <c r="S13" i="36"/>
  <c r="O14" i="36"/>
  <c r="AD103" i="30"/>
  <c r="AD103" i="28" s="1"/>
  <c r="Q83" i="28"/>
  <c r="Y83" i="30"/>
  <c r="Y83" i="28" s="1"/>
  <c r="Y34" i="28"/>
  <c r="Y31" i="28" s="1"/>
  <c r="X32" i="28"/>
  <c r="X34" i="30"/>
  <c r="AB34" i="30"/>
  <c r="AE32" i="30"/>
  <c r="Z32" i="30"/>
  <c r="AA32" i="30" s="1"/>
  <c r="AB32" i="28"/>
  <c r="U32" i="28"/>
  <c r="U34" i="30"/>
  <c r="T34" i="28"/>
  <c r="T31" i="28" s="1"/>
  <c r="T83" i="30"/>
  <c r="W32" i="28"/>
  <c r="W34" i="30"/>
  <c r="AA101" i="28"/>
  <c r="AK103" i="30"/>
  <c r="AF103" i="30"/>
  <c r="AF103" i="28" s="1"/>
  <c r="AH103" i="28"/>
  <c r="AC101" i="28"/>
  <c r="AK101" i="30"/>
  <c r="AF101" i="30"/>
  <c r="AH101" i="28"/>
  <c r="AH102" i="30"/>
  <c r="AC102" i="30"/>
  <c r="AC102" i="28" s="1"/>
  <c r="AE102" i="28"/>
  <c r="AH5" i="30"/>
  <c r="AE5" i="28"/>
  <c r="Q208" i="30"/>
  <c r="AB4" i="28"/>
  <c r="AE4" i="30"/>
  <c r="AI6" i="30"/>
  <c r="AF6" i="28"/>
  <c r="AF9" i="30"/>
  <c r="AC25" i="30"/>
  <c r="AC25" i="28" s="1"/>
  <c r="AC9" i="28"/>
  <c r="O28" i="30" l="1"/>
  <c r="O28" i="28" s="1"/>
  <c r="U15" i="30"/>
  <c r="U15" i="28" s="1"/>
  <c r="AG28" i="36"/>
  <c r="W28" i="57"/>
  <c r="V28" i="57"/>
  <c r="W4" i="57" s="1"/>
  <c r="X4" i="57" s="1"/>
  <c r="J28" i="30"/>
  <c r="F97" i="57"/>
  <c r="E97" i="57"/>
  <c r="I28" i="30"/>
  <c r="I28" i="28" s="1"/>
  <c r="W15" i="30"/>
  <c r="W15" i="28" s="1"/>
  <c r="AB15" i="30"/>
  <c r="Y15" i="28"/>
  <c r="O97" i="30"/>
  <c r="O97" i="28" s="1"/>
  <c r="V9" i="30"/>
  <c r="U9" i="28"/>
  <c r="X9" i="30"/>
  <c r="U25" i="30"/>
  <c r="U25" i="28" s="1"/>
  <c r="S25" i="30"/>
  <c r="S25" i="28" s="1"/>
  <c r="S9" i="28"/>
  <c r="AA68" i="30"/>
  <c r="AA68" i="28" s="1"/>
  <c r="AA63" i="28" s="1"/>
  <c r="AM72" i="30"/>
  <c r="AM72" i="28" s="1"/>
  <c r="W111" i="28"/>
  <c r="X78" i="30"/>
  <c r="X78" i="28" s="1"/>
  <c r="X69" i="28" s="1"/>
  <c r="AD65" i="30"/>
  <c r="AD65" i="28" s="1"/>
  <c r="AP44" i="30"/>
  <c r="AP44" i="28" s="1"/>
  <c r="AT72" i="30"/>
  <c r="AQ72" i="28"/>
  <c r="AO72" i="30"/>
  <c r="AO72" i="28" s="1"/>
  <c r="AK65" i="30"/>
  <c r="AH65" i="28"/>
  <c r="AF65" i="30"/>
  <c r="AF65" i="28" s="1"/>
  <c r="X17" i="30"/>
  <c r="X17" i="28" s="1"/>
  <c r="AM47" i="30"/>
  <c r="AM47" i="28" s="1"/>
  <c r="U24" i="30"/>
  <c r="U24" i="28" s="1"/>
  <c r="AT47" i="30"/>
  <c r="AQ47" i="28"/>
  <c r="AO47" i="30"/>
  <c r="AO47" i="28" s="1"/>
  <c r="AD55" i="28"/>
  <c r="AD57" i="30"/>
  <c r="AD57" i="28" s="1"/>
  <c r="AD52" i="28" s="1"/>
  <c r="X20" i="30"/>
  <c r="X20" i="28" s="1"/>
  <c r="AD74" i="30"/>
  <c r="AD74" i="28" s="1"/>
  <c r="AJ45" i="30"/>
  <c r="AJ45" i="28" s="1"/>
  <c r="AM71" i="30"/>
  <c r="AM71" i="28" s="1"/>
  <c r="X14" i="30"/>
  <c r="X14" i="28" s="1"/>
  <c r="BK37" i="30"/>
  <c r="BK37" i="28" s="1"/>
  <c r="X18" i="30"/>
  <c r="X18" i="28" s="1"/>
  <c r="AD49" i="30"/>
  <c r="AD49" i="28" s="1"/>
  <c r="AP67" i="30"/>
  <c r="AP67" i="28" s="1"/>
  <c r="AJ39" i="30"/>
  <c r="AJ39" i="28" s="1"/>
  <c r="AK49" i="30"/>
  <c r="AH49" i="28"/>
  <c r="AF49" i="30"/>
  <c r="AF49" i="28" s="1"/>
  <c r="AH50" i="28"/>
  <c r="AF50" i="30"/>
  <c r="AK50" i="30"/>
  <c r="AK74" i="30"/>
  <c r="AH74" i="28"/>
  <c r="AF74" i="30"/>
  <c r="AF74" i="28" s="1"/>
  <c r="AQ39" i="30"/>
  <c r="AN39" i="28"/>
  <c r="AL39" i="30"/>
  <c r="AL39" i="28" s="1"/>
  <c r="BO37" i="28"/>
  <c r="BM37" i="30"/>
  <c r="BM37" i="28" s="1"/>
  <c r="AL45" i="30"/>
  <c r="AL45" i="28" s="1"/>
  <c r="AQ45" i="30"/>
  <c r="AN45" i="28"/>
  <c r="AT71" i="30"/>
  <c r="AQ71" i="28"/>
  <c r="AO71" i="30"/>
  <c r="AO71" i="28" s="1"/>
  <c r="AC55" i="28"/>
  <c r="AC57" i="30"/>
  <c r="AC57" i="28" s="1"/>
  <c r="AC52" i="28" s="1"/>
  <c r="AE17" i="30"/>
  <c r="AB17" i="28"/>
  <c r="Z17" i="30"/>
  <c r="Z17" i="28" s="1"/>
  <c r="AW67" i="30"/>
  <c r="AT67" i="28"/>
  <c r="AR67" i="30"/>
  <c r="AR67" i="28" s="1"/>
  <c r="AW44" i="30"/>
  <c r="AT44" i="28"/>
  <c r="AR44" i="30"/>
  <c r="AR44" i="28" s="1"/>
  <c r="AE14" i="30"/>
  <c r="AB14" i="28"/>
  <c r="Z14" i="30"/>
  <c r="Z14" i="28" s="1"/>
  <c r="AK55" i="30"/>
  <c r="AH55" i="28"/>
  <c r="AF55" i="30"/>
  <c r="AH57" i="30"/>
  <c r="AH57" i="28" s="1"/>
  <c r="AH52" i="28" s="1"/>
  <c r="AE20" i="30"/>
  <c r="AB20" i="28"/>
  <c r="Z20" i="30"/>
  <c r="Z20" i="28" s="1"/>
  <c r="AE18" i="30"/>
  <c r="AB18" i="28"/>
  <c r="Z18" i="30"/>
  <c r="Z18" i="28" s="1"/>
  <c r="AD50" i="30"/>
  <c r="AD50" i="28" s="1"/>
  <c r="AC50" i="28"/>
  <c r="Z78" i="30"/>
  <c r="Z78" i="28" s="1"/>
  <c r="Z69" i="28" s="1"/>
  <c r="AD88" i="30"/>
  <c r="AD88" i="28" s="1"/>
  <c r="M80" i="16"/>
  <c r="O111" i="30"/>
  <c r="O111" i="28" s="1"/>
  <c r="N111" i="28"/>
  <c r="K116" i="16"/>
  <c r="K119" i="16" s="1"/>
  <c r="K130" i="16" s="1"/>
  <c r="K133" i="16" s="1"/>
  <c r="L13" i="16"/>
  <c r="L16" i="16" s="1"/>
  <c r="L82" i="16" s="1"/>
  <c r="L98" i="16" s="1"/>
  <c r="AE109" i="30" s="1"/>
  <c r="AE21" i="28"/>
  <c r="AD48" i="30"/>
  <c r="AD48" i="28" s="1"/>
  <c r="AG91" i="30"/>
  <c r="AG91" i="28" s="1"/>
  <c r="X19" i="30"/>
  <c r="AA90" i="30"/>
  <c r="AA90" i="28" s="1"/>
  <c r="AG80" i="30"/>
  <c r="AG80" i="28" s="1"/>
  <c r="AD36" i="28"/>
  <c r="AD41" i="30"/>
  <c r="AD41" i="28" s="1"/>
  <c r="AD35" i="28" s="1"/>
  <c r="AD43" i="28"/>
  <c r="AN80" i="30"/>
  <c r="AK80" i="28"/>
  <c r="AI80" i="30"/>
  <c r="AI80" i="28" s="1"/>
  <c r="AD59" i="28"/>
  <c r="AD62" i="30"/>
  <c r="AD62" i="28" s="1"/>
  <c r="AD58" i="28" s="1"/>
  <c r="AH81" i="28"/>
  <c r="AK73" i="30"/>
  <c r="AH73" i="28"/>
  <c r="AF73" i="30"/>
  <c r="AG73" i="30" s="1"/>
  <c r="AC51" i="30"/>
  <c r="AC51" i="28" s="1"/>
  <c r="AC42" i="28" s="1"/>
  <c r="AC43" i="28"/>
  <c r="AN40" i="30"/>
  <c r="AK40" i="28"/>
  <c r="AI40" i="30"/>
  <c r="AI40" i="28" s="1"/>
  <c r="AE19" i="30"/>
  <c r="AB19" i="28"/>
  <c r="Z19" i="30"/>
  <c r="Z19" i="28" s="1"/>
  <c r="AK36" i="30"/>
  <c r="AH36" i="28"/>
  <c r="AH41" i="30"/>
  <c r="AH41" i="28" s="1"/>
  <c r="AH35" i="28" s="1"/>
  <c r="AF36" i="30"/>
  <c r="AA89" i="30"/>
  <c r="AA89" i="28" s="1"/>
  <c r="AJ53" i="28"/>
  <c r="AC62" i="30"/>
  <c r="AC62" i="28" s="1"/>
  <c r="AC58" i="28" s="1"/>
  <c r="AC59" i="28"/>
  <c r="O23" i="16"/>
  <c r="P21" i="16"/>
  <c r="AL70" i="28"/>
  <c r="AC89" i="30"/>
  <c r="AC89" i="28" s="1"/>
  <c r="AE89" i="28"/>
  <c r="AH89" i="30"/>
  <c r="AE171" i="30"/>
  <c r="AE171" i="28" s="1"/>
  <c r="AJ38" i="30"/>
  <c r="AJ38" i="28" s="1"/>
  <c r="AD77" i="30"/>
  <c r="AD77" i="28" s="1"/>
  <c r="AK185" i="30"/>
  <c r="AK185" i="28" s="1"/>
  <c r="AN91" i="30"/>
  <c r="AK91" i="28"/>
  <c r="AI91" i="30"/>
  <c r="AI91" i="28" s="1"/>
  <c r="AN66" i="30"/>
  <c r="AK66" i="28"/>
  <c r="AI66" i="30"/>
  <c r="AI66" i="28" s="1"/>
  <c r="AD75" i="30"/>
  <c r="AD75" i="28" s="1"/>
  <c r="AT33" i="30"/>
  <c r="AQ33" i="28"/>
  <c r="AO33" i="30"/>
  <c r="AO33" i="28" s="1"/>
  <c r="AT70" i="30"/>
  <c r="AR70" i="30" s="1"/>
  <c r="AQ70" i="28"/>
  <c r="AP70" i="30"/>
  <c r="AH87" i="30"/>
  <c r="AE87" i="28"/>
  <c r="AC87" i="30"/>
  <c r="AC87" i="28" s="1"/>
  <c r="AA76" i="30"/>
  <c r="AH48" i="28"/>
  <c r="AK48" i="30"/>
  <c r="AF48" i="30"/>
  <c r="AF48" i="28" s="1"/>
  <c r="AI53" i="28"/>
  <c r="R28" i="30"/>
  <c r="R28" i="28" s="1"/>
  <c r="R24" i="28"/>
  <c r="AA51" i="30"/>
  <c r="AA51" i="28" s="1"/>
  <c r="AA42" i="28" s="1"/>
  <c r="AE90" i="28"/>
  <c r="AE178" i="30"/>
  <c r="AE178" i="28" s="1"/>
  <c r="AH90" i="30"/>
  <c r="AC90" i="30"/>
  <c r="AC90" i="28" s="1"/>
  <c r="AD73" i="28"/>
  <c r="AK43" i="30"/>
  <c r="AH43" i="28"/>
  <c r="AH51" i="30"/>
  <c r="AH51" i="28" s="1"/>
  <c r="AH42" i="28" s="1"/>
  <c r="AF43" i="30"/>
  <c r="AG43" i="30" s="1"/>
  <c r="AC41" i="30"/>
  <c r="AC41" i="28" s="1"/>
  <c r="AC35" i="28" s="1"/>
  <c r="AC36" i="28"/>
  <c r="AK64" i="30"/>
  <c r="AH68" i="30"/>
  <c r="AH68" i="28" s="1"/>
  <c r="AH63" i="28" s="1"/>
  <c r="AH64" i="28"/>
  <c r="AF64" i="30"/>
  <c r="AG64" i="30" s="1"/>
  <c r="AK59" i="30"/>
  <c r="AH62" i="30"/>
  <c r="AH62" i="28" s="1"/>
  <c r="AH58" i="28" s="1"/>
  <c r="AH59" i="28"/>
  <c r="AF59" i="30"/>
  <c r="AG59" i="30" s="1"/>
  <c r="AQ38" i="30"/>
  <c r="AN38" i="28"/>
  <c r="AL38" i="30"/>
  <c r="AL38" i="28" s="1"/>
  <c r="AK77" i="30"/>
  <c r="AH77" i="28"/>
  <c r="AF77" i="30"/>
  <c r="AF77" i="28" s="1"/>
  <c r="AG66" i="30"/>
  <c r="AG66" i="28" s="1"/>
  <c r="AC73" i="28"/>
  <c r="AK75" i="30"/>
  <c r="AH75" i="28"/>
  <c r="AF75" i="30"/>
  <c r="AF75" i="28" s="1"/>
  <c r="S184" i="28"/>
  <c r="S188" i="30"/>
  <c r="AG40" i="30"/>
  <c r="AG40" i="28" s="1"/>
  <c r="AM33" i="30"/>
  <c r="AM33" i="28" s="1"/>
  <c r="AH88" i="28"/>
  <c r="AF88" i="30"/>
  <c r="AF88" i="28" s="1"/>
  <c r="AK88" i="30"/>
  <c r="AH161" i="30"/>
  <c r="AH161" i="28" s="1"/>
  <c r="AM70" i="30"/>
  <c r="AA87" i="30"/>
  <c r="AA87" i="28" s="1"/>
  <c r="AH76" i="30"/>
  <c r="AE76" i="28"/>
  <c r="AC76" i="30"/>
  <c r="AC76" i="28" s="1"/>
  <c r="AD64" i="30"/>
  <c r="AC68" i="30"/>
  <c r="AC68" i="28" s="1"/>
  <c r="AC63" i="28" s="1"/>
  <c r="AC64" i="28"/>
  <c r="AQ53" i="30"/>
  <c r="AN53" i="28"/>
  <c r="AL53" i="30"/>
  <c r="AM53" i="30" s="1"/>
  <c r="P54" i="16"/>
  <c r="O57" i="16"/>
  <c r="S60" i="16"/>
  <c r="BM56" i="28"/>
  <c r="P48" i="16"/>
  <c r="O51" i="16"/>
  <c r="AR203" i="30"/>
  <c r="AO205" i="30"/>
  <c r="AO206" i="30" s="1"/>
  <c r="V177" i="30"/>
  <c r="S181" i="28"/>
  <c r="P46" i="16"/>
  <c r="Q42" i="16"/>
  <c r="BS25" i="24" a="1"/>
  <c r="BS25" i="24" s="1"/>
  <c r="BS26" i="24" s="1" a="1"/>
  <c r="BS26" i="24" s="1"/>
  <c r="BS27" i="24" s="1" a="1"/>
  <c r="BS27" i="24" s="1"/>
  <c r="BS28" i="24" s="1" a="1"/>
  <c r="BS28" i="24" s="1"/>
  <c r="BS29" i="24" s="1" a="1"/>
  <c r="BS29" i="24" s="1"/>
  <c r="BS30" i="24" s="1" a="1"/>
  <c r="BS30" i="24" s="1"/>
  <c r="BS31" i="24" s="1" a="1"/>
  <c r="BS31" i="24" s="1"/>
  <c r="BS32" i="24" s="1" a="1"/>
  <c r="BS32" i="24" s="1"/>
  <c r="BS33" i="24" s="1" a="1"/>
  <c r="BS33" i="24" s="1"/>
  <c r="BS34" i="24" s="1" a="1"/>
  <c r="BS34" i="24" s="1"/>
  <c r="BS35" i="24" s="1" a="1"/>
  <c r="BS35" i="24" s="1"/>
  <c r="BS36" i="24" s="1" a="1"/>
  <c r="BS36" i="24" s="1"/>
  <c r="BS37" i="24" s="1" a="1"/>
  <c r="BS37" i="24" s="1"/>
  <c r="BS38" i="24" s="1" a="1"/>
  <c r="BS38" i="24" s="1"/>
  <c r="BS39" i="24" s="1" a="1"/>
  <c r="BS39" i="24" s="1"/>
  <c r="BS40" i="24" s="1" a="1"/>
  <c r="BS40" i="24" s="1"/>
  <c r="BS41" i="24" s="1" a="1"/>
  <c r="BS41" i="24" s="1"/>
  <c r="BS42" i="24" s="1" a="1"/>
  <c r="BS42" i="24" s="1"/>
  <c r="BS43" i="24" s="1" a="1"/>
  <c r="BS43" i="24" s="1"/>
  <c r="BS44" i="24" s="1" a="1"/>
  <c r="BS44" i="24" s="1"/>
  <c r="BS45" i="24" s="1" a="1"/>
  <c r="BS45" i="24" s="1"/>
  <c r="BS46" i="24" s="1" a="1"/>
  <c r="BS46" i="24" s="1"/>
  <c r="BS47" i="24" s="1" a="1"/>
  <c r="BS47" i="24" s="1"/>
  <c r="BS48" i="24" s="1" a="1"/>
  <c r="BS48" i="24" s="1"/>
  <c r="BS49" i="24" s="1" a="1"/>
  <c r="BS49" i="24" s="1"/>
  <c r="BS50" i="24" s="1" a="1"/>
  <c r="BS50" i="24" s="1"/>
  <c r="BS51" i="24" s="1" a="1"/>
  <c r="BS51" i="24" s="1"/>
  <c r="BS52" i="24" s="1" a="1"/>
  <c r="BS52" i="24" s="1"/>
  <c r="BS53" i="24" s="1" a="1"/>
  <c r="BS53" i="24" s="1"/>
  <c r="BS54" i="24" s="1" a="1"/>
  <c r="BS54" i="24" s="1"/>
  <c r="BS55" i="24" s="1" a="1"/>
  <c r="BS55" i="24" s="1"/>
  <c r="BS56" i="24" s="1" a="1"/>
  <c r="BS56" i="24" s="1"/>
  <c r="BS57" i="24" s="1" a="1"/>
  <c r="BS57" i="24" s="1"/>
  <c r="BS58" i="24" s="1" a="1"/>
  <c r="BS58" i="24" s="1"/>
  <c r="BS59" i="24" s="1" a="1"/>
  <c r="BS59" i="24" s="1"/>
  <c r="BS60" i="24" s="1" a="1"/>
  <c r="BS60" i="24" s="1"/>
  <c r="BS61" i="24" s="1" a="1"/>
  <c r="BS61" i="24" s="1"/>
  <c r="BS62" i="24" s="1" a="1"/>
  <c r="BS62" i="24" s="1"/>
  <c r="BS63" i="24" s="1" a="1"/>
  <c r="BS63" i="24" s="1"/>
  <c r="BS64" i="24" s="1" a="1"/>
  <c r="BS64" i="24" s="1"/>
  <c r="BS65" i="24" s="1" a="1"/>
  <c r="BS65" i="24" s="1"/>
  <c r="BS66" i="24" s="1" a="1"/>
  <c r="BS66" i="24" s="1"/>
  <c r="BS67" i="24" s="1" a="1"/>
  <c r="BS67" i="24" s="1"/>
  <c r="BS68" i="24" s="1" a="1"/>
  <c r="BS68" i="24" s="1"/>
  <c r="BS69" i="24" s="1" a="1"/>
  <c r="BS69" i="24" s="1"/>
  <c r="BS70" i="24" s="1" a="1"/>
  <c r="BS70" i="24" s="1"/>
  <c r="BS71" i="24" s="1" a="1"/>
  <c r="BS71" i="24" s="1"/>
  <c r="BS72" i="24" s="1" a="1"/>
  <c r="BS72" i="24" s="1"/>
  <c r="BS73" i="24" s="1" a="1"/>
  <c r="BS73" i="24" s="1"/>
  <c r="BS74" i="24" s="1" a="1"/>
  <c r="BS74" i="24" s="1"/>
  <c r="BS75" i="24" s="1" a="1"/>
  <c r="BS75" i="24" s="1"/>
  <c r="BS76" i="24" s="1" a="1"/>
  <c r="BS76" i="24" s="1"/>
  <c r="BS77" i="24" s="1" a="1"/>
  <c r="BS77" i="24" s="1"/>
  <c r="BS78" i="24" s="1" a="1"/>
  <c r="BS78" i="24" s="1"/>
  <c r="BS79" i="24" s="1" a="1"/>
  <c r="BS79" i="24" s="1"/>
  <c r="BS80" i="24" s="1" a="1"/>
  <c r="BS80" i="24" s="1"/>
  <c r="BS81" i="24" s="1" a="1"/>
  <c r="BS81" i="24" s="1"/>
  <c r="BS82" i="24" s="1" a="1"/>
  <c r="BS82" i="24" s="1"/>
  <c r="BS83" i="24" s="1" a="1"/>
  <c r="BS83" i="24" s="1"/>
  <c r="BS84" i="24" s="1" a="1"/>
  <c r="BS84" i="24" s="1"/>
  <c r="BS85" i="24" s="1" a="1"/>
  <c r="BS85" i="24" s="1"/>
  <c r="BS86" i="24" s="1" a="1"/>
  <c r="BS86" i="24" s="1"/>
  <c r="BS87" i="24" s="1" a="1"/>
  <c r="BS87" i="24" s="1"/>
  <c r="BS88" i="24" s="1" a="1"/>
  <c r="BS88" i="24" s="1"/>
  <c r="BS89" i="24" s="1" a="1"/>
  <c r="BS89" i="24" s="1"/>
  <c r="BS90" i="24" s="1" a="1"/>
  <c r="BS90" i="24" s="1"/>
  <c r="BS91" i="24" s="1" a="1"/>
  <c r="BS91" i="24" s="1"/>
  <c r="BS92" i="24" s="1" a="1"/>
  <c r="BS92" i="24" s="1"/>
  <c r="BS93" i="24" s="1" a="1"/>
  <c r="BS93" i="24" s="1"/>
  <c r="BS94" i="24" s="1" a="1"/>
  <c r="BS94" i="24" s="1"/>
  <c r="BS95" i="24" s="1" a="1"/>
  <c r="BS95" i="24" s="1"/>
  <c r="BS96" i="24" s="1" a="1"/>
  <c r="BS96" i="24" s="1"/>
  <c r="BS97" i="24" s="1" a="1"/>
  <c r="BS97" i="24" s="1"/>
  <c r="BS98" i="24" s="1" a="1"/>
  <c r="BS98" i="24" s="1"/>
  <c r="BS99" i="24" s="1" a="1"/>
  <c r="BS99" i="24" s="1"/>
  <c r="BS100" i="24" s="1" a="1"/>
  <c r="BS100" i="24" s="1"/>
  <c r="BS101" i="24" s="1" a="1"/>
  <c r="BS101" i="24" s="1"/>
  <c r="BS102" i="24" s="1" a="1"/>
  <c r="BS102" i="24" s="1"/>
  <c r="BS103" i="24" s="1" a="1"/>
  <c r="BS103" i="24" s="1"/>
  <c r="BS104" i="24" s="1" a="1"/>
  <c r="BS104" i="24" s="1"/>
  <c r="BS105" i="24" s="1" a="1"/>
  <c r="BS105" i="24" s="1"/>
  <c r="BS106" i="24" s="1" a="1"/>
  <c r="BS106" i="24" s="1"/>
  <c r="BS107" i="24" s="1" a="1"/>
  <c r="BS107" i="24" s="1"/>
  <c r="BS108" i="24" s="1" a="1"/>
  <c r="BS108" i="24" s="1"/>
  <c r="BS109" i="24" s="1" a="1"/>
  <c r="BS109" i="24" s="1"/>
  <c r="BS110" i="24" s="1" a="1"/>
  <c r="BS110" i="24" s="1"/>
  <c r="BS111" i="24" s="1" a="1"/>
  <c r="BS111" i="24" s="1"/>
  <c r="BS112" i="24" s="1" a="1"/>
  <c r="BS112" i="24" s="1"/>
  <c r="BS113" i="24" s="1" a="1"/>
  <c r="BS113" i="24" s="1"/>
  <c r="BS114" i="24" s="1" a="1"/>
  <c r="BS114" i="24" s="1"/>
  <c r="BS115" i="24" s="1" a="1"/>
  <c r="BS115" i="24" s="1"/>
  <c r="BS116" i="24" s="1" a="1"/>
  <c r="BS116" i="24" s="1"/>
  <c r="BS117" i="24" s="1" a="1"/>
  <c r="BS117" i="24" s="1"/>
  <c r="BS118" i="24" s="1" a="1"/>
  <c r="BS118" i="24" s="1"/>
  <c r="BS119" i="24" s="1" a="1"/>
  <c r="BS119" i="24" s="1"/>
  <c r="BS120" i="24" s="1" a="1"/>
  <c r="BS120" i="24" s="1"/>
  <c r="BS121" i="24" s="1" a="1"/>
  <c r="BS121" i="24" s="1"/>
  <c r="BS122" i="24" s="1" a="1"/>
  <c r="BS122" i="24" s="1"/>
  <c r="BS123" i="24" s="1" a="1"/>
  <c r="BS123" i="24" s="1"/>
  <c r="BS124" i="24" s="1" a="1"/>
  <c r="BS124" i="24" s="1"/>
  <c r="BS125" i="24" s="1" a="1"/>
  <c r="BS125" i="24" s="1"/>
  <c r="BS126" i="24" s="1" a="1"/>
  <c r="BS126" i="24" s="1"/>
  <c r="BS127" i="24" s="1" a="1"/>
  <c r="BS127" i="24" s="1"/>
  <c r="BS128" i="24" s="1" a="1"/>
  <c r="BS128" i="24" s="1"/>
  <c r="BS129" i="24" s="1" a="1"/>
  <c r="BS129" i="24" s="1"/>
  <c r="BS130" i="24" s="1" a="1"/>
  <c r="BS130" i="24" s="1"/>
  <c r="BS131" i="24" s="1" a="1"/>
  <c r="BS131" i="24" s="1"/>
  <c r="BS132" i="24" s="1" a="1"/>
  <c r="BS132" i="24" s="1"/>
  <c r="BS133" i="24" s="1" a="1"/>
  <c r="BS133" i="24" s="1"/>
  <c r="BS134" i="24" s="1" a="1"/>
  <c r="BS134" i="24" s="1"/>
  <c r="BS135" i="24" s="1" a="1"/>
  <c r="BS135" i="24" s="1"/>
  <c r="BS136" i="24" s="1" a="1"/>
  <c r="BS136" i="24" s="1"/>
  <c r="BS137" i="24" s="1" a="1"/>
  <c r="BS137" i="24" s="1"/>
  <c r="BS138" i="24" s="1" a="1"/>
  <c r="BS138" i="24" s="1"/>
  <c r="BS139" i="24" s="1" a="1"/>
  <c r="BS139" i="24" s="1"/>
  <c r="BS140" i="24" s="1" a="1"/>
  <c r="BS140" i="24" s="1"/>
  <c r="BS141" i="24" s="1" a="1"/>
  <c r="BS141" i="24" s="1"/>
  <c r="BS142" i="24" s="1" a="1"/>
  <c r="BS142" i="24" s="1"/>
  <c r="BS143" i="24" s="1" a="1"/>
  <c r="BS143" i="24" s="1"/>
  <c r="BS144" i="24" s="1" a="1"/>
  <c r="BS144" i="24" s="1"/>
  <c r="BS145" i="24" s="1" a="1"/>
  <c r="BS145" i="24" s="1"/>
  <c r="BS146" i="24" s="1" a="1"/>
  <c r="BS146" i="24" s="1"/>
  <c r="BS147" i="24" s="1" a="1"/>
  <c r="BS147" i="24" s="1"/>
  <c r="BS148" i="24" s="1" a="1"/>
  <c r="BS148" i="24" s="1"/>
  <c r="BS149" i="24" s="1" a="1"/>
  <c r="BS149" i="24" s="1"/>
  <c r="BS150" i="24" s="1" a="1"/>
  <c r="BS150" i="24" s="1"/>
  <c r="BS151" i="24" s="1" a="1"/>
  <c r="BS151" i="24" s="1"/>
  <c r="BS152" i="24" s="1" a="1"/>
  <c r="BS152" i="24" s="1"/>
  <c r="BS153" i="24" s="1" a="1"/>
  <c r="BS153" i="24" s="1"/>
  <c r="BS154" i="24" s="1" a="1"/>
  <c r="BS154" i="24" s="1"/>
  <c r="BS155" i="24" s="1" a="1"/>
  <c r="BS155" i="24" s="1"/>
  <c r="BS156" i="24" s="1" a="1"/>
  <c r="BS156" i="24" s="1"/>
  <c r="BS157" i="24" s="1" a="1"/>
  <c r="BS157" i="24" s="1"/>
  <c r="BS158" i="24" s="1" a="1"/>
  <c r="BS158" i="24" s="1"/>
  <c r="BS159" i="24" s="1" a="1"/>
  <c r="BS159" i="24" s="1"/>
  <c r="BS160" i="24" s="1" a="1"/>
  <c r="BS160" i="24" s="1"/>
  <c r="BS161" i="24" s="1" a="1"/>
  <c r="BS161" i="24" s="1"/>
  <c r="BS162" i="24" s="1" a="1"/>
  <c r="BS162" i="24" s="1"/>
  <c r="BS163" i="24" s="1" a="1"/>
  <c r="BS163" i="24" s="1"/>
  <c r="BS164" i="24" s="1" a="1"/>
  <c r="BS164" i="24" s="1"/>
  <c r="BS165" i="24" s="1" a="1"/>
  <c r="BS165" i="24" s="1"/>
  <c r="BS166" i="24" s="1" a="1"/>
  <c r="BS166" i="24" s="1"/>
  <c r="BS167" i="24" s="1" a="1"/>
  <c r="BS167" i="24" s="1"/>
  <c r="BS168" i="24" s="1" a="1"/>
  <c r="BS168" i="24" s="1"/>
  <c r="BS169" i="24" s="1" a="1"/>
  <c r="BS169" i="24" s="1"/>
  <c r="BS170" i="24" s="1" a="1"/>
  <c r="BS170" i="24" s="1"/>
  <c r="BS171" i="24" s="1" a="1"/>
  <c r="BS171" i="24" s="1"/>
  <c r="BS172" i="24" s="1" a="1"/>
  <c r="BS172" i="24" s="1"/>
  <c r="BS173" i="24" s="1" a="1"/>
  <c r="BS173" i="24" s="1"/>
  <c r="BS174" i="24" s="1" a="1"/>
  <c r="BS174" i="24" s="1"/>
  <c r="BS175" i="24" s="1" a="1"/>
  <c r="BS175" i="24" s="1"/>
  <c r="BS176" i="24" s="1" a="1"/>
  <c r="BS176" i="24" s="1"/>
  <c r="BS177" i="24" s="1" a="1"/>
  <c r="BS177" i="24" s="1"/>
  <c r="BS178" i="24" s="1" a="1"/>
  <c r="BS178" i="24" s="1"/>
  <c r="BS179" i="24" s="1" a="1"/>
  <c r="BS179" i="24" s="1"/>
  <c r="BS180" i="24" s="1" a="1"/>
  <c r="BS180" i="24" s="1"/>
  <c r="BS181" i="24" s="1" a="1"/>
  <c r="BS181" i="24" s="1"/>
  <c r="BS182" i="24" s="1" a="1"/>
  <c r="BS182" i="24" s="1"/>
  <c r="BS183" i="24" s="1" a="1"/>
  <c r="BS183" i="24" s="1"/>
  <c r="BS184" i="24" s="1" a="1"/>
  <c r="BS184" i="24" s="1"/>
  <c r="BS185" i="24" s="1" a="1"/>
  <c r="BS185" i="24" s="1"/>
  <c r="BS186" i="24" s="1" a="1"/>
  <c r="BS186" i="24" s="1"/>
  <c r="BS187" i="24" s="1" a="1"/>
  <c r="BS187" i="24" s="1"/>
  <c r="BS188" i="24" s="1" a="1"/>
  <c r="BS188" i="24" s="1"/>
  <c r="BS189" i="24" s="1" a="1"/>
  <c r="BS189" i="24" s="1"/>
  <c r="BS190" i="24" s="1" a="1"/>
  <c r="BS190" i="24" s="1"/>
  <c r="BS191" i="24" s="1" a="1"/>
  <c r="BS191" i="24" s="1"/>
  <c r="BS192" i="24" s="1" a="1"/>
  <c r="BS192" i="24" s="1"/>
  <c r="BS193" i="24" s="1" a="1"/>
  <c r="BS193" i="24" s="1"/>
  <c r="BS194" i="24" s="1" a="1"/>
  <c r="BS194" i="24" s="1"/>
  <c r="BS195" i="24" s="1" a="1"/>
  <c r="BS195" i="24" s="1"/>
  <c r="BS196" i="24" s="1" a="1"/>
  <c r="BS196" i="24" s="1"/>
  <c r="BS197" i="24" s="1" a="1"/>
  <c r="BS197" i="24" s="1"/>
  <c r="BS198" i="24" s="1" a="1"/>
  <c r="BS198" i="24" s="1"/>
  <c r="BS199" i="24" s="1" a="1"/>
  <c r="BS199" i="24" s="1"/>
  <c r="BS200" i="24" s="1" a="1"/>
  <c r="BS200" i="24" s="1"/>
  <c r="BS201" i="24" s="1" a="1"/>
  <c r="BS201" i="24" s="1"/>
  <c r="BS202" i="24" s="1" a="1"/>
  <c r="BS202" i="24" s="1"/>
  <c r="BS203" i="24" s="1" a="1"/>
  <c r="BS203" i="24" s="1"/>
  <c r="BS204" i="24" s="1" a="1"/>
  <c r="BS204" i="24" s="1"/>
  <c r="BS205" i="24" s="1" a="1"/>
  <c r="BS205" i="24" s="1"/>
  <c r="BS206" i="24" s="1" a="1"/>
  <c r="BS206" i="24" s="1"/>
  <c r="BS207" i="24" s="1" a="1"/>
  <c r="BS207" i="24" s="1"/>
  <c r="BS208" i="24" s="1" a="1"/>
  <c r="BS208" i="24" s="1"/>
  <c r="BS209" i="24" s="1" a="1"/>
  <c r="BS209" i="24" s="1"/>
  <c r="BS211" i="24" s="1" a="1"/>
  <c r="BS211" i="24" s="1"/>
  <c r="BS411" i="24" s="1" a="1"/>
  <c r="BS411" i="24" s="1"/>
  <c r="BS412" i="24" s="1" a="1"/>
  <c r="BS412" i="24" s="1"/>
  <c r="O61" i="16"/>
  <c r="N67" i="16"/>
  <c r="AK81" i="30" s="1"/>
  <c r="BU23" i="24" a="1"/>
  <c r="BU23" i="24" s="1"/>
  <c r="BU24" i="24" s="1" a="1"/>
  <c r="BU24" i="24" s="1"/>
  <c r="BU25" i="24" s="1" a="1"/>
  <c r="BU25" i="24" s="1"/>
  <c r="BU26" i="24" s="1" a="1"/>
  <c r="BU26" i="24" s="1"/>
  <c r="BU27" i="24" s="1" a="1"/>
  <c r="BU27" i="24" s="1"/>
  <c r="BU28" i="24" s="1" a="1"/>
  <c r="BU28" i="24" s="1"/>
  <c r="BU29" i="24" s="1" a="1"/>
  <c r="BU29" i="24" s="1"/>
  <c r="BU30" i="24" s="1" a="1"/>
  <c r="BU30" i="24" s="1"/>
  <c r="BU31" i="24" s="1" a="1"/>
  <c r="BU31" i="24" s="1"/>
  <c r="BU32" i="24" s="1" a="1"/>
  <c r="BU32" i="24" s="1"/>
  <c r="BU33" i="24" s="1" a="1"/>
  <c r="BU33" i="24" s="1"/>
  <c r="BU34" i="24" s="1" a="1"/>
  <c r="BU34" i="24" s="1"/>
  <c r="BU35" i="24" s="1" a="1"/>
  <c r="BU35" i="24" s="1"/>
  <c r="BU36" i="24" s="1" a="1"/>
  <c r="BU36" i="24" s="1"/>
  <c r="BU37" i="24" s="1" a="1"/>
  <c r="BU37" i="24" s="1"/>
  <c r="BU38" i="24" s="1" a="1"/>
  <c r="BU38" i="24" s="1"/>
  <c r="BU39" i="24" s="1" a="1"/>
  <c r="BU39" i="24" s="1"/>
  <c r="BU40" i="24" s="1" a="1"/>
  <c r="BU40" i="24" s="1"/>
  <c r="BU41" i="24" s="1" a="1"/>
  <c r="BU41" i="24" s="1"/>
  <c r="BU42" i="24" s="1" a="1"/>
  <c r="BU42" i="24" s="1"/>
  <c r="BU43" i="24" s="1" a="1"/>
  <c r="BU43" i="24" s="1"/>
  <c r="BU44" i="24" s="1" a="1"/>
  <c r="BU44" i="24" s="1"/>
  <c r="BU45" i="24" s="1" a="1"/>
  <c r="BU45" i="24" s="1"/>
  <c r="BU46" i="24" s="1" a="1"/>
  <c r="BU46" i="24" s="1"/>
  <c r="BU47" i="24" s="1" a="1"/>
  <c r="BU47" i="24" s="1"/>
  <c r="BU48" i="24" s="1" a="1"/>
  <c r="BU48" i="24" s="1"/>
  <c r="BU49" i="24" s="1" a="1"/>
  <c r="BU49" i="24" s="1"/>
  <c r="BU50" i="24" s="1" a="1"/>
  <c r="BU50" i="24" s="1"/>
  <c r="BU51" i="24" s="1" a="1"/>
  <c r="BU51" i="24" s="1"/>
  <c r="BU52" i="24" s="1" a="1"/>
  <c r="BU52" i="24" s="1"/>
  <c r="BU53" i="24" s="1" a="1"/>
  <c r="BU53" i="24" s="1"/>
  <c r="BU54" i="24" s="1" a="1"/>
  <c r="BU54" i="24" s="1"/>
  <c r="BU55" i="24" s="1" a="1"/>
  <c r="BU55" i="24" s="1"/>
  <c r="BU56" i="24" s="1" a="1"/>
  <c r="BU56" i="24" s="1"/>
  <c r="BU57" i="24" s="1" a="1"/>
  <c r="BU57" i="24" s="1"/>
  <c r="BU58" i="24" s="1" a="1"/>
  <c r="BU58" i="24" s="1"/>
  <c r="BU59" i="24" s="1" a="1"/>
  <c r="BU59" i="24" s="1"/>
  <c r="BU60" i="24" s="1" a="1"/>
  <c r="BU60" i="24" s="1"/>
  <c r="BU61" i="24" s="1" a="1"/>
  <c r="BU61" i="24" s="1"/>
  <c r="BU62" i="24" s="1" a="1"/>
  <c r="BU62" i="24" s="1"/>
  <c r="BU63" i="24" s="1" a="1"/>
  <c r="BU63" i="24" s="1"/>
  <c r="BU64" i="24" s="1" a="1"/>
  <c r="BU64" i="24" s="1"/>
  <c r="BU65" i="24" s="1" a="1"/>
  <c r="BU65" i="24" s="1"/>
  <c r="BU66" i="24" s="1" a="1"/>
  <c r="BU66" i="24" s="1"/>
  <c r="BU67" i="24" s="1" a="1"/>
  <c r="BU67" i="24" s="1"/>
  <c r="BU68" i="24" s="1" a="1"/>
  <c r="BU68" i="24" s="1"/>
  <c r="BU69" i="24" s="1" a="1"/>
  <c r="BU69" i="24" s="1"/>
  <c r="BU70" i="24" s="1" a="1"/>
  <c r="BU70" i="24" s="1"/>
  <c r="BU71" i="24" s="1" a="1"/>
  <c r="BU71" i="24" s="1"/>
  <c r="BU72" i="24" s="1" a="1"/>
  <c r="BU72" i="24" s="1"/>
  <c r="BU73" i="24" s="1" a="1"/>
  <c r="BU73" i="24" s="1"/>
  <c r="BU74" i="24" s="1" a="1"/>
  <c r="BU74" i="24" s="1"/>
  <c r="BU75" i="24" s="1" a="1"/>
  <c r="BU75" i="24" s="1"/>
  <c r="BU76" i="24" s="1" a="1"/>
  <c r="BU76" i="24" s="1"/>
  <c r="BU77" i="24" s="1" a="1"/>
  <c r="BU77" i="24" s="1"/>
  <c r="BU78" i="24" s="1" a="1"/>
  <c r="BU78" i="24" s="1"/>
  <c r="BU79" i="24" s="1" a="1"/>
  <c r="BU79" i="24" s="1"/>
  <c r="BU80" i="24" s="1" a="1"/>
  <c r="BU80" i="24" s="1"/>
  <c r="BU81" i="24" s="1" a="1"/>
  <c r="BU81" i="24" s="1"/>
  <c r="BU82" i="24" s="1" a="1"/>
  <c r="BU82" i="24" s="1"/>
  <c r="BU83" i="24" s="1" a="1"/>
  <c r="BU83" i="24" s="1"/>
  <c r="BU84" i="24" s="1" a="1"/>
  <c r="BU84" i="24" s="1"/>
  <c r="BU85" i="24" s="1" a="1"/>
  <c r="BU85" i="24" s="1"/>
  <c r="BU86" i="24" s="1" a="1"/>
  <c r="BU86" i="24" s="1"/>
  <c r="BU87" i="24" s="1" a="1"/>
  <c r="BU87" i="24" s="1"/>
  <c r="BU88" i="24" s="1" a="1"/>
  <c r="BU88" i="24" s="1"/>
  <c r="BU89" i="24" s="1" a="1"/>
  <c r="BU89" i="24" s="1"/>
  <c r="BU90" i="24" s="1" a="1"/>
  <c r="BU90" i="24" s="1"/>
  <c r="BU91" i="24" s="1" a="1"/>
  <c r="BU91" i="24" s="1"/>
  <c r="BU92" i="24" s="1" a="1"/>
  <c r="BU92" i="24" s="1"/>
  <c r="BU93" i="24" s="1" a="1"/>
  <c r="BU93" i="24" s="1"/>
  <c r="BU94" i="24" s="1" a="1"/>
  <c r="BU94" i="24" s="1"/>
  <c r="BU95" i="24" s="1" a="1"/>
  <c r="BU95" i="24" s="1"/>
  <c r="BU96" i="24" s="1" a="1"/>
  <c r="BU96" i="24" s="1"/>
  <c r="BU97" i="24" s="1" a="1"/>
  <c r="BU97" i="24" s="1"/>
  <c r="BU98" i="24" s="1" a="1"/>
  <c r="BU98" i="24" s="1"/>
  <c r="BU99" i="24" s="1" a="1"/>
  <c r="BU99" i="24" s="1"/>
  <c r="BU100" i="24" s="1" a="1"/>
  <c r="BU100" i="24" s="1"/>
  <c r="BU101" i="24" s="1" a="1"/>
  <c r="BU101" i="24" s="1"/>
  <c r="BU102" i="24" s="1" a="1"/>
  <c r="BU102" i="24" s="1"/>
  <c r="BU103" i="24" s="1" a="1"/>
  <c r="BU103" i="24" s="1"/>
  <c r="BU104" i="24" s="1" a="1"/>
  <c r="BU104" i="24" s="1"/>
  <c r="BU105" i="24" s="1" a="1"/>
  <c r="BU105" i="24" s="1"/>
  <c r="BU106" i="24" s="1" a="1"/>
  <c r="BU106" i="24" s="1"/>
  <c r="BU107" i="24" s="1" a="1"/>
  <c r="BU107" i="24" s="1"/>
  <c r="BU108" i="24" s="1" a="1"/>
  <c r="BU108" i="24" s="1"/>
  <c r="BU109" i="24" s="1" a="1"/>
  <c r="BU109" i="24" s="1"/>
  <c r="BU110" i="24" s="1" a="1"/>
  <c r="BU110" i="24" s="1"/>
  <c r="BU111" i="24" s="1" a="1"/>
  <c r="BU111" i="24" s="1"/>
  <c r="BU112" i="24" s="1" a="1"/>
  <c r="BU112" i="24" s="1"/>
  <c r="BU113" i="24" s="1" a="1"/>
  <c r="BU113" i="24" s="1"/>
  <c r="BU114" i="24" s="1" a="1"/>
  <c r="BU114" i="24" s="1"/>
  <c r="BU115" i="24" s="1" a="1"/>
  <c r="BU115" i="24" s="1"/>
  <c r="BU116" i="24" s="1" a="1"/>
  <c r="BU116" i="24" s="1"/>
  <c r="BU117" i="24" s="1" a="1"/>
  <c r="BU117" i="24" s="1"/>
  <c r="BU118" i="24" s="1" a="1"/>
  <c r="BU118" i="24" s="1"/>
  <c r="BU119" i="24" s="1" a="1"/>
  <c r="BU119" i="24" s="1"/>
  <c r="BU120" i="24" s="1" a="1"/>
  <c r="BU120" i="24" s="1"/>
  <c r="BU121" i="24" s="1" a="1"/>
  <c r="BU121" i="24" s="1"/>
  <c r="BU122" i="24" s="1" a="1"/>
  <c r="BU122" i="24" s="1"/>
  <c r="BU123" i="24" s="1" a="1"/>
  <c r="BU123" i="24" s="1"/>
  <c r="BU124" i="24" s="1" a="1"/>
  <c r="BU124" i="24" s="1"/>
  <c r="BU125" i="24" s="1" a="1"/>
  <c r="BU125" i="24" s="1"/>
  <c r="BU126" i="24" s="1" a="1"/>
  <c r="BU126" i="24" s="1"/>
  <c r="BU127" i="24" s="1" a="1"/>
  <c r="BU127" i="24" s="1"/>
  <c r="BU128" i="24" s="1" a="1"/>
  <c r="BU128" i="24" s="1"/>
  <c r="BU129" i="24" s="1" a="1"/>
  <c r="BU129" i="24" s="1"/>
  <c r="BU130" i="24" s="1" a="1"/>
  <c r="BU130" i="24" s="1"/>
  <c r="BU131" i="24" s="1" a="1"/>
  <c r="BU131" i="24" s="1"/>
  <c r="BU132" i="24" s="1" a="1"/>
  <c r="BU132" i="24" s="1"/>
  <c r="BU133" i="24" s="1" a="1"/>
  <c r="BU133" i="24" s="1"/>
  <c r="BU134" i="24" s="1" a="1"/>
  <c r="BU134" i="24" s="1"/>
  <c r="BU135" i="24" s="1" a="1"/>
  <c r="BU135" i="24" s="1"/>
  <c r="BU136" i="24" s="1" a="1"/>
  <c r="BU136" i="24" s="1"/>
  <c r="BU137" i="24" s="1" a="1"/>
  <c r="BU137" i="24" s="1"/>
  <c r="BU138" i="24" s="1" a="1"/>
  <c r="BU138" i="24" s="1"/>
  <c r="BU139" i="24" s="1" a="1"/>
  <c r="BU139" i="24" s="1"/>
  <c r="BU140" i="24" s="1" a="1"/>
  <c r="BU140" i="24" s="1"/>
  <c r="BU141" i="24" s="1" a="1"/>
  <c r="BU141" i="24" s="1"/>
  <c r="BU142" i="24" s="1" a="1"/>
  <c r="BU142" i="24" s="1"/>
  <c r="BU143" i="24" s="1" a="1"/>
  <c r="BU143" i="24" s="1"/>
  <c r="BU144" i="24" s="1" a="1"/>
  <c r="BU144" i="24" s="1"/>
  <c r="BU145" i="24" s="1" a="1"/>
  <c r="BU145" i="24" s="1"/>
  <c r="BU146" i="24" s="1" a="1"/>
  <c r="BU146" i="24" s="1"/>
  <c r="BU147" i="24" s="1" a="1"/>
  <c r="BU147" i="24" s="1"/>
  <c r="BU148" i="24" s="1" a="1"/>
  <c r="BU148" i="24" s="1"/>
  <c r="BU149" i="24" s="1" a="1"/>
  <c r="BU149" i="24" s="1"/>
  <c r="BU150" i="24" s="1" a="1"/>
  <c r="BU150" i="24" s="1"/>
  <c r="BU151" i="24" s="1" a="1"/>
  <c r="BU151" i="24" s="1"/>
  <c r="BU152" i="24" s="1" a="1"/>
  <c r="BU152" i="24" s="1"/>
  <c r="BU153" i="24" s="1" a="1"/>
  <c r="BU153" i="24" s="1"/>
  <c r="BU154" i="24" s="1" a="1"/>
  <c r="BU154" i="24" s="1"/>
  <c r="BU155" i="24" s="1" a="1"/>
  <c r="BU155" i="24" s="1"/>
  <c r="BU156" i="24" s="1" a="1"/>
  <c r="BU156" i="24" s="1"/>
  <c r="BU157" i="24" s="1" a="1"/>
  <c r="BU157" i="24" s="1"/>
  <c r="BU158" i="24" s="1" a="1"/>
  <c r="BU158" i="24" s="1"/>
  <c r="BU159" i="24" s="1" a="1"/>
  <c r="BU159" i="24" s="1"/>
  <c r="BU160" i="24" s="1" a="1"/>
  <c r="BU160" i="24" s="1"/>
  <c r="BU161" i="24" s="1" a="1"/>
  <c r="BU161" i="24" s="1"/>
  <c r="BU162" i="24" s="1" a="1"/>
  <c r="BU162" i="24" s="1"/>
  <c r="BU163" i="24" s="1" a="1"/>
  <c r="BU163" i="24" s="1"/>
  <c r="BU164" i="24" s="1" a="1"/>
  <c r="BU164" i="24" s="1"/>
  <c r="BU165" i="24" s="1" a="1"/>
  <c r="BU165" i="24" s="1"/>
  <c r="BU166" i="24" s="1" a="1"/>
  <c r="BU166" i="24" s="1"/>
  <c r="BU167" i="24" s="1" a="1"/>
  <c r="BU167" i="24" s="1"/>
  <c r="BU168" i="24" s="1" a="1"/>
  <c r="BU168" i="24" s="1"/>
  <c r="BU169" i="24" s="1" a="1"/>
  <c r="BU169" i="24" s="1"/>
  <c r="BU170" i="24" s="1" a="1"/>
  <c r="BU170" i="24" s="1"/>
  <c r="BU171" i="24" s="1" a="1"/>
  <c r="BU171" i="24" s="1"/>
  <c r="BU172" i="24" s="1" a="1"/>
  <c r="BU172" i="24" s="1"/>
  <c r="BU173" i="24" s="1" a="1"/>
  <c r="BU173" i="24" s="1"/>
  <c r="BU174" i="24" s="1" a="1"/>
  <c r="BU174" i="24" s="1"/>
  <c r="BU175" i="24" s="1" a="1"/>
  <c r="BU175" i="24" s="1"/>
  <c r="BU176" i="24" s="1" a="1"/>
  <c r="BU176" i="24" s="1"/>
  <c r="BU177" i="24" s="1" a="1"/>
  <c r="BU177" i="24" s="1"/>
  <c r="BU178" i="24" s="1" a="1"/>
  <c r="BU178" i="24" s="1"/>
  <c r="BU179" i="24" s="1" a="1"/>
  <c r="BU179" i="24" s="1"/>
  <c r="BU180" i="24" s="1" a="1"/>
  <c r="BU180" i="24" s="1"/>
  <c r="BU181" i="24" s="1" a="1"/>
  <c r="BU181" i="24" s="1"/>
  <c r="BU182" i="24" s="1" a="1"/>
  <c r="BU182" i="24" s="1"/>
  <c r="BU183" i="24" s="1" a="1"/>
  <c r="BU183" i="24" s="1"/>
  <c r="BU184" i="24" s="1" a="1"/>
  <c r="BU184" i="24" s="1"/>
  <c r="BU185" i="24" s="1" a="1"/>
  <c r="BU185" i="24" s="1"/>
  <c r="BU186" i="24" s="1" a="1"/>
  <c r="BU186" i="24" s="1"/>
  <c r="BU187" i="24" s="1" a="1"/>
  <c r="BU187" i="24" s="1"/>
  <c r="BU188" i="24" s="1" a="1"/>
  <c r="BU188" i="24" s="1"/>
  <c r="BU189" i="24" s="1" a="1"/>
  <c r="BU189" i="24" s="1"/>
  <c r="BU190" i="24" s="1" a="1"/>
  <c r="BU190" i="24" s="1"/>
  <c r="BU191" i="24" s="1" a="1"/>
  <c r="BU191" i="24" s="1"/>
  <c r="BU192" i="24" s="1" a="1"/>
  <c r="BU192" i="24" s="1"/>
  <c r="BU193" i="24" s="1" a="1"/>
  <c r="BU193" i="24" s="1"/>
  <c r="BU194" i="24" s="1" a="1"/>
  <c r="BU194" i="24" s="1"/>
  <c r="BU195" i="24" s="1" a="1"/>
  <c r="BU195" i="24" s="1"/>
  <c r="BU196" i="24" s="1" a="1"/>
  <c r="BU196" i="24" s="1"/>
  <c r="BU197" i="24" s="1" a="1"/>
  <c r="BU197" i="24" s="1"/>
  <c r="BU198" i="24" s="1" a="1"/>
  <c r="BU198" i="24" s="1"/>
  <c r="BU199" i="24" s="1" a="1"/>
  <c r="BU199" i="24" s="1"/>
  <c r="BU200" i="24" s="1" a="1"/>
  <c r="BU200" i="24" s="1"/>
  <c r="BU201" i="24" s="1" a="1"/>
  <c r="BU201" i="24" s="1"/>
  <c r="BU202" i="24" s="1" a="1"/>
  <c r="BU202" i="24" s="1"/>
  <c r="BU203" i="24" s="1" a="1"/>
  <c r="BU203" i="24" s="1"/>
  <c r="BU204" i="24" s="1" a="1"/>
  <c r="BU204" i="24" s="1"/>
  <c r="BU205" i="24" s="1" a="1"/>
  <c r="BU205" i="24" s="1"/>
  <c r="BU206" i="24" s="1" a="1"/>
  <c r="BU206" i="24" s="1"/>
  <c r="BU207" i="24" s="1" a="1"/>
  <c r="BU207" i="24" s="1"/>
  <c r="BU208" i="24" s="1" a="1"/>
  <c r="BU208" i="24" s="1"/>
  <c r="BU209" i="24" s="1" a="1"/>
  <c r="BU209" i="24" s="1"/>
  <c r="BU210" i="24" s="1" a="1"/>
  <c r="BU210" i="24" s="1"/>
  <c r="BU211" i="24" s="1" a="1"/>
  <c r="BU211" i="24" s="1"/>
  <c r="BU411" i="24" s="1" a="1"/>
  <c r="BU411" i="24" s="1"/>
  <c r="BU412" i="24" s="1" a="1"/>
  <c r="BU412" i="24" s="1"/>
  <c r="X59" i="16"/>
  <c r="O25" i="16"/>
  <c r="N30" i="16"/>
  <c r="X111" i="30"/>
  <c r="X111" i="28" s="1"/>
  <c r="AS203" i="30"/>
  <c r="AP205" i="30"/>
  <c r="AP206" i="30" s="1"/>
  <c r="N32" i="16"/>
  <c r="M40" i="16"/>
  <c r="AB109" i="28"/>
  <c r="Z111" i="30"/>
  <c r="BN56" i="30"/>
  <c r="Y95" i="30"/>
  <c r="Y95" i="28" s="1"/>
  <c r="AB86" i="28"/>
  <c r="Z86" i="30"/>
  <c r="AE86" i="30"/>
  <c r="AE200" i="30" s="1"/>
  <c r="AE201" i="30" s="1"/>
  <c r="AE202" i="30" s="1"/>
  <c r="AB93" i="30"/>
  <c r="AB93" i="28" s="1"/>
  <c r="T95" i="30"/>
  <c r="T95" i="28" s="1"/>
  <c r="R93" i="28"/>
  <c r="R95" i="30"/>
  <c r="U202" i="30"/>
  <c r="X93" i="30"/>
  <c r="X93" i="28" s="1"/>
  <c r="X200" i="30"/>
  <c r="X201" i="30" s="1"/>
  <c r="X86" i="28"/>
  <c r="W93" i="30"/>
  <c r="W93" i="28" s="1"/>
  <c r="W86" i="28"/>
  <c r="W200" i="30"/>
  <c r="W201" i="30" s="1"/>
  <c r="W202" i="30" s="1"/>
  <c r="AN199" i="30"/>
  <c r="AF13" i="36"/>
  <c r="Z13" i="36"/>
  <c r="AK16" i="30"/>
  <c r="AH16" i="28"/>
  <c r="AF16" i="30"/>
  <c r="AF16" i="28" s="1"/>
  <c r="AD16" i="30"/>
  <c r="AD16" i="28" s="1"/>
  <c r="V174" i="30"/>
  <c r="V170" i="28"/>
  <c r="AK134" i="30"/>
  <c r="AH140" i="30"/>
  <c r="M209" i="30"/>
  <c r="V191" i="30"/>
  <c r="S193" i="28"/>
  <c r="L97" i="28"/>
  <c r="AI7" i="30"/>
  <c r="AF7" i="28"/>
  <c r="O15" i="36"/>
  <c r="U14" i="36"/>
  <c r="S14" i="36"/>
  <c r="W34" i="28"/>
  <c r="W31" i="28" s="1"/>
  <c r="W83" i="30"/>
  <c r="T83" i="28"/>
  <c r="AE34" i="30"/>
  <c r="AE32" i="28"/>
  <c r="AC32" i="30"/>
  <c r="AD32" i="30" s="1"/>
  <c r="AH32" i="30"/>
  <c r="AA34" i="30"/>
  <c r="AA32" i="28"/>
  <c r="X34" i="28"/>
  <c r="X31" i="28" s="1"/>
  <c r="U95" i="30"/>
  <c r="U95" i="28" s="1"/>
  <c r="U83" i="30"/>
  <c r="U83" i="28" s="1"/>
  <c r="U34" i="28"/>
  <c r="U31" i="28" s="1"/>
  <c r="AB34" i="28"/>
  <c r="AB31" i="28" s="1"/>
  <c r="AB83" i="30"/>
  <c r="AB83" i="28" s="1"/>
  <c r="Z34" i="30"/>
  <c r="Z32" i="28"/>
  <c r="AD102" i="30"/>
  <c r="AF101" i="28"/>
  <c r="AG103" i="30"/>
  <c r="AG103" i="28" s="1"/>
  <c r="AI101" i="30"/>
  <c r="AJ101" i="30" s="1"/>
  <c r="AN101" i="30"/>
  <c r="AK101" i="28"/>
  <c r="AN103" i="30"/>
  <c r="AI103" i="30"/>
  <c r="AI103" i="28" s="1"/>
  <c r="AK103" i="28"/>
  <c r="AH102" i="28"/>
  <c r="AF102" i="30"/>
  <c r="AF102" i="28" s="1"/>
  <c r="AK102" i="30"/>
  <c r="AG101" i="30"/>
  <c r="AL6" i="30"/>
  <c r="AI6" i="28"/>
  <c r="AH4" i="30"/>
  <c r="AE4" i="28"/>
  <c r="AH5" i="28"/>
  <c r="AK5" i="30"/>
  <c r="R208" i="30"/>
  <c r="AF25" i="30"/>
  <c r="AF25" i="28" s="1"/>
  <c r="AI9" i="30"/>
  <c r="AF9" i="28"/>
  <c r="G97" i="57" l="1"/>
  <c r="I96" i="57"/>
  <c r="AH28" i="36"/>
  <c r="X15" i="30"/>
  <c r="X15" i="28" s="1"/>
  <c r="J97" i="30"/>
  <c r="C10" i="48"/>
  <c r="D10" i="48" s="1"/>
  <c r="F107" i="57"/>
  <c r="J107" i="30" s="1"/>
  <c r="I97" i="57"/>
  <c r="E107" i="57"/>
  <c r="I97" i="30"/>
  <c r="I97" i="28" s="1"/>
  <c r="AB15" i="28"/>
  <c r="AE15" i="30"/>
  <c r="Z15" i="30"/>
  <c r="Z15" i="28" s="1"/>
  <c r="Y9" i="30"/>
  <c r="X25" i="30"/>
  <c r="X25" i="28" s="1"/>
  <c r="AA9" i="30"/>
  <c r="X9" i="28"/>
  <c r="V25" i="30"/>
  <c r="V25" i="28" s="1"/>
  <c r="V9" i="28"/>
  <c r="X83" i="30"/>
  <c r="X83" i="28" s="1"/>
  <c r="AM45" i="30"/>
  <c r="AM45" i="28" s="1"/>
  <c r="AP47" i="30"/>
  <c r="AP47" i="28" s="1"/>
  <c r="Z111" i="28"/>
  <c r="AP71" i="30"/>
  <c r="AP71" i="28" s="1"/>
  <c r="AA20" i="30"/>
  <c r="AA20" i="28" s="1"/>
  <c r="AP72" i="30"/>
  <c r="AP72" i="28" s="1"/>
  <c r="U28" i="30"/>
  <c r="U28" i="28" s="1"/>
  <c r="AN65" i="30"/>
  <c r="AK65" i="28"/>
  <c r="AI65" i="30"/>
  <c r="AI65" i="28" s="1"/>
  <c r="AW47" i="30"/>
  <c r="AT47" i="28"/>
  <c r="AR47" i="30"/>
  <c r="AR47" i="28" s="1"/>
  <c r="AW72" i="30"/>
  <c r="AT72" i="28"/>
  <c r="AR72" i="30"/>
  <c r="AR72" i="28" s="1"/>
  <c r="AG65" i="30"/>
  <c r="AG65" i="28" s="1"/>
  <c r="AS67" i="30"/>
  <c r="AS67" i="28" s="1"/>
  <c r="AA18" i="30"/>
  <c r="AA18" i="28" s="1"/>
  <c r="AA14" i="30"/>
  <c r="AA14" i="28" s="1"/>
  <c r="BN37" i="30"/>
  <c r="BN37" i="28" s="1"/>
  <c r="AF55" i="28"/>
  <c r="AF57" i="30"/>
  <c r="AF57" i="28" s="1"/>
  <c r="AF52" i="28" s="1"/>
  <c r="AN74" i="30"/>
  <c r="AK74" i="28"/>
  <c r="AI74" i="30"/>
  <c r="AI74" i="28" s="1"/>
  <c r="AH18" i="30"/>
  <c r="AE18" i="28"/>
  <c r="AC18" i="30"/>
  <c r="AC18" i="28" s="1"/>
  <c r="AW71" i="30"/>
  <c r="AT71" i="28"/>
  <c r="AR71" i="30"/>
  <c r="AR71" i="28" s="1"/>
  <c r="AM39" i="30"/>
  <c r="AM39" i="28" s="1"/>
  <c r="AN50" i="30"/>
  <c r="AK50" i="28"/>
  <c r="AI50" i="30"/>
  <c r="AZ44" i="30"/>
  <c r="AW44" i="28"/>
  <c r="AU44" i="30"/>
  <c r="AU44" i="28" s="1"/>
  <c r="AH17" i="30"/>
  <c r="AE17" i="28"/>
  <c r="AC17" i="30"/>
  <c r="AC17" i="28" s="1"/>
  <c r="AF50" i="28"/>
  <c r="AG50" i="30"/>
  <c r="AG50" i="28" s="1"/>
  <c r="AT45" i="30"/>
  <c r="AQ45" i="28"/>
  <c r="AO45" i="30"/>
  <c r="AO45" i="28" s="1"/>
  <c r="AT39" i="30"/>
  <c r="AQ39" i="28"/>
  <c r="AO39" i="30"/>
  <c r="AO39" i="28" s="1"/>
  <c r="AG49" i="30"/>
  <c r="AG49" i="28" s="1"/>
  <c r="AN55" i="30"/>
  <c r="AK55" i="28"/>
  <c r="AI55" i="30"/>
  <c r="AJ55" i="30" s="1"/>
  <c r="AK57" i="30"/>
  <c r="AK57" i="28" s="1"/>
  <c r="AK52" i="28" s="1"/>
  <c r="AJ66" i="30"/>
  <c r="AJ66" i="28" s="1"/>
  <c r="AH20" i="30"/>
  <c r="AE20" i="28"/>
  <c r="AC20" i="30"/>
  <c r="AC20" i="28" s="1"/>
  <c r="AG74" i="30"/>
  <c r="AG74" i="28" s="1"/>
  <c r="AH14" i="30"/>
  <c r="AE14" i="28"/>
  <c r="AC14" i="30"/>
  <c r="AC14" i="28" s="1"/>
  <c r="AZ67" i="30"/>
  <c r="AW67" i="28"/>
  <c r="AU67" i="30"/>
  <c r="AU67" i="28" s="1"/>
  <c r="AG55" i="30"/>
  <c r="AS44" i="30"/>
  <c r="AS44" i="28" s="1"/>
  <c r="AA17" i="30"/>
  <c r="AA17" i="28" s="1"/>
  <c r="AN49" i="30"/>
  <c r="AK49" i="28"/>
  <c r="AI49" i="30"/>
  <c r="AI49" i="28" s="1"/>
  <c r="AG75" i="30"/>
  <c r="AG75" i="28" s="1"/>
  <c r="AD51" i="30"/>
  <c r="AD51" i="28" s="1"/>
  <c r="AD42" i="28" s="1"/>
  <c r="N80" i="16"/>
  <c r="L116" i="16"/>
  <c r="L119" i="16" s="1"/>
  <c r="L130" i="16" s="1"/>
  <c r="L133" i="16" s="1"/>
  <c r="M13" i="16"/>
  <c r="M16" i="16" s="1"/>
  <c r="M82" i="16" s="1"/>
  <c r="M98" i="16" s="1"/>
  <c r="AH109" i="30" s="1"/>
  <c r="AH21" i="28"/>
  <c r="AA19" i="30"/>
  <c r="AM38" i="30"/>
  <c r="AM38" i="28" s="1"/>
  <c r="AD87" i="30"/>
  <c r="AD87" i="28" s="1"/>
  <c r="AJ91" i="30"/>
  <c r="AJ91" i="28" s="1"/>
  <c r="AC78" i="30"/>
  <c r="AC78" i="28" s="1"/>
  <c r="AC69" i="28" s="1"/>
  <c r="X19" i="28"/>
  <c r="X24" i="30"/>
  <c r="AJ40" i="30"/>
  <c r="AJ40" i="28" s="1"/>
  <c r="AJ80" i="30"/>
  <c r="AJ80" i="28" s="1"/>
  <c r="AP33" i="30"/>
  <c r="AP33" i="28" s="1"/>
  <c r="AG64" i="28"/>
  <c r="AM53" i="28"/>
  <c r="AP70" i="28"/>
  <c r="AG73" i="28"/>
  <c r="AT70" i="28"/>
  <c r="AW70" i="30"/>
  <c r="AU70" i="30" s="1"/>
  <c r="AS70" i="30"/>
  <c r="AF41" i="30"/>
  <c r="AF41" i="28" s="1"/>
  <c r="AF35" i="28" s="1"/>
  <c r="AF36" i="28"/>
  <c r="AI73" i="30"/>
  <c r="AJ73" i="30" s="1"/>
  <c r="AN73" i="30"/>
  <c r="AK73" i="28"/>
  <c r="AT53" i="30"/>
  <c r="AQ53" i="28"/>
  <c r="AO53" i="30"/>
  <c r="AP53" i="30" s="1"/>
  <c r="AK64" i="28"/>
  <c r="AI64" i="30"/>
  <c r="AN64" i="30"/>
  <c r="AK68" i="30"/>
  <c r="AK68" i="28" s="1"/>
  <c r="AK63" i="28" s="1"/>
  <c r="AG43" i="28"/>
  <c r="AN48" i="30"/>
  <c r="AK48" i="28"/>
  <c r="AI48" i="30"/>
  <c r="AI48" i="28" s="1"/>
  <c r="AH87" i="28"/>
  <c r="AK87" i="30"/>
  <c r="AF87" i="30"/>
  <c r="AF87" i="28" s="1"/>
  <c r="AQ66" i="30"/>
  <c r="AN66" i="28"/>
  <c r="AL66" i="30"/>
  <c r="AL66" i="28" s="1"/>
  <c r="AH19" i="30"/>
  <c r="AE19" i="28"/>
  <c r="AC19" i="30"/>
  <c r="AC19" i="28" s="1"/>
  <c r="AQ80" i="30"/>
  <c r="AN80" i="28"/>
  <c r="AL80" i="30"/>
  <c r="AL80" i="28" s="1"/>
  <c r="AK76" i="30"/>
  <c r="AK78" i="30" s="1"/>
  <c r="AK78" i="28" s="1"/>
  <c r="AK69" i="28" s="1"/>
  <c r="AH76" i="28"/>
  <c r="AF76" i="30"/>
  <c r="AF76" i="28" s="1"/>
  <c r="AD68" i="30"/>
  <c r="AD68" i="28" s="1"/>
  <c r="AD63" i="28" s="1"/>
  <c r="AD64" i="28"/>
  <c r="AM70" i="28"/>
  <c r="AG77" i="30"/>
  <c r="AG77" i="28" s="1"/>
  <c r="AN59" i="30"/>
  <c r="AK59" i="28"/>
  <c r="AK62" i="30"/>
  <c r="AK62" i="28" s="1"/>
  <c r="AK58" i="28" s="1"/>
  <c r="AI59" i="30"/>
  <c r="AJ59" i="30" s="1"/>
  <c r="AF51" i="30"/>
  <c r="AF51" i="28" s="1"/>
  <c r="AF42" i="28" s="1"/>
  <c r="AF43" i="28"/>
  <c r="AD90" i="30"/>
  <c r="AD90" i="28" s="1"/>
  <c r="AH78" i="30"/>
  <c r="AH78" i="28" s="1"/>
  <c r="AH69" i="28" s="1"/>
  <c r="AD76" i="30"/>
  <c r="AG88" i="30"/>
  <c r="AG88" i="28" s="1"/>
  <c r="AT38" i="30"/>
  <c r="AQ38" i="28"/>
  <c r="AO38" i="30"/>
  <c r="AO38" i="28" s="1"/>
  <c r="AA76" i="28"/>
  <c r="AA78" i="30"/>
  <c r="AA78" i="28" s="1"/>
  <c r="AA69" i="28" s="1"/>
  <c r="AD89" i="30"/>
  <c r="AD89" i="28" s="1"/>
  <c r="AN36" i="30"/>
  <c r="AK36" i="28"/>
  <c r="AK41" i="30"/>
  <c r="AK41" i="28" s="1"/>
  <c r="AK35" i="28" s="1"/>
  <c r="AI36" i="30"/>
  <c r="AJ36" i="30" s="1"/>
  <c r="AL53" i="28"/>
  <c r="AN75" i="30"/>
  <c r="AK75" i="28"/>
  <c r="AI75" i="30"/>
  <c r="AI75" i="28" s="1"/>
  <c r="AG62" i="30"/>
  <c r="AG62" i="28" s="1"/>
  <c r="AG58" i="28" s="1"/>
  <c r="AG59" i="28"/>
  <c r="AF64" i="28"/>
  <c r="AF68" i="30"/>
  <c r="AF68" i="28" s="1"/>
  <c r="AF63" i="28" s="1"/>
  <c r="AH178" i="30"/>
  <c r="AH178" i="28" s="1"/>
  <c r="AK90" i="30"/>
  <c r="AH90" i="28"/>
  <c r="AF90" i="30"/>
  <c r="AF90" i="28" s="1"/>
  <c r="AO70" i="28"/>
  <c r="AW33" i="30"/>
  <c r="AT33" i="28"/>
  <c r="AR33" i="30"/>
  <c r="AR33" i="28" s="1"/>
  <c r="P23" i="16"/>
  <c r="Q21" i="16"/>
  <c r="AF73" i="28"/>
  <c r="AN88" i="30"/>
  <c r="AK161" i="30"/>
  <c r="AK161" i="28" s="1"/>
  <c r="AI88" i="30"/>
  <c r="AI88" i="28" s="1"/>
  <c r="AK88" i="28"/>
  <c r="S188" i="28"/>
  <c r="V184" i="30"/>
  <c r="AN77" i="30"/>
  <c r="AK77" i="28"/>
  <c r="AI77" i="30"/>
  <c r="AI77" i="28" s="1"/>
  <c r="AF59" i="28"/>
  <c r="AF62" i="30"/>
  <c r="AF62" i="28" s="1"/>
  <c r="AF58" i="28" s="1"/>
  <c r="AN43" i="30"/>
  <c r="AK43" i="28"/>
  <c r="AK51" i="30"/>
  <c r="AK51" i="28" s="1"/>
  <c r="AK42" i="28" s="1"/>
  <c r="AI43" i="30"/>
  <c r="AJ43" i="30" s="1"/>
  <c r="AG48" i="30"/>
  <c r="AG48" i="28" s="1"/>
  <c r="AL91" i="30"/>
  <c r="AL91" i="28" s="1"/>
  <c r="AN185" i="30"/>
  <c r="AN185" i="28" s="1"/>
  <c r="AN91" i="28"/>
  <c r="AQ91" i="30"/>
  <c r="AK89" i="30"/>
  <c r="AH171" i="30"/>
  <c r="AH171" i="28" s="1"/>
  <c r="AH89" i="28"/>
  <c r="AF89" i="30"/>
  <c r="AF89" i="28" s="1"/>
  <c r="AG36" i="30"/>
  <c r="AN40" i="28"/>
  <c r="AL40" i="30"/>
  <c r="AL40" i="28" s="1"/>
  <c r="AQ40" i="30"/>
  <c r="O32" i="16"/>
  <c r="N40" i="16"/>
  <c r="AS205" i="30"/>
  <c r="AS206" i="30" s="1"/>
  <c r="AV203" i="30"/>
  <c r="Q48" i="16"/>
  <c r="P51" i="16"/>
  <c r="V181" i="30"/>
  <c r="V177" i="28"/>
  <c r="BN56" i="28"/>
  <c r="P61" i="16"/>
  <c r="O67" i="16"/>
  <c r="AN81" i="30" s="1"/>
  <c r="AK81" i="28"/>
  <c r="AA111" i="30"/>
  <c r="AA111" i="28" s="1"/>
  <c r="AE109" i="28"/>
  <c r="AC111" i="30"/>
  <c r="AR205" i="30"/>
  <c r="AR206" i="30" s="1"/>
  <c r="AU203" i="30"/>
  <c r="O30" i="16"/>
  <c r="P25" i="16"/>
  <c r="Q54" i="16"/>
  <c r="P57" i="16"/>
  <c r="R42" i="16"/>
  <c r="Q46" i="16"/>
  <c r="T60" i="16"/>
  <c r="W95" i="30"/>
  <c r="W95" i="28" s="1"/>
  <c r="X95" i="30"/>
  <c r="X95" i="28" s="1"/>
  <c r="AE93" i="30"/>
  <c r="AE93" i="28" s="1"/>
  <c r="AE86" i="28"/>
  <c r="AC86" i="30"/>
  <c r="AD86" i="30" s="1"/>
  <c r="AH86" i="30"/>
  <c r="AH200" i="30" s="1"/>
  <c r="AH201" i="30" s="1"/>
  <c r="AH202" i="30" s="1"/>
  <c r="X202" i="30"/>
  <c r="Z86" i="28"/>
  <c r="Z93" i="30"/>
  <c r="Z93" i="28" s="1"/>
  <c r="Z200" i="30"/>
  <c r="Z201" i="30" s="1"/>
  <c r="Z202" i="30" s="1"/>
  <c r="AB95" i="30"/>
  <c r="AB95" i="28" s="1"/>
  <c r="R95" i="28"/>
  <c r="R97" i="30"/>
  <c r="AA86" i="30"/>
  <c r="AQ199" i="30"/>
  <c r="Z14" i="36"/>
  <c r="AF14" i="36"/>
  <c r="AG16" i="30"/>
  <c r="AG16" i="28" s="1"/>
  <c r="AK16" i="28"/>
  <c r="AN16" i="30"/>
  <c r="AI16" i="30"/>
  <c r="AI16" i="28" s="1"/>
  <c r="Y170" i="30"/>
  <c r="V174" i="28"/>
  <c r="V193" i="30"/>
  <c r="V191" i="28"/>
  <c r="AK140" i="30"/>
  <c r="AN134" i="30"/>
  <c r="AL7" i="30"/>
  <c r="AI7" i="28"/>
  <c r="S15" i="36"/>
  <c r="O16" i="36"/>
  <c r="U15" i="36"/>
  <c r="AA34" i="28"/>
  <c r="AA31" i="28" s="1"/>
  <c r="AD32" i="28"/>
  <c r="AD34" i="30"/>
  <c r="W83" i="28"/>
  <c r="Z34" i="28"/>
  <c r="Z31" i="28" s="1"/>
  <c r="Z83" i="30"/>
  <c r="AH34" i="30"/>
  <c r="AF32" i="30"/>
  <c r="AH32" i="28"/>
  <c r="AK32" i="30"/>
  <c r="AE34" i="28"/>
  <c r="AE31" i="28" s="1"/>
  <c r="AE83" i="30"/>
  <c r="AE83" i="28" s="1"/>
  <c r="AC34" i="30"/>
  <c r="AC32" i="28"/>
  <c r="AJ101" i="28"/>
  <c r="AG101" i="28"/>
  <c r="AG102" i="30"/>
  <c r="AG102" i="28" s="1"/>
  <c r="AJ103" i="30"/>
  <c r="AJ103" i="28" s="1"/>
  <c r="AD102" i="28"/>
  <c r="AN103" i="28"/>
  <c r="AQ103" i="30"/>
  <c r="AL103" i="30"/>
  <c r="AL103" i="28" s="1"/>
  <c r="AI101" i="28"/>
  <c r="AN102" i="30"/>
  <c r="AI102" i="30"/>
  <c r="AI102" i="28" s="1"/>
  <c r="AK102" i="28"/>
  <c r="AQ101" i="30"/>
  <c r="AL101" i="30"/>
  <c r="AM101" i="30" s="1"/>
  <c r="AN101" i="28"/>
  <c r="AK4" i="30"/>
  <c r="AH4" i="28"/>
  <c r="AL6" i="28"/>
  <c r="AO6" i="30"/>
  <c r="AL9" i="30"/>
  <c r="AI25" i="30"/>
  <c r="AI25" i="28" s="1"/>
  <c r="AI9" i="28"/>
  <c r="AN5" i="30"/>
  <c r="AK5" i="28"/>
  <c r="S208" i="30"/>
  <c r="AI28" i="36" l="1"/>
  <c r="F126" i="57"/>
  <c r="G122" i="57"/>
  <c r="F112" i="57"/>
  <c r="J112" i="30" s="1"/>
  <c r="I107" i="30"/>
  <c r="E112" i="57"/>
  <c r="AA15" i="30"/>
  <c r="AA15" i="28" s="1"/>
  <c r="AH15" i="30"/>
  <c r="AE15" i="28"/>
  <c r="AC15" i="30"/>
  <c r="AC15" i="28" s="1"/>
  <c r="AB9" i="30"/>
  <c r="AA25" i="30"/>
  <c r="AA25" i="28" s="1"/>
  <c r="AD9" i="30"/>
  <c r="AA9" i="28"/>
  <c r="Y25" i="30"/>
  <c r="Y25" i="28" s="1"/>
  <c r="Y9" i="28"/>
  <c r="AE95" i="30"/>
  <c r="AE95" i="28" s="1"/>
  <c r="AD20" i="30"/>
  <c r="AD20" i="28" s="1"/>
  <c r="AC111" i="28"/>
  <c r="U97" i="30"/>
  <c r="U97" i="28" s="1"/>
  <c r="AS47" i="30"/>
  <c r="AS47" i="28" s="1"/>
  <c r="AZ47" i="30"/>
  <c r="AW47" i="28"/>
  <c r="AU47" i="30"/>
  <c r="AU47" i="28" s="1"/>
  <c r="AS72" i="30"/>
  <c r="AS72" i="28" s="1"/>
  <c r="AJ65" i="30"/>
  <c r="AJ65" i="28" s="1"/>
  <c r="AG68" i="30"/>
  <c r="AG68" i="28" s="1"/>
  <c r="AG63" i="28" s="1"/>
  <c r="AZ72" i="30"/>
  <c r="AW72" i="28"/>
  <c r="AU72" i="30"/>
  <c r="AU72" i="28" s="1"/>
  <c r="AQ65" i="30"/>
  <c r="AN65" i="28"/>
  <c r="AL65" i="30"/>
  <c r="AL65" i="28" s="1"/>
  <c r="AJ49" i="30"/>
  <c r="AJ49" i="28" s="1"/>
  <c r="AV44" i="30"/>
  <c r="AV44" i="28" s="1"/>
  <c r="AD18" i="30"/>
  <c r="AD18" i="28" s="1"/>
  <c r="AD17" i="30"/>
  <c r="AD17" i="28" s="1"/>
  <c r="AS71" i="30"/>
  <c r="AS71" i="28" s="1"/>
  <c r="AJ74" i="30"/>
  <c r="AJ74" i="28" s="1"/>
  <c r="AV67" i="30"/>
  <c r="AV67" i="28" s="1"/>
  <c r="AI55" i="28"/>
  <c r="AI57" i="30"/>
  <c r="AI57" i="28" s="1"/>
  <c r="AI52" i="28" s="1"/>
  <c r="AP45" i="30"/>
  <c r="AP45" i="28" s="1"/>
  <c r="AQ50" i="30"/>
  <c r="AN50" i="28"/>
  <c r="AL50" i="30"/>
  <c r="AK17" i="30"/>
  <c r="AH17" i="28"/>
  <c r="AF17" i="30"/>
  <c r="AF17" i="28" s="1"/>
  <c r="AK18" i="30"/>
  <c r="AH18" i="28"/>
  <c r="AF18" i="30"/>
  <c r="AF18" i="28" s="1"/>
  <c r="AQ55" i="30"/>
  <c r="AN55" i="28"/>
  <c r="AL55" i="30"/>
  <c r="AM55" i="30" s="1"/>
  <c r="AN57" i="30"/>
  <c r="AN57" i="28" s="1"/>
  <c r="AN52" i="28" s="1"/>
  <c r="BC67" i="30"/>
  <c r="AZ67" i="28"/>
  <c r="AX67" i="30"/>
  <c r="AX67" i="28" s="1"/>
  <c r="AW45" i="30"/>
  <c r="AT45" i="28"/>
  <c r="AR45" i="30"/>
  <c r="AR45" i="28" s="1"/>
  <c r="AQ49" i="30"/>
  <c r="AN49" i="28"/>
  <c r="AL49" i="30"/>
  <c r="AL49" i="28" s="1"/>
  <c r="AD14" i="30"/>
  <c r="AD14" i="28" s="1"/>
  <c r="AK20" i="30"/>
  <c r="AH20" i="28"/>
  <c r="AF20" i="30"/>
  <c r="AF20" i="28" s="1"/>
  <c r="AP39" i="30"/>
  <c r="AP39" i="28" s="1"/>
  <c r="BC44" i="30"/>
  <c r="AZ44" i="28"/>
  <c r="AX44" i="30"/>
  <c r="AX44" i="28" s="1"/>
  <c r="AZ71" i="30"/>
  <c r="AW71" i="28"/>
  <c r="AU71" i="30"/>
  <c r="AU71" i="28" s="1"/>
  <c r="AQ74" i="30"/>
  <c r="AN74" i="28"/>
  <c r="AL74" i="30"/>
  <c r="AL74" i="28" s="1"/>
  <c r="AI50" i="28"/>
  <c r="AJ50" i="30"/>
  <c r="AJ50" i="28" s="1"/>
  <c r="AG55" i="28"/>
  <c r="AG57" i="30"/>
  <c r="AG57" i="28" s="1"/>
  <c r="AG52" i="28" s="1"/>
  <c r="AK14" i="30"/>
  <c r="AH14" i="28"/>
  <c r="AF14" i="30"/>
  <c r="AF14" i="28" s="1"/>
  <c r="AJ55" i="28"/>
  <c r="AJ57" i="30"/>
  <c r="AJ57" i="28" s="1"/>
  <c r="AJ52" i="28" s="1"/>
  <c r="AW39" i="30"/>
  <c r="AT39" i="28"/>
  <c r="AR39" i="30"/>
  <c r="AR39" i="28" s="1"/>
  <c r="AF78" i="30"/>
  <c r="AF78" i="28" s="1"/>
  <c r="AF69" i="28" s="1"/>
  <c r="AG87" i="30"/>
  <c r="AG87" i="28" s="1"/>
  <c r="AN81" i="28"/>
  <c r="N13" i="16"/>
  <c r="N16" i="16" s="1"/>
  <c r="N82" i="16" s="1"/>
  <c r="N98" i="16" s="1"/>
  <c r="AK109" i="30" s="1"/>
  <c r="AK21" i="28"/>
  <c r="M116" i="16"/>
  <c r="M119" i="16" s="1"/>
  <c r="M130" i="16" s="1"/>
  <c r="M133" i="16" s="1"/>
  <c r="AA19" i="28"/>
  <c r="AA24" i="30"/>
  <c r="AJ88" i="30"/>
  <c r="AJ88" i="28" s="1"/>
  <c r="AS33" i="30"/>
  <c r="AS33" i="28" s="1"/>
  <c r="AG89" i="30"/>
  <c r="AG89" i="28" s="1"/>
  <c r="X24" i="28"/>
  <c r="X28" i="30"/>
  <c r="AM80" i="30"/>
  <c r="AM80" i="28" s="1"/>
  <c r="AA83" i="30"/>
  <c r="AA83" i="28" s="1"/>
  <c r="AG90" i="30"/>
  <c r="AG90" i="28" s="1"/>
  <c r="AJ41" i="30"/>
  <c r="AJ41" i="28" s="1"/>
  <c r="AJ35" i="28" s="1"/>
  <c r="AJ36" i="28"/>
  <c r="AS70" i="28"/>
  <c r="AK89" i="28"/>
  <c r="AI89" i="30"/>
  <c r="AI89" i="28" s="1"/>
  <c r="AN89" i="30"/>
  <c r="AK171" i="30"/>
  <c r="AK171" i="28" s="1"/>
  <c r="AQ43" i="30"/>
  <c r="AN43" i="28"/>
  <c r="AN51" i="30"/>
  <c r="AN51" i="28" s="1"/>
  <c r="AN42" i="28" s="1"/>
  <c r="AL43" i="30"/>
  <c r="AM43" i="30" s="1"/>
  <c r="AQ77" i="30"/>
  <c r="AN77" i="28"/>
  <c r="AL77" i="30"/>
  <c r="AL77" i="28" s="1"/>
  <c r="AW38" i="30"/>
  <c r="AT38" i="28"/>
  <c r="AR38" i="30"/>
  <c r="AR38" i="28" s="1"/>
  <c r="AI59" i="28"/>
  <c r="AI62" i="30"/>
  <c r="AI62" i="28" s="1"/>
  <c r="AI58" i="28" s="1"/>
  <c r="AK19" i="30"/>
  <c r="AH19" i="28"/>
  <c r="AF19" i="30"/>
  <c r="AF19" i="28" s="1"/>
  <c r="AQ48" i="30"/>
  <c r="AN48" i="28"/>
  <c r="AL48" i="30"/>
  <c r="AL48" i="28" s="1"/>
  <c r="AG51" i="30"/>
  <c r="AG51" i="28" s="1"/>
  <c r="AG42" i="28" s="1"/>
  <c r="AO53" i="28"/>
  <c r="AG41" i="30"/>
  <c r="AG41" i="28" s="1"/>
  <c r="AG35" i="28" s="1"/>
  <c r="AG36" i="28"/>
  <c r="AM91" i="30"/>
  <c r="AM91" i="28" s="1"/>
  <c r="V188" i="30"/>
  <c r="V184" i="28"/>
  <c r="AQ88" i="30"/>
  <c r="AN161" i="30"/>
  <c r="AN161" i="28" s="1"/>
  <c r="AN88" i="28"/>
  <c r="AL88" i="30"/>
  <c r="AL88" i="28" s="1"/>
  <c r="AZ33" i="30"/>
  <c r="AW33" i="28"/>
  <c r="AU33" i="30"/>
  <c r="AU33" i="28" s="1"/>
  <c r="AK178" i="30"/>
  <c r="AK178" i="28" s="1"/>
  <c r="AI90" i="30"/>
  <c r="AI90" i="28" s="1"/>
  <c r="AN90" i="30"/>
  <c r="AK90" i="28"/>
  <c r="AJ75" i="30"/>
  <c r="AJ75" i="28" s="1"/>
  <c r="AG76" i="30"/>
  <c r="AM66" i="30"/>
  <c r="AM66" i="28" s="1"/>
  <c r="AN87" i="30"/>
  <c r="AK87" i="28"/>
  <c r="AI87" i="30"/>
  <c r="AI87" i="28" s="1"/>
  <c r="AN73" i="28"/>
  <c r="AL73" i="30"/>
  <c r="AM73" i="30" s="1"/>
  <c r="AQ73" i="30"/>
  <c r="AR70" i="28"/>
  <c r="AO40" i="30"/>
  <c r="AO40" i="28" s="1"/>
  <c r="AT40" i="30"/>
  <c r="AQ40" i="28"/>
  <c r="AQ185" i="30"/>
  <c r="AQ185" i="28" s="1"/>
  <c r="AQ91" i="28"/>
  <c r="AO91" i="30"/>
  <c r="AO91" i="28" s="1"/>
  <c r="AT91" i="30"/>
  <c r="AJ43" i="28"/>
  <c r="Q23" i="16"/>
  <c r="R21" i="16"/>
  <c r="AI36" i="28"/>
  <c r="AI41" i="30"/>
  <c r="AI41" i="28" s="1"/>
  <c r="AI35" i="28" s="1"/>
  <c r="AD76" i="28"/>
  <c r="AD78" i="30"/>
  <c r="AD78" i="28" s="1"/>
  <c r="AD69" i="28" s="1"/>
  <c r="AT80" i="30"/>
  <c r="AQ80" i="28"/>
  <c r="AO80" i="30"/>
  <c r="AO80" i="28" s="1"/>
  <c r="AQ64" i="30"/>
  <c r="AN68" i="30"/>
  <c r="AN68" i="28" s="1"/>
  <c r="AN63" i="28" s="1"/>
  <c r="AN64" i="28"/>
  <c r="AL64" i="30"/>
  <c r="AI73" i="28"/>
  <c r="AW70" i="28"/>
  <c r="AZ70" i="30"/>
  <c r="AX70" i="30" s="1"/>
  <c r="AV70" i="30"/>
  <c r="AQ75" i="30"/>
  <c r="AN75" i="28"/>
  <c r="AL75" i="30"/>
  <c r="AL75" i="28" s="1"/>
  <c r="AM40" i="30"/>
  <c r="AM40" i="28" s="1"/>
  <c r="AI51" i="30"/>
  <c r="AI51" i="28" s="1"/>
  <c r="AI42" i="28" s="1"/>
  <c r="AI43" i="28"/>
  <c r="AJ77" i="30"/>
  <c r="AJ77" i="28" s="1"/>
  <c r="AP38" i="30"/>
  <c r="AP38" i="28" s="1"/>
  <c r="AN59" i="28"/>
  <c r="AQ59" i="30"/>
  <c r="AN62" i="30"/>
  <c r="AN62" i="28" s="1"/>
  <c r="AN58" i="28" s="1"/>
  <c r="AL59" i="30"/>
  <c r="AM59" i="30" s="1"/>
  <c r="AD19" i="30"/>
  <c r="AJ48" i="30"/>
  <c r="AJ48" i="28" s="1"/>
  <c r="AJ64" i="30"/>
  <c r="AI68" i="30"/>
  <c r="AI68" i="28" s="1"/>
  <c r="AI63" i="28" s="1"/>
  <c r="AI64" i="28"/>
  <c r="AW53" i="30"/>
  <c r="AT53" i="28"/>
  <c r="AR53" i="30"/>
  <c r="AS53" i="30" s="1"/>
  <c r="AN76" i="30"/>
  <c r="AK76" i="28"/>
  <c r="AI76" i="30"/>
  <c r="AI76" i="28" s="1"/>
  <c r="AT66" i="30"/>
  <c r="AQ66" i="28"/>
  <c r="AO66" i="30"/>
  <c r="AO66" i="28" s="1"/>
  <c r="AQ36" i="30"/>
  <c r="AN36" i="28"/>
  <c r="AL36" i="30"/>
  <c r="AM36" i="30" s="1"/>
  <c r="AN41" i="30"/>
  <c r="AN41" i="28" s="1"/>
  <c r="AN35" i="28" s="1"/>
  <c r="AJ59" i="28"/>
  <c r="AJ62" i="30"/>
  <c r="AJ62" i="28" s="1"/>
  <c r="AJ58" i="28" s="1"/>
  <c r="AP53" i="28"/>
  <c r="AJ73" i="28"/>
  <c r="S42" i="16"/>
  <c r="R46" i="16"/>
  <c r="R54" i="16"/>
  <c r="Q57" i="16"/>
  <c r="R48" i="16"/>
  <c r="Q51" i="16"/>
  <c r="P32" i="16"/>
  <c r="O40" i="16"/>
  <c r="AX203" i="30"/>
  <c r="AU205" i="30"/>
  <c r="AU206" i="30" s="1"/>
  <c r="U60" i="16"/>
  <c r="P30" i="16"/>
  <c r="Q25" i="16"/>
  <c r="O80" i="16"/>
  <c r="AD111" i="30"/>
  <c r="AD111" i="28" s="1"/>
  <c r="Q61" i="16"/>
  <c r="P67" i="16"/>
  <c r="AQ81" i="30" s="1"/>
  <c r="Y177" i="30"/>
  <c r="V181" i="28"/>
  <c r="AV205" i="30"/>
  <c r="AV206" i="30" s="1"/>
  <c r="AY203" i="30"/>
  <c r="Z95" i="30"/>
  <c r="Z95" i="28" s="1"/>
  <c r="AH86" i="28"/>
  <c r="AF86" i="30"/>
  <c r="AH93" i="30"/>
  <c r="AH93" i="28" s="1"/>
  <c r="AK86" i="30"/>
  <c r="AK200" i="30" s="1"/>
  <c r="AK201" i="30" s="1"/>
  <c r="AK202" i="30" s="1"/>
  <c r="AC93" i="30"/>
  <c r="AC93" i="28" s="1"/>
  <c r="AC86" i="28"/>
  <c r="AC200" i="30"/>
  <c r="AC201" i="30" s="1"/>
  <c r="AC202" i="30" s="1"/>
  <c r="AA86" i="28"/>
  <c r="AA200" i="30"/>
  <c r="AA201" i="30" s="1"/>
  <c r="AA202" i="30" s="1"/>
  <c r="AA93" i="30"/>
  <c r="R97" i="28"/>
  <c r="AD93" i="30"/>
  <c r="AD93" i="28" s="1"/>
  <c r="AD86" i="28"/>
  <c r="AD200" i="30"/>
  <c r="AD201" i="30" s="1"/>
  <c r="AT199" i="30"/>
  <c r="AF15" i="36"/>
  <c r="Z15" i="36"/>
  <c r="AJ16" i="30"/>
  <c r="AJ16" i="28" s="1"/>
  <c r="AN16" i="28"/>
  <c r="AQ16" i="30"/>
  <c r="AL16" i="30"/>
  <c r="AL16" i="28" s="1"/>
  <c r="Y174" i="30"/>
  <c r="Y170" i="28"/>
  <c r="AQ134" i="30"/>
  <c r="AN140" i="30"/>
  <c r="Y191" i="30"/>
  <c r="V193" i="28"/>
  <c r="N209" i="30"/>
  <c r="AL7" i="28"/>
  <c r="AO7" i="30"/>
  <c r="U16" i="36"/>
  <c r="S16" i="36"/>
  <c r="O17" i="36"/>
  <c r="AM103" i="30"/>
  <c r="AM103" i="28" s="1"/>
  <c r="AC34" i="28"/>
  <c r="AC31" i="28" s="1"/>
  <c r="AC83" i="30"/>
  <c r="AF34" i="30"/>
  <c r="AF32" i="28"/>
  <c r="AG32" i="30"/>
  <c r="AN32" i="30"/>
  <c r="AK34" i="30"/>
  <c r="AI32" i="30"/>
  <c r="AJ32" i="30" s="1"/>
  <c r="AK32" i="28"/>
  <c r="AH83" i="30"/>
  <c r="AH83" i="28" s="1"/>
  <c r="AH34" i="28"/>
  <c r="AH31" i="28" s="1"/>
  <c r="Z83" i="28"/>
  <c r="AD34" i="28"/>
  <c r="AD31" i="28" s="1"/>
  <c r="AL101" i="28"/>
  <c r="AT101" i="30"/>
  <c r="AO101" i="30"/>
  <c r="AP101" i="30" s="1"/>
  <c r="AQ101" i="28"/>
  <c r="AM101" i="28"/>
  <c r="AQ102" i="30"/>
  <c r="AL102" i="30"/>
  <c r="AL102" i="28" s="1"/>
  <c r="AN102" i="28"/>
  <c r="AJ102" i="30"/>
  <c r="AO103" i="30"/>
  <c r="AO103" i="28" s="1"/>
  <c r="AQ103" i="28"/>
  <c r="AT103" i="30"/>
  <c r="AQ5" i="30"/>
  <c r="T208" i="30"/>
  <c r="AN5" i="28"/>
  <c r="AR6" i="30"/>
  <c r="AO6" i="28"/>
  <c r="AO9" i="30"/>
  <c r="AL25" i="30"/>
  <c r="AL25" i="28" s="1"/>
  <c r="AL9" i="28"/>
  <c r="AN4" i="30"/>
  <c r="AK4" i="28"/>
  <c r="AJ28" i="36" l="1"/>
  <c r="AD15" i="30"/>
  <c r="AD15" i="28" s="1"/>
  <c r="F149" i="57"/>
  <c r="F142" i="57"/>
  <c r="F145" i="57" s="1"/>
  <c r="J145" i="30" s="1"/>
  <c r="F155" i="57"/>
  <c r="F151" i="57"/>
  <c r="J151" i="30" s="1"/>
  <c r="J126" i="30"/>
  <c r="I131" i="57"/>
  <c r="F150" i="57"/>
  <c r="J150" i="30" s="1"/>
  <c r="E126" i="57"/>
  <c r="I126" i="30" s="1"/>
  <c r="I112" i="30"/>
  <c r="AK15" i="30"/>
  <c r="AH15" i="28"/>
  <c r="AF15" i="30"/>
  <c r="AF15" i="28" s="1"/>
  <c r="AB25" i="30"/>
  <c r="AB25" i="28" s="1"/>
  <c r="AB9" i="28"/>
  <c r="AE9" i="30"/>
  <c r="AG9" i="30"/>
  <c r="AD9" i="28"/>
  <c r="AD25" i="30"/>
  <c r="AD25" i="28" s="1"/>
  <c r="AG14" i="30"/>
  <c r="AG14" i="28" s="1"/>
  <c r="AM65" i="30"/>
  <c r="AM65" i="28" s="1"/>
  <c r="AG18" i="30"/>
  <c r="AG18" i="28" s="1"/>
  <c r="AV47" i="30"/>
  <c r="AV47" i="28" s="1"/>
  <c r="AV72" i="30"/>
  <c r="AV72" i="28" s="1"/>
  <c r="BC72" i="30"/>
  <c r="AZ72" i="28"/>
  <c r="AX72" i="30"/>
  <c r="AX72" i="28" s="1"/>
  <c r="AT65" i="30"/>
  <c r="AQ65" i="28"/>
  <c r="AO65" i="30"/>
  <c r="AO65" i="28" s="1"/>
  <c r="AG17" i="30"/>
  <c r="AG17" i="28" s="1"/>
  <c r="BC47" i="30"/>
  <c r="AZ47" i="28"/>
  <c r="AX47" i="30"/>
  <c r="AX47" i="28" s="1"/>
  <c r="AV71" i="30"/>
  <c r="AV71" i="28" s="1"/>
  <c r="AY44" i="30"/>
  <c r="AY44" i="28" s="1"/>
  <c r="AM74" i="30"/>
  <c r="AM74" i="28" s="1"/>
  <c r="AZ45" i="30"/>
  <c r="AU45" i="30"/>
  <c r="AU45" i="28" s="1"/>
  <c r="AW45" i="28"/>
  <c r="AS39" i="30"/>
  <c r="AS39" i="28" s="1"/>
  <c r="AM49" i="30"/>
  <c r="AM49" i="28" s="1"/>
  <c r="AY67" i="30"/>
  <c r="AY67" i="28" s="1"/>
  <c r="AT55" i="30"/>
  <c r="AQ55" i="28"/>
  <c r="AO55" i="30"/>
  <c r="AQ57" i="30"/>
  <c r="AQ57" i="28" s="1"/>
  <c r="AQ52" i="28" s="1"/>
  <c r="AN17" i="30"/>
  <c r="AK17" i="28"/>
  <c r="AI17" i="30"/>
  <c r="AI17" i="28" s="1"/>
  <c r="AN14" i="30"/>
  <c r="AK14" i="28"/>
  <c r="AI14" i="30"/>
  <c r="AI14" i="28" s="1"/>
  <c r="AT74" i="30"/>
  <c r="AQ74" i="28"/>
  <c r="AO74" i="30"/>
  <c r="AO74" i="28" s="1"/>
  <c r="BF44" i="30"/>
  <c r="BC44" i="28"/>
  <c r="BA44" i="30"/>
  <c r="BA44" i="28" s="1"/>
  <c r="AL50" i="28"/>
  <c r="AM50" i="30"/>
  <c r="AM50" i="28" s="1"/>
  <c r="AZ39" i="30"/>
  <c r="AW39" i="28"/>
  <c r="AU39" i="30"/>
  <c r="AU39" i="28" s="1"/>
  <c r="AG20" i="30"/>
  <c r="AG20" i="28" s="1"/>
  <c r="AT49" i="30"/>
  <c r="AQ49" i="28"/>
  <c r="AO49" i="30"/>
  <c r="AO49" i="28" s="1"/>
  <c r="BF67" i="30"/>
  <c r="BC67" i="28"/>
  <c r="BA67" i="30"/>
  <c r="BA67" i="28" s="1"/>
  <c r="AT50" i="30"/>
  <c r="AQ50" i="28"/>
  <c r="AO50" i="30"/>
  <c r="AS45" i="30"/>
  <c r="AS45" i="28" s="1"/>
  <c r="AN18" i="30"/>
  <c r="AK18" i="28"/>
  <c r="AI18" i="30"/>
  <c r="AI18" i="28" s="1"/>
  <c r="BC71" i="30"/>
  <c r="AZ71" i="28"/>
  <c r="AX71" i="30"/>
  <c r="AX71" i="28" s="1"/>
  <c r="AM55" i="28"/>
  <c r="AM57" i="30"/>
  <c r="AM57" i="28" s="1"/>
  <c r="AM52" i="28" s="1"/>
  <c r="AN20" i="30"/>
  <c r="AK20" i="28"/>
  <c r="AI20" i="30"/>
  <c r="AI20" i="28" s="1"/>
  <c r="AL55" i="28"/>
  <c r="AL57" i="30"/>
  <c r="AL57" i="28" s="1"/>
  <c r="AL52" i="28" s="1"/>
  <c r="AM48" i="30"/>
  <c r="AM48" i="28" s="1"/>
  <c r="AP80" i="30"/>
  <c r="AP80" i="28" s="1"/>
  <c r="P80" i="16"/>
  <c r="AH109" i="28"/>
  <c r="AF111" i="30"/>
  <c r="O13" i="16"/>
  <c r="O16" i="16" s="1"/>
  <c r="O82" i="16" s="1"/>
  <c r="O98" i="16" s="1"/>
  <c r="AN109" i="30" s="1"/>
  <c r="AN21" i="28"/>
  <c r="N116" i="16"/>
  <c r="N119" i="16" s="1"/>
  <c r="N130" i="16" s="1"/>
  <c r="N133" i="16" s="1"/>
  <c r="AS38" i="30"/>
  <c r="AS38" i="28" s="1"/>
  <c r="AG19" i="30"/>
  <c r="AA24" i="28"/>
  <c r="AA28" i="30"/>
  <c r="AA28" i="28" s="1"/>
  <c r="X28" i="28"/>
  <c r="X97" i="30"/>
  <c r="AM75" i="30"/>
  <c r="AM75" i="28" s="1"/>
  <c r="AP91" i="30"/>
  <c r="AP91" i="28" s="1"/>
  <c r="AP40" i="30"/>
  <c r="AP40" i="28" s="1"/>
  <c r="AD83" i="30"/>
  <c r="AD83" i="28" s="1"/>
  <c r="AV33" i="30"/>
  <c r="AV33" i="28" s="1"/>
  <c r="AM41" i="30"/>
  <c r="AM41" i="28" s="1"/>
  <c r="AM35" i="28" s="1"/>
  <c r="AM36" i="28"/>
  <c r="AM59" i="28"/>
  <c r="AM62" i="30"/>
  <c r="AM62" i="28" s="1"/>
  <c r="AM58" i="28" s="1"/>
  <c r="AM43" i="28"/>
  <c r="AP66" i="30"/>
  <c r="AP66" i="28" s="1"/>
  <c r="AZ53" i="30"/>
  <c r="AW53" i="28"/>
  <c r="AU53" i="30"/>
  <c r="AV53" i="30" s="1"/>
  <c r="AW91" i="30"/>
  <c r="AT185" i="30"/>
  <c r="AT185" i="28" s="1"/>
  <c r="AT91" i="28"/>
  <c r="AR91" i="30"/>
  <c r="AR91" i="28" s="1"/>
  <c r="AW40" i="30"/>
  <c r="AT40" i="28"/>
  <c r="AR40" i="30"/>
  <c r="AR40" i="28" s="1"/>
  <c r="AO73" i="30"/>
  <c r="AP73" i="30" s="1"/>
  <c r="AQ73" i="28"/>
  <c r="AT73" i="30"/>
  <c r="V188" i="28"/>
  <c r="Y184" i="30"/>
  <c r="AM77" i="30"/>
  <c r="AM77" i="28" s="1"/>
  <c r="AJ89" i="30"/>
  <c r="AJ89" i="28" s="1"/>
  <c r="AT36" i="30"/>
  <c r="AQ36" i="28"/>
  <c r="AO36" i="30"/>
  <c r="AP36" i="30" s="1"/>
  <c r="AQ41" i="30"/>
  <c r="AQ41" i="28" s="1"/>
  <c r="AQ35" i="28" s="1"/>
  <c r="AQ76" i="30"/>
  <c r="AQ78" i="30" s="1"/>
  <c r="AQ78" i="28" s="1"/>
  <c r="AQ69" i="28" s="1"/>
  <c r="AN76" i="28"/>
  <c r="AL76" i="30"/>
  <c r="AL76" i="28" s="1"/>
  <c r="AT59" i="30"/>
  <c r="AQ62" i="30"/>
  <c r="AQ62" i="28" s="1"/>
  <c r="AQ58" i="28" s="1"/>
  <c r="AQ59" i="28"/>
  <c r="AO59" i="30"/>
  <c r="AP59" i="30" s="1"/>
  <c r="AV70" i="28"/>
  <c r="AM64" i="30"/>
  <c r="AL64" i="28"/>
  <c r="AL68" i="30"/>
  <c r="AL68" i="28" s="1"/>
  <c r="AL63" i="28" s="1"/>
  <c r="S21" i="16"/>
  <c r="R23" i="16"/>
  <c r="AL73" i="28"/>
  <c r="AQ87" i="30"/>
  <c r="AN87" i="28"/>
  <c r="AL87" i="30"/>
  <c r="AL87" i="28" s="1"/>
  <c r="AS53" i="28"/>
  <c r="AU70" i="28"/>
  <c r="AW80" i="30"/>
  <c r="AT80" i="28"/>
  <c r="AR80" i="30"/>
  <c r="AR80" i="28" s="1"/>
  <c r="AN19" i="30"/>
  <c r="AK19" i="28"/>
  <c r="AI19" i="30"/>
  <c r="AI19" i="28" s="1"/>
  <c r="AT43" i="30"/>
  <c r="AQ43" i="28"/>
  <c r="AO43" i="30"/>
  <c r="AP43" i="30" s="1"/>
  <c r="AQ51" i="30"/>
  <c r="AQ51" i="28" s="1"/>
  <c r="AQ42" i="28" s="1"/>
  <c r="AW66" i="30"/>
  <c r="AT66" i="28"/>
  <c r="AR66" i="30"/>
  <c r="AR66" i="28" s="1"/>
  <c r="AR53" i="28"/>
  <c r="AJ64" i="28"/>
  <c r="AJ68" i="30"/>
  <c r="AJ68" i="28" s="1"/>
  <c r="AJ63" i="28" s="1"/>
  <c r="AD19" i="28"/>
  <c r="AD24" i="30"/>
  <c r="AY70" i="30"/>
  <c r="AY70" i="28" s="1"/>
  <c r="BC70" i="30"/>
  <c r="BA70" i="30" s="1"/>
  <c r="AZ70" i="28"/>
  <c r="AG76" i="28"/>
  <c r="AG78" i="30"/>
  <c r="AG78" i="28" s="1"/>
  <c r="AG69" i="28" s="1"/>
  <c r="AJ90" i="30"/>
  <c r="AJ90" i="28" s="1"/>
  <c r="AQ161" i="30"/>
  <c r="AQ161" i="28" s="1"/>
  <c r="AO88" i="30"/>
  <c r="AO88" i="28" s="1"/>
  <c r="AQ88" i="28"/>
  <c r="AT88" i="30"/>
  <c r="AT77" i="30"/>
  <c r="AQ77" i="28"/>
  <c r="AO77" i="30"/>
  <c r="AO77" i="28" s="1"/>
  <c r="AJ76" i="30"/>
  <c r="AQ68" i="30"/>
  <c r="AQ68" i="28" s="1"/>
  <c r="AQ63" i="28" s="1"/>
  <c r="AQ64" i="28"/>
  <c r="AT64" i="30"/>
  <c r="AO64" i="30"/>
  <c r="AJ51" i="30"/>
  <c r="AJ51" i="28" s="1"/>
  <c r="AJ42" i="28" s="1"/>
  <c r="AN78" i="30"/>
  <c r="AN78" i="28" s="1"/>
  <c r="AN69" i="28" s="1"/>
  <c r="AJ87" i="30"/>
  <c r="AJ87" i="28" s="1"/>
  <c r="AM88" i="30"/>
  <c r="AM88" i="28" s="1"/>
  <c r="AO48" i="30"/>
  <c r="AO48" i="28" s="1"/>
  <c r="AT48" i="30"/>
  <c r="AQ48" i="28"/>
  <c r="AL89" i="30"/>
  <c r="AL89" i="28" s="1"/>
  <c r="AQ89" i="30"/>
  <c r="AN89" i="28"/>
  <c r="AN171" i="30"/>
  <c r="AN171" i="28" s="1"/>
  <c r="AL41" i="30"/>
  <c r="AL41" i="28" s="1"/>
  <c r="AL35" i="28" s="1"/>
  <c r="AL36" i="28"/>
  <c r="AL62" i="30"/>
  <c r="AL62" i="28" s="1"/>
  <c r="AL58" i="28" s="1"/>
  <c r="AL59" i="28"/>
  <c r="AT75" i="30"/>
  <c r="AQ75" i="28"/>
  <c r="AO75" i="30"/>
  <c r="AO75" i="28" s="1"/>
  <c r="AI78" i="30"/>
  <c r="AI78" i="28" s="1"/>
  <c r="AI69" i="28" s="1"/>
  <c r="AM73" i="28"/>
  <c r="AL90" i="30"/>
  <c r="AL90" i="28" s="1"/>
  <c r="AQ90" i="30"/>
  <c r="AN178" i="30"/>
  <c r="AN178" i="28" s="1"/>
  <c r="AN90" i="28"/>
  <c r="BC33" i="30"/>
  <c r="AZ33" i="28"/>
  <c r="AX33" i="30"/>
  <c r="AX33" i="28" s="1"/>
  <c r="AZ38" i="30"/>
  <c r="AW38" i="28"/>
  <c r="AU38" i="30"/>
  <c r="AU38" i="28" s="1"/>
  <c r="AL51" i="30"/>
  <c r="AL51" i="28" s="1"/>
  <c r="AL42" i="28" s="1"/>
  <c r="AL43" i="28"/>
  <c r="BB203" i="30"/>
  <c r="AY205" i="30"/>
  <c r="AY206" i="30" s="1"/>
  <c r="R61" i="16"/>
  <c r="Q67" i="16"/>
  <c r="AT81" i="30" s="1"/>
  <c r="AQ81" i="28"/>
  <c r="R25" i="16"/>
  <c r="Q30" i="16"/>
  <c r="Q32" i="16"/>
  <c r="P40" i="16"/>
  <c r="BA203" i="30"/>
  <c r="AX205" i="30"/>
  <c r="AX206" i="30" s="1"/>
  <c r="V60" i="16"/>
  <c r="S48" i="16"/>
  <c r="R51" i="16"/>
  <c r="S46" i="16"/>
  <c r="T42" i="16"/>
  <c r="S54" i="16"/>
  <c r="R57" i="16"/>
  <c r="Y177" i="28"/>
  <c r="Y181" i="30"/>
  <c r="AD95" i="30"/>
  <c r="AD95" i="28" s="1"/>
  <c r="AC95" i="30"/>
  <c r="AC95" i="28" s="1"/>
  <c r="AH95" i="30"/>
  <c r="AH95" i="28" s="1"/>
  <c r="AA93" i="28"/>
  <c r="AA95" i="30"/>
  <c r="AF93" i="30"/>
  <c r="AF93" i="28" s="1"/>
  <c r="AF200" i="30"/>
  <c r="AF201" i="30" s="1"/>
  <c r="AF202" i="30" s="1"/>
  <c r="AF86" i="28"/>
  <c r="AD202" i="30"/>
  <c r="AG86" i="30"/>
  <c r="AN86" i="30"/>
  <c r="AN200" i="30" s="1"/>
  <c r="AN201" i="30" s="1"/>
  <c r="AN202" i="30" s="1"/>
  <c r="AK86" i="28"/>
  <c r="AI86" i="30"/>
  <c r="AJ86" i="30" s="1"/>
  <c r="AK93" i="30"/>
  <c r="AK93" i="28" s="1"/>
  <c r="AW199" i="30"/>
  <c r="Z16" i="36"/>
  <c r="AF16" i="36"/>
  <c r="AM16" i="30"/>
  <c r="AM16" i="28" s="1"/>
  <c r="AT16" i="30"/>
  <c r="AQ16" i="28"/>
  <c r="AO16" i="30"/>
  <c r="AO16" i="28" s="1"/>
  <c r="AB170" i="30"/>
  <c r="Y174" i="28"/>
  <c r="Y193" i="30"/>
  <c r="Y191" i="28"/>
  <c r="AT134" i="30"/>
  <c r="AQ140" i="30"/>
  <c r="AM102" i="30"/>
  <c r="AM102" i="28" s="1"/>
  <c r="AO7" i="28"/>
  <c r="AR7" i="30"/>
  <c r="U17" i="36"/>
  <c r="S17" i="36"/>
  <c r="O18" i="36"/>
  <c r="AJ34" i="30"/>
  <c r="AJ32" i="28"/>
  <c r="AK83" i="30"/>
  <c r="AK83" i="28" s="1"/>
  <c r="AK34" i="28"/>
  <c r="AK31" i="28" s="1"/>
  <c r="AG34" i="30"/>
  <c r="AG32" i="28"/>
  <c r="AF34" i="28"/>
  <c r="AF31" i="28" s="1"/>
  <c r="AF83" i="30"/>
  <c r="AN34" i="30"/>
  <c r="AQ32" i="30"/>
  <c r="AN32" i="28"/>
  <c r="AL32" i="30"/>
  <c r="AM32" i="30" s="1"/>
  <c r="AC83" i="28"/>
  <c r="AI34" i="30"/>
  <c r="AI32" i="28"/>
  <c r="AP101" i="28"/>
  <c r="AP103" i="30"/>
  <c r="AP103" i="28" s="1"/>
  <c r="AJ102" i="28"/>
  <c r="AO102" i="30"/>
  <c r="AO102" i="28" s="1"/>
  <c r="AQ102" i="28"/>
  <c r="AT102" i="30"/>
  <c r="AW101" i="30"/>
  <c r="AR101" i="30"/>
  <c r="AS101" i="30" s="1"/>
  <c r="AS101" i="28" s="1"/>
  <c r="AT101" i="28"/>
  <c r="AO101" i="28"/>
  <c r="AW103" i="30"/>
  <c r="AR103" i="30"/>
  <c r="AR103" i="28" s="1"/>
  <c r="AT103" i="28"/>
  <c r="AN4" i="28"/>
  <c r="AQ4" i="30"/>
  <c r="AU6" i="30"/>
  <c r="AR6" i="28"/>
  <c r="AR9" i="30"/>
  <c r="AO25" i="30"/>
  <c r="AO25" i="28" s="1"/>
  <c r="AO9" i="28"/>
  <c r="AT5" i="30"/>
  <c r="AQ5" i="28"/>
  <c r="U208" i="30"/>
  <c r="AG15" i="30" l="1"/>
  <c r="AG15" i="28" s="1"/>
  <c r="AK28" i="36"/>
  <c r="F152" i="57"/>
  <c r="J152" i="30" s="1"/>
  <c r="J149" i="30"/>
  <c r="K132" i="57"/>
  <c r="J133" i="30"/>
  <c r="J155" i="30"/>
  <c r="G155" i="57"/>
  <c r="F146" i="57"/>
  <c r="J142" i="30"/>
  <c r="E142" i="57"/>
  <c r="F143" i="57"/>
  <c r="AN15" i="30"/>
  <c r="AK15" i="28"/>
  <c r="AI15" i="30"/>
  <c r="AI15" i="28" s="1"/>
  <c r="AH9" i="30"/>
  <c r="AJ9" i="30"/>
  <c r="AG25" i="30"/>
  <c r="AG25" i="28" s="1"/>
  <c r="AG9" i="28"/>
  <c r="AE25" i="30"/>
  <c r="AE25" i="28" s="1"/>
  <c r="AE9" i="28"/>
  <c r="AP65" i="30"/>
  <c r="AP65" i="28" s="1"/>
  <c r="AY72" i="30"/>
  <c r="AY72" i="28" s="1"/>
  <c r="AY47" i="30"/>
  <c r="AY47" i="28" s="1"/>
  <c r="AW65" i="30"/>
  <c r="AT65" i="28"/>
  <c r="AR65" i="30"/>
  <c r="AR65" i="28" s="1"/>
  <c r="AP49" i="30"/>
  <c r="AP49" i="28" s="1"/>
  <c r="BF47" i="30"/>
  <c r="BC47" i="28"/>
  <c r="BA47" i="30"/>
  <c r="BA47" i="28" s="1"/>
  <c r="BF72" i="30"/>
  <c r="BC72" i="28"/>
  <c r="BA72" i="30"/>
  <c r="BA72" i="28" s="1"/>
  <c r="AY71" i="30"/>
  <c r="AY71" i="28" s="1"/>
  <c r="BB44" i="30"/>
  <c r="BB44" i="28" s="1"/>
  <c r="AJ14" i="30"/>
  <c r="AJ14" i="28" s="1"/>
  <c r="AV39" i="30"/>
  <c r="AV39" i="28" s="1"/>
  <c r="AQ20" i="30"/>
  <c r="AN20" i="28"/>
  <c r="AL20" i="30"/>
  <c r="AL20" i="28" s="1"/>
  <c r="AQ18" i="30"/>
  <c r="AN18" i="28"/>
  <c r="AL18" i="30"/>
  <c r="AL18" i="28" s="1"/>
  <c r="BI67" i="30"/>
  <c r="BF67" i="28"/>
  <c r="BD67" i="30"/>
  <c r="BD67" i="28" s="1"/>
  <c r="AP74" i="30"/>
  <c r="AP74" i="28" s="1"/>
  <c r="AJ17" i="30"/>
  <c r="AJ17" i="28" s="1"/>
  <c r="AW55" i="30"/>
  <c r="AT55" i="28"/>
  <c r="AR55" i="30"/>
  <c r="AS55" i="30" s="1"/>
  <c r="AT57" i="30"/>
  <c r="AT57" i="28" s="1"/>
  <c r="AT52" i="28" s="1"/>
  <c r="AO55" i="28"/>
  <c r="AO57" i="30"/>
  <c r="AO57" i="28" s="1"/>
  <c r="AO52" i="28" s="1"/>
  <c r="AM51" i="30"/>
  <c r="AM51" i="28" s="1"/>
  <c r="AM42" i="28" s="1"/>
  <c r="BC39" i="30"/>
  <c r="AZ39" i="28"/>
  <c r="AX39" i="30"/>
  <c r="AX39" i="28" s="1"/>
  <c r="AO50" i="28"/>
  <c r="AP50" i="30"/>
  <c r="AP50" i="28" s="1"/>
  <c r="AJ20" i="30"/>
  <c r="AJ20" i="28" s="1"/>
  <c r="AW74" i="30"/>
  <c r="AT74" i="28"/>
  <c r="AR74" i="30"/>
  <c r="AR74" i="28" s="1"/>
  <c r="AQ17" i="30"/>
  <c r="AN17" i="28"/>
  <c r="AL17" i="30"/>
  <c r="AL17" i="28" s="1"/>
  <c r="BF71" i="30"/>
  <c r="BC71" i="28"/>
  <c r="BA71" i="30"/>
  <c r="BA71" i="28" s="1"/>
  <c r="AT50" i="28"/>
  <c r="AR50" i="30"/>
  <c r="AW50" i="30"/>
  <c r="AW49" i="30"/>
  <c r="AT49" i="28"/>
  <c r="AR49" i="30"/>
  <c r="AR49" i="28" s="1"/>
  <c r="AV45" i="30"/>
  <c r="AV45" i="28" s="1"/>
  <c r="AJ18" i="30"/>
  <c r="AJ18" i="28" s="1"/>
  <c r="BB67" i="30"/>
  <c r="BB67" i="28" s="1"/>
  <c r="AP55" i="30"/>
  <c r="BI44" i="30"/>
  <c r="BF44" i="28"/>
  <c r="BD44" i="30"/>
  <c r="BD44" i="28" s="1"/>
  <c r="AQ14" i="30"/>
  <c r="AN14" i="28"/>
  <c r="AL14" i="30"/>
  <c r="AL14" i="28" s="1"/>
  <c r="AZ45" i="28"/>
  <c r="AX45" i="30"/>
  <c r="AX45" i="28" s="1"/>
  <c r="BC45" i="30"/>
  <c r="AM87" i="30"/>
  <c r="AM87" i="28" s="1"/>
  <c r="AN109" i="28"/>
  <c r="O116" i="16"/>
  <c r="O119" i="16" s="1"/>
  <c r="O130" i="16" s="1"/>
  <c r="O133" i="16" s="1"/>
  <c r="AQ21" i="28"/>
  <c r="P13" i="16"/>
  <c r="P16" i="16" s="1"/>
  <c r="P82" i="16" s="1"/>
  <c r="P98" i="16" s="1"/>
  <c r="AQ109" i="30" s="1"/>
  <c r="AF111" i="28"/>
  <c r="AG111" i="30"/>
  <c r="AG111" i="28" s="1"/>
  <c r="AK109" i="28"/>
  <c r="AI111" i="30"/>
  <c r="AP77" i="30"/>
  <c r="AP77" i="28" s="1"/>
  <c r="AG19" i="28"/>
  <c r="AG24" i="30"/>
  <c r="AV38" i="30"/>
  <c r="AV38" i="28" s="1"/>
  <c r="AJ19" i="30"/>
  <c r="AJ19" i="28" s="1"/>
  <c r="X97" i="28"/>
  <c r="AS66" i="30"/>
  <c r="AS66" i="28" s="1"/>
  <c r="AS80" i="30"/>
  <c r="AS80" i="28" s="1"/>
  <c r="AM90" i="30"/>
  <c r="AM90" i="28" s="1"/>
  <c r="AP62" i="30"/>
  <c r="AP62" i="28" s="1"/>
  <c r="AP58" i="28" s="1"/>
  <c r="AP59" i="28"/>
  <c r="AP43" i="28"/>
  <c r="AV53" i="28"/>
  <c r="BC38" i="30"/>
  <c r="AZ38" i="28"/>
  <c r="AX38" i="30"/>
  <c r="AX38" i="28" s="1"/>
  <c r="AP64" i="30"/>
  <c r="AO68" i="30"/>
  <c r="AO68" i="28" s="1"/>
  <c r="AO63" i="28" s="1"/>
  <c r="AO64" i="28"/>
  <c r="AW36" i="30"/>
  <c r="AT36" i="28"/>
  <c r="AR36" i="30"/>
  <c r="AS36" i="30" s="1"/>
  <c r="AT41" i="30"/>
  <c r="AT41" i="28" s="1"/>
  <c r="AT35" i="28" s="1"/>
  <c r="AP73" i="28"/>
  <c r="AU91" i="30"/>
  <c r="AU91" i="28" s="1"/>
  <c r="AZ91" i="30"/>
  <c r="AW185" i="30"/>
  <c r="AW185" i="28" s="1"/>
  <c r="AW91" i="28"/>
  <c r="BF33" i="30"/>
  <c r="BC33" i="28"/>
  <c r="BA33" i="30"/>
  <c r="BA33" i="28" s="1"/>
  <c r="AW75" i="30"/>
  <c r="AT75" i="28"/>
  <c r="AR75" i="30"/>
  <c r="AR75" i="28" s="1"/>
  <c r="AO89" i="30"/>
  <c r="AO89" i="28" s="1"/>
  <c r="AT89" i="30"/>
  <c r="AQ171" i="30"/>
  <c r="AQ171" i="28" s="1"/>
  <c r="AQ89" i="28"/>
  <c r="AW64" i="30"/>
  <c r="AT68" i="30"/>
  <c r="AT68" i="28" s="1"/>
  <c r="AT63" i="28" s="1"/>
  <c r="AT64" i="28"/>
  <c r="AR64" i="30"/>
  <c r="AS64" i="30" s="1"/>
  <c r="AT43" i="28"/>
  <c r="AW43" i="30"/>
  <c r="AR43" i="30"/>
  <c r="AS43" i="30" s="1"/>
  <c r="AT51" i="30"/>
  <c r="AT51" i="28" s="1"/>
  <c r="AT42" i="28" s="1"/>
  <c r="T21" i="16"/>
  <c r="S23" i="16"/>
  <c r="AT76" i="30"/>
  <c r="AT78" i="30" s="1"/>
  <c r="AT78" i="28" s="1"/>
  <c r="AT69" i="28" s="1"/>
  <c r="AQ76" i="28"/>
  <c r="AO76" i="30"/>
  <c r="AO76" i="28" s="1"/>
  <c r="AT73" i="28"/>
  <c r="AW73" i="30"/>
  <c r="AR73" i="30"/>
  <c r="AZ40" i="30"/>
  <c r="AW40" i="28"/>
  <c r="AU40" i="30"/>
  <c r="AZ66" i="30"/>
  <c r="AW66" i="28"/>
  <c r="AU66" i="30"/>
  <c r="AU66" i="28" s="1"/>
  <c r="AO62" i="30"/>
  <c r="AO62" i="28" s="1"/>
  <c r="AO58" i="28" s="1"/>
  <c r="AO59" i="28"/>
  <c r="AP36" i="28"/>
  <c r="AP41" i="30"/>
  <c r="AP41" i="28" s="1"/>
  <c r="AP35" i="28" s="1"/>
  <c r="AU53" i="28"/>
  <c r="AP48" i="30"/>
  <c r="AP48" i="28" s="1"/>
  <c r="AW77" i="30"/>
  <c r="AT77" i="28"/>
  <c r="AR77" i="30"/>
  <c r="AR77" i="28" s="1"/>
  <c r="BB70" i="30"/>
  <c r="BF70" i="30"/>
  <c r="BD70" i="30" s="1"/>
  <c r="BC70" i="28"/>
  <c r="AZ80" i="30"/>
  <c r="AW80" i="28"/>
  <c r="AU80" i="30"/>
  <c r="AU80" i="28" s="1"/>
  <c r="AT87" i="30"/>
  <c r="AQ87" i="28"/>
  <c r="AO87" i="30"/>
  <c r="AO87" i="28" s="1"/>
  <c r="Y188" i="30"/>
  <c r="Y184" i="28"/>
  <c r="AO73" i="28"/>
  <c r="AS91" i="30"/>
  <c r="AS91" i="28" s="1"/>
  <c r="AY33" i="30"/>
  <c r="AY33" i="28" s="1"/>
  <c r="AP75" i="30"/>
  <c r="AP75" i="28" s="1"/>
  <c r="AM89" i="30"/>
  <c r="AM89" i="28" s="1"/>
  <c r="AP88" i="30"/>
  <c r="AP88" i="28" s="1"/>
  <c r="AX70" i="28"/>
  <c r="AL78" i="30"/>
  <c r="AL78" i="28" s="1"/>
  <c r="AL69" i="28" s="1"/>
  <c r="AM64" i="28"/>
  <c r="AM68" i="30"/>
  <c r="AM68" i="28" s="1"/>
  <c r="AM63" i="28" s="1"/>
  <c r="AM76" i="30"/>
  <c r="AO41" i="30"/>
  <c r="AO41" i="28" s="1"/>
  <c r="AO35" i="28" s="1"/>
  <c r="AO36" i="28"/>
  <c r="AS40" i="30"/>
  <c r="AS40" i="28" s="1"/>
  <c r="AT90" i="30"/>
  <c r="AO90" i="30"/>
  <c r="AO90" i="28" s="1"/>
  <c r="AQ90" i="28"/>
  <c r="AQ178" i="30"/>
  <c r="AQ178" i="28" s="1"/>
  <c r="AT48" i="28"/>
  <c r="AR48" i="30"/>
  <c r="AR48" i="28" s="1"/>
  <c r="AW48" i="30"/>
  <c r="AJ76" i="28"/>
  <c r="AJ78" i="30"/>
  <c r="AJ78" i="28" s="1"/>
  <c r="AJ69" i="28" s="1"/>
  <c r="AW88" i="30"/>
  <c r="AR88" i="30"/>
  <c r="AR88" i="28" s="1"/>
  <c r="AT88" i="28"/>
  <c r="AT161" i="30"/>
  <c r="AT161" i="28" s="1"/>
  <c r="AD24" i="28"/>
  <c r="AD28" i="30"/>
  <c r="AO43" i="28"/>
  <c r="AO51" i="30"/>
  <c r="AO51" i="28" s="1"/>
  <c r="AO42" i="28" s="1"/>
  <c r="AQ19" i="30"/>
  <c r="AN19" i="28"/>
  <c r="AL19" i="30"/>
  <c r="AL19" i="28" s="1"/>
  <c r="AT59" i="28"/>
  <c r="AW59" i="30"/>
  <c r="AR59" i="30"/>
  <c r="AS59" i="30" s="1"/>
  <c r="AT62" i="30"/>
  <c r="AT62" i="28" s="1"/>
  <c r="AT58" i="28" s="1"/>
  <c r="BC53" i="30"/>
  <c r="AZ53" i="28"/>
  <c r="AX53" i="30"/>
  <c r="AY53" i="30" s="1"/>
  <c r="T54" i="16"/>
  <c r="S57" i="16"/>
  <c r="BE203" i="30"/>
  <c r="BB205" i="30"/>
  <c r="BB206" i="30" s="1"/>
  <c r="S51" i="16"/>
  <c r="T48" i="16"/>
  <c r="R32" i="16"/>
  <c r="Q40" i="16"/>
  <c r="Y181" i="28"/>
  <c r="AB177" i="30"/>
  <c r="BA205" i="30"/>
  <c r="BA206" i="30" s="1"/>
  <c r="BD203" i="30"/>
  <c r="W60" i="16"/>
  <c r="S25" i="16"/>
  <c r="R30" i="16"/>
  <c r="Q80" i="16"/>
  <c r="AT81" i="28"/>
  <c r="T46" i="16"/>
  <c r="U42" i="16"/>
  <c r="S61" i="16"/>
  <c r="R67" i="16"/>
  <c r="AW81" i="30" s="1"/>
  <c r="AF95" i="30"/>
  <c r="AF95" i="28" s="1"/>
  <c r="AK95" i="30"/>
  <c r="AK95" i="28" s="1"/>
  <c r="AJ93" i="30"/>
  <c r="AJ93" i="28" s="1"/>
  <c r="AJ86" i="28"/>
  <c r="AJ200" i="30"/>
  <c r="AJ201" i="30" s="1"/>
  <c r="AG200" i="30"/>
  <c r="AG201" i="30" s="1"/>
  <c r="AG202" i="30" s="1"/>
  <c r="AG93" i="30"/>
  <c r="AG93" i="28" s="1"/>
  <c r="AG86" i="28"/>
  <c r="AL86" i="30"/>
  <c r="AN86" i="28"/>
  <c r="AN93" i="30"/>
  <c r="AN93" i="28" s="1"/>
  <c r="AQ86" i="30"/>
  <c r="AQ200" i="30" s="1"/>
  <c r="AQ201" i="30" s="1"/>
  <c r="AQ202" i="30" s="1"/>
  <c r="AA95" i="28"/>
  <c r="AA97" i="30"/>
  <c r="AI86" i="28"/>
  <c r="AI93" i="30"/>
  <c r="AI93" i="28" s="1"/>
  <c r="AI200" i="30"/>
  <c r="AI201" i="30" s="1"/>
  <c r="AI202" i="30" s="1"/>
  <c r="AZ199" i="30"/>
  <c r="AF17" i="36"/>
  <c r="Z17" i="36"/>
  <c r="AP16" i="30"/>
  <c r="AP16" i="28" s="1"/>
  <c r="AT16" i="28"/>
  <c r="AW16" i="30"/>
  <c r="AR16" i="30"/>
  <c r="AR16" i="28" s="1"/>
  <c r="AB174" i="30"/>
  <c r="AB170" i="28"/>
  <c r="AW134" i="30"/>
  <c r="AT140" i="30"/>
  <c r="O209" i="30"/>
  <c r="AB191" i="30"/>
  <c r="Y193" i="28"/>
  <c r="AU7" i="30"/>
  <c r="AR7" i="28"/>
  <c r="O19" i="36"/>
  <c r="U18" i="36"/>
  <c r="S18" i="36"/>
  <c r="AI34" i="28"/>
  <c r="AI31" i="28" s="1"/>
  <c r="AI83" i="30"/>
  <c r="AM32" i="28"/>
  <c r="AM34" i="30"/>
  <c r="AF83" i="28"/>
  <c r="AQ34" i="30"/>
  <c r="AQ32" i="28"/>
  <c r="AO32" i="30"/>
  <c r="AT32" i="30"/>
  <c r="AG34" i="28"/>
  <c r="AG31" i="28" s="1"/>
  <c r="AG83" i="30"/>
  <c r="AG83" i="28" s="1"/>
  <c r="AL34" i="30"/>
  <c r="AL32" i="28"/>
  <c r="AN34" i="28"/>
  <c r="AN31" i="28" s="1"/>
  <c r="AN83" i="30"/>
  <c r="AN83" i="28" s="1"/>
  <c r="AJ34" i="28"/>
  <c r="AJ31" i="28" s="1"/>
  <c r="AU101" i="30"/>
  <c r="AV101" i="30" s="1"/>
  <c r="AZ101" i="30"/>
  <c r="AW101" i="28"/>
  <c r="AZ103" i="30"/>
  <c r="AU103" i="30"/>
  <c r="AU103" i="28" s="1"/>
  <c r="AW103" i="28"/>
  <c r="AP102" i="30"/>
  <c r="AS103" i="30"/>
  <c r="AS103" i="28" s="1"/>
  <c r="AR101" i="28"/>
  <c r="AT102" i="28"/>
  <c r="AR102" i="30"/>
  <c r="AR102" i="28" s="1"/>
  <c r="AW102" i="30"/>
  <c r="AR25" i="30"/>
  <c r="AR25" i="28" s="1"/>
  <c r="AU9" i="30"/>
  <c r="AR9" i="28"/>
  <c r="AX6" i="30"/>
  <c r="AU6" i="28"/>
  <c r="AT4" i="30"/>
  <c r="AQ4" i="28"/>
  <c r="AT5" i="28"/>
  <c r="AW5" i="30"/>
  <c r="V208" i="30"/>
  <c r="AJ15" i="30" l="1"/>
  <c r="AJ15" i="28" s="1"/>
  <c r="AL28" i="36"/>
  <c r="F144" i="57"/>
  <c r="E143" i="57"/>
  <c r="J143" i="30"/>
  <c r="J146" i="30"/>
  <c r="F154" i="57"/>
  <c r="AN15" i="28"/>
  <c r="AQ15" i="30"/>
  <c r="AL15" i="30"/>
  <c r="AL15" i="28" s="1"/>
  <c r="AK9" i="30"/>
  <c r="AM9" i="30"/>
  <c r="AJ25" i="30"/>
  <c r="AJ25" i="28" s="1"/>
  <c r="AJ9" i="28"/>
  <c r="AH9" i="28"/>
  <c r="AH25" i="30"/>
  <c r="AH25" i="28" s="1"/>
  <c r="AN95" i="30"/>
  <c r="AN95" i="28" s="1"/>
  <c r="AJ83" i="30"/>
  <c r="AJ83" i="28" s="1"/>
  <c r="AS65" i="30"/>
  <c r="AS65" i="28" s="1"/>
  <c r="BI47" i="30"/>
  <c r="BF47" i="28"/>
  <c r="BD47" i="30"/>
  <c r="BD47" i="28" s="1"/>
  <c r="BB72" i="30"/>
  <c r="BB72" i="28" s="1"/>
  <c r="BI72" i="30"/>
  <c r="BF72" i="28"/>
  <c r="BD72" i="30"/>
  <c r="BD72" i="28" s="1"/>
  <c r="BB47" i="30"/>
  <c r="BB47" i="28" s="1"/>
  <c r="AZ65" i="30"/>
  <c r="AW65" i="28"/>
  <c r="AU65" i="30"/>
  <c r="AU65" i="28" s="1"/>
  <c r="BE67" i="30"/>
  <c r="BE67" i="28" s="1"/>
  <c r="AM20" i="30"/>
  <c r="AM20" i="28" s="1"/>
  <c r="AS49" i="30"/>
  <c r="AS49" i="28" s="1"/>
  <c r="BE44" i="30"/>
  <c r="BE44" i="28" s="1"/>
  <c r="AM17" i="30"/>
  <c r="AM17" i="28" s="1"/>
  <c r="AM18" i="30"/>
  <c r="AM18" i="28" s="1"/>
  <c r="AY39" i="30"/>
  <c r="AY39" i="28" s="1"/>
  <c r="BA45" i="30"/>
  <c r="BA45" i="28" s="1"/>
  <c r="BC45" i="28"/>
  <c r="BF45" i="30"/>
  <c r="AY45" i="30"/>
  <c r="AY45" i="28" s="1"/>
  <c r="BC39" i="28"/>
  <c r="BF39" i="30"/>
  <c r="BA39" i="30"/>
  <c r="BA39" i="28" s="1"/>
  <c r="AZ55" i="30"/>
  <c r="AW55" i="28"/>
  <c r="AU55" i="30"/>
  <c r="AV55" i="30" s="1"/>
  <c r="AW57" i="30"/>
  <c r="AW57" i="28" s="1"/>
  <c r="AW52" i="28" s="1"/>
  <c r="BI71" i="30"/>
  <c r="BF71" i="28"/>
  <c r="BD71" i="30"/>
  <c r="BD71" i="28" s="1"/>
  <c r="AZ74" i="30"/>
  <c r="AW74" i="28"/>
  <c r="AU74" i="30"/>
  <c r="AU74" i="28" s="1"/>
  <c r="BL44" i="30"/>
  <c r="BI44" i="28"/>
  <c r="BG44" i="30"/>
  <c r="BG44" i="28" s="1"/>
  <c r="AZ49" i="30"/>
  <c r="AW49" i="28"/>
  <c r="AU49" i="30"/>
  <c r="AU49" i="28" s="1"/>
  <c r="AT18" i="30"/>
  <c r="AQ18" i="28"/>
  <c r="AO18" i="30"/>
  <c r="AO18" i="28" s="1"/>
  <c r="AL111" i="30"/>
  <c r="AJ24" i="30"/>
  <c r="AM14" i="30"/>
  <c r="AM14" i="28" s="1"/>
  <c r="AP55" i="28"/>
  <c r="AP57" i="30"/>
  <c r="AP57" i="28" s="1"/>
  <c r="AP52" i="28" s="1"/>
  <c r="AZ50" i="30"/>
  <c r="AU50" i="30"/>
  <c r="AW50" i="28"/>
  <c r="AR50" i="28"/>
  <c r="AS50" i="30"/>
  <c r="AS50" i="28" s="1"/>
  <c r="AT17" i="30"/>
  <c r="AQ17" i="28"/>
  <c r="AO17" i="30"/>
  <c r="AO17" i="28" s="1"/>
  <c r="AS55" i="28"/>
  <c r="AS57" i="30"/>
  <c r="AS57" i="28" s="1"/>
  <c r="AS52" i="28" s="1"/>
  <c r="AT14" i="30"/>
  <c r="AQ14" i="28"/>
  <c r="AO14" i="30"/>
  <c r="AO14" i="28" s="1"/>
  <c r="BB71" i="30"/>
  <c r="BB71" i="28" s="1"/>
  <c r="AS74" i="30"/>
  <c r="AS74" i="28" s="1"/>
  <c r="AR55" i="28"/>
  <c r="AR57" i="30"/>
  <c r="AR57" i="28" s="1"/>
  <c r="AR52" i="28" s="1"/>
  <c r="BL67" i="30"/>
  <c r="BI67" i="28"/>
  <c r="BG67" i="30"/>
  <c r="BG67" i="28" s="1"/>
  <c r="AT20" i="30"/>
  <c r="AQ20" i="28"/>
  <c r="AO20" i="30"/>
  <c r="AO20" i="28" s="1"/>
  <c r="R80" i="16"/>
  <c r="P116" i="16"/>
  <c r="P119" i="16" s="1"/>
  <c r="P130" i="16" s="1"/>
  <c r="P133" i="16" s="1"/>
  <c r="AI111" i="28"/>
  <c r="AJ111" i="30"/>
  <c r="AJ111" i="28" s="1"/>
  <c r="Q13" i="16"/>
  <c r="Q16" i="16" s="1"/>
  <c r="Q82" i="16" s="1"/>
  <c r="Q98" i="16" s="1"/>
  <c r="AT109" i="30" s="1"/>
  <c r="AT21" i="28"/>
  <c r="AG28" i="30"/>
  <c r="AG28" i="28" s="1"/>
  <c r="AG24" i="28"/>
  <c r="AP76" i="30"/>
  <c r="AP76" i="28" s="1"/>
  <c r="AV91" i="30"/>
  <c r="AV91" i="28" s="1"/>
  <c r="AG95" i="30"/>
  <c r="AG95" i="28" s="1"/>
  <c r="AP90" i="30"/>
  <c r="AP90" i="28" s="1"/>
  <c r="AY38" i="30"/>
  <c r="AY38" i="28" s="1"/>
  <c r="AP51" i="30"/>
  <c r="AP51" i="28" s="1"/>
  <c r="AP42" i="28" s="1"/>
  <c r="AO78" i="30"/>
  <c r="AO78" i="28" s="1"/>
  <c r="AO69" i="28" s="1"/>
  <c r="AS88" i="30"/>
  <c r="AS88" i="28" s="1"/>
  <c r="AS43" i="28"/>
  <c r="AS59" i="28"/>
  <c r="AS62" i="30"/>
  <c r="AS62" i="28" s="1"/>
  <c r="AS58" i="28" s="1"/>
  <c r="AS36" i="28"/>
  <c r="AS41" i="30"/>
  <c r="AS41" i="28" s="1"/>
  <c r="AS35" i="28" s="1"/>
  <c r="AY53" i="28"/>
  <c r="AU59" i="30"/>
  <c r="AV59" i="30" s="1"/>
  <c r="AZ59" i="30"/>
  <c r="AW62" i="30"/>
  <c r="AW62" i="28" s="1"/>
  <c r="AW58" i="28" s="1"/>
  <c r="AW59" i="28"/>
  <c r="AM19" i="30"/>
  <c r="AD28" i="28"/>
  <c r="AD97" i="30"/>
  <c r="AW88" i="28"/>
  <c r="AU88" i="30"/>
  <c r="AU88" i="28" s="1"/>
  <c r="AZ88" i="30"/>
  <c r="AW161" i="30"/>
  <c r="AW161" i="28" s="1"/>
  <c r="AP87" i="30"/>
  <c r="AP87" i="28" s="1"/>
  <c r="BA70" i="28"/>
  <c r="AV66" i="30"/>
  <c r="AV66" i="28" s="1"/>
  <c r="BC40" i="30"/>
  <c r="AZ40" i="28"/>
  <c r="AX40" i="30"/>
  <c r="AX40" i="28" s="1"/>
  <c r="AR89" i="30"/>
  <c r="AR89" i="28" s="1"/>
  <c r="AW89" i="30"/>
  <c r="AT89" i="28"/>
  <c r="AT171" i="30"/>
  <c r="AT171" i="28" s="1"/>
  <c r="AS75" i="30"/>
  <c r="AS75" i="28" s="1"/>
  <c r="AB184" i="30"/>
  <c r="Y188" i="28"/>
  <c r="BC80" i="30"/>
  <c r="AZ80" i="28"/>
  <c r="AX80" i="30"/>
  <c r="AX80" i="28" s="1"/>
  <c r="AS77" i="30"/>
  <c r="AS77" i="28" s="1"/>
  <c r="AR43" i="28"/>
  <c r="AR51" i="30"/>
  <c r="AR51" i="28" s="1"/>
  <c r="AR42" i="28" s="1"/>
  <c r="AW68" i="30"/>
  <c r="AW68" i="28" s="1"/>
  <c r="AW63" i="28" s="1"/>
  <c r="AW64" i="28"/>
  <c r="AU64" i="30"/>
  <c r="AV64" i="30" s="1"/>
  <c r="AZ64" i="30"/>
  <c r="BI33" i="30"/>
  <c r="BF33" i="28"/>
  <c r="BD33" i="30"/>
  <c r="BD33" i="28" s="1"/>
  <c r="AP64" i="28"/>
  <c r="AP68" i="30"/>
  <c r="AP68" i="28" s="1"/>
  <c r="AP63" i="28" s="1"/>
  <c r="BF53" i="30"/>
  <c r="BC53" i="28"/>
  <c r="BA53" i="30"/>
  <c r="BB53" i="30" s="1"/>
  <c r="AS73" i="30"/>
  <c r="AR73" i="28"/>
  <c r="AW76" i="30"/>
  <c r="AW78" i="30" s="1"/>
  <c r="AW78" i="28" s="1"/>
  <c r="AW69" i="28" s="1"/>
  <c r="AT76" i="28"/>
  <c r="AR76" i="30"/>
  <c r="AR76" i="28" s="1"/>
  <c r="AZ43" i="30"/>
  <c r="AW43" i="28"/>
  <c r="AU43" i="30"/>
  <c r="AV43" i="30" s="1"/>
  <c r="AW51" i="30"/>
  <c r="AW51" i="28" s="1"/>
  <c r="AW42" i="28" s="1"/>
  <c r="AS64" i="28"/>
  <c r="BC91" i="30"/>
  <c r="AZ185" i="30"/>
  <c r="AZ185" i="28" s="1"/>
  <c r="AZ91" i="28"/>
  <c r="AX91" i="30"/>
  <c r="AX91" i="28" s="1"/>
  <c r="AR36" i="28"/>
  <c r="AR41" i="30"/>
  <c r="AR41" i="28" s="1"/>
  <c r="AR35" i="28" s="1"/>
  <c r="AT19" i="30"/>
  <c r="AQ19" i="28"/>
  <c r="AO19" i="30"/>
  <c r="AO19" i="28" s="1"/>
  <c r="AS48" i="30"/>
  <c r="AS48" i="28" s="1"/>
  <c r="AM76" i="28"/>
  <c r="AM78" i="30"/>
  <c r="AM78" i="28" s="1"/>
  <c r="AM69" i="28" s="1"/>
  <c r="AW87" i="30"/>
  <c r="AT87" i="28"/>
  <c r="AR87" i="30"/>
  <c r="AR87" i="28" s="1"/>
  <c r="BC66" i="30"/>
  <c r="AZ66" i="28"/>
  <c r="AX66" i="30"/>
  <c r="AX66" i="28" s="1"/>
  <c r="AZ73" i="30"/>
  <c r="AW73" i="28"/>
  <c r="AU73" i="30"/>
  <c r="AV73" i="30" s="1"/>
  <c r="AP89" i="30"/>
  <c r="AP89" i="28" s="1"/>
  <c r="AZ75" i="30"/>
  <c r="AW75" i="28"/>
  <c r="AU75" i="30"/>
  <c r="AU75" i="28" s="1"/>
  <c r="AZ48" i="30"/>
  <c r="AW48" i="28"/>
  <c r="AU48" i="30"/>
  <c r="AU48" i="28" s="1"/>
  <c r="AV80" i="30"/>
  <c r="AV80" i="28" s="1"/>
  <c r="BB70" i="28"/>
  <c r="AZ77" i="30"/>
  <c r="AW77" i="28"/>
  <c r="AU77" i="30"/>
  <c r="AU77" i="28" s="1"/>
  <c r="AV40" i="30"/>
  <c r="AV40" i="28" s="1"/>
  <c r="AU40" i="28"/>
  <c r="T23" i="16"/>
  <c r="U21" i="16"/>
  <c r="AR64" i="28"/>
  <c r="AR68" i="30"/>
  <c r="AR68" i="28" s="1"/>
  <c r="AR63" i="28" s="1"/>
  <c r="BB33" i="30"/>
  <c r="BB33" i="28" s="1"/>
  <c r="AZ36" i="30"/>
  <c r="AW36" i="28"/>
  <c r="AU36" i="30"/>
  <c r="AV36" i="30" s="1"/>
  <c r="AW41" i="30"/>
  <c r="AW41" i="28" s="1"/>
  <c r="AW35" i="28" s="1"/>
  <c r="AX53" i="28"/>
  <c r="AR59" i="28"/>
  <c r="AR62" i="30"/>
  <c r="AR62" i="28" s="1"/>
  <c r="AR58" i="28" s="1"/>
  <c r="AR90" i="30"/>
  <c r="AR90" i="28" s="1"/>
  <c r="AT90" i="28"/>
  <c r="AW90" i="30"/>
  <c r="AT178" i="30"/>
  <c r="AT178" i="28" s="1"/>
  <c r="BI70" i="30"/>
  <c r="BG70" i="30" s="1"/>
  <c r="BF70" i="28"/>
  <c r="BF38" i="30"/>
  <c r="BC38" i="28"/>
  <c r="BA38" i="30"/>
  <c r="BA38" i="28" s="1"/>
  <c r="T61" i="16"/>
  <c r="S67" i="16"/>
  <c r="AZ81" i="30" s="1"/>
  <c r="T25" i="16"/>
  <c r="S30" i="16"/>
  <c r="S32" i="16"/>
  <c r="R40" i="16"/>
  <c r="AB181" i="30"/>
  <c r="AB177" i="28"/>
  <c r="U54" i="16"/>
  <c r="T57" i="16"/>
  <c r="AW81" i="28"/>
  <c r="X60" i="16"/>
  <c r="BD205" i="30"/>
  <c r="BD206" i="30" s="1"/>
  <c r="BG203" i="30"/>
  <c r="V42" i="16"/>
  <c r="U46" i="16"/>
  <c r="U48" i="16"/>
  <c r="T51" i="16"/>
  <c r="BH203" i="30"/>
  <c r="BE205" i="30"/>
  <c r="BE206" i="30" s="1"/>
  <c r="J145" i="28"/>
  <c r="M162" i="30"/>
  <c r="AJ95" i="30"/>
  <c r="AJ95" i="28" s="1"/>
  <c r="AJ202" i="30"/>
  <c r="AL200" i="30"/>
  <c r="AL201" i="30" s="1"/>
  <c r="AL202" i="30" s="1"/>
  <c r="AL93" i="30"/>
  <c r="AL93" i="28" s="1"/>
  <c r="AL86" i="28"/>
  <c r="AO86" i="30"/>
  <c r="AT86" i="30"/>
  <c r="AT200" i="30" s="1"/>
  <c r="AT201" i="30" s="1"/>
  <c r="AT202" i="30" s="1"/>
  <c r="AQ93" i="30"/>
  <c r="AQ93" i="28" s="1"/>
  <c r="AQ86" i="28"/>
  <c r="AI95" i="30"/>
  <c r="AI95" i="28" s="1"/>
  <c r="AA97" i="28"/>
  <c r="AM86" i="30"/>
  <c r="BC199" i="30"/>
  <c r="Z18" i="36"/>
  <c r="AF18" i="36"/>
  <c r="AS16" i="30"/>
  <c r="AS16" i="28" s="1"/>
  <c r="AZ16" i="30"/>
  <c r="AW16" i="28"/>
  <c r="AU16" i="30"/>
  <c r="AU16" i="28" s="1"/>
  <c r="AE170" i="30"/>
  <c r="AB174" i="28"/>
  <c r="AB191" i="28"/>
  <c r="AB193" i="30"/>
  <c r="AW140" i="30"/>
  <c r="AZ134" i="30"/>
  <c r="AZ140" i="30" s="1"/>
  <c r="AX7" i="30"/>
  <c r="AU7" i="28"/>
  <c r="S19" i="36"/>
  <c r="O20" i="36"/>
  <c r="U19" i="36"/>
  <c r="AV103" i="30"/>
  <c r="AV103" i="28" s="1"/>
  <c r="AS102" i="30"/>
  <c r="AS102" i="28" s="1"/>
  <c r="AT34" i="30"/>
  <c r="AW32" i="30"/>
  <c r="AR32" i="30"/>
  <c r="AS32" i="30" s="1"/>
  <c r="AT32" i="28"/>
  <c r="AQ34" i="28"/>
  <c r="AQ31" i="28" s="1"/>
  <c r="AQ83" i="30"/>
  <c r="AQ83" i="28" s="1"/>
  <c r="AM34" i="28"/>
  <c r="AM31" i="28" s="1"/>
  <c r="AL34" i="28"/>
  <c r="AL31" i="28" s="1"/>
  <c r="AL83" i="30"/>
  <c r="AO32" i="28"/>
  <c r="AO34" i="30"/>
  <c r="AI83" i="28"/>
  <c r="AP32" i="30"/>
  <c r="AV101" i="28"/>
  <c r="AU102" i="30"/>
  <c r="AU102" i="28" s="1"/>
  <c r="AZ102" i="30"/>
  <c r="AW102" i="28"/>
  <c r="AU101" i="28"/>
  <c r="AP102" i="28"/>
  <c r="AZ103" i="28"/>
  <c r="AX103" i="30"/>
  <c r="AX103" i="28" s="1"/>
  <c r="BC103" i="30"/>
  <c r="AX101" i="30"/>
  <c r="AY101" i="30" s="1"/>
  <c r="BC101" i="30"/>
  <c r="AZ101" i="28"/>
  <c r="AW4" i="30"/>
  <c r="AT4" i="28"/>
  <c r="AX6" i="28"/>
  <c r="BA6" i="30"/>
  <c r="AX9" i="30"/>
  <c r="AU25" i="30"/>
  <c r="AU25" i="28" s="1"/>
  <c r="AU9" i="28"/>
  <c r="AZ5" i="30"/>
  <c r="AW5" i="28"/>
  <c r="W208" i="30"/>
  <c r="AM28" i="36" l="1"/>
  <c r="AJ28" i="30"/>
  <c r="AJ28" i="28" s="1"/>
  <c r="J144" i="30"/>
  <c r="E144" i="57"/>
  <c r="N144" i="57"/>
  <c r="F157" i="57"/>
  <c r="J154" i="30"/>
  <c r="G146" i="57"/>
  <c r="AM15" i="30"/>
  <c r="AM15" i="28" s="1"/>
  <c r="AT15" i="30"/>
  <c r="AQ15" i="28"/>
  <c r="AO15" i="30"/>
  <c r="AO15" i="28" s="1"/>
  <c r="AP15" i="30"/>
  <c r="AP15" i="28" s="1"/>
  <c r="AN9" i="30"/>
  <c r="AM9" i="28"/>
  <c r="AM25" i="30"/>
  <c r="AM25" i="28" s="1"/>
  <c r="AP9" i="30"/>
  <c r="AK25" i="30"/>
  <c r="AK25" i="28" s="1"/>
  <c r="AK9" i="28"/>
  <c r="AS68" i="30"/>
  <c r="AS68" i="28" s="1"/>
  <c r="AS63" i="28" s="1"/>
  <c r="AL111" i="28"/>
  <c r="AV65" i="30"/>
  <c r="AV65" i="28" s="1"/>
  <c r="BH67" i="30"/>
  <c r="BH67" i="28" s="1"/>
  <c r="BL72" i="30"/>
  <c r="BI72" i="28"/>
  <c r="BG72" i="30"/>
  <c r="BG72" i="28" s="1"/>
  <c r="BE47" i="30"/>
  <c r="BE47" i="28" s="1"/>
  <c r="BC65" i="30"/>
  <c r="AZ65" i="28"/>
  <c r="AX65" i="30"/>
  <c r="AX65" i="28" s="1"/>
  <c r="BE71" i="30"/>
  <c r="BE71" i="28" s="1"/>
  <c r="BE72" i="30"/>
  <c r="BE72" i="28" s="1"/>
  <c r="BL47" i="30"/>
  <c r="BI47" i="28"/>
  <c r="BG47" i="30"/>
  <c r="BG47" i="28" s="1"/>
  <c r="AP20" i="30"/>
  <c r="AP20" i="28" s="1"/>
  <c r="AP14" i="30"/>
  <c r="AP14" i="28" s="1"/>
  <c r="AP17" i="30"/>
  <c r="AP17" i="28" s="1"/>
  <c r="AV49" i="30"/>
  <c r="AV49" i="28" s="1"/>
  <c r="AP18" i="30"/>
  <c r="AP18" i="28" s="1"/>
  <c r="BH44" i="30"/>
  <c r="BH44" i="28" s="1"/>
  <c r="AV74" i="30"/>
  <c r="AV74" i="28" s="1"/>
  <c r="AG97" i="30"/>
  <c r="AJ24" i="28"/>
  <c r="AZ50" i="28"/>
  <c r="BC50" i="30"/>
  <c r="AX50" i="30"/>
  <c r="AW20" i="30"/>
  <c r="AT20" i="28"/>
  <c r="AR20" i="30"/>
  <c r="AR20" i="28" s="1"/>
  <c r="AW18" i="30"/>
  <c r="AT18" i="28"/>
  <c r="AR18" i="30"/>
  <c r="AR18" i="28" s="1"/>
  <c r="BO44" i="30"/>
  <c r="BL44" i="28"/>
  <c r="BJ44" i="30"/>
  <c r="BJ44" i="28" s="1"/>
  <c r="BL71" i="30"/>
  <c r="BI71" i="28"/>
  <c r="BG71" i="30"/>
  <c r="BG71" i="28" s="1"/>
  <c r="BI39" i="30"/>
  <c r="BF39" i="28"/>
  <c r="BD39" i="30"/>
  <c r="BD39" i="28" s="1"/>
  <c r="AM111" i="30"/>
  <c r="AM111" i="28" s="1"/>
  <c r="AW17" i="30"/>
  <c r="AT17" i="28"/>
  <c r="AR17" i="30"/>
  <c r="AR17" i="28" s="1"/>
  <c r="AV55" i="28"/>
  <c r="AV57" i="30"/>
  <c r="AV57" i="28" s="1"/>
  <c r="AV52" i="28" s="1"/>
  <c r="AU55" i="28"/>
  <c r="AU57" i="30"/>
  <c r="AU57" i="28" s="1"/>
  <c r="AU52" i="28" s="1"/>
  <c r="BB45" i="30"/>
  <c r="BB45" i="28" s="1"/>
  <c r="BO67" i="30"/>
  <c r="BL67" i="28"/>
  <c r="BJ67" i="30"/>
  <c r="BJ67" i="28" s="1"/>
  <c r="AW14" i="30"/>
  <c r="AT14" i="28"/>
  <c r="AR14" i="30"/>
  <c r="AR14" i="28" s="1"/>
  <c r="BC49" i="30"/>
  <c r="AZ49" i="28"/>
  <c r="AX49" i="30"/>
  <c r="AX49" i="28" s="1"/>
  <c r="BC74" i="30"/>
  <c r="AZ74" i="28"/>
  <c r="AX74" i="30"/>
  <c r="AX74" i="28" s="1"/>
  <c r="BI45" i="30"/>
  <c r="BF45" i="28"/>
  <c r="BD45" i="30"/>
  <c r="BD45" i="28" s="1"/>
  <c r="BC55" i="30"/>
  <c r="AZ55" i="28"/>
  <c r="AX55" i="30"/>
  <c r="AY55" i="30" s="1"/>
  <c r="AZ57" i="30"/>
  <c r="AZ57" i="28" s="1"/>
  <c r="AZ52" i="28" s="1"/>
  <c r="AU50" i="28"/>
  <c r="AV50" i="30"/>
  <c r="AV50" i="28" s="1"/>
  <c r="BB39" i="30"/>
  <c r="BB39" i="28" s="1"/>
  <c r="AP78" i="30"/>
  <c r="AP78" i="28" s="1"/>
  <c r="AP69" i="28" s="1"/>
  <c r="AS90" i="30"/>
  <c r="AS90" i="28" s="1"/>
  <c r="AV77" i="30"/>
  <c r="AV77" i="28" s="1"/>
  <c r="AZ81" i="28"/>
  <c r="AR111" i="30"/>
  <c r="Q116" i="16"/>
  <c r="Q119" i="16" s="1"/>
  <c r="Q130" i="16" s="1"/>
  <c r="Q133" i="16" s="1"/>
  <c r="R13" i="16"/>
  <c r="R16" i="16" s="1"/>
  <c r="R82" i="16" s="1"/>
  <c r="R98" i="16" s="1"/>
  <c r="AW109" i="30" s="1"/>
  <c r="AW21" i="28"/>
  <c r="AQ109" i="28"/>
  <c r="AO111" i="30"/>
  <c r="AS87" i="30"/>
  <c r="AS87" i="28" s="1"/>
  <c r="AS76" i="30"/>
  <c r="AS76" i="28" s="1"/>
  <c r="BE33" i="30"/>
  <c r="BE33" i="28" s="1"/>
  <c r="AP19" i="30"/>
  <c r="AP19" i="28" s="1"/>
  <c r="AY91" i="30"/>
  <c r="AY91" i="28" s="1"/>
  <c r="AV48" i="30"/>
  <c r="AV48" i="28" s="1"/>
  <c r="AS89" i="30"/>
  <c r="AS89" i="28" s="1"/>
  <c r="AV75" i="30"/>
  <c r="AV75" i="28" s="1"/>
  <c r="AM83" i="30"/>
  <c r="AM83" i="28" s="1"/>
  <c r="AY80" i="30"/>
  <c r="AY80" i="28" s="1"/>
  <c r="AY40" i="30"/>
  <c r="AY40" i="28" s="1"/>
  <c r="AV64" i="28"/>
  <c r="BB53" i="28"/>
  <c r="BD70" i="28"/>
  <c r="AX48" i="30"/>
  <c r="AX48" i="28" s="1"/>
  <c r="BC48" i="30"/>
  <c r="AZ48" i="28"/>
  <c r="BB38" i="30"/>
  <c r="BB38" i="28" s="1"/>
  <c r="BL70" i="30"/>
  <c r="BJ70" i="30" s="1"/>
  <c r="BI70" i="28"/>
  <c r="BH70" i="30"/>
  <c r="AY66" i="30"/>
  <c r="AY66" i="28" s="1"/>
  <c r="AB188" i="30"/>
  <c r="AB184" i="28"/>
  <c r="AV59" i="28"/>
  <c r="AV62" i="30"/>
  <c r="AV62" i="28" s="1"/>
  <c r="AV58" i="28" s="1"/>
  <c r="AZ87" i="30"/>
  <c r="AW87" i="28"/>
  <c r="AU87" i="30"/>
  <c r="AU87" i="28" s="1"/>
  <c r="AU68" i="30"/>
  <c r="AU68" i="28" s="1"/>
  <c r="AU63" i="28" s="1"/>
  <c r="AU64" i="28"/>
  <c r="S80" i="16"/>
  <c r="AV36" i="28"/>
  <c r="AV41" i="30"/>
  <c r="AV41" i="28" s="1"/>
  <c r="AV35" i="28" s="1"/>
  <c r="AU73" i="28"/>
  <c r="AW19" i="30"/>
  <c r="AT19" i="28"/>
  <c r="AR19" i="30"/>
  <c r="AR19" i="28" s="1"/>
  <c r="AU43" i="28"/>
  <c r="AU51" i="30"/>
  <c r="AU51" i="28" s="1"/>
  <c r="AU42" i="28" s="1"/>
  <c r="AZ76" i="30"/>
  <c r="AZ78" i="30" s="1"/>
  <c r="AZ78" i="28" s="1"/>
  <c r="AZ69" i="28" s="1"/>
  <c r="AW76" i="28"/>
  <c r="AU76" i="30"/>
  <c r="AU76" i="28" s="1"/>
  <c r="BA53" i="28"/>
  <c r="AD97" i="28"/>
  <c r="BC59" i="30"/>
  <c r="AZ62" i="30"/>
  <c r="AZ62" i="28" s="1"/>
  <c r="AZ58" i="28" s="1"/>
  <c r="AZ59" i="28"/>
  <c r="AX59" i="30"/>
  <c r="AY59" i="30" s="1"/>
  <c r="AV43" i="28"/>
  <c r="BI38" i="30"/>
  <c r="BF38" i="28"/>
  <c r="BD38" i="30"/>
  <c r="BD38" i="28" s="1"/>
  <c r="BE70" i="30"/>
  <c r="AU36" i="28"/>
  <c r="AU41" i="30"/>
  <c r="AU41" i="28" s="1"/>
  <c r="AU35" i="28" s="1"/>
  <c r="BF66" i="30"/>
  <c r="BC66" i="28"/>
  <c r="BA66" i="30"/>
  <c r="BA66" i="28" s="1"/>
  <c r="BF91" i="30"/>
  <c r="BC185" i="30"/>
  <c r="BC185" i="28" s="1"/>
  <c r="BC91" i="28"/>
  <c r="BA91" i="30"/>
  <c r="BA91" i="28" s="1"/>
  <c r="AR78" i="30"/>
  <c r="AR78" i="28" s="1"/>
  <c r="AR69" i="28" s="1"/>
  <c r="AV88" i="30"/>
  <c r="AV88" i="28" s="1"/>
  <c r="AU59" i="28"/>
  <c r="AU62" i="30"/>
  <c r="AU62" i="28" s="1"/>
  <c r="AU58" i="28" s="1"/>
  <c r="AZ73" i="28"/>
  <c r="AX73" i="30"/>
  <c r="AY73" i="30" s="1"/>
  <c r="BC73" i="30"/>
  <c r="BC43" i="30"/>
  <c r="AX43" i="30"/>
  <c r="AY43" i="30" s="1"/>
  <c r="AZ43" i="28"/>
  <c r="AZ51" i="30"/>
  <c r="AZ51" i="28" s="1"/>
  <c r="AZ42" i="28" s="1"/>
  <c r="BI53" i="30"/>
  <c r="BF53" i="28"/>
  <c r="BD53" i="30"/>
  <c r="BE53" i="30" s="1"/>
  <c r="BL33" i="30"/>
  <c r="BI33" i="28"/>
  <c r="BG33" i="30"/>
  <c r="BG33" i="28" s="1"/>
  <c r="BF80" i="30"/>
  <c r="BC80" i="28"/>
  <c r="BA80" i="30"/>
  <c r="BA80" i="28" s="1"/>
  <c r="AU89" i="30"/>
  <c r="AU89" i="28" s="1"/>
  <c r="AZ89" i="30"/>
  <c r="AW171" i="30"/>
  <c r="AW171" i="28" s="1"/>
  <c r="AW89" i="28"/>
  <c r="BF40" i="30"/>
  <c r="BC40" i="28"/>
  <c r="BA40" i="30"/>
  <c r="AM19" i="28"/>
  <c r="AS51" i="30"/>
  <c r="AS51" i="28" s="1"/>
  <c r="AS42" i="28" s="1"/>
  <c r="V21" i="16"/>
  <c r="U23" i="16"/>
  <c r="AZ90" i="30"/>
  <c r="AW178" i="30"/>
  <c r="AW178" i="28" s="1"/>
  <c r="AW90" i="28"/>
  <c r="AU90" i="30"/>
  <c r="AU90" i="28" s="1"/>
  <c r="BC36" i="30"/>
  <c r="AZ36" i="28"/>
  <c r="AX36" i="30"/>
  <c r="AY36" i="30" s="1"/>
  <c r="AZ41" i="30"/>
  <c r="AZ41" i="28" s="1"/>
  <c r="AZ35" i="28" s="1"/>
  <c r="BC77" i="30"/>
  <c r="AZ77" i="28"/>
  <c r="AX77" i="30"/>
  <c r="AX77" i="28" s="1"/>
  <c r="BC75" i="30"/>
  <c r="AZ75" i="28"/>
  <c r="AX75" i="30"/>
  <c r="AX75" i="28" s="1"/>
  <c r="AV73" i="28"/>
  <c r="AS73" i="28"/>
  <c r="BC64" i="30"/>
  <c r="AZ68" i="30"/>
  <c r="AZ68" i="28" s="1"/>
  <c r="AZ63" i="28" s="1"/>
  <c r="AZ64" i="28"/>
  <c r="AX64" i="30"/>
  <c r="AY64" i="30" s="1"/>
  <c r="AZ161" i="30"/>
  <c r="AZ161" i="28" s="1"/>
  <c r="BC88" i="30"/>
  <c r="AZ88" i="28"/>
  <c r="AX88" i="30"/>
  <c r="AX88" i="28" s="1"/>
  <c r="S40" i="16"/>
  <c r="T32" i="16"/>
  <c r="AT109" i="28"/>
  <c r="U25" i="16"/>
  <c r="T30" i="16"/>
  <c r="BH205" i="30"/>
  <c r="BH206" i="30" s="1"/>
  <c r="BK203" i="30"/>
  <c r="BG205" i="30"/>
  <c r="BG206" i="30" s="1"/>
  <c r="BJ203" i="30"/>
  <c r="U61" i="16"/>
  <c r="T67" i="16"/>
  <c r="BC81" i="30" s="1"/>
  <c r="V48" i="16"/>
  <c r="U51" i="16"/>
  <c r="W42" i="16"/>
  <c r="V46" i="16"/>
  <c r="AE177" i="30"/>
  <c r="AB181" i="28"/>
  <c r="U57" i="16"/>
  <c r="V54" i="16"/>
  <c r="M167" i="30"/>
  <c r="Q6" i="51" s="1"/>
  <c r="M162" i="28"/>
  <c r="AL95" i="30"/>
  <c r="AL95" i="28" s="1"/>
  <c r="AQ95" i="30"/>
  <c r="AQ95" i="28" s="1"/>
  <c r="AP86" i="30"/>
  <c r="AO93" i="30"/>
  <c r="AO93" i="28" s="1"/>
  <c r="AO86" i="28"/>
  <c r="AO200" i="30"/>
  <c r="AO201" i="30" s="1"/>
  <c r="AO202" i="30" s="1"/>
  <c r="AM93" i="30"/>
  <c r="AM86" i="28"/>
  <c r="AM200" i="30"/>
  <c r="AM201" i="30" s="1"/>
  <c r="AM202" i="30" s="1"/>
  <c r="AT86" i="28"/>
  <c r="AR86" i="30"/>
  <c r="AW86" i="30"/>
  <c r="AW200" i="30" s="1"/>
  <c r="AW201" i="30" s="1"/>
  <c r="AW202" i="30" s="1"/>
  <c r="AT93" i="30"/>
  <c r="AT93" i="28" s="1"/>
  <c r="BF199" i="30"/>
  <c r="AF19" i="36"/>
  <c r="Z19" i="36"/>
  <c r="AV16" i="30"/>
  <c r="AV16" i="28" s="1"/>
  <c r="AZ16" i="28"/>
  <c r="BC16" i="30"/>
  <c r="AX16" i="30"/>
  <c r="AX16" i="28" s="1"/>
  <c r="AE174" i="30"/>
  <c r="AE170" i="28"/>
  <c r="P209" i="30"/>
  <c r="AB193" i="28"/>
  <c r="AE191" i="30"/>
  <c r="AX7" i="28"/>
  <c r="BA7" i="30"/>
  <c r="U20" i="36"/>
  <c r="S20" i="36"/>
  <c r="O21" i="36"/>
  <c r="AP32" i="28"/>
  <c r="AP34" i="30"/>
  <c r="AL83" i="28"/>
  <c r="AZ32" i="30"/>
  <c r="AU32" i="30"/>
  <c r="AV32" i="30" s="1"/>
  <c r="AW34" i="30"/>
  <c r="AW32" i="28"/>
  <c r="AO34" i="28"/>
  <c r="AO31" i="28" s="1"/>
  <c r="AO83" i="30"/>
  <c r="AT83" i="30"/>
  <c r="AT83" i="28" s="1"/>
  <c r="AT34" i="28"/>
  <c r="AT31" i="28" s="1"/>
  <c r="AS34" i="30"/>
  <c r="AS32" i="28"/>
  <c r="AR34" i="30"/>
  <c r="AR32" i="28"/>
  <c r="AY101" i="28"/>
  <c r="BA101" i="30"/>
  <c r="BF101" i="30"/>
  <c r="BC101" i="28"/>
  <c r="BA103" i="30"/>
  <c r="BA103" i="28" s="1"/>
  <c r="BF103" i="30"/>
  <c r="BC103" i="28"/>
  <c r="AV102" i="30"/>
  <c r="AX101" i="28"/>
  <c r="AY103" i="30"/>
  <c r="AY103" i="28" s="1"/>
  <c r="AX102" i="30"/>
  <c r="AX102" i="28" s="1"/>
  <c r="BC102" i="30"/>
  <c r="AZ102" i="28"/>
  <c r="AX25" i="30"/>
  <c r="AX25" i="28" s="1"/>
  <c r="BA9" i="30"/>
  <c r="AX9" i="28"/>
  <c r="BC5" i="30"/>
  <c r="X208" i="30"/>
  <c r="AZ5" i="28"/>
  <c r="BA6" i="28"/>
  <c r="BD6" i="30"/>
  <c r="AZ4" i="30"/>
  <c r="AW4" i="28"/>
  <c r="AN28" i="36" l="1"/>
  <c r="AM24" i="30"/>
  <c r="AM24" i="28" s="1"/>
  <c r="AJ97" i="30"/>
  <c r="AJ97" i="28" s="1"/>
  <c r="G157" i="57"/>
  <c r="S157" i="57" s="1"/>
  <c r="I7" i="57" s="1"/>
  <c r="J157" i="30"/>
  <c r="AR15" i="30"/>
  <c r="AR15" i="28" s="1"/>
  <c r="AW15" i="30"/>
  <c r="AT15" i="28"/>
  <c r="AQ9" i="30"/>
  <c r="AP9" i="28"/>
  <c r="AP25" i="30"/>
  <c r="AP25" i="28" s="1"/>
  <c r="AS9" i="30"/>
  <c r="AN25" i="30"/>
  <c r="AN25" i="28" s="1"/>
  <c r="AN9" i="28"/>
  <c r="AV68" i="30"/>
  <c r="AV68" i="28" s="1"/>
  <c r="AV63" i="28" s="1"/>
  <c r="BH47" i="30"/>
  <c r="BH47" i="28" s="1"/>
  <c r="AR111" i="28"/>
  <c r="BO47" i="30"/>
  <c r="BL47" i="28"/>
  <c r="BJ47" i="30"/>
  <c r="BJ47" i="28" s="1"/>
  <c r="BH72" i="30"/>
  <c r="BH72" i="28" s="1"/>
  <c r="AY65" i="30"/>
  <c r="AY65" i="28" s="1"/>
  <c r="BO72" i="30"/>
  <c r="BL72" i="28"/>
  <c r="BJ72" i="30"/>
  <c r="BJ72" i="28" s="1"/>
  <c r="BF65" i="30"/>
  <c r="BC65" i="28"/>
  <c r="BA65" i="30"/>
  <c r="BA65" i="28" s="1"/>
  <c r="AS14" i="30"/>
  <c r="AS14" i="28" s="1"/>
  <c r="AY74" i="30"/>
  <c r="AY74" i="28" s="1"/>
  <c r="AG97" i="28"/>
  <c r="BL45" i="30"/>
  <c r="BI45" i="28"/>
  <c r="BG45" i="30"/>
  <c r="BG45" i="28" s="1"/>
  <c r="AZ17" i="30"/>
  <c r="AW17" i="28"/>
  <c r="AU17" i="30"/>
  <c r="AU17" i="28" s="1"/>
  <c r="AX55" i="28"/>
  <c r="AX57" i="30"/>
  <c r="AX57" i="28" s="1"/>
  <c r="AX52" i="28" s="1"/>
  <c r="BO71" i="30"/>
  <c r="BL71" i="28"/>
  <c r="BJ71" i="30"/>
  <c r="BJ71" i="28" s="1"/>
  <c r="AZ18" i="30"/>
  <c r="AW18" i="28"/>
  <c r="AU18" i="30"/>
  <c r="AU18" i="28" s="1"/>
  <c r="BF49" i="30"/>
  <c r="BC49" i="28"/>
  <c r="BA49" i="30"/>
  <c r="BA49" i="28" s="1"/>
  <c r="BO67" i="28"/>
  <c r="BM67" i="30"/>
  <c r="BM67" i="28" s="1"/>
  <c r="BA50" i="30"/>
  <c r="BA50" i="28" s="1"/>
  <c r="BF50" i="30"/>
  <c r="BC50" i="28"/>
  <c r="BE39" i="30"/>
  <c r="BE39" i="28" s="1"/>
  <c r="BK44" i="30"/>
  <c r="BK44" i="28" s="1"/>
  <c r="AS20" i="30"/>
  <c r="AS20" i="28" s="1"/>
  <c r="BF55" i="30"/>
  <c r="BC55" i="28"/>
  <c r="BA55" i="30"/>
  <c r="BB55" i="30" s="1"/>
  <c r="BC57" i="30"/>
  <c r="BC57" i="28" s="1"/>
  <c r="BC52" i="28" s="1"/>
  <c r="BF74" i="30"/>
  <c r="BC74" i="28"/>
  <c r="BA74" i="30"/>
  <c r="BA74" i="28" s="1"/>
  <c r="AZ14" i="30"/>
  <c r="AW14" i="28"/>
  <c r="AU14" i="30"/>
  <c r="AU14" i="28" s="1"/>
  <c r="BE45" i="30"/>
  <c r="BE45" i="28" s="1"/>
  <c r="AY49" i="30"/>
  <c r="AY49" i="28" s="1"/>
  <c r="BK67" i="30"/>
  <c r="BK67" i="28" s="1"/>
  <c r="AS17" i="30"/>
  <c r="AS17" i="28" s="1"/>
  <c r="BL39" i="30"/>
  <c r="BI39" i="28"/>
  <c r="BG39" i="30"/>
  <c r="BG39" i="28" s="1"/>
  <c r="BO44" i="28"/>
  <c r="BM44" i="30"/>
  <c r="BM44" i="28" s="1"/>
  <c r="AZ20" i="30"/>
  <c r="AW20" i="28"/>
  <c r="AU20" i="30"/>
  <c r="AU20" i="28" s="1"/>
  <c r="BH71" i="30"/>
  <c r="BH71" i="28" s="1"/>
  <c r="AS18" i="30"/>
  <c r="AS18" i="28" s="1"/>
  <c r="AX50" i="28"/>
  <c r="AY50" i="30"/>
  <c r="AY50" i="28" s="1"/>
  <c r="AY55" i="28"/>
  <c r="AY57" i="30"/>
  <c r="AY57" i="28" s="1"/>
  <c r="AY52" i="28" s="1"/>
  <c r="AV51" i="30"/>
  <c r="AV51" i="28" s="1"/>
  <c r="AV42" i="28" s="1"/>
  <c r="AS78" i="30"/>
  <c r="AS78" i="28" s="1"/>
  <c r="AS69" i="28" s="1"/>
  <c r="AV89" i="30"/>
  <c r="AV89" i="28" s="1"/>
  <c r="T80" i="16"/>
  <c r="AO111" i="28"/>
  <c r="AP111" i="30"/>
  <c r="AP111" i="28" s="1"/>
  <c r="AZ21" i="28"/>
  <c r="S13" i="16"/>
  <c r="S16" i="16" s="1"/>
  <c r="S82" i="16" s="1"/>
  <c r="S98" i="16" s="1"/>
  <c r="AZ109" i="30" s="1"/>
  <c r="R116" i="16"/>
  <c r="R119" i="16" s="1"/>
  <c r="R130" i="16" s="1"/>
  <c r="R133" i="16" s="1"/>
  <c r="AU78" i="30"/>
  <c r="AU78" i="28" s="1"/>
  <c r="AU69" i="28" s="1"/>
  <c r="AV90" i="30"/>
  <c r="AV90" i="28" s="1"/>
  <c r="AP24" i="30"/>
  <c r="AV76" i="30"/>
  <c r="AV76" i="28" s="1"/>
  <c r="AS19" i="30"/>
  <c r="AY75" i="30"/>
  <c r="AY75" i="28" s="1"/>
  <c r="BB80" i="30"/>
  <c r="BB80" i="28" s="1"/>
  <c r="BH33" i="30"/>
  <c r="BH33" i="28" s="1"/>
  <c r="BB66" i="30"/>
  <c r="BB66" i="28" s="1"/>
  <c r="BE53" i="28"/>
  <c r="BH70" i="28"/>
  <c r="AY43" i="28"/>
  <c r="BF36" i="30"/>
  <c r="BC36" i="28"/>
  <c r="BA36" i="30"/>
  <c r="BB36" i="30" s="1"/>
  <c r="BC41" i="30"/>
  <c r="BC41" i="28" s="1"/>
  <c r="BC35" i="28" s="1"/>
  <c r="AY73" i="28"/>
  <c r="BF185" i="30"/>
  <c r="BF185" i="28" s="1"/>
  <c r="BF91" i="28"/>
  <c r="BD91" i="30"/>
  <c r="BD91" i="28" s="1"/>
  <c r="BI91" i="30"/>
  <c r="AY59" i="28"/>
  <c r="AY62" i="30"/>
  <c r="AY62" i="28" s="1"/>
  <c r="AY58" i="28" s="1"/>
  <c r="AZ19" i="30"/>
  <c r="AW19" i="28"/>
  <c r="AU19" i="30"/>
  <c r="AU19" i="28" s="1"/>
  <c r="BC81" i="28"/>
  <c r="AS111" i="30"/>
  <c r="AS111" i="28" s="1"/>
  <c r="BC161" i="30"/>
  <c r="BC161" i="28" s="1"/>
  <c r="BF88" i="30"/>
  <c r="BC88" i="28"/>
  <c r="BA88" i="30"/>
  <c r="BA88" i="28" s="1"/>
  <c r="BF64" i="30"/>
  <c r="BC64" i="28"/>
  <c r="BA64" i="30"/>
  <c r="BC68" i="30"/>
  <c r="BC68" i="28" s="1"/>
  <c r="BC63" i="28" s="1"/>
  <c r="BF77" i="30"/>
  <c r="BC77" i="28"/>
  <c r="BA77" i="30"/>
  <c r="BA77" i="28" s="1"/>
  <c r="BF73" i="30"/>
  <c r="BC73" i="28"/>
  <c r="BA73" i="30"/>
  <c r="BB73" i="30" s="1"/>
  <c r="BE70" i="28"/>
  <c r="AX59" i="28"/>
  <c r="AX62" i="30"/>
  <c r="AX62" i="28" s="1"/>
  <c r="AX58" i="28" s="1"/>
  <c r="AB188" i="28"/>
  <c r="AE184" i="30"/>
  <c r="BK70" i="30"/>
  <c r="BO70" i="30"/>
  <c r="BM70" i="30" s="1"/>
  <c r="BL70" i="28"/>
  <c r="BO33" i="30"/>
  <c r="BL33" i="28"/>
  <c r="BJ33" i="30"/>
  <c r="BJ33" i="28" s="1"/>
  <c r="BC76" i="30"/>
  <c r="BC78" i="30" s="1"/>
  <c r="BC78" i="28" s="1"/>
  <c r="BC69" i="28" s="1"/>
  <c r="AZ76" i="28"/>
  <c r="AX76" i="30"/>
  <c r="AX76" i="28" s="1"/>
  <c r="BI80" i="30"/>
  <c r="BF80" i="28"/>
  <c r="BD80" i="30"/>
  <c r="BD80" i="28" s="1"/>
  <c r="AX73" i="28"/>
  <c r="BB91" i="30"/>
  <c r="BB91" i="28" s="1"/>
  <c r="BE38" i="30"/>
  <c r="BE38" i="28" s="1"/>
  <c r="AV87" i="30"/>
  <c r="AV87" i="28" s="1"/>
  <c r="AY64" i="28"/>
  <c r="BF75" i="30"/>
  <c r="BC75" i="28"/>
  <c r="BA75" i="30"/>
  <c r="BA75" i="28" s="1"/>
  <c r="AY36" i="28"/>
  <c r="AY41" i="30"/>
  <c r="AY41" i="28" s="1"/>
  <c r="AY35" i="28" s="1"/>
  <c r="BB40" i="30"/>
  <c r="BB40" i="28" s="1"/>
  <c r="BA40" i="28"/>
  <c r="AZ89" i="28"/>
  <c r="AX89" i="30"/>
  <c r="AX89" i="28" s="1"/>
  <c r="AZ171" i="30"/>
  <c r="AZ171" i="28" s="1"/>
  <c r="BC89" i="30"/>
  <c r="BD53" i="28"/>
  <c r="AX43" i="28"/>
  <c r="AX51" i="30"/>
  <c r="AX51" i="28" s="1"/>
  <c r="AX42" i="28" s="1"/>
  <c r="AY88" i="30"/>
  <c r="AY88" i="28" s="1"/>
  <c r="AX68" i="30"/>
  <c r="AX68" i="28" s="1"/>
  <c r="AX63" i="28" s="1"/>
  <c r="AX64" i="28"/>
  <c r="AY77" i="30"/>
  <c r="AY77" i="28" s="1"/>
  <c r="AX36" i="28"/>
  <c r="AX41" i="30"/>
  <c r="AX41" i="28" s="1"/>
  <c r="AX35" i="28" s="1"/>
  <c r="BA43" i="30"/>
  <c r="BB43" i="30" s="1"/>
  <c r="BC43" i="28"/>
  <c r="BF43" i="30"/>
  <c r="BC51" i="30"/>
  <c r="BC51" i="28" s="1"/>
  <c r="BC42" i="28" s="1"/>
  <c r="BI66" i="30"/>
  <c r="BF66" i="28"/>
  <c r="BD66" i="30"/>
  <c r="BD66" i="28" s="1"/>
  <c r="BA59" i="30"/>
  <c r="BC59" i="28"/>
  <c r="BF59" i="30"/>
  <c r="BC62" i="30"/>
  <c r="BC62" i="28" s="1"/>
  <c r="BC58" i="28" s="1"/>
  <c r="BA48" i="30"/>
  <c r="BC48" i="28"/>
  <c r="BF48" i="30"/>
  <c r="BC90" i="30"/>
  <c r="AZ178" i="30"/>
  <c r="AZ178" i="28" s="1"/>
  <c r="AZ90" i="28"/>
  <c r="AX90" i="30"/>
  <c r="AX90" i="28" s="1"/>
  <c r="W21" i="16"/>
  <c r="V23" i="16"/>
  <c r="BF40" i="28"/>
  <c r="BI40" i="30"/>
  <c r="BD40" i="30"/>
  <c r="BD40" i="28" s="1"/>
  <c r="BL53" i="30"/>
  <c r="BI53" i="28"/>
  <c r="BG53" i="30"/>
  <c r="BH53" i="30" s="1"/>
  <c r="BL38" i="30"/>
  <c r="BI38" i="28"/>
  <c r="BG38" i="30"/>
  <c r="BG38" i="28" s="1"/>
  <c r="BC87" i="30"/>
  <c r="AZ87" i="28"/>
  <c r="AX87" i="30"/>
  <c r="AX87" i="28" s="1"/>
  <c r="BG70" i="28"/>
  <c r="AY48" i="30"/>
  <c r="AY48" i="28" s="1"/>
  <c r="W54" i="16"/>
  <c r="V57" i="16"/>
  <c r="BM203" i="30"/>
  <c r="BM205" i="30" s="1"/>
  <c r="BJ205" i="30"/>
  <c r="BJ206" i="30" s="1"/>
  <c r="AE181" i="30"/>
  <c r="AE177" i="28"/>
  <c r="BK205" i="30"/>
  <c r="BK206" i="30" s="1"/>
  <c r="BN203" i="30"/>
  <c r="BN205" i="30" s="1"/>
  <c r="W46" i="16"/>
  <c r="X42" i="16"/>
  <c r="X46" i="16" s="1"/>
  <c r="V25" i="16"/>
  <c r="U30" i="16"/>
  <c r="T40" i="16"/>
  <c r="U32" i="16"/>
  <c r="W48" i="16"/>
  <c r="V51" i="16"/>
  <c r="V61" i="16"/>
  <c r="U67" i="16"/>
  <c r="BF81" i="30" s="1"/>
  <c r="M145" i="30"/>
  <c r="M168" i="30"/>
  <c r="M167" i="28"/>
  <c r="P160" i="30"/>
  <c r="P160" i="28" s="1"/>
  <c r="AO95" i="30"/>
  <c r="AO95" i="28" s="1"/>
  <c r="AT95" i="30"/>
  <c r="AT95" i="28" s="1"/>
  <c r="AZ86" i="30"/>
  <c r="AZ200" i="30" s="1"/>
  <c r="AZ201" i="30" s="1"/>
  <c r="AZ202" i="30" s="1"/>
  <c r="AW86" i="28"/>
  <c r="AW93" i="30"/>
  <c r="AW93" i="28" s="1"/>
  <c r="AU86" i="30"/>
  <c r="AS86" i="30"/>
  <c r="AR200" i="30"/>
  <c r="AR201" i="30" s="1"/>
  <c r="AR202" i="30" s="1"/>
  <c r="AR86" i="28"/>
  <c r="AR93" i="30"/>
  <c r="AR93" i="28" s="1"/>
  <c r="AM93" i="28"/>
  <c r="AM95" i="30"/>
  <c r="AP93" i="30"/>
  <c r="AP93" i="28" s="1"/>
  <c r="AP86" i="28"/>
  <c r="AP200" i="30"/>
  <c r="AP201" i="30" s="1"/>
  <c r="AP202" i="30" s="1"/>
  <c r="BI199" i="30"/>
  <c r="Z20" i="36"/>
  <c r="AF20" i="36"/>
  <c r="AY16" i="30"/>
  <c r="AY16" i="28" s="1"/>
  <c r="BF16" i="30"/>
  <c r="BC16" i="28"/>
  <c r="BA16" i="30"/>
  <c r="BA16" i="28" s="1"/>
  <c r="AH170" i="30"/>
  <c r="AE174" i="28"/>
  <c r="AE193" i="30"/>
  <c r="AE191" i="28"/>
  <c r="BD7" i="30"/>
  <c r="BA7" i="28"/>
  <c r="U21" i="36"/>
  <c r="S21" i="36"/>
  <c r="O22" i="36"/>
  <c r="AY102" i="30"/>
  <c r="AY102" i="28" s="1"/>
  <c r="AW83" i="30"/>
  <c r="AW83" i="28" s="1"/>
  <c r="AW34" i="28"/>
  <c r="AW31" i="28" s="1"/>
  <c r="AV34" i="30"/>
  <c r="AV32" i="28"/>
  <c r="AS34" i="28"/>
  <c r="AS31" i="28" s="1"/>
  <c r="AO83" i="28"/>
  <c r="AU32" i="28"/>
  <c r="AU34" i="30"/>
  <c r="AP34" i="28"/>
  <c r="AP31" i="28" s="1"/>
  <c r="AP83" i="30"/>
  <c r="AP83" i="28" s="1"/>
  <c r="AR34" i="28"/>
  <c r="AR31" i="28" s="1"/>
  <c r="AR83" i="30"/>
  <c r="BC32" i="30"/>
  <c r="AZ34" i="30"/>
  <c r="AZ32" i="28"/>
  <c r="AX32" i="30"/>
  <c r="AY32" i="30" s="1"/>
  <c r="BA101" i="28"/>
  <c r="BF102" i="30"/>
  <c r="BC102" i="28"/>
  <c r="BA102" i="30"/>
  <c r="BA102" i="28" s="1"/>
  <c r="AV102" i="28"/>
  <c r="BD103" i="30"/>
  <c r="BE103" i="30" s="1"/>
  <c r="BI103" i="30"/>
  <c r="BF103" i="28"/>
  <c r="BB101" i="30"/>
  <c r="BB103" i="30"/>
  <c r="BB103" i="28" s="1"/>
  <c r="BI101" i="30"/>
  <c r="BD101" i="30"/>
  <c r="BD101" i="28" s="1"/>
  <c r="BF101" i="28"/>
  <c r="BF5" i="30"/>
  <c r="BC5" i="28"/>
  <c r="Y208" i="30"/>
  <c r="BG6" i="30"/>
  <c r="BD6" i="28"/>
  <c r="AZ4" i="28"/>
  <c r="BC4" i="30"/>
  <c r="BA25" i="30"/>
  <c r="BA25" i="28" s="1"/>
  <c r="BD9" i="30"/>
  <c r="BA9" i="28"/>
  <c r="AM28" i="30" l="1"/>
  <c r="AM28" i="28" s="1"/>
  <c r="AS15" i="30"/>
  <c r="AS15" i="28" s="1"/>
  <c r="AU15" i="30"/>
  <c r="AU15" i="28" s="1"/>
  <c r="AZ15" i="30"/>
  <c r="AW15" i="28"/>
  <c r="AT9" i="30"/>
  <c r="AS9" i="28"/>
  <c r="AV9" i="30"/>
  <c r="AS25" i="30"/>
  <c r="AS25" i="28" s="1"/>
  <c r="AQ9" i="28"/>
  <c r="AQ25" i="30"/>
  <c r="AQ25" i="28" s="1"/>
  <c r="BK72" i="30"/>
  <c r="BK72" i="28" s="1"/>
  <c r="O23" i="36"/>
  <c r="AO28" i="36"/>
  <c r="BK47" i="30"/>
  <c r="BK47" i="28" s="1"/>
  <c r="AV78" i="30"/>
  <c r="AV78" i="28" s="1"/>
  <c r="AV69" i="28" s="1"/>
  <c r="AV20" i="30"/>
  <c r="AV20" i="28" s="1"/>
  <c r="BH39" i="30"/>
  <c r="BH39" i="28" s="1"/>
  <c r="AY68" i="30"/>
  <c r="AY68" i="28" s="1"/>
  <c r="AY63" i="28" s="1"/>
  <c r="BO72" i="28"/>
  <c r="BM72" i="30"/>
  <c r="BM72" i="28" s="1"/>
  <c r="BB65" i="30"/>
  <c r="BB65" i="28" s="1"/>
  <c r="BI65" i="30"/>
  <c r="BF65" i="28"/>
  <c r="BD65" i="30"/>
  <c r="BD65" i="28" s="1"/>
  <c r="BO47" i="28"/>
  <c r="BM47" i="30"/>
  <c r="BM47" i="28" s="1"/>
  <c r="AV18" i="30"/>
  <c r="AV18" i="28" s="1"/>
  <c r="AV14" i="30"/>
  <c r="AV14" i="28" s="1"/>
  <c r="BB55" i="28"/>
  <c r="BB57" i="30"/>
  <c r="BB57" i="28" s="1"/>
  <c r="BB52" i="28" s="1"/>
  <c r="BN44" i="30"/>
  <c r="BN44" i="28" s="1"/>
  <c r="AV17" i="30"/>
  <c r="AV17" i="28" s="1"/>
  <c r="BC18" i="30"/>
  <c r="AZ18" i="28"/>
  <c r="AX18" i="30"/>
  <c r="AX18" i="28" s="1"/>
  <c r="BI74" i="30"/>
  <c r="BF74" i="28"/>
  <c r="BD74" i="30"/>
  <c r="BD74" i="28" s="1"/>
  <c r="BB49" i="30"/>
  <c r="BB49" i="28" s="1"/>
  <c r="BK71" i="30"/>
  <c r="BK71" i="28" s="1"/>
  <c r="BB50" i="30"/>
  <c r="BB50" i="28" s="1"/>
  <c r="BC17" i="30"/>
  <c r="AZ17" i="28"/>
  <c r="AX17" i="30"/>
  <c r="AX17" i="28" s="1"/>
  <c r="BH45" i="30"/>
  <c r="BH45" i="28" s="1"/>
  <c r="BA55" i="28"/>
  <c r="BA57" i="30"/>
  <c r="BA57" i="28" s="1"/>
  <c r="BA52" i="28" s="1"/>
  <c r="BI50" i="30"/>
  <c r="BF50" i="28"/>
  <c r="BD50" i="30"/>
  <c r="BI49" i="30"/>
  <c r="BF49" i="28"/>
  <c r="BD49" i="30"/>
  <c r="BD49" i="28" s="1"/>
  <c r="BO71" i="28"/>
  <c r="BM71" i="30"/>
  <c r="BM71" i="28" s="1"/>
  <c r="BO39" i="30"/>
  <c r="BL39" i="28"/>
  <c r="BJ39" i="30"/>
  <c r="BJ39" i="28" s="1"/>
  <c r="BC14" i="30"/>
  <c r="AZ14" i="28"/>
  <c r="AX14" i="30"/>
  <c r="AX14" i="28" s="1"/>
  <c r="BM206" i="30"/>
  <c r="BC20" i="30"/>
  <c r="AZ20" i="28"/>
  <c r="AX20" i="30"/>
  <c r="AX20" i="28" s="1"/>
  <c r="BB74" i="30"/>
  <c r="BB74" i="28" s="1"/>
  <c r="BI55" i="30"/>
  <c r="BF55" i="28"/>
  <c r="BD55" i="30"/>
  <c r="BE55" i="30" s="1"/>
  <c r="BF57" i="30"/>
  <c r="BF57" i="28" s="1"/>
  <c r="BF52" i="28" s="1"/>
  <c r="BN67" i="30"/>
  <c r="BN67" i="28" s="1"/>
  <c r="BL45" i="28"/>
  <c r="BO45" i="30"/>
  <c r="BJ45" i="30"/>
  <c r="BJ45" i="28" s="1"/>
  <c r="AS83" i="30"/>
  <c r="AS83" i="28" s="1"/>
  <c r="BF81" i="28"/>
  <c r="S116" i="16"/>
  <c r="S119" i="16" s="1"/>
  <c r="S130" i="16" s="1"/>
  <c r="S133" i="16" s="1"/>
  <c r="BC21" i="28"/>
  <c r="T13" i="16"/>
  <c r="T16" i="16" s="1"/>
  <c r="T82" i="16" s="1"/>
  <c r="T98" i="16" s="1"/>
  <c r="BC109" i="30" s="1"/>
  <c r="AU111" i="30"/>
  <c r="AW109" i="28"/>
  <c r="AS19" i="28"/>
  <c r="AS24" i="30"/>
  <c r="AP28" i="30"/>
  <c r="AP28" i="28" s="1"/>
  <c r="AP24" i="28"/>
  <c r="BB75" i="30"/>
  <c r="BB75" i="28" s="1"/>
  <c r="BB77" i="30"/>
  <c r="BB77" i="28" s="1"/>
  <c r="AY90" i="30"/>
  <c r="AY90" i="28" s="1"/>
  <c r="BE80" i="30"/>
  <c r="BE80" i="28" s="1"/>
  <c r="AY89" i="30"/>
  <c r="AY89" i="28" s="1"/>
  <c r="BB43" i="28"/>
  <c r="BL53" i="28"/>
  <c r="BO53" i="30"/>
  <c r="BJ53" i="30"/>
  <c r="BK53" i="30" s="1"/>
  <c r="W23" i="16"/>
  <c r="X21" i="16"/>
  <c r="X23" i="16" s="1"/>
  <c r="BF48" i="28"/>
  <c r="BI48" i="30"/>
  <c r="BD48" i="30"/>
  <c r="BB59" i="30"/>
  <c r="BA59" i="28"/>
  <c r="BA62" i="30"/>
  <c r="BA62" i="28" s="1"/>
  <c r="BA58" i="28" s="1"/>
  <c r="BI43" i="30"/>
  <c r="BD43" i="30"/>
  <c r="BE43" i="30" s="1"/>
  <c r="BF43" i="28"/>
  <c r="BF51" i="30"/>
  <c r="BF51" i="28" s="1"/>
  <c r="BF42" i="28" s="1"/>
  <c r="BI75" i="30"/>
  <c r="BF75" i="28"/>
  <c r="BD75" i="30"/>
  <c r="BD75" i="28" s="1"/>
  <c r="AX78" i="30"/>
  <c r="AX78" i="28" s="1"/>
  <c r="AX69" i="28" s="1"/>
  <c r="BK70" i="28"/>
  <c r="BB73" i="28"/>
  <c r="BI77" i="30"/>
  <c r="BF77" i="28"/>
  <c r="BD77" i="30"/>
  <c r="BD77" i="28" s="1"/>
  <c r="BI36" i="30"/>
  <c r="BF36" i="28"/>
  <c r="BD36" i="30"/>
  <c r="BF41" i="30"/>
  <c r="BF41" i="28" s="1"/>
  <c r="BF35" i="28" s="1"/>
  <c r="AY87" i="30"/>
  <c r="AY87" i="28" s="1"/>
  <c r="BO38" i="30"/>
  <c r="BL38" i="28"/>
  <c r="BJ38" i="30"/>
  <c r="BJ38" i="28" s="1"/>
  <c r="BE40" i="30"/>
  <c r="BE40" i="28" s="1"/>
  <c r="BE66" i="30"/>
  <c r="BE66" i="28" s="1"/>
  <c r="AY76" i="30"/>
  <c r="BJ70" i="28"/>
  <c r="AV19" i="30"/>
  <c r="BE91" i="30"/>
  <c r="BE91" i="28" s="1"/>
  <c r="AY51" i="30"/>
  <c r="AY51" i="28" s="1"/>
  <c r="AY42" i="28" s="1"/>
  <c r="BB48" i="30"/>
  <c r="BB48" i="28" s="1"/>
  <c r="BA48" i="28"/>
  <c r="BB64" i="30"/>
  <c r="BA64" i="28"/>
  <c r="BA68" i="30"/>
  <c r="BA68" i="28" s="1"/>
  <c r="BA63" i="28" s="1"/>
  <c r="BH53" i="28"/>
  <c r="BG40" i="30"/>
  <c r="BI40" i="28"/>
  <c r="BL40" i="30"/>
  <c r="BA43" i="28"/>
  <c r="BA51" i="30"/>
  <c r="BA51" i="28" s="1"/>
  <c r="BA42" i="28" s="1"/>
  <c r="BC171" i="30"/>
  <c r="BC171" i="28" s="1"/>
  <c r="BC89" i="28"/>
  <c r="BA89" i="30"/>
  <c r="BA89" i="28" s="1"/>
  <c r="BF89" i="30"/>
  <c r="BA73" i="28"/>
  <c r="BB36" i="28"/>
  <c r="BB41" i="30"/>
  <c r="BB41" i="28" s="1"/>
  <c r="BB35" i="28" s="1"/>
  <c r="AE188" i="30"/>
  <c r="AE184" i="28"/>
  <c r="BF161" i="30"/>
  <c r="BF161" i="28" s="1"/>
  <c r="BI88" i="30"/>
  <c r="BD88" i="30"/>
  <c r="BD88" i="28" s="1"/>
  <c r="BF88" i="28"/>
  <c r="BF87" i="30"/>
  <c r="BC87" i="28"/>
  <c r="BA87" i="30"/>
  <c r="BA87" i="28" s="1"/>
  <c r="BH38" i="30"/>
  <c r="BH38" i="28" s="1"/>
  <c r="BG53" i="28"/>
  <c r="BF90" i="30"/>
  <c r="BC90" i="28"/>
  <c r="BA90" i="30"/>
  <c r="BA90" i="28" s="1"/>
  <c r="BC178" i="30"/>
  <c r="BC178" i="28" s="1"/>
  <c r="BI59" i="30"/>
  <c r="BF62" i="30"/>
  <c r="BF62" i="28" s="1"/>
  <c r="BF58" i="28" s="1"/>
  <c r="BF59" i="28"/>
  <c r="BD59" i="30"/>
  <c r="BL66" i="30"/>
  <c r="BI66" i="28"/>
  <c r="BG66" i="30"/>
  <c r="BG66" i="28" s="1"/>
  <c r="BF76" i="30"/>
  <c r="BC76" i="28"/>
  <c r="BA76" i="30"/>
  <c r="BA76" i="28" s="1"/>
  <c r="BI64" i="30"/>
  <c r="BF64" i="28"/>
  <c r="BD64" i="30"/>
  <c r="BF68" i="30"/>
  <c r="BF68" i="28" s="1"/>
  <c r="BF63" i="28" s="1"/>
  <c r="BC19" i="30"/>
  <c r="AZ19" i="28"/>
  <c r="AX19" i="30"/>
  <c r="AX19" i="28" s="1"/>
  <c r="BA36" i="28"/>
  <c r="BA41" i="30"/>
  <c r="BA41" i="28" s="1"/>
  <c r="BA35" i="28" s="1"/>
  <c r="BO33" i="28"/>
  <c r="BM33" i="30"/>
  <c r="BM33" i="28" s="1"/>
  <c r="BG91" i="30"/>
  <c r="BG91" i="28" s="1"/>
  <c r="BL91" i="30"/>
  <c r="BI185" i="30"/>
  <c r="BI185" i="28" s="1"/>
  <c r="BI91" i="28"/>
  <c r="BL80" i="30"/>
  <c r="BI80" i="28"/>
  <c r="BG80" i="30"/>
  <c r="BG80" i="28" s="1"/>
  <c r="BK33" i="30"/>
  <c r="BK33" i="28" s="1"/>
  <c r="BN70" i="30"/>
  <c r="BO70" i="28"/>
  <c r="BI73" i="30"/>
  <c r="BD73" i="30"/>
  <c r="BF73" i="28"/>
  <c r="BB88" i="30"/>
  <c r="BB88" i="28" s="1"/>
  <c r="AE181" i="28"/>
  <c r="AH177" i="30"/>
  <c r="X48" i="16"/>
  <c r="X51" i="16" s="1"/>
  <c r="W51" i="16"/>
  <c r="BN206" i="30"/>
  <c r="U40" i="16"/>
  <c r="V32" i="16"/>
  <c r="W25" i="16"/>
  <c r="V30" i="16"/>
  <c r="X54" i="16"/>
  <c r="X57" i="16" s="1"/>
  <c r="W57" i="16"/>
  <c r="U80" i="16"/>
  <c r="W61" i="16"/>
  <c r="V67" i="16"/>
  <c r="BI81" i="30" s="1"/>
  <c r="M145" i="28"/>
  <c r="P162" i="30"/>
  <c r="AR95" i="30"/>
  <c r="AR95" i="28" s="1"/>
  <c r="AW95" i="30"/>
  <c r="AW95" i="28" s="1"/>
  <c r="AP95" i="30"/>
  <c r="AP95" i="28" s="1"/>
  <c r="AV86" i="30"/>
  <c r="AU86" i="28"/>
  <c r="AU93" i="30"/>
  <c r="AU93" i="28" s="1"/>
  <c r="AU200" i="30"/>
  <c r="AU201" i="30" s="1"/>
  <c r="AU202" i="30" s="1"/>
  <c r="AS93" i="30"/>
  <c r="AS200" i="30"/>
  <c r="AS201" i="30" s="1"/>
  <c r="AS202" i="30" s="1"/>
  <c r="AS86" i="28"/>
  <c r="AM95" i="28"/>
  <c r="AZ86" i="28"/>
  <c r="AZ93" i="30"/>
  <c r="AZ93" i="28" s="1"/>
  <c r="AX86" i="30"/>
  <c r="BC86" i="30"/>
  <c r="BC200" i="30" s="1"/>
  <c r="BC201" i="30" s="1"/>
  <c r="BC202" i="30" s="1"/>
  <c r="BL199" i="30"/>
  <c r="Z21" i="36"/>
  <c r="AF21" i="36"/>
  <c r="BB16" i="30"/>
  <c r="BB16" i="28" s="1"/>
  <c r="BI16" i="30"/>
  <c r="BF16" i="28"/>
  <c r="BD16" i="30"/>
  <c r="BD16" i="28" s="1"/>
  <c r="AH174" i="30"/>
  <c r="AH170" i="28"/>
  <c r="Q209" i="30"/>
  <c r="AH191" i="30"/>
  <c r="AE193" i="28"/>
  <c r="BG7" i="30"/>
  <c r="BD7" i="28"/>
  <c r="U22" i="36"/>
  <c r="S22" i="36"/>
  <c r="BE101" i="30"/>
  <c r="BE101" i="28" s="1"/>
  <c r="BC34" i="30"/>
  <c r="BA32" i="30"/>
  <c r="BB32" i="30" s="1"/>
  <c r="BC32" i="28"/>
  <c r="BF32" i="30"/>
  <c r="AU34" i="28"/>
  <c r="AU31" i="28" s="1"/>
  <c r="AU83" i="30"/>
  <c r="AX32" i="28"/>
  <c r="AX34" i="30"/>
  <c r="AV34" i="28"/>
  <c r="AV31" i="28" s="1"/>
  <c r="AV83" i="30"/>
  <c r="AV83" i="28" s="1"/>
  <c r="AY34" i="30"/>
  <c r="AY32" i="28"/>
  <c r="AR83" i="28"/>
  <c r="AZ83" i="30"/>
  <c r="AZ83" i="28" s="1"/>
  <c r="AZ34" i="28"/>
  <c r="AZ31" i="28" s="1"/>
  <c r="BL103" i="30"/>
  <c r="BI103" i="28"/>
  <c r="BG103" i="30"/>
  <c r="BG103" i="28" s="1"/>
  <c r="BB101" i="28"/>
  <c r="BD103" i="28"/>
  <c r="BD102" i="30"/>
  <c r="BD102" i="28" s="1"/>
  <c r="BI102" i="30"/>
  <c r="BF102" i="28"/>
  <c r="BE103" i="28"/>
  <c r="BG101" i="30"/>
  <c r="BH101" i="30" s="1"/>
  <c r="BH101" i="28" s="1"/>
  <c r="BL101" i="30"/>
  <c r="BI101" i="28"/>
  <c r="BB102" i="30"/>
  <c r="BB102" i="28" s="1"/>
  <c r="BC4" i="28"/>
  <c r="BF4" i="30"/>
  <c r="BJ6" i="30"/>
  <c r="BG6" i="28"/>
  <c r="BG9" i="30"/>
  <c r="BD25" i="30"/>
  <c r="BD25" i="28" s="1"/>
  <c r="BD9" i="28"/>
  <c r="BF5" i="28"/>
  <c r="Z208" i="30"/>
  <c r="BI5" i="30"/>
  <c r="AM97" i="30" l="1"/>
  <c r="AP28" i="36"/>
  <c r="AV15" i="30"/>
  <c r="AV15" i="28" s="1"/>
  <c r="AZ15" i="28"/>
  <c r="AX15" i="30"/>
  <c r="AX15" i="28" s="1"/>
  <c r="BC15" i="30"/>
  <c r="AW9" i="30"/>
  <c r="AV25" i="30"/>
  <c r="AV25" i="28" s="1"/>
  <c r="AV9" i="28"/>
  <c r="AY9" i="30"/>
  <c r="AT25" i="30"/>
  <c r="AT25" i="28" s="1"/>
  <c r="AT9" i="28"/>
  <c r="S23" i="36"/>
  <c r="U23" i="36"/>
  <c r="BN47" i="30"/>
  <c r="BN47" i="28" s="1"/>
  <c r="BN72" i="30"/>
  <c r="BN72" i="28" s="1"/>
  <c r="BL65" i="30"/>
  <c r="BI65" i="28"/>
  <c r="BG65" i="30"/>
  <c r="BG65" i="28" s="1"/>
  <c r="AY17" i="30"/>
  <c r="AY17" i="28" s="1"/>
  <c r="BE65" i="30"/>
  <c r="BE65" i="28" s="1"/>
  <c r="AY20" i="30"/>
  <c r="AY20" i="28" s="1"/>
  <c r="BE49" i="30"/>
  <c r="BE49" i="28" s="1"/>
  <c r="BK45" i="30"/>
  <c r="BK45" i="28" s="1"/>
  <c r="AY14" i="30"/>
  <c r="AY14" i="28" s="1"/>
  <c r="BN71" i="30"/>
  <c r="BN71" i="28" s="1"/>
  <c r="BF17" i="30"/>
  <c r="BC17" i="28"/>
  <c r="BA17" i="30"/>
  <c r="BA17" i="28" s="1"/>
  <c r="AY18" i="30"/>
  <c r="AY18" i="28" s="1"/>
  <c r="BO45" i="28"/>
  <c r="BM45" i="30"/>
  <c r="BM45" i="28" s="1"/>
  <c r="BF14" i="30"/>
  <c r="BC14" i="28"/>
  <c r="BA14" i="30"/>
  <c r="BA14" i="28" s="1"/>
  <c r="BF18" i="30"/>
  <c r="BC18" i="28"/>
  <c r="BA18" i="30"/>
  <c r="BA18" i="28" s="1"/>
  <c r="BL55" i="30"/>
  <c r="BI55" i="28"/>
  <c r="BG55" i="30"/>
  <c r="BH55" i="30" s="1"/>
  <c r="BI57" i="30"/>
  <c r="BI57" i="28" s="1"/>
  <c r="BI52" i="28" s="1"/>
  <c r="BL50" i="30"/>
  <c r="BI50" i="28"/>
  <c r="BG50" i="30"/>
  <c r="BG50" i="28" s="1"/>
  <c r="BK39" i="30"/>
  <c r="BK39" i="28" s="1"/>
  <c r="BE74" i="30"/>
  <c r="BE74" i="28" s="1"/>
  <c r="BE55" i="28"/>
  <c r="BE57" i="30"/>
  <c r="BE57" i="28" s="1"/>
  <c r="BE52" i="28" s="1"/>
  <c r="BF20" i="30"/>
  <c r="BC20" i="28"/>
  <c r="BA20" i="30"/>
  <c r="BA20" i="28" s="1"/>
  <c r="BL49" i="30"/>
  <c r="BI49" i="28"/>
  <c r="BG49" i="30"/>
  <c r="BG49" i="28" s="1"/>
  <c r="BD55" i="28"/>
  <c r="BD57" i="30"/>
  <c r="BD57" i="28" s="1"/>
  <c r="BD52" i="28" s="1"/>
  <c r="BO39" i="28"/>
  <c r="BM39" i="30"/>
  <c r="BM39" i="28" s="1"/>
  <c r="BD50" i="28"/>
  <c r="BE50" i="30"/>
  <c r="BE50" i="28" s="1"/>
  <c r="BL74" i="30"/>
  <c r="BI74" i="28"/>
  <c r="BG74" i="30"/>
  <c r="BG74" i="28" s="1"/>
  <c r="BH91" i="30"/>
  <c r="BH91" i="28" s="1"/>
  <c r="AY19" i="30"/>
  <c r="AY19" i="28" s="1"/>
  <c r="BB89" i="30"/>
  <c r="BB89" i="28" s="1"/>
  <c r="BH66" i="30"/>
  <c r="BH66" i="28" s="1"/>
  <c r="BB51" i="30"/>
  <c r="BB51" i="28" s="1"/>
  <c r="BB42" i="28" s="1"/>
  <c r="BI81" i="28"/>
  <c r="T116" i="16"/>
  <c r="T119" i="16" s="1"/>
  <c r="T130" i="16" s="1"/>
  <c r="T133" i="16" s="1"/>
  <c r="BF21" i="28"/>
  <c r="U13" i="16"/>
  <c r="U16" i="16" s="1"/>
  <c r="U82" i="16" s="1"/>
  <c r="U98" i="16" s="1"/>
  <c r="BF109" i="30" s="1"/>
  <c r="AU111" i="28"/>
  <c r="AV111" i="30"/>
  <c r="AV111" i="28" s="1"/>
  <c r="AZ109" i="28"/>
  <c r="AX111" i="30"/>
  <c r="BB76" i="30"/>
  <c r="BB76" i="28" s="1"/>
  <c r="AS24" i="28"/>
  <c r="AS28" i="30"/>
  <c r="AS28" i="28" s="1"/>
  <c r="BA78" i="30"/>
  <c r="BA78" i="28" s="1"/>
  <c r="BA69" i="28" s="1"/>
  <c r="BE88" i="30"/>
  <c r="BE88" i="28" s="1"/>
  <c r="BN70" i="28"/>
  <c r="BF171" i="30"/>
  <c r="BF171" i="28" s="1"/>
  <c r="BI89" i="30"/>
  <c r="BF89" i="28"/>
  <c r="BD89" i="30"/>
  <c r="BD89" i="28" s="1"/>
  <c r="BE48" i="30"/>
  <c r="BE48" i="28" s="1"/>
  <c r="BD48" i="28"/>
  <c r="BK53" i="28"/>
  <c r="BI73" i="28"/>
  <c r="BG73" i="30"/>
  <c r="BL73" i="30"/>
  <c r="BH80" i="30"/>
  <c r="BH80" i="28" s="1"/>
  <c r="BO91" i="30"/>
  <c r="BL91" i="28"/>
  <c r="BJ91" i="30"/>
  <c r="BJ91" i="28" s="1"/>
  <c r="BL185" i="30"/>
  <c r="BL185" i="28" s="1"/>
  <c r="BE59" i="30"/>
  <c r="BD59" i="28"/>
  <c r="BD62" i="30"/>
  <c r="BD62" i="28" s="1"/>
  <c r="BD58" i="28" s="1"/>
  <c r="BB87" i="30"/>
  <c r="BB87" i="28" s="1"/>
  <c r="BB68" i="30"/>
  <c r="BB68" i="28" s="1"/>
  <c r="BB63" i="28" s="1"/>
  <c r="BB64" i="28"/>
  <c r="BD36" i="28"/>
  <c r="BD41" i="30"/>
  <c r="BD41" i="28" s="1"/>
  <c r="BD35" i="28" s="1"/>
  <c r="BL77" i="30"/>
  <c r="BI77" i="28"/>
  <c r="BG77" i="30"/>
  <c r="BG77" i="28" s="1"/>
  <c r="BE75" i="30"/>
  <c r="BE75" i="28" s="1"/>
  <c r="BL43" i="30"/>
  <c r="BI43" i="28"/>
  <c r="BG43" i="30"/>
  <c r="BH43" i="30" s="1"/>
  <c r="BI51" i="30"/>
  <c r="BI51" i="28" s="1"/>
  <c r="BI42" i="28" s="1"/>
  <c r="BO53" i="28"/>
  <c r="BM53" i="30"/>
  <c r="BN53" i="30" s="1"/>
  <c r="BE64" i="30"/>
  <c r="BD64" i="28"/>
  <c r="BD68" i="30"/>
  <c r="BD68" i="28" s="1"/>
  <c r="BD63" i="28" s="1"/>
  <c r="BI161" i="30"/>
  <c r="BI161" i="28" s="1"/>
  <c r="BI88" i="28"/>
  <c r="BG88" i="30"/>
  <c r="BG88" i="28" s="1"/>
  <c r="BL88" i="30"/>
  <c r="BI76" i="30"/>
  <c r="BI78" i="30" s="1"/>
  <c r="BI78" i="28" s="1"/>
  <c r="BI69" i="28" s="1"/>
  <c r="BF76" i="28"/>
  <c r="BD76" i="30"/>
  <c r="BD76" i="28" s="1"/>
  <c r="BI90" i="30"/>
  <c r="BF178" i="30"/>
  <c r="BF178" i="28" s="1"/>
  <c r="BF90" i="28"/>
  <c r="BD90" i="30"/>
  <c r="BD90" i="28" s="1"/>
  <c r="BL40" i="28"/>
  <c r="BJ40" i="30"/>
  <c r="BO40" i="30"/>
  <c r="AY76" i="28"/>
  <c r="AY78" i="30"/>
  <c r="AY78" i="28" s="1"/>
  <c r="AY69" i="28" s="1"/>
  <c r="BO38" i="28"/>
  <c r="BM38" i="30"/>
  <c r="BM38" i="28" s="1"/>
  <c r="BI36" i="28"/>
  <c r="BL36" i="30"/>
  <c r="BG36" i="30"/>
  <c r="BH36" i="30" s="1"/>
  <c r="BI41" i="30"/>
  <c r="BI41" i="28" s="1"/>
  <c r="BI35" i="28" s="1"/>
  <c r="BF78" i="30"/>
  <c r="BF78" i="28" s="1"/>
  <c r="BF69" i="28" s="1"/>
  <c r="BO80" i="30"/>
  <c r="BL80" i="28"/>
  <c r="BJ80" i="30"/>
  <c r="BJ80" i="28" s="1"/>
  <c r="BN33" i="30"/>
  <c r="BN33" i="28" s="1"/>
  <c r="BI68" i="30"/>
  <c r="BI68" i="28" s="1"/>
  <c r="BI63" i="28" s="1"/>
  <c r="BI64" i="28"/>
  <c r="BG64" i="30"/>
  <c r="BL64" i="30"/>
  <c r="BI62" i="30"/>
  <c r="BI62" i="28" s="1"/>
  <c r="BI58" i="28" s="1"/>
  <c r="BL59" i="30"/>
  <c r="BI59" i="28"/>
  <c r="BG59" i="30"/>
  <c r="BI87" i="30"/>
  <c r="BF87" i="28"/>
  <c r="BD87" i="30"/>
  <c r="BD87" i="28" s="1"/>
  <c r="BE77" i="30"/>
  <c r="BE77" i="28" s="1"/>
  <c r="BL75" i="30"/>
  <c r="BI75" i="28"/>
  <c r="BG75" i="30"/>
  <c r="BG75" i="28" s="1"/>
  <c r="BE43" i="28"/>
  <c r="BB62" i="30"/>
  <c r="BB62" i="28" s="1"/>
  <c r="BB58" i="28" s="1"/>
  <c r="BB59" i="28"/>
  <c r="BM70" i="28"/>
  <c r="AE188" i="28"/>
  <c r="AH184" i="30"/>
  <c r="BH40" i="30"/>
  <c r="BH40" i="28" s="1"/>
  <c r="BG40" i="28"/>
  <c r="BE73" i="30"/>
  <c r="BD73" i="28"/>
  <c r="BF19" i="30"/>
  <c r="BC19" i="28"/>
  <c r="BA19" i="30"/>
  <c r="BA19" i="28" s="1"/>
  <c r="BO66" i="30"/>
  <c r="BL66" i="28"/>
  <c r="BJ66" i="30"/>
  <c r="BJ66" i="28" s="1"/>
  <c r="BB90" i="30"/>
  <c r="BB90" i="28" s="1"/>
  <c r="AV19" i="28"/>
  <c r="AV24" i="30"/>
  <c r="BK38" i="30"/>
  <c r="BK38" i="28" s="1"/>
  <c r="BE36" i="30"/>
  <c r="BD43" i="28"/>
  <c r="BD51" i="30"/>
  <c r="BD51" i="28" s="1"/>
  <c r="BD42" i="28" s="1"/>
  <c r="BL48" i="30"/>
  <c r="BI48" i="28"/>
  <c r="BG48" i="30"/>
  <c r="BG48" i="28" s="1"/>
  <c r="BJ53" i="28"/>
  <c r="AH181" i="30"/>
  <c r="AH177" i="28"/>
  <c r="W30" i="16"/>
  <c r="X25" i="16"/>
  <c r="X30" i="16" s="1"/>
  <c r="W32" i="16"/>
  <c r="V40" i="16"/>
  <c r="X61" i="16"/>
  <c r="X67" i="16" s="1"/>
  <c r="BO81" i="30" s="1"/>
  <c r="W67" i="16"/>
  <c r="BL81" i="30" s="1"/>
  <c r="V80" i="16"/>
  <c r="P162" i="28"/>
  <c r="P167" i="30"/>
  <c r="Q7" i="51" s="1"/>
  <c r="AP97" i="30"/>
  <c r="AU95" i="30"/>
  <c r="AU95" i="28" s="1"/>
  <c r="AZ95" i="30"/>
  <c r="AZ95" i="28" s="1"/>
  <c r="BC93" i="30"/>
  <c r="BC93" i="28" s="1"/>
  <c r="BC86" i="28"/>
  <c r="BA86" i="30"/>
  <c r="BF86" i="30"/>
  <c r="BF200" i="30" s="1"/>
  <c r="BF201" i="30" s="1"/>
  <c r="BF202" i="30" s="1"/>
  <c r="AM97" i="28"/>
  <c r="AS93" i="28"/>
  <c r="AS95" i="30"/>
  <c r="AY86" i="30"/>
  <c r="AX86" i="28"/>
  <c r="AX93" i="30"/>
  <c r="AX93" i="28" s="1"/>
  <c r="AX200" i="30"/>
  <c r="AX201" i="30" s="1"/>
  <c r="AX202" i="30" s="1"/>
  <c r="AV86" i="28"/>
  <c r="AV200" i="30"/>
  <c r="AV201" i="30" s="1"/>
  <c r="AV202" i="30" s="1"/>
  <c r="AV93" i="30"/>
  <c r="BO199" i="30"/>
  <c r="Z22" i="36"/>
  <c r="AF22" i="36"/>
  <c r="BE16" i="30"/>
  <c r="BE16" i="28" s="1"/>
  <c r="BL16" i="30"/>
  <c r="BI16" i="28"/>
  <c r="BG16" i="30"/>
  <c r="BG16" i="28" s="1"/>
  <c r="AH174" i="28"/>
  <c r="AK170" i="30"/>
  <c r="AH191" i="28"/>
  <c r="AH193" i="30"/>
  <c r="BH103" i="30"/>
  <c r="BH103" i="28" s="1"/>
  <c r="BJ7" i="30"/>
  <c r="BG7" i="28"/>
  <c r="BE102" i="30"/>
  <c r="BE102" i="28" s="1"/>
  <c r="BB32" i="28"/>
  <c r="BB34" i="30"/>
  <c r="AU83" i="28"/>
  <c r="AY34" i="28"/>
  <c r="AY31" i="28" s="1"/>
  <c r="AX34" i="28"/>
  <c r="AX31" i="28" s="1"/>
  <c r="AX83" i="30"/>
  <c r="BA34" i="30"/>
  <c r="BA32" i="28"/>
  <c r="BF34" i="30"/>
  <c r="BD32" i="30"/>
  <c r="BI32" i="30"/>
  <c r="BF32" i="28"/>
  <c r="BC34" i="28"/>
  <c r="BC31" i="28" s="1"/>
  <c r="BC83" i="30"/>
  <c r="BC83" i="28" s="1"/>
  <c r="BG101" i="28"/>
  <c r="BO103" i="30"/>
  <c r="BL103" i="28"/>
  <c r="BJ103" i="30"/>
  <c r="BK103" i="30" s="1"/>
  <c r="BK103" i="28" s="1"/>
  <c r="BI102" i="28"/>
  <c r="BG102" i="30"/>
  <c r="BG102" i="28" s="1"/>
  <c r="BL102" i="30"/>
  <c r="BJ101" i="30"/>
  <c r="BJ101" i="28" s="1"/>
  <c r="BL101" i="28"/>
  <c r="BO101" i="30"/>
  <c r="BI4" i="30"/>
  <c r="BF4" i="28"/>
  <c r="BL5" i="30"/>
  <c r="BI5" i="28"/>
  <c r="AA208" i="30"/>
  <c r="BJ9" i="30"/>
  <c r="BG25" i="30"/>
  <c r="BG25" i="28" s="1"/>
  <c r="BG9" i="28"/>
  <c r="BJ6" i="28"/>
  <c r="BM6" i="30"/>
  <c r="BM6" i="28" s="1"/>
  <c r="AY15" i="30" l="1"/>
  <c r="AY15" i="28" s="1"/>
  <c r="BF15" i="30"/>
  <c r="BC15" i="28"/>
  <c r="BA15" i="30"/>
  <c r="BA15" i="28" s="1"/>
  <c r="AZ9" i="30"/>
  <c r="AY9" i="28"/>
  <c r="BB9" i="30"/>
  <c r="AY25" i="30"/>
  <c r="AY25" i="28" s="1"/>
  <c r="AW25" i="30"/>
  <c r="AW25" i="28" s="1"/>
  <c r="AW9" i="28"/>
  <c r="BD78" i="30"/>
  <c r="BD78" i="28" s="1"/>
  <c r="BD69" i="28" s="1"/>
  <c r="BH65" i="30"/>
  <c r="BH65" i="28" s="1"/>
  <c r="BO65" i="30"/>
  <c r="BL65" i="28"/>
  <c r="BJ65" i="30"/>
  <c r="BJ65" i="28" s="1"/>
  <c r="BH50" i="30"/>
  <c r="BH50" i="28" s="1"/>
  <c r="BN39" i="30"/>
  <c r="BN39" i="28" s="1"/>
  <c r="BH55" i="28"/>
  <c r="BH57" i="30"/>
  <c r="BH57" i="28" s="1"/>
  <c r="BH52" i="28" s="1"/>
  <c r="BO74" i="30"/>
  <c r="BL74" i="28"/>
  <c r="BJ74" i="30"/>
  <c r="BJ74" i="28" s="1"/>
  <c r="BH49" i="30"/>
  <c r="BH49" i="28" s="1"/>
  <c r="BB14" i="30"/>
  <c r="BB14" i="28" s="1"/>
  <c r="BB17" i="30"/>
  <c r="BB17" i="28" s="1"/>
  <c r="BG55" i="28"/>
  <c r="BG57" i="30"/>
  <c r="BG57" i="28" s="1"/>
  <c r="BG52" i="28" s="1"/>
  <c r="BO49" i="30"/>
  <c r="BL49" i="28"/>
  <c r="BJ49" i="30"/>
  <c r="BJ49" i="28" s="1"/>
  <c r="BO55" i="30"/>
  <c r="BL55" i="28"/>
  <c r="BJ55" i="30"/>
  <c r="BK55" i="30" s="1"/>
  <c r="BL57" i="30"/>
  <c r="BL57" i="28" s="1"/>
  <c r="BL52" i="28" s="1"/>
  <c r="BI14" i="30"/>
  <c r="BF14" i="28"/>
  <c r="BD14" i="30"/>
  <c r="BD14" i="28" s="1"/>
  <c r="BF17" i="28"/>
  <c r="BI17" i="30"/>
  <c r="BD17" i="30"/>
  <c r="BD17" i="28" s="1"/>
  <c r="BB20" i="30"/>
  <c r="BB20" i="28" s="1"/>
  <c r="BB18" i="30"/>
  <c r="BB18" i="28" s="1"/>
  <c r="BN45" i="30"/>
  <c r="BN45" i="28" s="1"/>
  <c r="BH74" i="30"/>
  <c r="BH74" i="28" s="1"/>
  <c r="BJ50" i="30"/>
  <c r="BJ50" i="28" s="1"/>
  <c r="BO50" i="30"/>
  <c r="BL50" i="28"/>
  <c r="BI20" i="30"/>
  <c r="BF20" i="28"/>
  <c r="BD20" i="30"/>
  <c r="BD20" i="28" s="1"/>
  <c r="BI18" i="30"/>
  <c r="BF18" i="28"/>
  <c r="BD18" i="30"/>
  <c r="BD18" i="28" s="1"/>
  <c r="AY24" i="30"/>
  <c r="BE76" i="30"/>
  <c r="BE76" i="28" s="1"/>
  <c r="BE51" i="30"/>
  <c r="BE51" i="28" s="1"/>
  <c r="BE42" i="28" s="1"/>
  <c r="BK80" i="30"/>
  <c r="BK80" i="28" s="1"/>
  <c r="BL81" i="28"/>
  <c r="BO81" i="28"/>
  <c r="BF109" i="28"/>
  <c r="U116" i="16"/>
  <c r="U119" i="16" s="1"/>
  <c r="U130" i="16" s="1"/>
  <c r="U133" i="16" s="1"/>
  <c r="V13" i="16"/>
  <c r="V16" i="16" s="1"/>
  <c r="V82" i="16" s="1"/>
  <c r="V98" i="16" s="1"/>
  <c r="BI109" i="30" s="1"/>
  <c r="BI21" i="28"/>
  <c r="AX111" i="28"/>
  <c r="AY111" i="30"/>
  <c r="AY111" i="28" s="1"/>
  <c r="BA111" i="30"/>
  <c r="BC109" i="28"/>
  <c r="BB19" i="30"/>
  <c r="BB19" i="28" s="1"/>
  <c r="BB78" i="30"/>
  <c r="BB78" i="28" s="1"/>
  <c r="BB69" i="28" s="1"/>
  <c r="BK91" i="30"/>
  <c r="BK91" i="28" s="1"/>
  <c r="BK66" i="30"/>
  <c r="BK66" i="28" s="1"/>
  <c r="BH75" i="30"/>
  <c r="BH75" i="28" s="1"/>
  <c r="BH48" i="30"/>
  <c r="BH48" i="28" s="1"/>
  <c r="BE87" i="30"/>
  <c r="BE87" i="28" s="1"/>
  <c r="AX95" i="30"/>
  <c r="AX95" i="28" s="1"/>
  <c r="AY83" i="30"/>
  <c r="AY83" i="28" s="1"/>
  <c r="BN38" i="30"/>
  <c r="BN38" i="28" s="1"/>
  <c r="BE90" i="30"/>
  <c r="BE90" i="28" s="1"/>
  <c r="BH88" i="30"/>
  <c r="BH88" i="28" s="1"/>
  <c r="BE36" i="28"/>
  <c r="BE41" i="30"/>
  <c r="BE41" i="28" s="1"/>
  <c r="BE35" i="28" s="1"/>
  <c r="BO66" i="28"/>
  <c r="BM66" i="30"/>
  <c r="BM66" i="28" s="1"/>
  <c r="BO40" i="28"/>
  <c r="BM40" i="30"/>
  <c r="BM40" i="28" s="1"/>
  <c r="BL90" i="30"/>
  <c r="BI90" i="28"/>
  <c r="BG90" i="30"/>
  <c r="BG90" i="28" s="1"/>
  <c r="BI178" i="30"/>
  <c r="BI178" i="28" s="1"/>
  <c r="BN53" i="28"/>
  <c r="BO77" i="30"/>
  <c r="BL77" i="28"/>
  <c r="BJ77" i="30"/>
  <c r="BJ77" i="28" s="1"/>
  <c r="BE73" i="28"/>
  <c r="BL62" i="30"/>
  <c r="BL62" i="28" s="1"/>
  <c r="BL58" i="28" s="1"/>
  <c r="BJ59" i="30"/>
  <c r="BL59" i="28"/>
  <c r="BO59" i="30"/>
  <c r="BK40" i="30"/>
  <c r="BK40" i="28" s="1"/>
  <c r="BJ40" i="28"/>
  <c r="BM53" i="28"/>
  <c r="BJ43" i="30"/>
  <c r="BK43" i="30" s="1"/>
  <c r="BO43" i="30"/>
  <c r="BL43" i="28"/>
  <c r="BL51" i="30"/>
  <c r="BL51" i="28" s="1"/>
  <c r="BL42" i="28" s="1"/>
  <c r="BO91" i="28"/>
  <c r="BM91" i="30"/>
  <c r="BM91" i="28" s="1"/>
  <c r="BO185" i="30"/>
  <c r="BO185" i="28" s="1"/>
  <c r="AV28" i="30"/>
  <c r="AV28" i="28" s="1"/>
  <c r="AV24" i="28"/>
  <c r="BE59" i="28"/>
  <c r="BE62" i="30"/>
  <c r="BE62" i="28" s="1"/>
  <c r="BE58" i="28" s="1"/>
  <c r="BI171" i="30"/>
  <c r="BI171" i="28" s="1"/>
  <c r="BL89" i="30"/>
  <c r="BI89" i="28"/>
  <c r="BG89" i="30"/>
  <c r="BG89" i="28" s="1"/>
  <c r="BL48" i="28"/>
  <c r="BJ48" i="30"/>
  <c r="BJ48" i="28" s="1"/>
  <c r="BO48" i="30"/>
  <c r="BO75" i="30"/>
  <c r="BL75" i="28"/>
  <c r="BJ75" i="30"/>
  <c r="BJ75" i="28" s="1"/>
  <c r="BJ64" i="30"/>
  <c r="BK64" i="30" s="1"/>
  <c r="BO64" i="30"/>
  <c r="BL64" i="28"/>
  <c r="BL68" i="30"/>
  <c r="BL68" i="28" s="1"/>
  <c r="BL63" i="28" s="1"/>
  <c r="BH36" i="28"/>
  <c r="BH41" i="30"/>
  <c r="BH41" i="28" s="1"/>
  <c r="BH35" i="28" s="1"/>
  <c r="BH77" i="30"/>
  <c r="BH77" i="28" s="1"/>
  <c r="W80" i="16"/>
  <c r="BF19" i="28"/>
  <c r="BI19" i="30"/>
  <c r="BD19" i="30"/>
  <c r="BD19" i="28" s="1"/>
  <c r="AH188" i="30"/>
  <c r="AH184" i="28"/>
  <c r="BG87" i="30"/>
  <c r="BG87" i="28" s="1"/>
  <c r="BL87" i="30"/>
  <c r="BI87" i="28"/>
  <c r="BH64" i="30"/>
  <c r="BG64" i="28"/>
  <c r="BG68" i="30"/>
  <c r="BG68" i="28" s="1"/>
  <c r="BG63" i="28" s="1"/>
  <c r="BG36" i="28"/>
  <c r="BG41" i="30"/>
  <c r="BG41" i="28" s="1"/>
  <c r="BG35" i="28" s="1"/>
  <c r="BL161" i="30"/>
  <c r="BL161" i="28" s="1"/>
  <c r="BL88" i="28"/>
  <c r="BJ88" i="30"/>
  <c r="BJ88" i="28" s="1"/>
  <c r="BO88" i="30"/>
  <c r="BE64" i="28"/>
  <c r="BE68" i="30"/>
  <c r="BE68" i="28" s="1"/>
  <c r="BE63" i="28" s="1"/>
  <c r="BH43" i="28"/>
  <c r="BO73" i="30"/>
  <c r="BJ73" i="30"/>
  <c r="BL73" i="28"/>
  <c r="BH59" i="30"/>
  <c r="BG62" i="30"/>
  <c r="BG62" i="28" s="1"/>
  <c r="BG58" i="28" s="1"/>
  <c r="BG59" i="28"/>
  <c r="BO80" i="28"/>
  <c r="BM80" i="30"/>
  <c r="BM80" i="28" s="1"/>
  <c r="BO36" i="30"/>
  <c r="BL36" i="28"/>
  <c r="BJ36" i="30"/>
  <c r="BK36" i="30" s="1"/>
  <c r="BL41" i="30"/>
  <c r="BL41" i="28" s="1"/>
  <c r="BL35" i="28" s="1"/>
  <c r="BI76" i="28"/>
  <c r="BL76" i="30"/>
  <c r="BG76" i="30"/>
  <c r="BG76" i="28" s="1"/>
  <c r="BG43" i="28"/>
  <c r="BG51" i="30"/>
  <c r="BG51" i="28" s="1"/>
  <c r="BG42" i="28" s="1"/>
  <c r="BH73" i="30"/>
  <c r="BG73" i="28"/>
  <c r="BE89" i="30"/>
  <c r="BE89" i="28" s="1"/>
  <c r="AH181" i="28"/>
  <c r="AK177" i="30"/>
  <c r="BD111" i="30"/>
  <c r="X80" i="16"/>
  <c r="X32" i="16"/>
  <c r="X40" i="16" s="1"/>
  <c r="W40" i="16"/>
  <c r="P168" i="30"/>
  <c r="P145" i="30"/>
  <c r="P167" i="28"/>
  <c r="S160" i="30"/>
  <c r="S160" i="28" s="1"/>
  <c r="BC95" i="30"/>
  <c r="BC95" i="28" s="1"/>
  <c r="AP97" i="28"/>
  <c r="AV93" i="28"/>
  <c r="AV95" i="30"/>
  <c r="BB86" i="30"/>
  <c r="BA86" i="28"/>
  <c r="BA93" i="30"/>
  <c r="BA93" i="28" s="1"/>
  <c r="BA200" i="30"/>
  <c r="BA201" i="30" s="1"/>
  <c r="BA202" i="30" s="1"/>
  <c r="AY200" i="30"/>
  <c r="AY201" i="30" s="1"/>
  <c r="AY202" i="30" s="1"/>
  <c r="AY86" i="28"/>
  <c r="AY93" i="30"/>
  <c r="AS95" i="28"/>
  <c r="AS97" i="30"/>
  <c r="BF86" i="28"/>
  <c r="BD86" i="30"/>
  <c r="BI86" i="30"/>
  <c r="BI200" i="30" s="1"/>
  <c r="BI201" i="30" s="1"/>
  <c r="BI202" i="30" s="1"/>
  <c r="BF93" i="30"/>
  <c r="BF93" i="28" s="1"/>
  <c r="Z23" i="36"/>
  <c r="AF23" i="36"/>
  <c r="BH16" i="30"/>
  <c r="BH16" i="28" s="1"/>
  <c r="BL16" i="28"/>
  <c r="BO16" i="30"/>
  <c r="BJ16" i="30"/>
  <c r="BJ16" i="28" s="1"/>
  <c r="AK174" i="30"/>
  <c r="AK170" i="28"/>
  <c r="AK191" i="30"/>
  <c r="AH193" i="28"/>
  <c r="R209" i="30"/>
  <c r="BJ7" i="28"/>
  <c r="BM7" i="30"/>
  <c r="BK101" i="30"/>
  <c r="BK101" i="28" s="1"/>
  <c r="BH102" i="30"/>
  <c r="BD32" i="28"/>
  <c r="BD34" i="30"/>
  <c r="BA34" i="28"/>
  <c r="BA31" i="28" s="1"/>
  <c r="BA83" i="30"/>
  <c r="BF83" i="30"/>
  <c r="BF83" i="28" s="1"/>
  <c r="BF34" i="28"/>
  <c r="BF31" i="28" s="1"/>
  <c r="AX83" i="28"/>
  <c r="BB34" i="28"/>
  <c r="BB31" i="28" s="1"/>
  <c r="BE32" i="30"/>
  <c r="BL32" i="30"/>
  <c r="BI34" i="30"/>
  <c r="BG32" i="30"/>
  <c r="BI32" i="28"/>
  <c r="BM101" i="30"/>
  <c r="BN101" i="30" s="1"/>
  <c r="BO101" i="28"/>
  <c r="BJ103" i="28"/>
  <c r="BL102" i="28"/>
  <c r="BO102" i="30"/>
  <c r="BJ102" i="30"/>
  <c r="BJ102" i="28" s="1"/>
  <c r="BM103" i="30"/>
  <c r="BM103" i="28" s="1"/>
  <c r="BO103" i="28"/>
  <c r="BM9" i="30"/>
  <c r="BJ25" i="30"/>
  <c r="BJ25" i="28" s="1"/>
  <c r="BJ9" i="28"/>
  <c r="BO5" i="30"/>
  <c r="BL5" i="28"/>
  <c r="AB208" i="30"/>
  <c r="BL4" i="30"/>
  <c r="BI4" i="28"/>
  <c r="P8" i="36" l="1"/>
  <c r="BB15" i="30"/>
  <c r="BB15" i="28" s="1"/>
  <c r="BI15" i="30"/>
  <c r="BF15" i="28"/>
  <c r="BD15" i="30"/>
  <c r="BD15" i="28" s="1"/>
  <c r="BC9" i="30"/>
  <c r="BB25" i="30"/>
  <c r="BB25" i="28" s="1"/>
  <c r="BE9" i="30"/>
  <c r="BB9" i="28"/>
  <c r="AY28" i="30"/>
  <c r="AY28" i="28" s="1"/>
  <c r="AZ9" i="28"/>
  <c r="AZ25" i="30"/>
  <c r="AZ25" i="28" s="1"/>
  <c r="BD111" i="28"/>
  <c r="BK65" i="30"/>
  <c r="BK65" i="28" s="1"/>
  <c r="BO65" i="28"/>
  <c r="BM65" i="30"/>
  <c r="BM65" i="28" s="1"/>
  <c r="BE78" i="30"/>
  <c r="BE78" i="28" s="1"/>
  <c r="BE69" i="28" s="1"/>
  <c r="BK50" i="30"/>
  <c r="BK50" i="28" s="1"/>
  <c r="BK74" i="30"/>
  <c r="BK74" i="28" s="1"/>
  <c r="AY24" i="28"/>
  <c r="BK55" i="28"/>
  <c r="BK57" i="30"/>
  <c r="BK57" i="28" s="1"/>
  <c r="BK52" i="28" s="1"/>
  <c r="BE20" i="30"/>
  <c r="BE20" i="28" s="1"/>
  <c r="BE14" i="30"/>
  <c r="BE14" i="28" s="1"/>
  <c r="BO55" i="28"/>
  <c r="BM55" i="30"/>
  <c r="BN55" i="30" s="1"/>
  <c r="BO57" i="30"/>
  <c r="BO57" i="28" s="1"/>
  <c r="BO52" i="28" s="1"/>
  <c r="BK49" i="30"/>
  <c r="BK49" i="28" s="1"/>
  <c r="BL14" i="30"/>
  <c r="BI14" i="28"/>
  <c r="BG14" i="30"/>
  <c r="BG14" i="28" s="1"/>
  <c r="BL20" i="30"/>
  <c r="BI20" i="28"/>
  <c r="BG20" i="30"/>
  <c r="BG20" i="28" s="1"/>
  <c r="BE18" i="30"/>
  <c r="BE18" i="28" s="1"/>
  <c r="BE17" i="30"/>
  <c r="BE17" i="28" s="1"/>
  <c r="BO49" i="28"/>
  <c r="BM49" i="30"/>
  <c r="BM49" i="28" s="1"/>
  <c r="BM50" i="30"/>
  <c r="BO50" i="28"/>
  <c r="BO74" i="28"/>
  <c r="BM74" i="30"/>
  <c r="BM74" i="28" s="1"/>
  <c r="BL17" i="30"/>
  <c r="BI17" i="28"/>
  <c r="BG17" i="30"/>
  <c r="BG17" i="28" s="1"/>
  <c r="BJ55" i="28"/>
  <c r="BJ57" i="30"/>
  <c r="BJ57" i="28" s="1"/>
  <c r="BJ52" i="28" s="1"/>
  <c r="BL18" i="30"/>
  <c r="BI18" i="28"/>
  <c r="BG18" i="30"/>
  <c r="BG18" i="28" s="1"/>
  <c r="BH89" i="30"/>
  <c r="BH89" i="28" s="1"/>
  <c r="BB83" i="30"/>
  <c r="BB83" i="28" s="1"/>
  <c r="BK75" i="30"/>
  <c r="BK75" i="28" s="1"/>
  <c r="BI109" i="28"/>
  <c r="V116" i="16"/>
  <c r="V119" i="16" s="1"/>
  <c r="V130" i="16" s="1"/>
  <c r="V133" i="16" s="1"/>
  <c r="W13" i="16"/>
  <c r="W16" i="16" s="1"/>
  <c r="W82" i="16" s="1"/>
  <c r="W98" i="16" s="1"/>
  <c r="BL109" i="30" s="1"/>
  <c r="BL21" i="28"/>
  <c r="BA111" i="28"/>
  <c r="BB111" i="30"/>
  <c r="BB111" i="28" s="1"/>
  <c r="BH90" i="30"/>
  <c r="BH90" i="28" s="1"/>
  <c r="BN40" i="30"/>
  <c r="BN40" i="28" s="1"/>
  <c r="BH51" i="30"/>
  <c r="BH51" i="28" s="1"/>
  <c r="BH42" i="28" s="1"/>
  <c r="BG78" i="30"/>
  <c r="BG78" i="28" s="1"/>
  <c r="BG69" i="28" s="1"/>
  <c r="BH87" i="30"/>
  <c r="BH87" i="28" s="1"/>
  <c r="BE19" i="30"/>
  <c r="BK48" i="30"/>
  <c r="BK48" i="28" s="1"/>
  <c r="BN91" i="30"/>
  <c r="BN91" i="28" s="1"/>
  <c r="BN66" i="30"/>
  <c r="BN66" i="28" s="1"/>
  <c r="BN80" i="30"/>
  <c r="BN80" i="28" s="1"/>
  <c r="BE111" i="30"/>
  <c r="BE111" i="28" s="1"/>
  <c r="BK88" i="30"/>
  <c r="BK88" i="28" s="1"/>
  <c r="BO76" i="30"/>
  <c r="BO78" i="30" s="1"/>
  <c r="BO78" i="28" s="1"/>
  <c r="BO69" i="28" s="1"/>
  <c r="BL76" i="28"/>
  <c r="BJ76" i="30"/>
  <c r="BJ76" i="28" s="1"/>
  <c r="BM36" i="30"/>
  <c r="BO36" i="28"/>
  <c r="BO41" i="30"/>
  <c r="BO41" i="28" s="1"/>
  <c r="BO35" i="28" s="1"/>
  <c r="BH62" i="30"/>
  <c r="BH62" i="28" s="1"/>
  <c r="BH58" i="28" s="1"/>
  <c r="BH59" i="28"/>
  <c r="BH64" i="28"/>
  <c r="BH68" i="30"/>
  <c r="BH68" i="28" s="1"/>
  <c r="BH63" i="28" s="1"/>
  <c r="AH188" i="28"/>
  <c r="AK184" i="30"/>
  <c r="BK68" i="30"/>
  <c r="BK68" i="28" s="1"/>
  <c r="BK63" i="28" s="1"/>
  <c r="BK64" i="28"/>
  <c r="BO48" i="28"/>
  <c r="BM48" i="30"/>
  <c r="BM48" i="28" s="1"/>
  <c r="BK43" i="28"/>
  <c r="BH73" i="28"/>
  <c r="BL78" i="30"/>
  <c r="BL78" i="28" s="1"/>
  <c r="BL69" i="28" s="1"/>
  <c r="BJ64" i="28"/>
  <c r="BJ68" i="30"/>
  <c r="BJ68" i="28" s="1"/>
  <c r="BJ63" i="28" s="1"/>
  <c r="BL171" i="30"/>
  <c r="BL171" i="28" s="1"/>
  <c r="BO89" i="30"/>
  <c r="BJ89" i="30"/>
  <c r="BJ89" i="28" s="1"/>
  <c r="BL89" i="28"/>
  <c r="BO43" i="28"/>
  <c r="BM43" i="30"/>
  <c r="BO51" i="30"/>
  <c r="BO51" i="28" s="1"/>
  <c r="BO42" i="28" s="1"/>
  <c r="BO62" i="30"/>
  <c r="BO62" i="28" s="1"/>
  <c r="BO58" i="28" s="1"/>
  <c r="BO59" i="28"/>
  <c r="BM59" i="30"/>
  <c r="BO77" i="28"/>
  <c r="BM77" i="30"/>
  <c r="BM77" i="28" s="1"/>
  <c r="BK36" i="28"/>
  <c r="BK41" i="30"/>
  <c r="BK41" i="28" s="1"/>
  <c r="BK35" i="28" s="1"/>
  <c r="BK73" i="30"/>
  <c r="BJ73" i="28"/>
  <c r="BJ87" i="30"/>
  <c r="BJ87" i="28" s="1"/>
  <c r="BO87" i="30"/>
  <c r="BL87" i="28"/>
  <c r="BL19" i="30"/>
  <c r="BI19" i="28"/>
  <c r="BG19" i="30"/>
  <c r="BG19" i="28" s="1"/>
  <c r="BJ43" i="28"/>
  <c r="BJ51" i="30"/>
  <c r="BJ51" i="28" s="1"/>
  <c r="BJ42" i="28" s="1"/>
  <c r="BO90" i="30"/>
  <c r="BL178" i="30"/>
  <c r="BL178" i="28" s="1"/>
  <c r="BL90" i="28"/>
  <c r="BJ90" i="30"/>
  <c r="BJ90" i="28" s="1"/>
  <c r="BH76" i="30"/>
  <c r="BH76" i="28" s="1"/>
  <c r="BJ36" i="28"/>
  <c r="BJ41" i="30"/>
  <c r="BJ41" i="28" s="1"/>
  <c r="BJ35" i="28" s="1"/>
  <c r="BO73" i="28"/>
  <c r="BM73" i="30"/>
  <c r="BO161" i="30"/>
  <c r="BO161" i="28" s="1"/>
  <c r="BM88" i="30"/>
  <c r="BM88" i="28" s="1"/>
  <c r="BO88" i="28"/>
  <c r="BK59" i="30"/>
  <c r="BJ62" i="30"/>
  <c r="BJ62" i="28" s="1"/>
  <c r="BJ58" i="28" s="1"/>
  <c r="BJ59" i="28"/>
  <c r="BO68" i="30"/>
  <c r="BO68" i="28" s="1"/>
  <c r="BO63" i="28" s="1"/>
  <c r="BO64" i="28"/>
  <c r="BM64" i="30"/>
  <c r="BO75" i="28"/>
  <c r="BM75" i="30"/>
  <c r="BM75" i="28" s="1"/>
  <c r="BK77" i="30"/>
  <c r="BK77" i="28" s="1"/>
  <c r="AK181" i="30"/>
  <c r="AK177" i="28"/>
  <c r="BG111" i="30"/>
  <c r="P145" i="28"/>
  <c r="S162" i="30"/>
  <c r="BA95" i="30"/>
  <c r="BA95" i="28" s="1"/>
  <c r="BB200" i="30"/>
  <c r="BB201" i="30" s="1"/>
  <c r="BB202" i="30" s="1"/>
  <c r="BB86" i="28"/>
  <c r="BB93" i="30"/>
  <c r="AS97" i="28"/>
  <c r="BF95" i="30"/>
  <c r="BF95" i="28" s="1"/>
  <c r="BL86" i="30"/>
  <c r="BL200" i="30" s="1"/>
  <c r="BL201" i="30" s="1"/>
  <c r="BL202" i="30" s="1"/>
  <c r="BI93" i="30"/>
  <c r="BI93" i="28" s="1"/>
  <c r="BG86" i="30"/>
  <c r="BH86" i="30" s="1"/>
  <c r="BI86" i="28"/>
  <c r="AV95" i="28"/>
  <c r="AV97" i="30"/>
  <c r="AY93" i="28"/>
  <c r="AY95" i="30"/>
  <c r="BE86" i="30"/>
  <c r="BD93" i="30"/>
  <c r="BD93" i="28" s="1"/>
  <c r="BD200" i="30"/>
  <c r="BD201" i="30" s="1"/>
  <c r="BD202" i="30" s="1"/>
  <c r="BD86" i="28"/>
  <c r="BM7" i="28"/>
  <c r="BK16" i="30"/>
  <c r="BK16" i="28" s="1"/>
  <c r="BO16" i="28"/>
  <c r="BM16" i="30"/>
  <c r="BM16" i="28" s="1"/>
  <c r="AN170" i="30"/>
  <c r="AK174" i="28"/>
  <c r="AK191" i="28"/>
  <c r="AK193" i="30"/>
  <c r="BH102" i="28"/>
  <c r="BN103" i="30"/>
  <c r="BN103" i="28" s="1"/>
  <c r="BG34" i="30"/>
  <c r="BG32" i="28"/>
  <c r="BE32" i="28"/>
  <c r="BE34" i="30"/>
  <c r="BH32" i="30"/>
  <c r="BA83" i="28"/>
  <c r="BI83" i="30"/>
  <c r="BI83" i="28" s="1"/>
  <c r="BI34" i="28"/>
  <c r="BI31" i="28" s="1"/>
  <c r="BD34" i="28"/>
  <c r="BD31" i="28" s="1"/>
  <c r="BD83" i="30"/>
  <c r="BL32" i="28"/>
  <c r="BO32" i="30"/>
  <c r="BJ32" i="30"/>
  <c r="BL34" i="30"/>
  <c r="BN101" i="28"/>
  <c r="BM102" i="30"/>
  <c r="BM102" i="28" s="1"/>
  <c r="BO102" i="28"/>
  <c r="BM101" i="28"/>
  <c r="BK102" i="30"/>
  <c r="BM25" i="30"/>
  <c r="BM25" i="28" s="1"/>
  <c r="BM9" i="28"/>
  <c r="BO5" i="28"/>
  <c r="AC208" i="30"/>
  <c r="BL4" i="28"/>
  <c r="BO4" i="30"/>
  <c r="BE15" i="30" l="1"/>
  <c r="BE15" i="28" s="1"/>
  <c r="BB24" i="30"/>
  <c r="BB24" i="28" s="1"/>
  <c r="BG15" i="30"/>
  <c r="BG15" i="28" s="1"/>
  <c r="BL15" i="30"/>
  <c r="BI15" i="28"/>
  <c r="BF9" i="30"/>
  <c r="BH9" i="30"/>
  <c r="BE25" i="30"/>
  <c r="BE25" i="28" s="1"/>
  <c r="BE9" i="28"/>
  <c r="BC25" i="30"/>
  <c r="BC25" i="28" s="1"/>
  <c r="BC9" i="28"/>
  <c r="BG111" i="28"/>
  <c r="BN65" i="30"/>
  <c r="BN65" i="28" s="1"/>
  <c r="BH18" i="30"/>
  <c r="BH18" i="28" s="1"/>
  <c r="BH14" i="30"/>
  <c r="BH14" i="28" s="1"/>
  <c r="BH20" i="30"/>
  <c r="BH20" i="28" s="1"/>
  <c r="BN49" i="30"/>
  <c r="BN49" i="28" s="1"/>
  <c r="BO4" i="28"/>
  <c r="BN55" i="28"/>
  <c r="BN57" i="30"/>
  <c r="BN57" i="28" s="1"/>
  <c r="BN52" i="28" s="1"/>
  <c r="BH17" i="30"/>
  <c r="BH17" i="28" s="1"/>
  <c r="BM50" i="28"/>
  <c r="BN50" i="30"/>
  <c r="BN50" i="28" s="1"/>
  <c r="BO20" i="30"/>
  <c r="BL20" i="28"/>
  <c r="BJ20" i="30"/>
  <c r="BJ20" i="28" s="1"/>
  <c r="BM55" i="28"/>
  <c r="BM57" i="30"/>
  <c r="BM57" i="28" s="1"/>
  <c r="BM52" i="28" s="1"/>
  <c r="BO17" i="30"/>
  <c r="BL17" i="28"/>
  <c r="BJ17" i="30"/>
  <c r="BJ17" i="28" s="1"/>
  <c r="BN74" i="30"/>
  <c r="BN74" i="28" s="1"/>
  <c r="BO18" i="30"/>
  <c r="BL18" i="28"/>
  <c r="BJ18" i="30"/>
  <c r="BJ18" i="28" s="1"/>
  <c r="BO14" i="30"/>
  <c r="BL14" i="28"/>
  <c r="BJ14" i="30"/>
  <c r="BJ14" i="28" s="1"/>
  <c r="BJ78" i="30"/>
  <c r="BJ78" i="28" s="1"/>
  <c r="BJ69" i="28" s="1"/>
  <c r="BK90" i="30"/>
  <c r="BK90" i="28" s="1"/>
  <c r="BK51" i="30"/>
  <c r="BK51" i="28" s="1"/>
  <c r="BK42" i="28" s="1"/>
  <c r="W116" i="16"/>
  <c r="W119" i="16" s="1"/>
  <c r="W130" i="16" s="1"/>
  <c r="W133" i="16" s="1"/>
  <c r="BO21" i="28"/>
  <c r="X13" i="16"/>
  <c r="X16" i="16" s="1"/>
  <c r="X82" i="16" s="1"/>
  <c r="X98" i="16" s="1"/>
  <c r="BO109" i="30" s="1"/>
  <c r="BN88" i="30"/>
  <c r="BN88" i="28" s="1"/>
  <c r="BK76" i="30"/>
  <c r="BK76" i="28" s="1"/>
  <c r="BE19" i="28"/>
  <c r="BE24" i="30"/>
  <c r="BH78" i="30"/>
  <c r="BH78" i="28" s="1"/>
  <c r="BH69" i="28" s="1"/>
  <c r="BH19" i="30"/>
  <c r="BN77" i="30"/>
  <c r="BN77" i="28" s="1"/>
  <c r="BK62" i="30"/>
  <c r="BK62" i="28" s="1"/>
  <c r="BK58" i="28" s="1"/>
  <c r="BK59" i="28"/>
  <c r="BN73" i="30"/>
  <c r="BM73" i="28"/>
  <c r="BO87" i="28"/>
  <c r="BM87" i="30"/>
  <c r="BM87" i="28" s="1"/>
  <c r="BO171" i="30"/>
  <c r="BO171" i="28" s="1"/>
  <c r="BO89" i="28"/>
  <c r="BM89" i="30"/>
  <c r="BM89" i="28" s="1"/>
  <c r="BM36" i="28"/>
  <c r="BM41" i="30"/>
  <c r="BM41" i="28" s="1"/>
  <c r="BM35" i="28" s="1"/>
  <c r="BN64" i="30"/>
  <c r="BM64" i="28"/>
  <c r="BM68" i="30"/>
  <c r="BM68" i="28" s="1"/>
  <c r="BM63" i="28" s="1"/>
  <c r="BN43" i="30"/>
  <c r="BM43" i="28"/>
  <c r="BM51" i="30"/>
  <c r="BM51" i="28" s="1"/>
  <c r="BM42" i="28" s="1"/>
  <c r="BK89" i="30"/>
  <c r="BK89" i="28" s="1"/>
  <c r="BO178" i="30"/>
  <c r="BO178" i="28" s="1"/>
  <c r="BM90" i="30"/>
  <c r="BM90" i="28" s="1"/>
  <c r="BO90" i="28"/>
  <c r="BO19" i="30"/>
  <c r="BL19" i="28"/>
  <c r="BJ19" i="30"/>
  <c r="BJ19" i="28" s="1"/>
  <c r="AK188" i="30"/>
  <c r="AK184" i="28"/>
  <c r="BN75" i="30"/>
  <c r="BN75" i="28" s="1"/>
  <c r="BK87" i="30"/>
  <c r="BK87" i="28" s="1"/>
  <c r="BK73" i="28"/>
  <c r="BN59" i="30"/>
  <c r="BM59" i="28"/>
  <c r="BM62" i="30"/>
  <c r="BM62" i="28" s="1"/>
  <c r="BM58" i="28" s="1"/>
  <c r="BN48" i="30"/>
  <c r="BN48" i="28" s="1"/>
  <c r="BN36" i="30"/>
  <c r="BO76" i="28"/>
  <c r="BM76" i="30"/>
  <c r="BM76" i="28" s="1"/>
  <c r="BH111" i="30"/>
  <c r="BH111" i="28" s="1"/>
  <c r="BI95" i="30"/>
  <c r="BI95" i="28" s="1"/>
  <c r="AN177" i="30"/>
  <c r="AK181" i="28"/>
  <c r="S162" i="28"/>
  <c r="S167" i="30"/>
  <c r="Q8" i="51" s="1"/>
  <c r="AV97" i="28"/>
  <c r="BD95" i="30"/>
  <c r="BD95" i="28" s="1"/>
  <c r="BG93" i="30"/>
  <c r="BG93" i="28" s="1"/>
  <c r="BG200" i="30"/>
  <c r="BG201" i="30" s="1"/>
  <c r="BG202" i="30" s="1"/>
  <c r="BG86" i="28"/>
  <c r="BH86" i="28"/>
  <c r="BH93" i="30"/>
  <c r="BH93" i="28" s="1"/>
  <c r="BH200" i="30"/>
  <c r="BH201" i="30" s="1"/>
  <c r="BE86" i="28"/>
  <c r="BE200" i="30"/>
  <c r="BE201" i="30" s="1"/>
  <c r="BE202" i="30" s="1"/>
  <c r="BE93" i="30"/>
  <c r="BE93" i="28" s="1"/>
  <c r="BB93" i="28"/>
  <c r="BB95" i="30"/>
  <c r="AY95" i="28"/>
  <c r="AY97" i="30"/>
  <c r="BL86" i="28"/>
  <c r="BO86" i="30"/>
  <c r="BO200" i="30" s="1"/>
  <c r="BO201" i="30" s="1"/>
  <c r="BO202" i="30" s="1"/>
  <c r="BL93" i="30"/>
  <c r="BL93" i="28" s="1"/>
  <c r="BJ86" i="30"/>
  <c r="BN16" i="30"/>
  <c r="BN16" i="28" s="1"/>
  <c r="AN174" i="30"/>
  <c r="AN170" i="28"/>
  <c r="S209" i="30"/>
  <c r="AN191" i="30"/>
  <c r="AK193" i="28"/>
  <c r="BN102" i="30"/>
  <c r="BN102" i="28" s="1"/>
  <c r="BE34" i="28"/>
  <c r="BE31" i="28" s="1"/>
  <c r="BE83" i="30"/>
  <c r="BE83" i="28" s="1"/>
  <c r="BO34" i="30"/>
  <c r="BO32" i="28"/>
  <c r="BM32" i="30"/>
  <c r="BJ32" i="28"/>
  <c r="BJ34" i="30"/>
  <c r="BD83" i="28"/>
  <c r="BL83" i="30"/>
  <c r="BL83" i="28" s="1"/>
  <c r="BL34" i="28"/>
  <c r="BL31" i="28" s="1"/>
  <c r="BK32" i="30"/>
  <c r="BH34" i="30"/>
  <c r="BH32" i="28"/>
  <c r="BG34" i="28"/>
  <c r="BG31" i="28" s="1"/>
  <c r="BG83" i="30"/>
  <c r="BK102" i="28"/>
  <c r="BB28" i="30" l="1"/>
  <c r="BB28" i="28" s="1"/>
  <c r="BH15" i="30"/>
  <c r="BH15" i="28" s="1"/>
  <c r="BO15" i="30"/>
  <c r="BL15" i="28"/>
  <c r="BJ15" i="30"/>
  <c r="BJ15" i="28" s="1"/>
  <c r="BK15" i="30"/>
  <c r="BK15" i="28" s="1"/>
  <c r="BI9" i="30"/>
  <c r="BK9" i="30"/>
  <c r="BH25" i="30"/>
  <c r="BH25" i="28" s="1"/>
  <c r="BH9" i="28"/>
  <c r="BF25" i="30"/>
  <c r="BF25" i="28" s="1"/>
  <c r="BF9" i="28"/>
  <c r="BK20" i="30"/>
  <c r="BK20" i="28" s="1"/>
  <c r="BK14" i="30"/>
  <c r="BK14" i="28" s="1"/>
  <c r="BK17" i="30"/>
  <c r="BK17" i="28" s="1"/>
  <c r="BO20" i="28"/>
  <c r="BM20" i="30"/>
  <c r="BM20" i="28" s="1"/>
  <c r="BO14" i="28"/>
  <c r="BM14" i="30"/>
  <c r="BM14" i="28" s="1"/>
  <c r="BK18" i="30"/>
  <c r="BK18" i="28" s="1"/>
  <c r="BO17" i="28"/>
  <c r="BM17" i="30"/>
  <c r="BM17" i="28" s="1"/>
  <c r="BO18" i="28"/>
  <c r="BM18" i="30"/>
  <c r="BM18" i="28" s="1"/>
  <c r="BN76" i="30"/>
  <c r="BN76" i="28" s="1"/>
  <c r="X116" i="16"/>
  <c r="X119" i="16" s="1"/>
  <c r="X130" i="16" s="1"/>
  <c r="X133" i="16" s="1"/>
  <c r="BL109" i="28"/>
  <c r="BJ111" i="30"/>
  <c r="BE28" i="30"/>
  <c r="BE28" i="28" s="1"/>
  <c r="BE24" i="28"/>
  <c r="BH19" i="28"/>
  <c r="BK78" i="30"/>
  <c r="BK78" i="28" s="1"/>
  <c r="BK69" i="28" s="1"/>
  <c r="BK19" i="30"/>
  <c r="AK188" i="28"/>
  <c r="AN184" i="30"/>
  <c r="BN43" i="28"/>
  <c r="BN51" i="30"/>
  <c r="BN51" i="28" s="1"/>
  <c r="BN42" i="28" s="1"/>
  <c r="BN89" i="30"/>
  <c r="BN89" i="28" s="1"/>
  <c r="BN36" i="28"/>
  <c r="BN41" i="30"/>
  <c r="BN41" i="28" s="1"/>
  <c r="BN35" i="28" s="1"/>
  <c r="BM78" i="30"/>
  <c r="BM78" i="28" s="1"/>
  <c r="BM69" i="28" s="1"/>
  <c r="BN68" i="30"/>
  <c r="BN68" i="28" s="1"/>
  <c r="BN63" i="28" s="1"/>
  <c r="BN64" i="28"/>
  <c r="BN73" i="28"/>
  <c r="BO19" i="28"/>
  <c r="BM19" i="30"/>
  <c r="BM19" i="28" s="1"/>
  <c r="BN87" i="30"/>
  <c r="BN87" i="28" s="1"/>
  <c r="BN62" i="30"/>
  <c r="BN62" i="28" s="1"/>
  <c r="BN58" i="28" s="1"/>
  <c r="BN59" i="28"/>
  <c r="BN90" i="30"/>
  <c r="BN90" i="28" s="1"/>
  <c r="AN181" i="30"/>
  <c r="AN177" i="28"/>
  <c r="S168" i="30"/>
  <c r="S145" i="30"/>
  <c r="S167" i="28"/>
  <c r="V160" i="30"/>
  <c r="V160" i="28" s="1"/>
  <c r="BH202" i="30"/>
  <c r="BJ86" i="28"/>
  <c r="BJ200" i="30"/>
  <c r="BJ201" i="30" s="1"/>
  <c r="BJ202" i="30" s="1"/>
  <c r="BJ93" i="30"/>
  <c r="BJ93" i="28" s="1"/>
  <c r="AY97" i="28"/>
  <c r="BE95" i="30"/>
  <c r="BE95" i="28" s="1"/>
  <c r="BO93" i="30"/>
  <c r="BO93" i="28" s="1"/>
  <c r="BO86" i="28"/>
  <c r="BM86" i="30"/>
  <c r="BN86" i="30" s="1"/>
  <c r="BG95" i="30"/>
  <c r="BG95" i="28" s="1"/>
  <c r="BL95" i="30"/>
  <c r="BL95" i="28" s="1"/>
  <c r="BK86" i="30"/>
  <c r="BB95" i="28"/>
  <c r="AQ170" i="30"/>
  <c r="AN174" i="28"/>
  <c r="AN191" i="28"/>
  <c r="AN193" i="30"/>
  <c r="BG83" i="28"/>
  <c r="BO83" i="30"/>
  <c r="BO83" i="28" s="1"/>
  <c r="BO34" i="28"/>
  <c r="BO31" i="28" s="1"/>
  <c r="BH34" i="28"/>
  <c r="BH31" i="28" s="1"/>
  <c r="BH83" i="30"/>
  <c r="BH83" i="28" s="1"/>
  <c r="BH95" i="30"/>
  <c r="BH95" i="28" s="1"/>
  <c r="BM34" i="30"/>
  <c r="BM32" i="28"/>
  <c r="BK32" i="28"/>
  <c r="BK34" i="30"/>
  <c r="BJ83" i="30"/>
  <c r="BJ34" i="28"/>
  <c r="BJ31" i="28" s="1"/>
  <c r="BN32" i="30"/>
  <c r="BB97" i="30" l="1"/>
  <c r="BH24" i="30"/>
  <c r="BH28" i="30" s="1"/>
  <c r="BH28" i="28" s="1"/>
  <c r="BM15" i="30"/>
  <c r="BM15" i="28" s="1"/>
  <c r="BO15" i="28"/>
  <c r="BL9" i="30"/>
  <c r="BK25" i="30"/>
  <c r="BK25" i="28" s="1"/>
  <c r="BN9" i="30"/>
  <c r="BK9" i="28"/>
  <c r="BI25" i="30"/>
  <c r="BI25" i="28" s="1"/>
  <c r="BI9" i="28"/>
  <c r="BN78" i="30"/>
  <c r="BN78" i="28" s="1"/>
  <c r="BN69" i="28" s="1"/>
  <c r="BN20" i="30"/>
  <c r="BN20" i="28" s="1"/>
  <c r="BN18" i="30"/>
  <c r="BN18" i="28" s="1"/>
  <c r="BN14" i="30"/>
  <c r="BN14" i="28" s="1"/>
  <c r="BN17" i="30"/>
  <c r="BN17" i="28" s="1"/>
  <c r="BN19" i="30"/>
  <c r="BN19" i="28" s="1"/>
  <c r="BJ111" i="28"/>
  <c r="BK111" i="30"/>
  <c r="BK111" i="28" s="1"/>
  <c r="BO109" i="28"/>
  <c r="BM111" i="30"/>
  <c r="BK19" i="28"/>
  <c r="BK24" i="30"/>
  <c r="AN184" i="28"/>
  <c r="AN188" i="30"/>
  <c r="AQ177" i="30"/>
  <c r="AN181" i="28"/>
  <c r="S145" i="28"/>
  <c r="V162" i="30"/>
  <c r="BO95" i="30"/>
  <c r="BO95" i="28" s="1"/>
  <c r="BE97" i="30"/>
  <c r="BB97" i="28"/>
  <c r="BJ95" i="30"/>
  <c r="BJ95" i="28" s="1"/>
  <c r="BM200" i="30"/>
  <c r="BM201" i="30" s="1"/>
  <c r="BM202" i="30" s="1"/>
  <c r="BM93" i="30"/>
  <c r="BM93" i="28" s="1"/>
  <c r="BM86" i="28"/>
  <c r="BN86" i="28"/>
  <c r="BN200" i="30"/>
  <c r="BN201" i="30" s="1"/>
  <c r="BN93" i="30"/>
  <c r="BN93" i="28" s="1"/>
  <c r="BK93" i="30"/>
  <c r="BK93" i="28" s="1"/>
  <c r="BK200" i="30"/>
  <c r="BK201" i="30" s="1"/>
  <c r="BK202" i="30" s="1"/>
  <c r="BK86" i="28"/>
  <c r="AQ170" i="28"/>
  <c r="AQ174" i="30"/>
  <c r="AN193" i="28"/>
  <c r="T209" i="30"/>
  <c r="AQ191" i="30"/>
  <c r="BN32" i="28"/>
  <c r="BN34" i="30"/>
  <c r="BK83" i="30"/>
  <c r="BK83" i="28" s="1"/>
  <c r="BK34" i="28"/>
  <c r="BK31" i="28" s="1"/>
  <c r="BM34" i="28"/>
  <c r="BM31" i="28" s="1"/>
  <c r="BM83" i="30"/>
  <c r="BJ83" i="28"/>
  <c r="BH24" i="28" l="1"/>
  <c r="BN15" i="30"/>
  <c r="BN15" i="28" s="1"/>
  <c r="BO9" i="30"/>
  <c r="BN9" i="28"/>
  <c r="BN25" i="30"/>
  <c r="BN25" i="28" s="1"/>
  <c r="BL25" i="30"/>
  <c r="BL25" i="28" s="1"/>
  <c r="BL9" i="28"/>
  <c r="BM111" i="28"/>
  <c r="BN111" i="30"/>
  <c r="BN111" i="28" s="1"/>
  <c r="BH97" i="30"/>
  <c r="BH97" i="28" s="1"/>
  <c r="BK28" i="30"/>
  <c r="BK28" i="28" s="1"/>
  <c r="BK24" i="28"/>
  <c r="AQ184" i="30"/>
  <c r="AN188" i="28"/>
  <c r="AQ177" i="28"/>
  <c r="AQ181" i="30"/>
  <c r="V162" i="28"/>
  <c r="V167" i="30"/>
  <c r="Q9" i="51" s="1"/>
  <c r="BK95" i="30"/>
  <c r="BK95" i="28" s="1"/>
  <c r="BE97" i="28"/>
  <c r="BM95" i="30"/>
  <c r="BM95" i="28" s="1"/>
  <c r="BN202" i="30"/>
  <c r="AT170" i="30"/>
  <c r="AQ174" i="28"/>
  <c r="AQ193" i="30"/>
  <c r="AQ191" i="28"/>
  <c r="BM83" i="28"/>
  <c r="BN34" i="28"/>
  <c r="BN31" i="28" s="1"/>
  <c r="BN83" i="30"/>
  <c r="BN83" i="28" s="1"/>
  <c r="BN95" i="30"/>
  <c r="BN95" i="28" s="1"/>
  <c r="BN24" i="30" l="1"/>
  <c r="BN28" i="30" s="1"/>
  <c r="BO25" i="30"/>
  <c r="BO25" i="28" s="1"/>
  <c r="BO9" i="28"/>
  <c r="BK97" i="30"/>
  <c r="AQ188" i="30"/>
  <c r="AQ184" i="28"/>
  <c r="AT177" i="30"/>
  <c r="AQ181" i="28"/>
  <c r="Y160" i="30"/>
  <c r="V145" i="30"/>
  <c r="V168" i="30"/>
  <c r="V167" i="28"/>
  <c r="AT174" i="30"/>
  <c r="AT170" i="28"/>
  <c r="U209" i="30"/>
  <c r="AT191" i="30"/>
  <c r="AQ193" i="28"/>
  <c r="BN28" i="28" l="1"/>
  <c r="BN97" i="30"/>
  <c r="BN97" i="28" s="1"/>
  <c r="BN24" i="28"/>
  <c r="BK97" i="28"/>
  <c r="AT184" i="30"/>
  <c r="AQ188" i="28"/>
  <c r="AT181" i="30"/>
  <c r="AT177" i="28"/>
  <c r="Y162" i="30"/>
  <c r="Y162" i="28" s="1"/>
  <c r="V145" i="28"/>
  <c r="Y160" i="28"/>
  <c r="AW170" i="30"/>
  <c r="AT174" i="28"/>
  <c r="AT191" i="28"/>
  <c r="AT193" i="30"/>
  <c r="AT188" i="30" l="1"/>
  <c r="AT184" i="28"/>
  <c r="AW177" i="30"/>
  <c r="AT181" i="28"/>
  <c r="Y167" i="30"/>
  <c r="AW174" i="30"/>
  <c r="AW170" i="28"/>
  <c r="AW191" i="30"/>
  <c r="AT193" i="28"/>
  <c r="V209" i="30"/>
  <c r="Y145" i="30" l="1"/>
  <c r="Y145" i="28" s="1"/>
  <c r="Q10" i="51"/>
  <c r="AW184" i="30"/>
  <c r="AT188" i="28"/>
  <c r="AW177" i="28"/>
  <c r="AW181" i="30"/>
  <c r="Y167" i="28"/>
  <c r="Y168" i="30"/>
  <c r="AB160" i="30"/>
  <c r="AB160" i="28" s="1"/>
  <c r="AZ170" i="30"/>
  <c r="AW174" i="28"/>
  <c r="AW193" i="30"/>
  <c r="AW191" i="28"/>
  <c r="AB162" i="30" l="1"/>
  <c r="AB162" i="28" s="1"/>
  <c r="AW188" i="30"/>
  <c r="AW184" i="28"/>
  <c r="AW181" i="28"/>
  <c r="AZ177" i="30"/>
  <c r="AZ174" i="30"/>
  <c r="AZ170" i="28"/>
  <c r="AZ191" i="30"/>
  <c r="AW193" i="28"/>
  <c r="W209" i="30"/>
  <c r="AB167" i="30" l="1"/>
  <c r="Q11" i="51" s="1"/>
  <c r="AZ184" i="30"/>
  <c r="AW188" i="28"/>
  <c r="AZ181" i="30"/>
  <c r="AZ177" i="28"/>
  <c r="BC170" i="30"/>
  <c r="AZ174" i="28"/>
  <c r="AZ191" i="28"/>
  <c r="AZ193" i="30"/>
  <c r="AB167" i="28" l="1"/>
  <c r="AB168" i="30"/>
  <c r="AE160" i="30"/>
  <c r="AE160" i="28" s="1"/>
  <c r="AB145" i="30"/>
  <c r="AB145" i="28" s="1"/>
  <c r="AZ188" i="30"/>
  <c r="AZ184" i="28"/>
  <c r="BC177" i="30"/>
  <c r="AZ181" i="28"/>
  <c r="BC174" i="30"/>
  <c r="BC170" i="28"/>
  <c r="X209" i="30"/>
  <c r="BC191" i="30"/>
  <c r="AZ193" i="28"/>
  <c r="AE162" i="30" l="1"/>
  <c r="AE162" i="28" s="1"/>
  <c r="AZ188" i="28"/>
  <c r="BC184" i="30"/>
  <c r="BC181" i="30"/>
  <c r="BC177" i="28"/>
  <c r="BF170" i="30"/>
  <c r="BC174" i="28"/>
  <c r="BC193" i="30"/>
  <c r="BC191" i="28"/>
  <c r="AE167" i="30" l="1"/>
  <c r="Q12" i="51" s="1"/>
  <c r="BC184" i="28"/>
  <c r="BC188" i="30"/>
  <c r="BC181" i="28"/>
  <c r="BF177" i="30"/>
  <c r="BF174" i="30"/>
  <c r="BF170" i="28"/>
  <c r="Y209" i="30"/>
  <c r="BF191" i="30"/>
  <c r="BC193" i="28"/>
  <c r="AE145" i="30" l="1"/>
  <c r="AE145" i="28" s="1"/>
  <c r="AH160" i="30"/>
  <c r="AH160" i="28" s="1"/>
  <c r="AE168" i="30"/>
  <c r="AE167" i="28"/>
  <c r="BC188" i="28"/>
  <c r="BF184" i="30"/>
  <c r="BF177" i="28"/>
  <c r="BF181" i="30"/>
  <c r="AH162" i="30"/>
  <c r="AH162" i="28" s="1"/>
  <c r="BF174" i="28"/>
  <c r="BI170" i="30"/>
  <c r="BF193" i="30"/>
  <c r="BF191" i="28"/>
  <c r="BF184" i="28" l="1"/>
  <c r="BF188" i="30"/>
  <c r="BI177" i="30"/>
  <c r="BF181" i="28"/>
  <c r="AH167" i="30"/>
  <c r="BI170" i="28"/>
  <c r="BI174" i="30"/>
  <c r="BI191" i="30"/>
  <c r="BF193" i="28"/>
  <c r="Z209" i="30"/>
  <c r="AH168" i="30" l="1"/>
  <c r="Q13" i="51"/>
  <c r="BI184" i="30"/>
  <c r="BF188" i="28"/>
  <c r="BI181" i="30"/>
  <c r="BI177" i="28"/>
  <c r="AK160" i="30"/>
  <c r="AK160" i="28" s="1"/>
  <c r="AH145" i="30"/>
  <c r="AH145" i="28" s="1"/>
  <c r="AH167" i="28"/>
  <c r="BI174" i="28"/>
  <c r="BL170" i="30"/>
  <c r="BI191" i="28"/>
  <c r="BI193" i="30"/>
  <c r="AK162" i="30" l="1"/>
  <c r="AK162" i="28" s="1"/>
  <c r="BI184" i="28"/>
  <c r="BI188" i="30"/>
  <c r="BI181" i="28"/>
  <c r="BL177" i="30"/>
  <c r="BL170" i="28"/>
  <c r="BL174" i="30"/>
  <c r="AA209" i="30"/>
  <c r="BL191" i="30"/>
  <c r="BI193" i="28"/>
  <c r="AK167" i="30" l="1"/>
  <c r="Q14" i="51" s="1"/>
  <c r="BI188" i="28"/>
  <c r="BL184" i="30"/>
  <c r="BL177" i="28"/>
  <c r="BL181" i="30"/>
  <c r="BL174" i="28"/>
  <c r="BO170" i="30"/>
  <c r="BL191" i="28"/>
  <c r="BL193" i="30"/>
  <c r="AK145" i="30" l="1"/>
  <c r="AK145" i="28" s="1"/>
  <c r="AK168" i="30"/>
  <c r="AK167" i="28"/>
  <c r="AN160" i="30"/>
  <c r="AN160" i="28" s="1"/>
  <c r="BL184" i="28"/>
  <c r="BL188" i="30"/>
  <c r="BO177" i="30"/>
  <c r="BL181" i="28"/>
  <c r="BO174" i="30"/>
  <c r="BO170" i="28"/>
  <c r="BO191" i="30"/>
  <c r="AB209" i="30"/>
  <c r="BL193" i="28"/>
  <c r="AN162" i="30" l="1"/>
  <c r="AN162" i="28" s="1"/>
  <c r="BL188" i="28"/>
  <c r="BO184" i="30"/>
  <c r="BO181" i="30"/>
  <c r="BO181" i="28" s="1"/>
  <c r="BO177" i="28"/>
  <c r="BO174" i="28"/>
  <c r="BO193" i="30"/>
  <c r="BO191" i="28"/>
  <c r="AN167" i="30" l="1"/>
  <c r="BO184" i="28"/>
  <c r="BO188" i="30"/>
  <c r="BO188" i="28" s="1"/>
  <c r="AC209" i="30"/>
  <c r="BO193" i="28"/>
  <c r="AQ160" i="30" l="1"/>
  <c r="AQ160" i="28" s="1"/>
  <c r="AN168" i="30"/>
  <c r="AN145" i="30"/>
  <c r="AN145" i="28" s="1"/>
  <c r="AN167" i="28"/>
  <c r="Q15" i="51"/>
  <c r="AQ162" i="30" l="1"/>
  <c r="AQ162" i="28" s="1"/>
  <c r="AQ167" i="30" l="1"/>
  <c r="AQ145" i="30" s="1"/>
  <c r="AQ145" i="28" s="1"/>
  <c r="AT162" i="30" l="1"/>
  <c r="AT162" i="28" s="1"/>
  <c r="AQ168" i="30"/>
  <c r="Q16" i="51"/>
  <c r="AQ167" i="28"/>
  <c r="AT160" i="30"/>
  <c r="AT160" i="28" s="1"/>
  <c r="AT167" i="30" l="1"/>
  <c r="Q17" i="51" s="1"/>
  <c r="AT167" i="28" l="1"/>
  <c r="AW160" i="30"/>
  <c r="AW160" i="28" s="1"/>
  <c r="AT145" i="30"/>
  <c r="AW162" i="30" s="1"/>
  <c r="AW162" i="28" s="1"/>
  <c r="AT168" i="30"/>
  <c r="AW167" i="30" l="1"/>
  <c r="Q18" i="51" s="1"/>
  <c r="AT145" i="28"/>
  <c r="AW167" i="28" l="1"/>
  <c r="AZ160" i="30"/>
  <c r="AZ160" i="28" s="1"/>
  <c r="AW145" i="30"/>
  <c r="AW145" i="28" s="1"/>
  <c r="AW168" i="30"/>
  <c r="AZ162" i="30" l="1"/>
  <c r="AZ162" i="28" s="1"/>
  <c r="AZ167" i="30" l="1"/>
  <c r="Q19" i="51" s="1"/>
  <c r="AZ145" i="30" l="1"/>
  <c r="AZ145" i="28" s="1"/>
  <c r="AZ167" i="28"/>
  <c r="AZ168" i="30"/>
  <c r="BC160" i="30"/>
  <c r="BC160" i="28" s="1"/>
  <c r="BC162" i="30"/>
  <c r="BC162" i="28" s="1"/>
  <c r="BC167" i="30" l="1"/>
  <c r="BC145" i="30" l="1"/>
  <c r="BC145" i="28" s="1"/>
  <c r="Q20" i="51"/>
  <c r="BC168" i="30"/>
  <c r="BF160" i="30"/>
  <c r="BF160" i="28" s="1"/>
  <c r="BC167" i="28"/>
  <c r="BF162" i="30"/>
  <c r="BF162" i="28" l="1"/>
  <c r="BF167" i="30"/>
  <c r="Q21" i="51" s="1"/>
  <c r="BI160" i="30" l="1"/>
  <c r="BI160" i="28" s="1"/>
  <c r="BF145" i="30"/>
  <c r="BF167" i="28"/>
  <c r="BF168" i="30"/>
  <c r="BF145" i="28" l="1"/>
  <c r="BI162" i="30"/>
  <c r="BI162" i="28" l="1"/>
  <c r="BI167" i="30"/>
  <c r="Q22" i="51" s="1"/>
  <c r="BI145" i="30" l="1"/>
  <c r="BI168" i="30"/>
  <c r="BI167" i="28"/>
  <c r="BL160" i="30"/>
  <c r="BL160" i="28" s="1"/>
  <c r="BI145" i="28" l="1"/>
  <c r="BL162" i="30"/>
  <c r="BL162" i="28" l="1"/>
  <c r="BL167" i="30"/>
  <c r="Q23" i="51" s="1"/>
  <c r="BL145" i="30" l="1"/>
  <c r="BL167" i="28"/>
  <c r="BO160" i="30"/>
  <c r="BL168" i="30"/>
  <c r="BO160" i="28" l="1"/>
  <c r="BL145" i="28"/>
  <c r="BO162" i="30"/>
  <c r="BO162" i="28" s="1"/>
  <c r="BO167" i="30" l="1"/>
  <c r="Q24" i="51" s="1"/>
  <c r="BO168" i="30" l="1"/>
  <c r="BO145" i="30"/>
  <c r="BO145" i="28" s="1"/>
  <c r="BO167" i="28"/>
  <c r="B22" i="51" l="1"/>
  <c r="B23" i="51"/>
  <c r="H100" i="28" l="1"/>
  <c r="BO100" i="30"/>
  <c r="H105" i="28"/>
  <c r="Y100" i="30"/>
  <c r="BC100" i="30"/>
  <c r="AE100" i="30"/>
  <c r="AK100" i="30"/>
  <c r="AZ100" i="30" l="1"/>
  <c r="AZ100" i="28" s="1"/>
  <c r="M100" i="30"/>
  <c r="K100" i="30" s="1"/>
  <c r="L100" i="30" s="1"/>
  <c r="AN100" i="30"/>
  <c r="AN105" i="30" s="1"/>
  <c r="BI100" i="30"/>
  <c r="BG100" i="30" s="1"/>
  <c r="AW100" i="30"/>
  <c r="AW100" i="28" s="1"/>
  <c r="V100" i="30"/>
  <c r="T100" i="30" s="1"/>
  <c r="U100" i="30" s="1"/>
  <c r="S100" i="30"/>
  <c r="Q100" i="30" s="1"/>
  <c r="R100" i="30" s="1"/>
  <c r="P100" i="30"/>
  <c r="N100" i="30" s="1"/>
  <c r="AQ100" i="30"/>
  <c r="AQ105" i="30" s="1"/>
  <c r="AB100" i="30"/>
  <c r="BL100" i="30"/>
  <c r="AH100" i="30"/>
  <c r="AT100" i="30"/>
  <c r="J100" i="28"/>
  <c r="BF100" i="30"/>
  <c r="AC100" i="30"/>
  <c r="AD100" i="30" s="1"/>
  <c r="AE105" i="30"/>
  <c r="AE100" i="28"/>
  <c r="BA100" i="30"/>
  <c r="BB100" i="30" s="1"/>
  <c r="BC105" i="30"/>
  <c r="BC100" i="28"/>
  <c r="AZ105" i="30"/>
  <c r="AX100" i="30"/>
  <c r="AY100" i="30" s="1"/>
  <c r="I100" i="28"/>
  <c r="BO105" i="30"/>
  <c r="BM100" i="30"/>
  <c r="BN100" i="30" s="1"/>
  <c r="BO100" i="28"/>
  <c r="AK105" i="30"/>
  <c r="AI100" i="30"/>
  <c r="AJ100" i="30" s="1"/>
  <c r="AK100" i="28"/>
  <c r="Y105" i="30"/>
  <c r="W100" i="30"/>
  <c r="X100" i="30" s="1"/>
  <c r="Y100" i="28"/>
  <c r="BI105" i="30"/>
  <c r="P100" i="28" l="1"/>
  <c r="P105" i="30"/>
  <c r="P114" i="30" s="1"/>
  <c r="P114" i="28" s="1"/>
  <c r="BI100" i="28"/>
  <c r="AU100" i="30"/>
  <c r="AV100" i="30" s="1"/>
  <c r="AV100" i="28" s="1"/>
  <c r="AW105" i="30"/>
  <c r="AW114" i="30" s="1"/>
  <c r="AW114" i="28" s="1"/>
  <c r="M105" i="30"/>
  <c r="M114" i="30" s="1"/>
  <c r="M114" i="28" s="1"/>
  <c r="M100" i="28"/>
  <c r="S105" i="30"/>
  <c r="S105" i="28" s="1"/>
  <c r="S100" i="28"/>
  <c r="V100" i="28"/>
  <c r="V105" i="30"/>
  <c r="V114" i="30" s="1"/>
  <c r="V114" i="28" s="1"/>
  <c r="AL100" i="30"/>
  <c r="AM100" i="30" s="1"/>
  <c r="AM100" i="28" s="1"/>
  <c r="AN100" i="28"/>
  <c r="AQ100" i="28"/>
  <c r="AO100" i="30"/>
  <c r="AP100" i="30" s="1"/>
  <c r="AP100" i="28" s="1"/>
  <c r="I8" i="36"/>
  <c r="H32" i="36" s="1"/>
  <c r="R8" i="36"/>
  <c r="BD100" i="30"/>
  <c r="BE100" i="30" s="1"/>
  <c r="BF105" i="30"/>
  <c r="BF100" i="28"/>
  <c r="AR100" i="30"/>
  <c r="AS100" i="30" s="1"/>
  <c r="AT100" i="28"/>
  <c r="AT105" i="30"/>
  <c r="AF100" i="30"/>
  <c r="AG100" i="30" s="1"/>
  <c r="AH100" i="28"/>
  <c r="AH105" i="30"/>
  <c r="BJ100" i="30"/>
  <c r="BL100" i="28"/>
  <c r="BL105" i="30"/>
  <c r="AB100" i="28"/>
  <c r="Z100" i="30"/>
  <c r="AB105" i="30"/>
  <c r="J105" i="28"/>
  <c r="M175" i="30"/>
  <c r="J114" i="28"/>
  <c r="X105" i="30"/>
  <c r="X100" i="28"/>
  <c r="AJ105" i="30"/>
  <c r="AJ100" i="28"/>
  <c r="BN105" i="30"/>
  <c r="BN100" i="28"/>
  <c r="H12" i="28"/>
  <c r="H8" i="36"/>
  <c r="I30" i="36" s="1"/>
  <c r="J30" i="36" s="1"/>
  <c r="J8" i="36"/>
  <c r="R105" i="30"/>
  <c r="R100" i="28"/>
  <c r="I105" i="28"/>
  <c r="U105" i="30"/>
  <c r="U100" i="28"/>
  <c r="AQ114" i="30"/>
  <c r="AQ114" i="28" s="1"/>
  <c r="AT175" i="30"/>
  <c r="AQ105" i="28"/>
  <c r="AE114" i="30"/>
  <c r="AE114" i="28" s="1"/>
  <c r="AH175" i="30"/>
  <c r="AE105" i="28"/>
  <c r="H24" i="28"/>
  <c r="W105" i="30"/>
  <c r="W12" i="30" s="1"/>
  <c r="P13" i="36" s="1"/>
  <c r="W100" i="28"/>
  <c r="AN114" i="30"/>
  <c r="AN114" i="28" s="1"/>
  <c r="AN105" i="28"/>
  <c r="AQ175" i="30"/>
  <c r="AD105" i="30"/>
  <c r="AD100" i="28"/>
  <c r="N105" i="30"/>
  <c r="N12" i="30" s="1"/>
  <c r="P10" i="36" s="1"/>
  <c r="N100" i="28"/>
  <c r="BO114" i="30"/>
  <c r="BO114" i="28" s="1"/>
  <c r="BO105" i="28"/>
  <c r="AI105" i="30"/>
  <c r="AI12" i="30" s="1"/>
  <c r="P17" i="36" s="1"/>
  <c r="AI100" i="28"/>
  <c r="T105" i="30"/>
  <c r="T12" i="30" s="1"/>
  <c r="P12" i="36" s="1"/>
  <c r="T100" i="28"/>
  <c r="BG105" i="30"/>
  <c r="BG12" i="30" s="1"/>
  <c r="BG100" i="28"/>
  <c r="Y114" i="30"/>
  <c r="Y114" i="28" s="1"/>
  <c r="Y105" i="28"/>
  <c r="AB175" i="30"/>
  <c r="AV105" i="30"/>
  <c r="AY105" i="30"/>
  <c r="AY100" i="28"/>
  <c r="BC114" i="30"/>
  <c r="BC114" i="28" s="1"/>
  <c r="BF175" i="30"/>
  <c r="BC105" i="28"/>
  <c r="AC105" i="30"/>
  <c r="AC12" i="30" s="1"/>
  <c r="P15" i="36" s="1"/>
  <c r="AC100" i="28"/>
  <c r="Q105" i="30"/>
  <c r="Q12" i="30" s="1"/>
  <c r="P11" i="36" s="1"/>
  <c r="Q100" i="28"/>
  <c r="BI114" i="30"/>
  <c r="BI114" i="28" s="1"/>
  <c r="BL175" i="30"/>
  <c r="BI105" i="28"/>
  <c r="K105" i="30"/>
  <c r="K12" i="30" s="1"/>
  <c r="P9" i="36" s="1"/>
  <c r="K100" i="28"/>
  <c r="AX105" i="30"/>
  <c r="AX12" i="30" s="1"/>
  <c r="P22" i="36" s="1"/>
  <c r="AX100" i="28"/>
  <c r="BB105" i="30"/>
  <c r="BB100" i="28"/>
  <c r="L105" i="30"/>
  <c r="L100" i="28"/>
  <c r="AK114" i="30"/>
  <c r="AK114" i="28" s="1"/>
  <c r="AN175" i="30"/>
  <c r="AK105" i="28"/>
  <c r="BH100" i="30"/>
  <c r="O100" i="30"/>
  <c r="J12" i="28"/>
  <c r="BM105" i="30"/>
  <c r="BM12" i="30" s="1"/>
  <c r="BM100" i="28"/>
  <c r="AZ114" i="30"/>
  <c r="AZ114" i="28" s="1"/>
  <c r="AZ105" i="28"/>
  <c r="BC175" i="30"/>
  <c r="BA105" i="30"/>
  <c r="BA12" i="30" s="1"/>
  <c r="P23" i="36" s="1"/>
  <c r="BA100" i="28"/>
  <c r="P105" i="28" l="1"/>
  <c r="S175" i="30"/>
  <c r="AZ175" i="30"/>
  <c r="AW105" i="28"/>
  <c r="M105" i="28"/>
  <c r="P175" i="30"/>
  <c r="V105" i="28"/>
  <c r="AM105" i="30"/>
  <c r="AM105" i="28" s="1"/>
  <c r="AL105" i="30"/>
  <c r="AL12" i="30" s="1"/>
  <c r="P18" i="36" s="1"/>
  <c r="AU100" i="28"/>
  <c r="AU105" i="30"/>
  <c r="AU12" i="30" s="1"/>
  <c r="P21" i="36" s="1"/>
  <c r="R21" i="36" s="1"/>
  <c r="AN29" i="36" s="1"/>
  <c r="V175" i="30"/>
  <c r="S114" i="30"/>
  <c r="S114" i="28" s="1"/>
  <c r="AL100" i="28"/>
  <c r="Y175" i="30"/>
  <c r="AP105" i="30"/>
  <c r="AP107" i="30" s="1"/>
  <c r="AO105" i="30"/>
  <c r="AO12" i="30" s="1"/>
  <c r="P19" i="36" s="1"/>
  <c r="R19" i="36" s="1"/>
  <c r="AL29" i="36" s="1"/>
  <c r="AO100" i="28"/>
  <c r="R9" i="36"/>
  <c r="AB29" i="36" s="1"/>
  <c r="R22" i="36"/>
  <c r="AO29" i="36" s="1"/>
  <c r="R15" i="36"/>
  <c r="AH29" i="36" s="1"/>
  <c r="R11" i="36"/>
  <c r="AD29" i="36" s="1"/>
  <c r="R17" i="36"/>
  <c r="AJ29" i="36" s="1"/>
  <c r="R12" i="36"/>
  <c r="AI12" i="36" s="1"/>
  <c r="R10" i="36"/>
  <c r="AC29" i="36" s="1"/>
  <c r="AA29" i="36"/>
  <c r="AB9" i="36"/>
  <c r="AI8" i="36"/>
  <c r="BO175" i="30"/>
  <c r="BL105" i="28"/>
  <c r="BL114" i="30"/>
  <c r="BL114" i="28" s="1"/>
  <c r="AS100" i="28"/>
  <c r="AS105" i="30"/>
  <c r="AT114" i="30"/>
  <c r="AT114" i="28" s="1"/>
  <c r="AT105" i="28"/>
  <c r="AW175" i="30"/>
  <c r="BJ105" i="30"/>
  <c r="BJ12" i="30" s="1"/>
  <c r="BJ100" i="28"/>
  <c r="BK100" i="30"/>
  <c r="AR105" i="30"/>
  <c r="AR12" i="30" s="1"/>
  <c r="P20" i="36" s="1"/>
  <c r="AR100" i="28"/>
  <c r="AG105" i="30"/>
  <c r="AG100" i="28"/>
  <c r="BE105" i="30"/>
  <c r="BE100" i="28"/>
  <c r="AB114" i="30"/>
  <c r="AB114" i="28" s="1"/>
  <c r="AB105" i="28"/>
  <c r="AE175" i="30"/>
  <c r="AH114" i="30"/>
  <c r="AH114" i="28" s="1"/>
  <c r="AH105" i="28"/>
  <c r="AK175" i="30"/>
  <c r="AA100" i="30"/>
  <c r="Z105" i="30"/>
  <c r="Z12" i="30" s="1"/>
  <c r="P14" i="36" s="1"/>
  <c r="Z100" i="28"/>
  <c r="BF114" i="30"/>
  <c r="BF114" i="28" s="1"/>
  <c r="BI175" i="30"/>
  <c r="BF105" i="28"/>
  <c r="AF105" i="30"/>
  <c r="AF12" i="30" s="1"/>
  <c r="P16" i="36" s="1"/>
  <c r="AF100" i="28"/>
  <c r="BD105" i="30"/>
  <c r="BD12" i="30" s="1"/>
  <c r="BD100" i="28"/>
  <c r="BM105" i="28"/>
  <c r="BA105" i="28"/>
  <c r="BG105" i="28"/>
  <c r="J24" i="28"/>
  <c r="BH105" i="30"/>
  <c r="BH100" i="28"/>
  <c r="BN107" i="30"/>
  <c r="BN105" i="28"/>
  <c r="K105" i="28"/>
  <c r="N105" i="28"/>
  <c r="AC105" i="28"/>
  <c r="T105" i="28"/>
  <c r="AD107" i="30"/>
  <c r="AD105" i="28"/>
  <c r="I107" i="28"/>
  <c r="AV107" i="30"/>
  <c r="AV105" i="28"/>
  <c r="W105" i="28"/>
  <c r="L107" i="30"/>
  <c r="L105" i="28"/>
  <c r="BB107" i="30"/>
  <c r="BB105" i="28"/>
  <c r="AI105" i="28"/>
  <c r="H28" i="28"/>
  <c r="U107" i="30"/>
  <c r="U105" i="28"/>
  <c r="AJ107" i="30"/>
  <c r="AJ105" i="28"/>
  <c r="AY107" i="30"/>
  <c r="AY105" i="28"/>
  <c r="Q105" i="28"/>
  <c r="R107" i="30"/>
  <c r="R105" i="28"/>
  <c r="O105" i="30"/>
  <c r="O100" i="28"/>
  <c r="AX105" i="28"/>
  <c r="X107" i="30"/>
  <c r="X105" i="28"/>
  <c r="AM107" i="30" l="1"/>
  <c r="AL105" i="28"/>
  <c r="AP105" i="28"/>
  <c r="AU105" i="28"/>
  <c r="AO105" i="28"/>
  <c r="M13" i="36"/>
  <c r="M9" i="36"/>
  <c r="M10" i="36"/>
  <c r="M23" i="36"/>
  <c r="R13" i="36"/>
  <c r="AF29" i="36" s="1"/>
  <c r="R23" i="36"/>
  <c r="AP29" i="36" s="1"/>
  <c r="M11" i="36"/>
  <c r="M19" i="36"/>
  <c r="M17" i="36"/>
  <c r="M18" i="36"/>
  <c r="M22" i="36"/>
  <c r="M12" i="36"/>
  <c r="R18" i="36"/>
  <c r="AK29" i="36" s="1"/>
  <c r="M20" i="36"/>
  <c r="M15" i="36"/>
  <c r="AE29" i="36"/>
  <c r="AI22" i="36"/>
  <c r="AC12" i="36"/>
  <c r="AC22" i="36"/>
  <c r="AC21" i="36"/>
  <c r="AI21" i="36"/>
  <c r="AI19" i="36"/>
  <c r="AC19" i="36"/>
  <c r="AI9" i="36"/>
  <c r="AC9" i="36"/>
  <c r="AC11" i="36"/>
  <c r="AI11" i="36"/>
  <c r="AI10" i="36"/>
  <c r="AI15" i="36"/>
  <c r="AC17" i="36"/>
  <c r="AC10" i="36"/>
  <c r="AC15" i="36"/>
  <c r="AI17" i="36"/>
  <c r="BD105" i="28"/>
  <c r="AA105" i="30"/>
  <c r="AA100" i="28"/>
  <c r="BE107" i="30"/>
  <c r="BE105" i="28"/>
  <c r="AF105" i="28"/>
  <c r="AG107" i="30"/>
  <c r="AG105" i="28"/>
  <c r="AS107" i="30"/>
  <c r="AS105" i="28"/>
  <c r="AR105" i="28"/>
  <c r="BK105" i="30"/>
  <c r="BK100" i="28"/>
  <c r="Z105" i="28"/>
  <c r="BJ105" i="28"/>
  <c r="AU24" i="30"/>
  <c r="AW12" i="30"/>
  <c r="AU12" i="28"/>
  <c r="J22" i="36"/>
  <c r="AD112" i="30"/>
  <c r="AD107" i="28"/>
  <c r="X112" i="30"/>
  <c r="X107" i="28"/>
  <c r="AP112" i="30"/>
  <c r="AP107" i="28"/>
  <c r="AO24" i="30"/>
  <c r="AQ12" i="30"/>
  <c r="AO12" i="28"/>
  <c r="J20" i="36"/>
  <c r="AM112" i="30"/>
  <c r="AM107" i="28"/>
  <c r="N24" i="30"/>
  <c r="P12" i="30"/>
  <c r="N12" i="28"/>
  <c r="J11" i="36"/>
  <c r="BH107" i="30"/>
  <c r="BH105" i="28"/>
  <c r="J28" i="28"/>
  <c r="W24" i="30"/>
  <c r="Y12" i="30"/>
  <c r="W12" i="28"/>
  <c r="J14" i="36"/>
  <c r="T24" i="30"/>
  <c r="V12" i="30"/>
  <c r="T12" i="28"/>
  <c r="J13" i="36"/>
  <c r="K24" i="30"/>
  <c r="M12" i="30"/>
  <c r="K12" i="28"/>
  <c r="J10" i="36"/>
  <c r="BA24" i="30"/>
  <c r="BC12" i="30"/>
  <c r="BA12" i="28"/>
  <c r="W6" i="36"/>
  <c r="J25" i="36" s="1"/>
  <c r="O107" i="30"/>
  <c r="O105" i="28"/>
  <c r="BB112" i="30"/>
  <c r="BB107" i="28"/>
  <c r="I112" i="28"/>
  <c r="I125" i="28"/>
  <c r="U112" i="30"/>
  <c r="U107" i="28"/>
  <c r="H97" i="28"/>
  <c r="AV112" i="30"/>
  <c r="AV107" i="28"/>
  <c r="AL24" i="30"/>
  <c r="AN12" i="30"/>
  <c r="AL12" i="28"/>
  <c r="J19" i="36"/>
  <c r="Q24" i="30"/>
  <c r="S12" i="30"/>
  <c r="Q12" i="28"/>
  <c r="J12" i="36"/>
  <c r="AY112" i="30"/>
  <c r="AY107" i="28"/>
  <c r="AC24" i="30"/>
  <c r="AE12" i="30"/>
  <c r="AC12" i="28"/>
  <c r="J16" i="36"/>
  <c r="BN112" i="30"/>
  <c r="BN107" i="28"/>
  <c r="AX24" i="30"/>
  <c r="AZ12" i="30"/>
  <c r="AX12" i="28"/>
  <c r="J23" i="36"/>
  <c r="R112" i="30"/>
  <c r="R107" i="28"/>
  <c r="AJ112" i="30"/>
  <c r="AJ107" i="28"/>
  <c r="AI24" i="30"/>
  <c r="AK12" i="30"/>
  <c r="AI12" i="28"/>
  <c r="J18" i="36"/>
  <c r="L112" i="30"/>
  <c r="L107" i="28"/>
  <c r="BG24" i="30"/>
  <c r="BI12" i="30"/>
  <c r="BG12" i="28"/>
  <c r="BM24" i="30"/>
  <c r="BO12" i="30"/>
  <c r="BM12" i="28"/>
  <c r="AI13" i="36" l="1"/>
  <c r="AC18" i="36"/>
  <c r="AC23" i="36"/>
  <c r="AI23" i="36"/>
  <c r="R14" i="36"/>
  <c r="AG29" i="36" s="1"/>
  <c r="R20" i="36"/>
  <c r="AM29" i="36" s="1"/>
  <c r="M21" i="36"/>
  <c r="AI18" i="36"/>
  <c r="AC13" i="36"/>
  <c r="M16" i="36"/>
  <c r="R16" i="36"/>
  <c r="AC16" i="36" s="1"/>
  <c r="M14" i="36"/>
  <c r="M24" i="36" s="1"/>
  <c r="H25" i="36"/>
  <c r="I48" i="36" s="1"/>
  <c r="BK107" i="30"/>
  <c r="BK105" i="28"/>
  <c r="AF12" i="28"/>
  <c r="J17" i="36"/>
  <c r="X6" i="36" s="1"/>
  <c r="AH12" i="30"/>
  <c r="AF24" i="30"/>
  <c r="AR12" i="28"/>
  <c r="J21" i="36"/>
  <c r="AR24" i="30"/>
  <c r="AT12" i="30"/>
  <c r="BE107" i="28"/>
  <c r="BE112" i="30"/>
  <c r="BJ12" i="28"/>
  <c r="BJ24" i="30"/>
  <c r="BL12" i="30"/>
  <c r="AS107" i="28"/>
  <c r="AS112" i="30"/>
  <c r="AA107" i="30"/>
  <c r="AA105" i="28"/>
  <c r="Z24" i="30"/>
  <c r="AB12" i="30"/>
  <c r="Z12" i="28"/>
  <c r="J15" i="36"/>
  <c r="AG112" i="30"/>
  <c r="AG107" i="28"/>
  <c r="BD12" i="28"/>
  <c r="BF12" i="30"/>
  <c r="BD24" i="30"/>
  <c r="I18" i="36"/>
  <c r="H42" i="36" s="1"/>
  <c r="H18" i="36"/>
  <c r="I41" i="36" s="1"/>
  <c r="H23" i="36"/>
  <c r="I46" i="36" s="1"/>
  <c r="I23" i="36"/>
  <c r="H48" i="36" s="1"/>
  <c r="Q28" i="30"/>
  <c r="Q24" i="28"/>
  <c r="U126" i="30"/>
  <c r="U125" i="28" s="1"/>
  <c r="U112" i="28"/>
  <c r="O112" i="30"/>
  <c r="O107" i="28"/>
  <c r="I10" i="36"/>
  <c r="H34" i="36" s="1"/>
  <c r="H10" i="36"/>
  <c r="I32" i="36" s="1"/>
  <c r="J32" i="36" s="1"/>
  <c r="H14" i="36"/>
  <c r="I37" i="36" s="1"/>
  <c r="I14" i="36"/>
  <c r="H38" i="36" s="1"/>
  <c r="BH112" i="30"/>
  <c r="BH107" i="28"/>
  <c r="X126" i="30"/>
  <c r="X125" i="28" s="1"/>
  <c r="X112" i="28"/>
  <c r="AC28" i="30"/>
  <c r="AC24" i="28"/>
  <c r="M24" i="30"/>
  <c r="M12" i="28"/>
  <c r="Y24" i="30"/>
  <c r="Y12" i="28"/>
  <c r="H11" i="36"/>
  <c r="I34" i="36" s="1"/>
  <c r="I11" i="36"/>
  <c r="H35" i="36" s="1"/>
  <c r="H20" i="36"/>
  <c r="I43" i="36" s="1"/>
  <c r="I20" i="36"/>
  <c r="H44" i="36" s="1"/>
  <c r="BI24" i="30"/>
  <c r="BI12" i="28"/>
  <c r="AE24" i="30"/>
  <c r="AE12" i="28"/>
  <c r="AX28" i="30"/>
  <c r="AX24" i="28"/>
  <c r="AN24" i="30"/>
  <c r="AN12" i="28"/>
  <c r="BC24" i="30"/>
  <c r="BC12" i="28"/>
  <c r="K28" i="30"/>
  <c r="K24" i="28"/>
  <c r="W28" i="30"/>
  <c r="W24" i="28"/>
  <c r="AD126" i="30"/>
  <c r="AD125" i="28" s="1"/>
  <c r="AD112" i="28"/>
  <c r="AI28" i="30"/>
  <c r="AI24" i="28"/>
  <c r="AY126" i="30"/>
  <c r="AY125" i="28" s="1"/>
  <c r="AY112" i="28"/>
  <c r="AL28" i="30"/>
  <c r="AL24" i="28"/>
  <c r="BA28" i="30"/>
  <c r="BA24" i="28"/>
  <c r="H13" i="36"/>
  <c r="I36" i="36" s="1"/>
  <c r="I13" i="36"/>
  <c r="H37" i="36" s="1"/>
  <c r="P24" i="30"/>
  <c r="P12" i="28"/>
  <c r="AQ24" i="30"/>
  <c r="AQ12" i="28"/>
  <c r="H22" i="36"/>
  <c r="I45" i="36" s="1"/>
  <c r="I22" i="36"/>
  <c r="H46" i="36" s="1"/>
  <c r="BG28" i="30"/>
  <c r="BG24" i="28"/>
  <c r="H19" i="36"/>
  <c r="I42" i="36" s="1"/>
  <c r="I19" i="36"/>
  <c r="H43" i="36" s="1"/>
  <c r="AZ24" i="30"/>
  <c r="AZ12" i="28"/>
  <c r="N28" i="30"/>
  <c r="N24" i="28"/>
  <c r="AO28" i="30"/>
  <c r="AO24" i="28"/>
  <c r="BM28" i="30"/>
  <c r="BM24" i="28"/>
  <c r="BN126" i="30"/>
  <c r="BN125" i="28" s="1"/>
  <c r="BN112" i="28"/>
  <c r="AV126" i="30"/>
  <c r="AV125" i="28" s="1"/>
  <c r="AV112" i="28"/>
  <c r="H107" i="28"/>
  <c r="BB126" i="30"/>
  <c r="BB125" i="28" s="1"/>
  <c r="BB112" i="28"/>
  <c r="V24" i="30"/>
  <c r="V12" i="28"/>
  <c r="AW24" i="30"/>
  <c r="AW12" i="28"/>
  <c r="AK24" i="30"/>
  <c r="AK12" i="28"/>
  <c r="BO24" i="30"/>
  <c r="BO12" i="28"/>
  <c r="AJ126" i="30"/>
  <c r="AJ125" i="28" s="1"/>
  <c r="AJ112" i="28"/>
  <c r="H12" i="36"/>
  <c r="I35" i="36" s="1"/>
  <c r="I12" i="36"/>
  <c r="H36" i="36" s="1"/>
  <c r="L126" i="30"/>
  <c r="L125" i="28" s="1"/>
  <c r="L112" i="28"/>
  <c r="R126" i="30"/>
  <c r="R125" i="28" s="1"/>
  <c r="R112" i="28"/>
  <c r="H16" i="36"/>
  <c r="I39" i="36" s="1"/>
  <c r="I16" i="36"/>
  <c r="H40" i="36" s="1"/>
  <c r="S24" i="30"/>
  <c r="S12" i="28"/>
  <c r="T28" i="30"/>
  <c r="T24" i="28"/>
  <c r="AM126" i="30"/>
  <c r="AM125" i="28" s="1"/>
  <c r="AM112" i="28"/>
  <c r="AP126" i="30"/>
  <c r="AP125" i="28" s="1"/>
  <c r="AP112" i="28"/>
  <c r="AU28" i="30"/>
  <c r="AU24" i="28"/>
  <c r="AI20" i="36" l="1"/>
  <c r="AI14" i="36"/>
  <c r="AC14" i="36"/>
  <c r="AC20" i="36"/>
  <c r="AI16" i="36"/>
  <c r="R24" i="36"/>
  <c r="AI29" i="36"/>
  <c r="J26" i="36"/>
  <c r="J48" i="36"/>
  <c r="I25" i="36"/>
  <c r="H50" i="36" s="1"/>
  <c r="J50" i="36" s="1"/>
  <c r="J42" i="36"/>
  <c r="J35" i="36"/>
  <c r="AG126" i="30"/>
  <c r="AG125" i="28" s="1"/>
  <c r="AG112" i="28"/>
  <c r="H21" i="36"/>
  <c r="I44" i="36" s="1"/>
  <c r="J44" i="36" s="1"/>
  <c r="I21" i="36"/>
  <c r="H45" i="36" s="1"/>
  <c r="J45" i="36" s="1"/>
  <c r="H15" i="36"/>
  <c r="I38" i="36" s="1"/>
  <c r="J38" i="36" s="1"/>
  <c r="I15" i="36"/>
  <c r="H39" i="36" s="1"/>
  <c r="J39" i="36" s="1"/>
  <c r="BL24" i="30"/>
  <c r="BL12" i="28"/>
  <c r="BJ28" i="30"/>
  <c r="BJ24" i="28"/>
  <c r="AF28" i="30"/>
  <c r="AF24" i="28"/>
  <c r="AB24" i="30"/>
  <c r="AB12" i="28"/>
  <c r="AH24" i="30"/>
  <c r="AH12" i="28"/>
  <c r="BD28" i="30"/>
  <c r="BD24" i="28"/>
  <c r="Z28" i="30"/>
  <c r="Z24" i="28"/>
  <c r="BE126" i="30"/>
  <c r="BE125" i="28" s="1"/>
  <c r="BE112" i="28"/>
  <c r="I17" i="36"/>
  <c r="H41" i="36" s="1"/>
  <c r="J41" i="36" s="1"/>
  <c r="H17" i="36"/>
  <c r="I40" i="36" s="1"/>
  <c r="J40" i="36" s="1"/>
  <c r="J34" i="36"/>
  <c r="BF24" i="30"/>
  <c r="BF12" i="28"/>
  <c r="AA107" i="28"/>
  <c r="AA112" i="30"/>
  <c r="AT12" i="28"/>
  <c r="AT24" i="30"/>
  <c r="AS126" i="30"/>
  <c r="AS125" i="28" s="1"/>
  <c r="AS112" i="28"/>
  <c r="AR28" i="30"/>
  <c r="AR24" i="28"/>
  <c r="BK112" i="30"/>
  <c r="BK107" i="28"/>
  <c r="BC28" i="30"/>
  <c r="BC24" i="28"/>
  <c r="AE28" i="30"/>
  <c r="AE24" i="28"/>
  <c r="P28" i="30"/>
  <c r="P24" i="28"/>
  <c r="AL97" i="30"/>
  <c r="AL28" i="28"/>
  <c r="AC97" i="30"/>
  <c r="AC28" i="28"/>
  <c r="AN28" i="30"/>
  <c r="AN24" i="28"/>
  <c r="Y28" i="30"/>
  <c r="Y24" i="28"/>
  <c r="H112" i="28"/>
  <c r="H125" i="28"/>
  <c r="AO97" i="30"/>
  <c r="AO28" i="28"/>
  <c r="BG97" i="30"/>
  <c r="BG28" i="28"/>
  <c r="J36" i="36"/>
  <c r="J37" i="36"/>
  <c r="Q97" i="30"/>
  <c r="Q28" i="28"/>
  <c r="J97" i="28"/>
  <c r="N5" i="51"/>
  <c r="W97" i="30"/>
  <c r="W28" i="28"/>
  <c r="AX97" i="30"/>
  <c r="AX28" i="28"/>
  <c r="BI28" i="30"/>
  <c r="BI24" i="28"/>
  <c r="M28" i="30"/>
  <c r="M24" i="28"/>
  <c r="V28" i="30"/>
  <c r="V24" i="28"/>
  <c r="BA97" i="30"/>
  <c r="BA28" i="28"/>
  <c r="J46" i="36"/>
  <c r="AU97" i="30"/>
  <c r="AU28" i="28"/>
  <c r="AK28" i="30"/>
  <c r="AK24" i="28"/>
  <c r="AW28" i="30"/>
  <c r="AW24" i="28"/>
  <c r="N97" i="30"/>
  <c r="N28" i="28"/>
  <c r="S28" i="30"/>
  <c r="S24" i="28"/>
  <c r="M10" i="48"/>
  <c r="C15" i="48"/>
  <c r="C18" i="48" s="1"/>
  <c r="C19" i="48" s="1"/>
  <c r="AI97" i="30"/>
  <c r="AI28" i="28"/>
  <c r="K97" i="30"/>
  <c r="K28" i="28"/>
  <c r="J43" i="36"/>
  <c r="T97" i="30"/>
  <c r="T28" i="28"/>
  <c r="BO28" i="30"/>
  <c r="BO24" i="28"/>
  <c r="BM97" i="30"/>
  <c r="BM28" i="28"/>
  <c r="J112" i="28"/>
  <c r="AZ28" i="30"/>
  <c r="AZ24" i="28"/>
  <c r="AQ28" i="30"/>
  <c r="AQ24" i="28"/>
  <c r="BH126" i="30"/>
  <c r="BH125" i="28" s="1"/>
  <c r="BH112" i="28"/>
  <c r="O126" i="30"/>
  <c r="O125" i="28" s="1"/>
  <c r="O112" i="28"/>
  <c r="J51" i="36" l="1"/>
  <c r="AB28" i="30"/>
  <c r="AB24" i="28"/>
  <c r="AR97" i="30"/>
  <c r="AR28" i="28"/>
  <c r="Z97" i="30"/>
  <c r="Z28" i="28"/>
  <c r="BL28" i="30"/>
  <c r="BL24" i="28"/>
  <c r="BF28" i="30"/>
  <c r="BF24" i="28"/>
  <c r="BD97" i="30"/>
  <c r="BD28" i="28"/>
  <c r="AF97" i="30"/>
  <c r="AF28" i="28"/>
  <c r="AT28" i="30"/>
  <c r="AT24" i="28"/>
  <c r="BJ97" i="30"/>
  <c r="BJ28" i="28"/>
  <c r="AA126" i="30"/>
  <c r="AA125" i="28" s="1"/>
  <c r="AA112" i="28"/>
  <c r="AH28" i="30"/>
  <c r="AH24" i="28"/>
  <c r="BK126" i="30"/>
  <c r="BK125" i="28" s="1"/>
  <c r="BK112" i="28"/>
  <c r="J195" i="30"/>
  <c r="J107" i="28"/>
  <c r="AI107" i="30"/>
  <c r="AI97" i="28"/>
  <c r="S97" i="30"/>
  <c r="S28" i="28"/>
  <c r="AU107" i="30"/>
  <c r="AU97" i="28"/>
  <c r="AO107" i="30"/>
  <c r="AO97" i="28"/>
  <c r="P97" i="30"/>
  <c r="P28" i="28"/>
  <c r="D12" i="48"/>
  <c r="M12" i="48" s="1"/>
  <c r="I30" i="48"/>
  <c r="F14" i="48"/>
  <c r="B45" i="48" s="1"/>
  <c r="G14" i="48"/>
  <c r="B46" i="48" s="1"/>
  <c r="D46" i="48" s="1"/>
  <c r="F46" i="48" s="1"/>
  <c r="G46" i="48" s="1"/>
  <c r="I46" i="48" s="1"/>
  <c r="H14" i="48"/>
  <c r="B47" i="48" s="1"/>
  <c r="I28" i="48"/>
  <c r="D19" i="48"/>
  <c r="M19" i="48" s="1"/>
  <c r="BI97" i="30"/>
  <c r="BI28" i="28"/>
  <c r="Q107" i="30"/>
  <c r="Q97" i="28"/>
  <c r="N107" i="30"/>
  <c r="N97" i="28"/>
  <c r="AE97" i="30"/>
  <c r="AE28" i="28"/>
  <c r="AX107" i="30"/>
  <c r="AX97" i="28"/>
  <c r="T107" i="30"/>
  <c r="T97" i="28"/>
  <c r="BA107" i="30"/>
  <c r="BA97" i="28"/>
  <c r="AQ97" i="30"/>
  <c r="AQ28" i="28"/>
  <c r="BM107" i="30"/>
  <c r="BM97" i="28"/>
  <c r="AW97" i="30"/>
  <c r="AW28" i="28"/>
  <c r="Y97" i="30"/>
  <c r="Y28" i="28"/>
  <c r="AC107" i="30"/>
  <c r="AC97" i="28"/>
  <c r="BC97" i="30"/>
  <c r="BC28" i="28"/>
  <c r="J125" i="28"/>
  <c r="J150" i="28"/>
  <c r="J151" i="28"/>
  <c r="V97" i="30"/>
  <c r="V28" i="28"/>
  <c r="W107" i="30"/>
  <c r="W97" i="28"/>
  <c r="AZ97" i="30"/>
  <c r="AZ28" i="28"/>
  <c r="BO97" i="30"/>
  <c r="BO28" i="28"/>
  <c r="K107" i="30"/>
  <c r="K97" i="28"/>
  <c r="AK97" i="30"/>
  <c r="AK28" i="28"/>
  <c r="O5" i="51"/>
  <c r="BG107" i="30"/>
  <c r="BG97" i="28"/>
  <c r="AN97" i="30"/>
  <c r="AN28" i="28"/>
  <c r="AL107" i="30"/>
  <c r="AL97" i="28"/>
  <c r="M97" i="30"/>
  <c r="M28" i="28"/>
  <c r="B48" i="48" l="1"/>
  <c r="D45" i="48"/>
  <c r="G45" i="48"/>
  <c r="G48" i="48" s="1"/>
  <c r="AT97" i="30"/>
  <c r="AT28" i="28"/>
  <c r="BL97" i="30"/>
  <c r="BL28" i="28"/>
  <c r="AH97" i="30"/>
  <c r="AH28" i="28"/>
  <c r="AF107" i="30"/>
  <c r="AF97" i="28"/>
  <c r="Z107" i="30"/>
  <c r="Z97" i="28"/>
  <c r="BD107" i="30"/>
  <c r="BD97" i="28"/>
  <c r="AR107" i="30"/>
  <c r="AR97" i="28"/>
  <c r="BJ107" i="30"/>
  <c r="BJ97" i="28"/>
  <c r="BF97" i="30"/>
  <c r="BF28" i="28"/>
  <c r="AB97" i="30"/>
  <c r="AB28" i="28"/>
  <c r="W112" i="30"/>
  <c r="W107" i="28"/>
  <c r="H28" i="48"/>
  <c r="F28" i="48"/>
  <c r="G28" i="48"/>
  <c r="I32" i="48"/>
  <c r="H21" i="48"/>
  <c r="H20" i="48" s="1"/>
  <c r="H23" i="48"/>
  <c r="B7" i="51"/>
  <c r="AO112" i="30"/>
  <c r="AO107" i="28"/>
  <c r="AI112" i="30"/>
  <c r="AI107" i="28"/>
  <c r="J149" i="28"/>
  <c r="J152" i="28"/>
  <c r="T112" i="30"/>
  <c r="T107" i="28"/>
  <c r="AL112" i="30"/>
  <c r="AL107" i="28"/>
  <c r="G23" i="48"/>
  <c r="G18" i="48"/>
  <c r="B4" i="50"/>
  <c r="C13" i="50" s="1"/>
  <c r="B6" i="51"/>
  <c r="K112" i="30"/>
  <c r="K107" i="28"/>
  <c r="V107" i="30"/>
  <c r="V97" i="28"/>
  <c r="N9" i="51"/>
  <c r="BM112" i="30"/>
  <c r="BM107" i="28"/>
  <c r="AX112" i="30"/>
  <c r="AX107" i="28"/>
  <c r="N112" i="30"/>
  <c r="N107" i="28"/>
  <c r="F23" i="48"/>
  <c r="F18" i="48"/>
  <c r="B4" i="49"/>
  <c r="C13" i="49" s="1"/>
  <c r="I14" i="48"/>
  <c r="I23" i="48" s="1"/>
  <c r="B5" i="51"/>
  <c r="P107" i="30"/>
  <c r="P97" i="28"/>
  <c r="N7" i="51"/>
  <c r="Q112" i="30"/>
  <c r="Q107" i="28"/>
  <c r="F30" i="48"/>
  <c r="G30" i="48"/>
  <c r="H30" i="48"/>
  <c r="M107" i="30"/>
  <c r="M97" i="28"/>
  <c r="N6" i="51"/>
  <c r="AN107" i="30"/>
  <c r="AN97" i="28"/>
  <c r="N15" i="51"/>
  <c r="BO107" i="30"/>
  <c r="BO97" i="28"/>
  <c r="N24" i="51"/>
  <c r="AK107" i="30"/>
  <c r="AK97" i="28"/>
  <c r="N14" i="51"/>
  <c r="BC107" i="30"/>
  <c r="BC97" i="28"/>
  <c r="N20" i="51"/>
  <c r="AW107" i="30"/>
  <c r="AW97" i="28"/>
  <c r="N18" i="51"/>
  <c r="AQ107" i="30"/>
  <c r="AQ97" i="28"/>
  <c r="N16" i="51"/>
  <c r="AE107" i="30"/>
  <c r="AE97" i="28"/>
  <c r="N12" i="51"/>
  <c r="AU112" i="30"/>
  <c r="AU107" i="28"/>
  <c r="Y107" i="30"/>
  <c r="Y97" i="28"/>
  <c r="N10" i="51"/>
  <c r="AZ107" i="30"/>
  <c r="AZ97" i="28"/>
  <c r="N19" i="51"/>
  <c r="BI107" i="30"/>
  <c r="BI97" i="28"/>
  <c r="N22" i="51"/>
  <c r="BG112" i="30"/>
  <c r="BG107" i="28"/>
  <c r="AC112" i="30"/>
  <c r="AC107" i="28"/>
  <c r="BA112" i="30"/>
  <c r="BA107" i="28"/>
  <c r="S107" i="30"/>
  <c r="S97" i="28"/>
  <c r="N8" i="51"/>
  <c r="F45" i="48" l="1"/>
  <c r="F48" i="48" s="1"/>
  <c r="D48" i="48"/>
  <c r="H45" i="48"/>
  <c r="H48" i="48" s="1"/>
  <c r="BJ107" i="28"/>
  <c r="BJ112" i="30"/>
  <c r="AF112" i="30"/>
  <c r="AF107" i="28"/>
  <c r="AR112" i="30"/>
  <c r="AR107" i="28"/>
  <c r="AH107" i="30"/>
  <c r="N13" i="51"/>
  <c r="O13" i="51" s="1"/>
  <c r="AH97" i="28"/>
  <c r="AB107" i="30"/>
  <c r="AB97" i="28"/>
  <c r="N11" i="51"/>
  <c r="O11" i="51" s="1"/>
  <c r="BD112" i="30"/>
  <c r="BD107" i="28"/>
  <c r="BL97" i="28"/>
  <c r="BL107" i="30"/>
  <c r="N23" i="51"/>
  <c r="O23" i="51" s="1"/>
  <c r="N21" i="51"/>
  <c r="O21" i="51" s="1"/>
  <c r="BF107" i="30"/>
  <c r="BF97" i="28"/>
  <c r="Z112" i="30"/>
  <c r="Z107" i="28"/>
  <c r="AT97" i="28"/>
  <c r="N17" i="51"/>
  <c r="O17" i="51" s="1"/>
  <c r="AT107" i="30"/>
  <c r="O22" i="51"/>
  <c r="I18" i="48"/>
  <c r="B8" i="49"/>
  <c r="F19" i="48"/>
  <c r="F21" i="48"/>
  <c r="B15" i="51"/>
  <c r="F22" i="48"/>
  <c r="G22" i="48"/>
  <c r="H22" i="48"/>
  <c r="J146" i="28"/>
  <c r="H32" i="48"/>
  <c r="O16" i="51"/>
  <c r="BO112" i="30"/>
  <c r="BO112" i="28" s="1"/>
  <c r="BO126" i="30"/>
  <c r="BO107" i="28"/>
  <c r="BO195" i="30"/>
  <c r="O7" i="51"/>
  <c r="J196" i="30"/>
  <c r="J155" i="28"/>
  <c r="E13" i="50"/>
  <c r="BC112" i="30"/>
  <c r="BC112" i="28" s="1"/>
  <c r="BC126" i="30"/>
  <c r="BC195" i="30"/>
  <c r="BC107" i="28"/>
  <c r="BI112" i="30"/>
  <c r="BI112" i="28" s="1"/>
  <c r="BI126" i="30"/>
  <c r="BI107" i="28"/>
  <c r="BI195" i="30"/>
  <c r="Y112" i="30"/>
  <c r="Y112" i="28" s="1"/>
  <c r="Y126" i="30"/>
  <c r="Y133" i="30" s="1"/>
  <c r="Y195" i="30"/>
  <c r="Y107" i="28"/>
  <c r="O14" i="51"/>
  <c r="O15" i="51"/>
  <c r="AI126" i="30"/>
  <c r="AI125" i="28" s="1"/>
  <c r="AI112" i="28"/>
  <c r="O10" i="51"/>
  <c r="N126" i="30"/>
  <c r="N125" i="28" s="1"/>
  <c r="N112" i="28"/>
  <c r="O9" i="51"/>
  <c r="G19" i="48"/>
  <c r="G21" i="48"/>
  <c r="G20" i="48" s="1"/>
  <c r="B8" i="50"/>
  <c r="B16" i="51"/>
  <c r="AU126" i="30"/>
  <c r="AU125" i="28" s="1"/>
  <c r="AU112" i="28"/>
  <c r="O18" i="51"/>
  <c r="AK112" i="30"/>
  <c r="AK112" i="28" s="1"/>
  <c r="AK126" i="30"/>
  <c r="AK133" i="30" s="1"/>
  <c r="AK107" i="28"/>
  <c r="AK195" i="30"/>
  <c r="AN112" i="30"/>
  <c r="AN112" i="28" s="1"/>
  <c r="AN126" i="30"/>
  <c r="AN133" i="30" s="1"/>
  <c r="AN130" i="30" s="1"/>
  <c r="AN107" i="28"/>
  <c r="AN195" i="30"/>
  <c r="B8" i="51"/>
  <c r="AL126" i="30"/>
  <c r="AL125" i="28" s="1"/>
  <c r="AL112" i="28"/>
  <c r="AO126" i="30"/>
  <c r="AO125" i="28" s="1"/>
  <c r="AO112" i="28"/>
  <c r="S112" i="30"/>
  <c r="S112" i="28" s="1"/>
  <c r="S126" i="30"/>
  <c r="S133" i="30" s="1"/>
  <c r="S107" i="28"/>
  <c r="S195" i="30"/>
  <c r="O19" i="51"/>
  <c r="O6" i="51"/>
  <c r="AX126" i="30"/>
  <c r="AX125" i="28" s="1"/>
  <c r="AX112" i="28"/>
  <c r="V112" i="30"/>
  <c r="V112" i="28" s="1"/>
  <c r="V126" i="30"/>
  <c r="V133" i="30" s="1"/>
  <c r="V195" i="30"/>
  <c r="V107" i="28"/>
  <c r="O8" i="51"/>
  <c r="AC126" i="30"/>
  <c r="AC125" i="28" s="1"/>
  <c r="AC112" i="28"/>
  <c r="AQ112" i="30"/>
  <c r="AQ112" i="28" s="1"/>
  <c r="AQ126" i="30"/>
  <c r="AQ107" i="28"/>
  <c r="AQ195" i="30"/>
  <c r="P112" i="30"/>
  <c r="P112" i="28" s="1"/>
  <c r="P126" i="30"/>
  <c r="P133" i="30" s="1"/>
  <c r="P107" i="28"/>
  <c r="P195" i="30"/>
  <c r="O12" i="51"/>
  <c r="AW112" i="30"/>
  <c r="AW112" i="28" s="1"/>
  <c r="AW126" i="30"/>
  <c r="AW133" i="30" s="1"/>
  <c r="AW130" i="30" s="1"/>
  <c r="AW195" i="30"/>
  <c r="AW107" i="28"/>
  <c r="Q126" i="30"/>
  <c r="Q125" i="28" s="1"/>
  <c r="Q112" i="28"/>
  <c r="E13" i="49"/>
  <c r="F13" i="49" s="1"/>
  <c r="J143" i="28"/>
  <c r="T126" i="30"/>
  <c r="T125" i="28" s="1"/>
  <c r="T112" i="28"/>
  <c r="G32" i="48"/>
  <c r="AE112" i="30"/>
  <c r="AE112" i="28" s="1"/>
  <c r="AE126" i="30"/>
  <c r="AE195" i="30"/>
  <c r="AE107" i="28"/>
  <c r="BG126" i="30"/>
  <c r="BG125" i="28" s="1"/>
  <c r="BG112" i="28"/>
  <c r="BA126" i="30"/>
  <c r="BA125" i="28" s="1"/>
  <c r="BA112" i="28"/>
  <c r="AZ112" i="30"/>
  <c r="AZ112" i="28" s="1"/>
  <c r="AZ126" i="30"/>
  <c r="AZ133" i="30" s="1"/>
  <c r="AZ130" i="30" s="1"/>
  <c r="AZ107" i="28"/>
  <c r="AZ195" i="30"/>
  <c r="O20" i="51"/>
  <c r="O24" i="51"/>
  <c r="M112" i="30"/>
  <c r="M112" i="28" s="1"/>
  <c r="M126" i="30"/>
  <c r="M133" i="30" s="1"/>
  <c r="M107" i="28"/>
  <c r="M195" i="30"/>
  <c r="BM126" i="30"/>
  <c r="BM125" i="28" s="1"/>
  <c r="BM112" i="28"/>
  <c r="K126" i="30"/>
  <c r="K125" i="28" s="1"/>
  <c r="K112" i="28"/>
  <c r="J197" i="30"/>
  <c r="J142" i="28"/>
  <c r="H16" i="51"/>
  <c r="H17" i="51"/>
  <c r="H28" i="51"/>
  <c r="H36" i="51"/>
  <c r="H44" i="51"/>
  <c r="H18" i="51"/>
  <c r="H19" i="51"/>
  <c r="H20" i="51"/>
  <c r="H21" i="51"/>
  <c r="H22" i="51"/>
  <c r="H23" i="51"/>
  <c r="H24" i="51"/>
  <c r="H25" i="51"/>
  <c r="H33" i="51"/>
  <c r="H41" i="51"/>
  <c r="H5" i="51"/>
  <c r="H30" i="51"/>
  <c r="H38" i="51"/>
  <c r="H6" i="51"/>
  <c r="H27" i="51"/>
  <c r="H35" i="51"/>
  <c r="H43" i="51"/>
  <c r="H7" i="51"/>
  <c r="H32" i="51"/>
  <c r="H40" i="51"/>
  <c r="H8" i="51"/>
  <c r="H9" i="51"/>
  <c r="H10" i="51"/>
  <c r="H11" i="51"/>
  <c r="H12" i="51"/>
  <c r="H29" i="51"/>
  <c r="H37" i="51"/>
  <c r="H13" i="51"/>
  <c r="H14" i="51"/>
  <c r="H26" i="51"/>
  <c r="H34" i="51"/>
  <c r="H42" i="51"/>
  <c r="H15" i="51"/>
  <c r="H31" i="51"/>
  <c r="H39" i="51"/>
  <c r="F32" i="48"/>
  <c r="W126" i="30"/>
  <c r="W125" i="28" s="1"/>
  <c r="W112" i="28"/>
  <c r="I45" i="48" l="1"/>
  <c r="I48" i="48" s="1"/>
  <c r="AH195" i="30"/>
  <c r="AH107" i="28"/>
  <c r="AH112" i="30"/>
  <c r="AH112" i="28" s="1"/>
  <c r="AH126" i="30"/>
  <c r="AH133" i="30" s="1"/>
  <c r="Z126" i="30"/>
  <c r="Z125" i="28" s="1"/>
  <c r="Z112" i="28"/>
  <c r="BD126" i="30"/>
  <c r="BD125" i="28" s="1"/>
  <c r="BD112" i="28"/>
  <c r="AR126" i="30"/>
  <c r="AR125" i="28" s="1"/>
  <c r="AR112" i="28"/>
  <c r="BF195" i="30"/>
  <c r="BF107" i="28"/>
  <c r="BF112" i="30"/>
  <c r="BF112" i="28" s="1"/>
  <c r="BF126" i="30"/>
  <c r="AB107" i="28"/>
  <c r="AB195" i="30"/>
  <c r="AB112" i="30"/>
  <c r="AB112" i="28" s="1"/>
  <c r="AB126" i="30"/>
  <c r="AB133" i="30" s="1"/>
  <c r="AF126" i="30"/>
  <c r="AF125" i="28" s="1"/>
  <c r="AF112" i="28"/>
  <c r="AT112" i="30"/>
  <c r="AT112" i="28" s="1"/>
  <c r="AT126" i="30"/>
  <c r="AT133" i="30" s="1"/>
  <c r="AT130" i="30" s="1"/>
  <c r="AT195" i="30"/>
  <c r="AT107" i="28"/>
  <c r="BJ126" i="30"/>
  <c r="BJ125" i="28" s="1"/>
  <c r="BJ112" i="28"/>
  <c r="BL195" i="30"/>
  <c r="BL112" i="30"/>
  <c r="BL112" i="28" s="1"/>
  <c r="BL126" i="30"/>
  <c r="BL107" i="28"/>
  <c r="M130" i="30"/>
  <c r="M212" i="30"/>
  <c r="AZ142" i="30"/>
  <c r="AZ149" i="30"/>
  <c r="AZ151" i="30"/>
  <c r="AZ151" i="28" s="1"/>
  <c r="AZ150" i="30"/>
  <c r="AZ150" i="28" s="1"/>
  <c r="AZ155" i="30"/>
  <c r="AZ125" i="28"/>
  <c r="S142" i="30"/>
  <c r="S151" i="30"/>
  <c r="S151" i="28" s="1"/>
  <c r="S149" i="30"/>
  <c r="S155" i="30"/>
  <c r="S150" i="30"/>
  <c r="S150" i="28" s="1"/>
  <c r="S125" i="28"/>
  <c r="AK142" i="30"/>
  <c r="AK150" i="30"/>
  <c r="AK150" i="28" s="1"/>
  <c r="AK155" i="30"/>
  <c r="AK149" i="30"/>
  <c r="AK151" i="30"/>
  <c r="AK151" i="28" s="1"/>
  <c r="AK125" i="28"/>
  <c r="J54" i="29"/>
  <c r="I19" i="48"/>
  <c r="I22" i="48"/>
  <c r="J22" i="48" s="1"/>
  <c r="M22" i="48" s="1"/>
  <c r="D3" i="48" s="1"/>
  <c r="AE142" i="30"/>
  <c r="AE150" i="30"/>
  <c r="AE150" i="28" s="1"/>
  <c r="AE155" i="30"/>
  <c r="AE149" i="30"/>
  <c r="AE151" i="30"/>
  <c r="AE151" i="28" s="1"/>
  <c r="AE125" i="28"/>
  <c r="AQ151" i="30"/>
  <c r="AQ151" i="28" s="1"/>
  <c r="AQ142" i="30"/>
  <c r="AQ150" i="30"/>
  <c r="AQ150" i="28" s="1"/>
  <c r="AQ155" i="30"/>
  <c r="AQ149" i="30"/>
  <c r="AQ125" i="28"/>
  <c r="S130" i="30"/>
  <c r="S212" i="30"/>
  <c r="AK130" i="30"/>
  <c r="AK212" i="30"/>
  <c r="BI133" i="30"/>
  <c r="BI130" i="30" s="1"/>
  <c r="BI142" i="30"/>
  <c r="BI149" i="30"/>
  <c r="BI150" i="30"/>
  <c r="BI150" i="28" s="1"/>
  <c r="BI155" i="30"/>
  <c r="BI151" i="30"/>
  <c r="BI151" i="28" s="1"/>
  <c r="BI125" i="28"/>
  <c r="BO133" i="30"/>
  <c r="BO130" i="30" s="1"/>
  <c r="BO151" i="30"/>
  <c r="BO151" i="28" s="1"/>
  <c r="BO149" i="30"/>
  <c r="BO150" i="30"/>
  <c r="BO150" i="28" s="1"/>
  <c r="BO155" i="30"/>
  <c r="BO142" i="30"/>
  <c r="BO125" i="28"/>
  <c r="V150" i="30"/>
  <c r="V150" i="28" s="1"/>
  <c r="V142" i="30"/>
  <c r="V149" i="30"/>
  <c r="V151" i="30"/>
  <c r="V151" i="28" s="1"/>
  <c r="V155" i="30"/>
  <c r="V125" i="28"/>
  <c r="G18" i="51"/>
  <c r="G19" i="51"/>
  <c r="G20" i="51"/>
  <c r="G21" i="51"/>
  <c r="G22" i="51"/>
  <c r="G23" i="51"/>
  <c r="G24" i="51"/>
  <c r="G25" i="51"/>
  <c r="G33" i="51"/>
  <c r="G41" i="51"/>
  <c r="G5" i="51"/>
  <c r="G30" i="51"/>
  <c r="G38" i="51"/>
  <c r="G6" i="51"/>
  <c r="G27" i="51"/>
  <c r="G35" i="51"/>
  <c r="G43" i="51"/>
  <c r="G7" i="51"/>
  <c r="G32" i="51"/>
  <c r="G40" i="51"/>
  <c r="G8" i="51"/>
  <c r="G9" i="51"/>
  <c r="G10" i="51"/>
  <c r="G11" i="51"/>
  <c r="G12" i="51"/>
  <c r="G29" i="51"/>
  <c r="G37" i="51"/>
  <c r="G13" i="51"/>
  <c r="G14" i="51"/>
  <c r="G26" i="51"/>
  <c r="G34" i="51"/>
  <c r="G42" i="51"/>
  <c r="G15" i="51"/>
  <c r="G31" i="51"/>
  <c r="G39" i="51"/>
  <c r="G16" i="51"/>
  <c r="G17" i="51"/>
  <c r="G28" i="51"/>
  <c r="G36" i="51"/>
  <c r="G44" i="51"/>
  <c r="AE133" i="30"/>
  <c r="AQ133" i="30"/>
  <c r="AQ130" i="30" s="1"/>
  <c r="AN142" i="30"/>
  <c r="AN149" i="30"/>
  <c r="AN150" i="30"/>
  <c r="AN150" i="28" s="1"/>
  <c r="AN155" i="30"/>
  <c r="AN151" i="30"/>
  <c r="AN151" i="28" s="1"/>
  <c r="AN125" i="28"/>
  <c r="D17" i="50"/>
  <c r="D14" i="50"/>
  <c r="D22" i="50"/>
  <c r="D30" i="50"/>
  <c r="D18" i="50"/>
  <c r="D13" i="50"/>
  <c r="F13" i="50" s="1"/>
  <c r="G13" i="50" s="1"/>
  <c r="C14" i="50" s="1"/>
  <c r="D24" i="50"/>
  <c r="D33" i="50"/>
  <c r="D38" i="50"/>
  <c r="D46" i="50"/>
  <c r="D54" i="50"/>
  <c r="D62" i="50"/>
  <c r="D70" i="50"/>
  <c r="D78" i="50"/>
  <c r="D86" i="50"/>
  <c r="D94" i="50"/>
  <c r="D102" i="50"/>
  <c r="D110" i="50"/>
  <c r="D118" i="50"/>
  <c r="D126" i="50"/>
  <c r="D134" i="50"/>
  <c r="D142" i="50"/>
  <c r="D150" i="50"/>
  <c r="D16" i="50"/>
  <c r="D26" i="50"/>
  <c r="D35" i="50"/>
  <c r="D43" i="50"/>
  <c r="D51" i="50"/>
  <c r="D59" i="50"/>
  <c r="D67" i="50"/>
  <c r="D75" i="50"/>
  <c r="D83" i="50"/>
  <c r="D91" i="50"/>
  <c r="D99" i="50"/>
  <c r="D107" i="50"/>
  <c r="D115" i="50"/>
  <c r="D123" i="50"/>
  <c r="D131" i="50"/>
  <c r="D139" i="50"/>
  <c r="D28" i="50"/>
  <c r="D40" i="50"/>
  <c r="D48" i="50"/>
  <c r="D56" i="50"/>
  <c r="D64" i="50"/>
  <c r="D72" i="50"/>
  <c r="D80" i="50"/>
  <c r="D88" i="50"/>
  <c r="D96" i="50"/>
  <c r="D104" i="50"/>
  <c r="D112" i="50"/>
  <c r="D120" i="50"/>
  <c r="D128" i="50"/>
  <c r="D136" i="50"/>
  <c r="D19" i="50"/>
  <c r="D21" i="50"/>
  <c r="D32" i="50"/>
  <c r="D37" i="50"/>
  <c r="D45" i="50"/>
  <c r="D53" i="50"/>
  <c r="D61" i="50"/>
  <c r="D69" i="50"/>
  <c r="D77" i="50"/>
  <c r="D85" i="50"/>
  <c r="D93" i="50"/>
  <c r="D101" i="50"/>
  <c r="D109" i="50"/>
  <c r="D117" i="50"/>
  <c r="D125" i="50"/>
  <c r="D133" i="50"/>
  <c r="D141" i="50"/>
  <c r="D23" i="50"/>
  <c r="D34" i="50"/>
  <c r="D42" i="50"/>
  <c r="D50" i="50"/>
  <c r="D58" i="50"/>
  <c r="D66" i="50"/>
  <c r="D74" i="50"/>
  <c r="D82" i="50"/>
  <c r="D90" i="50"/>
  <c r="D98" i="50"/>
  <c r="D106" i="50"/>
  <c r="D114" i="50"/>
  <c r="D122" i="50"/>
  <c r="D130" i="50"/>
  <c r="D138" i="50"/>
  <c r="D25" i="50"/>
  <c r="D27" i="50"/>
  <c r="D39" i="50"/>
  <c r="D47" i="50"/>
  <c r="D55" i="50"/>
  <c r="D63" i="50"/>
  <c r="D71" i="50"/>
  <c r="D79" i="50"/>
  <c r="D87" i="50"/>
  <c r="D95" i="50"/>
  <c r="D103" i="50"/>
  <c r="D111" i="50"/>
  <c r="D119" i="50"/>
  <c r="D127" i="50"/>
  <c r="D135" i="50"/>
  <c r="D143" i="50"/>
  <c r="D15" i="50"/>
  <c r="D29" i="50"/>
  <c r="D36" i="50"/>
  <c r="D44" i="50"/>
  <c r="D52" i="50"/>
  <c r="D60" i="50"/>
  <c r="D68" i="50"/>
  <c r="D76" i="50"/>
  <c r="D84" i="50"/>
  <c r="D92" i="50"/>
  <c r="D100" i="50"/>
  <c r="D108" i="50"/>
  <c r="D116" i="50"/>
  <c r="D124" i="50"/>
  <c r="D132" i="50"/>
  <c r="D20" i="50"/>
  <c r="D31" i="50"/>
  <c r="D41" i="50"/>
  <c r="D49" i="50"/>
  <c r="D57" i="50"/>
  <c r="D65" i="50"/>
  <c r="D73" i="50"/>
  <c r="D81" i="50"/>
  <c r="D89" i="50"/>
  <c r="D97" i="50"/>
  <c r="D105" i="50"/>
  <c r="D113" i="50"/>
  <c r="D121" i="50"/>
  <c r="D129" i="50"/>
  <c r="D137" i="50"/>
  <c r="D151" i="50"/>
  <c r="D156" i="50"/>
  <c r="D164" i="50"/>
  <c r="D172" i="50"/>
  <c r="D180" i="50"/>
  <c r="D188" i="50"/>
  <c r="D196" i="50"/>
  <c r="D204" i="50"/>
  <c r="D212" i="50"/>
  <c r="D220" i="50"/>
  <c r="D228" i="50"/>
  <c r="D236" i="50"/>
  <c r="D244" i="50"/>
  <c r="D252" i="50"/>
  <c r="D260" i="50"/>
  <c r="D268" i="50"/>
  <c r="D276" i="50"/>
  <c r="D284" i="50"/>
  <c r="D292" i="50"/>
  <c r="D300" i="50"/>
  <c r="D308" i="50"/>
  <c r="D316" i="50"/>
  <c r="D324" i="50"/>
  <c r="D332" i="50"/>
  <c r="D340" i="50"/>
  <c r="D348" i="50"/>
  <c r="D356" i="50"/>
  <c r="D364" i="50"/>
  <c r="D372" i="50"/>
  <c r="D380" i="50"/>
  <c r="D388" i="50"/>
  <c r="D396" i="50"/>
  <c r="D404" i="50"/>
  <c r="D412" i="50"/>
  <c r="D153" i="50"/>
  <c r="D161" i="50"/>
  <c r="D169" i="50"/>
  <c r="D177" i="50"/>
  <c r="D185" i="50"/>
  <c r="D193" i="50"/>
  <c r="D201" i="50"/>
  <c r="D209" i="50"/>
  <c r="D217" i="50"/>
  <c r="D225" i="50"/>
  <c r="D233" i="50"/>
  <c r="D241" i="50"/>
  <c r="D249" i="50"/>
  <c r="D257" i="50"/>
  <c r="D265" i="50"/>
  <c r="D273" i="50"/>
  <c r="D281" i="50"/>
  <c r="D289" i="50"/>
  <c r="D297" i="50"/>
  <c r="D305" i="50"/>
  <c r="D313" i="50"/>
  <c r="D321" i="50"/>
  <c r="D329" i="50"/>
  <c r="D337" i="50"/>
  <c r="D345" i="50"/>
  <c r="D353" i="50"/>
  <c r="D361" i="50"/>
  <c r="D369" i="50"/>
  <c r="D377" i="50"/>
  <c r="D385" i="50"/>
  <c r="D393" i="50"/>
  <c r="D401" i="50"/>
  <c r="D409" i="50"/>
  <c r="D146" i="50"/>
  <c r="D158" i="50"/>
  <c r="D166" i="50"/>
  <c r="D174" i="50"/>
  <c r="D182" i="50"/>
  <c r="D190" i="50"/>
  <c r="D198" i="50"/>
  <c r="D206" i="50"/>
  <c r="D214" i="50"/>
  <c r="D222" i="50"/>
  <c r="D230" i="50"/>
  <c r="D238" i="50"/>
  <c r="D246" i="50"/>
  <c r="D254" i="50"/>
  <c r="D262" i="50"/>
  <c r="D270" i="50"/>
  <c r="D278" i="50"/>
  <c r="D286" i="50"/>
  <c r="D294" i="50"/>
  <c r="D302" i="50"/>
  <c r="D310" i="50"/>
  <c r="D318" i="50"/>
  <c r="D326" i="50"/>
  <c r="D334" i="50"/>
  <c r="D342" i="50"/>
  <c r="D350" i="50"/>
  <c r="D358" i="50"/>
  <c r="D366" i="50"/>
  <c r="D148" i="50"/>
  <c r="D155" i="50"/>
  <c r="D163" i="50"/>
  <c r="D171" i="50"/>
  <c r="D179" i="50"/>
  <c r="D187" i="50"/>
  <c r="D195" i="50"/>
  <c r="D203" i="50"/>
  <c r="D211" i="50"/>
  <c r="D219" i="50"/>
  <c r="D227" i="50"/>
  <c r="D235" i="50"/>
  <c r="D243" i="50"/>
  <c r="D251" i="50"/>
  <c r="D259" i="50"/>
  <c r="D267" i="50"/>
  <c r="D275" i="50"/>
  <c r="D283" i="50"/>
  <c r="D291" i="50"/>
  <c r="D299" i="50"/>
  <c r="D307" i="50"/>
  <c r="D315" i="50"/>
  <c r="D323" i="50"/>
  <c r="D331" i="50"/>
  <c r="D339" i="50"/>
  <c r="D347" i="50"/>
  <c r="D355" i="50"/>
  <c r="D363" i="50"/>
  <c r="D371" i="50"/>
  <c r="D144" i="50"/>
  <c r="D152" i="50"/>
  <c r="D160" i="50"/>
  <c r="D168" i="50"/>
  <c r="D176" i="50"/>
  <c r="D184" i="50"/>
  <c r="D192" i="50"/>
  <c r="D200" i="50"/>
  <c r="D208" i="50"/>
  <c r="D216" i="50"/>
  <c r="D224" i="50"/>
  <c r="D232" i="50"/>
  <c r="D240" i="50"/>
  <c r="D248" i="50"/>
  <c r="D256" i="50"/>
  <c r="D264" i="50"/>
  <c r="D272" i="50"/>
  <c r="D280" i="50"/>
  <c r="D288" i="50"/>
  <c r="D296" i="50"/>
  <c r="D304" i="50"/>
  <c r="D312" i="50"/>
  <c r="D320" i="50"/>
  <c r="D328" i="50"/>
  <c r="D336" i="50"/>
  <c r="D344" i="50"/>
  <c r="D352" i="50"/>
  <c r="D360" i="50"/>
  <c r="D368" i="50"/>
  <c r="D376" i="50"/>
  <c r="D384" i="50"/>
  <c r="D392" i="50"/>
  <c r="D400" i="50"/>
  <c r="D408" i="50"/>
  <c r="D157" i="50"/>
  <c r="D165" i="50"/>
  <c r="D173" i="50"/>
  <c r="D181" i="50"/>
  <c r="D189" i="50"/>
  <c r="D197" i="50"/>
  <c r="D205" i="50"/>
  <c r="D213" i="50"/>
  <c r="D221" i="50"/>
  <c r="D229" i="50"/>
  <c r="D237" i="50"/>
  <c r="D245" i="50"/>
  <c r="D253" i="50"/>
  <c r="D261" i="50"/>
  <c r="D269" i="50"/>
  <c r="D277" i="50"/>
  <c r="D285" i="50"/>
  <c r="D293" i="50"/>
  <c r="D301" i="50"/>
  <c r="D309" i="50"/>
  <c r="D317" i="50"/>
  <c r="D325" i="50"/>
  <c r="D333" i="50"/>
  <c r="D341" i="50"/>
  <c r="D349" i="50"/>
  <c r="D357" i="50"/>
  <c r="D365" i="50"/>
  <c r="D373" i="50"/>
  <c r="D381" i="50"/>
  <c r="D389" i="50"/>
  <c r="D397" i="50"/>
  <c r="D405" i="50"/>
  <c r="D413" i="50"/>
  <c r="D140" i="50"/>
  <c r="D147" i="50"/>
  <c r="D154" i="50"/>
  <c r="D162" i="50"/>
  <c r="D170" i="50"/>
  <c r="D178" i="50"/>
  <c r="D186" i="50"/>
  <c r="D194" i="50"/>
  <c r="D202" i="50"/>
  <c r="D210" i="50"/>
  <c r="D218" i="50"/>
  <c r="D226" i="50"/>
  <c r="D234" i="50"/>
  <c r="D242" i="50"/>
  <c r="D250" i="50"/>
  <c r="D258" i="50"/>
  <c r="D266" i="50"/>
  <c r="D274" i="50"/>
  <c r="D282" i="50"/>
  <c r="D290" i="50"/>
  <c r="D298" i="50"/>
  <c r="D306" i="50"/>
  <c r="D314" i="50"/>
  <c r="D322" i="50"/>
  <c r="D330" i="50"/>
  <c r="D338" i="50"/>
  <c r="D346" i="50"/>
  <c r="D354" i="50"/>
  <c r="D362" i="50"/>
  <c r="D370" i="50"/>
  <c r="D378" i="50"/>
  <c r="D386" i="50"/>
  <c r="D394" i="50"/>
  <c r="D145" i="50"/>
  <c r="D149" i="50"/>
  <c r="D159" i="50"/>
  <c r="D167" i="50"/>
  <c r="D175" i="50"/>
  <c r="D183" i="50"/>
  <c r="D191" i="50"/>
  <c r="D199" i="50"/>
  <c r="D207" i="50"/>
  <c r="D215" i="50"/>
  <c r="D223" i="50"/>
  <c r="D231" i="50"/>
  <c r="D239" i="50"/>
  <c r="D247" i="50"/>
  <c r="D255" i="50"/>
  <c r="D263" i="50"/>
  <c r="D271" i="50"/>
  <c r="D279" i="50"/>
  <c r="D287" i="50"/>
  <c r="D295" i="50"/>
  <c r="D303" i="50"/>
  <c r="D311" i="50"/>
  <c r="D319" i="50"/>
  <c r="D327" i="50"/>
  <c r="D335" i="50"/>
  <c r="D343" i="50"/>
  <c r="D351" i="50"/>
  <c r="D359" i="50"/>
  <c r="D367" i="50"/>
  <c r="D375" i="50"/>
  <c r="D383" i="50"/>
  <c r="D391" i="50"/>
  <c r="D399" i="50"/>
  <c r="D407" i="50"/>
  <c r="D390" i="50"/>
  <c r="D421" i="50"/>
  <c r="D429" i="50"/>
  <c r="D437" i="50"/>
  <c r="D445" i="50"/>
  <c r="D453" i="50"/>
  <c r="D461" i="50"/>
  <c r="D469" i="50"/>
  <c r="D477" i="50"/>
  <c r="D485" i="50"/>
  <c r="D406" i="50"/>
  <c r="D418" i="50"/>
  <c r="D426" i="50"/>
  <c r="D434" i="50"/>
  <c r="D442" i="50"/>
  <c r="D450" i="50"/>
  <c r="D458" i="50"/>
  <c r="D466" i="50"/>
  <c r="D474" i="50"/>
  <c r="D482" i="50"/>
  <c r="D490" i="50"/>
  <c r="D398" i="50"/>
  <c r="D402" i="50"/>
  <c r="D423" i="50"/>
  <c r="D431" i="50"/>
  <c r="D439" i="50"/>
  <c r="D447" i="50"/>
  <c r="D455" i="50"/>
  <c r="D463" i="50"/>
  <c r="D471" i="50"/>
  <c r="D479" i="50"/>
  <c r="D487" i="50"/>
  <c r="D379" i="50"/>
  <c r="D410" i="50"/>
  <c r="D415" i="50"/>
  <c r="D420" i="50"/>
  <c r="D428" i="50"/>
  <c r="D436" i="50"/>
  <c r="D444" i="50"/>
  <c r="D452" i="50"/>
  <c r="D460" i="50"/>
  <c r="D468" i="50"/>
  <c r="D476" i="50"/>
  <c r="D484" i="50"/>
  <c r="D374" i="50"/>
  <c r="D403" i="50"/>
  <c r="D417" i="50"/>
  <c r="D425" i="50"/>
  <c r="D433" i="50"/>
  <c r="D441" i="50"/>
  <c r="D449" i="50"/>
  <c r="D457" i="50"/>
  <c r="D465" i="50"/>
  <c r="D473" i="50"/>
  <c r="D481" i="50"/>
  <c r="D489" i="50"/>
  <c r="D387" i="50"/>
  <c r="D422" i="50"/>
  <c r="D430" i="50"/>
  <c r="D438" i="50"/>
  <c r="D446" i="50"/>
  <c r="D454" i="50"/>
  <c r="D462" i="50"/>
  <c r="D470" i="50"/>
  <c r="D478" i="50"/>
  <c r="D486" i="50"/>
  <c r="D382" i="50"/>
  <c r="D411" i="50"/>
  <c r="D419" i="50"/>
  <c r="D427" i="50"/>
  <c r="D435" i="50"/>
  <c r="D443" i="50"/>
  <c r="D451" i="50"/>
  <c r="D459" i="50"/>
  <c r="D467" i="50"/>
  <c r="D475" i="50"/>
  <c r="D483" i="50"/>
  <c r="D491" i="50"/>
  <c r="D395" i="50"/>
  <c r="D414" i="50"/>
  <c r="D416" i="50"/>
  <c r="D424" i="50"/>
  <c r="D432" i="50"/>
  <c r="D440" i="50"/>
  <c r="D448" i="50"/>
  <c r="D456" i="50"/>
  <c r="D464" i="50"/>
  <c r="D472" i="50"/>
  <c r="D480" i="50"/>
  <c r="D488" i="50"/>
  <c r="F5" i="51"/>
  <c r="F30" i="51"/>
  <c r="F38" i="51"/>
  <c r="F6" i="51"/>
  <c r="F27" i="51"/>
  <c r="F35" i="51"/>
  <c r="F43" i="51"/>
  <c r="F7" i="51"/>
  <c r="F32" i="51"/>
  <c r="F40" i="51"/>
  <c r="F8" i="51"/>
  <c r="F9" i="51"/>
  <c r="F10" i="51"/>
  <c r="F11" i="51"/>
  <c r="F12" i="51"/>
  <c r="F29" i="51"/>
  <c r="F37" i="51"/>
  <c r="F13" i="51"/>
  <c r="F14" i="51"/>
  <c r="F26" i="51"/>
  <c r="F34" i="51"/>
  <c r="F42" i="51"/>
  <c r="F15" i="51"/>
  <c r="F31" i="51"/>
  <c r="F39" i="51"/>
  <c r="F16" i="51"/>
  <c r="F17" i="51"/>
  <c r="B18" i="51"/>
  <c r="B13" i="51" s="1"/>
  <c r="F28" i="51"/>
  <c r="F36" i="51"/>
  <c r="F44" i="51"/>
  <c r="F18" i="51"/>
  <c r="I18" i="51" s="1"/>
  <c r="J18" i="51" s="1"/>
  <c r="F19" i="51"/>
  <c r="F20" i="51"/>
  <c r="I20" i="51" s="1"/>
  <c r="P20" i="51" s="1"/>
  <c r="F21" i="51"/>
  <c r="F22" i="51"/>
  <c r="F23" i="51"/>
  <c r="F24" i="51"/>
  <c r="I24" i="51" s="1"/>
  <c r="P24" i="51" s="1"/>
  <c r="F25" i="51"/>
  <c r="I25" i="51" s="1"/>
  <c r="J25" i="51" s="1"/>
  <c r="F33" i="51"/>
  <c r="F41" i="51"/>
  <c r="AW142" i="30"/>
  <c r="AW151" i="30"/>
  <c r="AW151" i="28" s="1"/>
  <c r="AW150" i="30"/>
  <c r="AW150" i="28" s="1"/>
  <c r="AW155" i="30"/>
  <c r="AW149" i="30"/>
  <c r="AW125" i="28"/>
  <c r="V130" i="30"/>
  <c r="V212" i="30"/>
  <c r="Y130" i="30"/>
  <c r="Y212" i="30"/>
  <c r="I21" i="48"/>
  <c r="I17" i="48" s="1"/>
  <c r="F20" i="48"/>
  <c r="I20" i="48" s="1"/>
  <c r="P130" i="30"/>
  <c r="P212" i="30"/>
  <c r="M142" i="30"/>
  <c r="M149" i="30"/>
  <c r="M155" i="30"/>
  <c r="M150" i="30"/>
  <c r="M150" i="28" s="1"/>
  <c r="M151" i="30"/>
  <c r="M151" i="28" s="1"/>
  <c r="M125" i="28"/>
  <c r="P142" i="30"/>
  <c r="P149" i="30"/>
  <c r="P155" i="30"/>
  <c r="P150" i="30"/>
  <c r="P150" i="28" s="1"/>
  <c r="P151" i="30"/>
  <c r="P151" i="28" s="1"/>
  <c r="P125" i="28"/>
  <c r="Y142" i="30"/>
  <c r="Y151" i="30"/>
  <c r="Y151" i="28" s="1"/>
  <c r="Y149" i="30"/>
  <c r="Y150" i="30"/>
  <c r="Y150" i="28" s="1"/>
  <c r="Y155" i="30"/>
  <c r="Y125" i="28"/>
  <c r="BC142" i="30"/>
  <c r="BC133" i="30"/>
  <c r="BC130" i="30" s="1"/>
  <c r="BC149" i="30"/>
  <c r="BC150" i="30"/>
  <c r="BC150" i="28" s="1"/>
  <c r="BC155" i="30"/>
  <c r="BC151" i="30"/>
  <c r="BC151" i="28" s="1"/>
  <c r="BC125" i="28"/>
  <c r="J154" i="28"/>
  <c r="D16" i="49"/>
  <c r="D20" i="49"/>
  <c r="D24" i="49"/>
  <c r="D28" i="49"/>
  <c r="D32" i="49"/>
  <c r="D36" i="49"/>
  <c r="D40" i="49"/>
  <c r="D44" i="49"/>
  <c r="D48" i="49"/>
  <c r="D52" i="49"/>
  <c r="D56" i="49"/>
  <c r="D60" i="49"/>
  <c r="D15" i="49"/>
  <c r="D19" i="49"/>
  <c r="D23" i="49"/>
  <c r="D27" i="49"/>
  <c r="D31" i="49"/>
  <c r="D35" i="49"/>
  <c r="D39" i="49"/>
  <c r="D43" i="49"/>
  <c r="D47" i="49"/>
  <c r="D51" i="49"/>
  <c r="D55" i="49"/>
  <c r="D14" i="49"/>
  <c r="D18" i="49"/>
  <c r="D22" i="49"/>
  <c r="D26" i="49"/>
  <c r="D30" i="49"/>
  <c r="D34" i="49"/>
  <c r="D38" i="49"/>
  <c r="D42" i="49"/>
  <c r="D46" i="49"/>
  <c r="D50" i="49"/>
  <c r="D54" i="49"/>
  <c r="D58" i="49"/>
  <c r="D13" i="49"/>
  <c r="G13" i="49" s="1"/>
  <c r="H13" i="49" s="1"/>
  <c r="C14" i="49" s="1"/>
  <c r="D17" i="49"/>
  <c r="D21" i="49"/>
  <c r="D25" i="49"/>
  <c r="D29" i="49"/>
  <c r="D33" i="49"/>
  <c r="D37" i="49"/>
  <c r="D41" i="49"/>
  <c r="D45" i="49"/>
  <c r="D49" i="49"/>
  <c r="D53" i="49"/>
  <c r="D57" i="49"/>
  <c r="D65" i="49"/>
  <c r="D69" i="49"/>
  <c r="D73" i="49"/>
  <c r="D77" i="49"/>
  <c r="D81" i="49"/>
  <c r="D85" i="49"/>
  <c r="D89" i="49"/>
  <c r="D93" i="49"/>
  <c r="D97" i="49"/>
  <c r="D101" i="49"/>
  <c r="D105" i="49"/>
  <c r="D109" i="49"/>
  <c r="D113" i="49"/>
  <c r="D117" i="49"/>
  <c r="D121" i="49"/>
  <c r="D125" i="49"/>
  <c r="D129" i="49"/>
  <c r="D133" i="49"/>
  <c r="D137" i="49"/>
  <c r="D141" i="49"/>
  <c r="D145" i="49"/>
  <c r="D149" i="49"/>
  <c r="D153" i="49"/>
  <c r="D157" i="49"/>
  <c r="D62" i="49"/>
  <c r="D64" i="49"/>
  <c r="D68" i="49"/>
  <c r="D72" i="49"/>
  <c r="D76" i="49"/>
  <c r="D80" i="49"/>
  <c r="D84" i="49"/>
  <c r="D88" i="49"/>
  <c r="D92" i="49"/>
  <c r="D96" i="49"/>
  <c r="D100" i="49"/>
  <c r="D104" i="49"/>
  <c r="D108" i="49"/>
  <c r="D112" i="49"/>
  <c r="D116" i="49"/>
  <c r="D120" i="49"/>
  <c r="D124" i="49"/>
  <c r="D128" i="49"/>
  <c r="D132" i="49"/>
  <c r="D136" i="49"/>
  <c r="D140" i="49"/>
  <c r="D144" i="49"/>
  <c r="D148" i="49"/>
  <c r="D152" i="49"/>
  <c r="D156" i="49"/>
  <c r="D59" i="49"/>
  <c r="D67" i="49"/>
  <c r="D71" i="49"/>
  <c r="D75" i="49"/>
  <c r="D79" i="49"/>
  <c r="D83" i="49"/>
  <c r="D87" i="49"/>
  <c r="D91" i="49"/>
  <c r="D95" i="49"/>
  <c r="D99" i="49"/>
  <c r="D103" i="49"/>
  <c r="D107" i="49"/>
  <c r="D111" i="49"/>
  <c r="D115" i="49"/>
  <c r="D119" i="49"/>
  <c r="D123" i="49"/>
  <c r="D127" i="49"/>
  <c r="D131" i="49"/>
  <c r="D135" i="49"/>
  <c r="D139" i="49"/>
  <c r="D143" i="49"/>
  <c r="D147" i="49"/>
  <c r="D151" i="49"/>
  <c r="D155" i="49"/>
  <c r="D159" i="49"/>
  <c r="D63" i="49"/>
  <c r="D61" i="49"/>
  <c r="D66" i="49"/>
  <c r="D70" i="49"/>
  <c r="D74" i="49"/>
  <c r="D78" i="49"/>
  <c r="D82" i="49"/>
  <c r="D86" i="49"/>
  <c r="D90" i="49"/>
  <c r="D94" i="49"/>
  <c r="D98" i="49"/>
  <c r="D102" i="49"/>
  <c r="D106" i="49"/>
  <c r="D110" i="49"/>
  <c r="D114" i="49"/>
  <c r="D118" i="49"/>
  <c r="D122" i="49"/>
  <c r="D126" i="49"/>
  <c r="D130" i="49"/>
  <c r="D134" i="49"/>
  <c r="D138" i="49"/>
  <c r="D142" i="49"/>
  <c r="D146" i="49"/>
  <c r="D150" i="49"/>
  <c r="D168" i="49"/>
  <c r="D170" i="49"/>
  <c r="D172" i="49"/>
  <c r="D163" i="49"/>
  <c r="D174" i="49"/>
  <c r="D177" i="49"/>
  <c r="D180" i="49"/>
  <c r="D184" i="49"/>
  <c r="D188" i="49"/>
  <c r="D192" i="49"/>
  <c r="D196" i="49"/>
  <c r="D200" i="49"/>
  <c r="D204" i="49"/>
  <c r="D208" i="49"/>
  <c r="D212" i="49"/>
  <c r="D216" i="49"/>
  <c r="D220" i="49"/>
  <c r="D224" i="49"/>
  <c r="D228" i="49"/>
  <c r="D232" i="49"/>
  <c r="D236" i="49"/>
  <c r="D240" i="49"/>
  <c r="D244" i="49"/>
  <c r="D248" i="49"/>
  <c r="D252" i="49"/>
  <c r="D256" i="49"/>
  <c r="D260" i="49"/>
  <c r="D264" i="49"/>
  <c r="D268" i="49"/>
  <c r="D272" i="49"/>
  <c r="D160" i="49"/>
  <c r="D166" i="49"/>
  <c r="D154" i="49"/>
  <c r="D171" i="49"/>
  <c r="D176" i="49"/>
  <c r="D179" i="49"/>
  <c r="D183" i="49"/>
  <c r="D187" i="49"/>
  <c r="D191" i="49"/>
  <c r="D195" i="49"/>
  <c r="D199" i="49"/>
  <c r="D203" i="49"/>
  <c r="D207" i="49"/>
  <c r="D211" i="49"/>
  <c r="D215" i="49"/>
  <c r="D219" i="49"/>
  <c r="D223" i="49"/>
  <c r="D227" i="49"/>
  <c r="D231" i="49"/>
  <c r="D235" i="49"/>
  <c r="D239" i="49"/>
  <c r="D243" i="49"/>
  <c r="D247" i="49"/>
  <c r="D251" i="49"/>
  <c r="D255" i="49"/>
  <c r="D259" i="49"/>
  <c r="D263" i="49"/>
  <c r="D161" i="49"/>
  <c r="D164" i="49"/>
  <c r="D169" i="49"/>
  <c r="D167" i="49"/>
  <c r="D173" i="49"/>
  <c r="D182" i="49"/>
  <c r="D186" i="49"/>
  <c r="D190" i="49"/>
  <c r="D194" i="49"/>
  <c r="D198" i="49"/>
  <c r="D202" i="49"/>
  <c r="D206" i="49"/>
  <c r="D210" i="49"/>
  <c r="D214" i="49"/>
  <c r="D218" i="49"/>
  <c r="D222" i="49"/>
  <c r="D226" i="49"/>
  <c r="D230" i="49"/>
  <c r="D234" i="49"/>
  <c r="D238" i="49"/>
  <c r="D242" i="49"/>
  <c r="D246" i="49"/>
  <c r="D250" i="49"/>
  <c r="D254" i="49"/>
  <c r="D258" i="49"/>
  <c r="D262" i="49"/>
  <c r="D266" i="49"/>
  <c r="D162" i="49"/>
  <c r="D175" i="49"/>
  <c r="D178" i="49"/>
  <c r="D158" i="49"/>
  <c r="D165" i="49"/>
  <c r="D181" i="49"/>
  <c r="D185" i="49"/>
  <c r="D189" i="49"/>
  <c r="D193" i="49"/>
  <c r="D197" i="49"/>
  <c r="D201" i="49"/>
  <c r="D205" i="49"/>
  <c r="D209" i="49"/>
  <c r="D213" i="49"/>
  <c r="D217" i="49"/>
  <c r="D221" i="49"/>
  <c r="D225" i="49"/>
  <c r="D229" i="49"/>
  <c r="D233" i="49"/>
  <c r="D237" i="49"/>
  <c r="D241" i="49"/>
  <c r="D245" i="49"/>
  <c r="D249" i="49"/>
  <c r="D253" i="49"/>
  <c r="D257" i="49"/>
  <c r="D261" i="49"/>
  <c r="D271" i="49"/>
  <c r="D276" i="49"/>
  <c r="D293" i="49"/>
  <c r="D297" i="49"/>
  <c r="D301" i="49"/>
  <c r="D305" i="49"/>
  <c r="D309" i="49"/>
  <c r="D313" i="49"/>
  <c r="D317" i="49"/>
  <c r="D321" i="49"/>
  <c r="D325" i="49"/>
  <c r="D329" i="49"/>
  <c r="D333" i="49"/>
  <c r="D337" i="49"/>
  <c r="D341" i="49"/>
  <c r="D345" i="49"/>
  <c r="D349" i="49"/>
  <c r="D353" i="49"/>
  <c r="D357" i="49"/>
  <c r="D361" i="49"/>
  <c r="D365" i="49"/>
  <c r="D369" i="49"/>
  <c r="D373" i="49"/>
  <c r="D377" i="49"/>
  <c r="D381" i="49"/>
  <c r="D274" i="49"/>
  <c r="D280" i="49"/>
  <c r="D283" i="49"/>
  <c r="D286" i="49"/>
  <c r="D289" i="49"/>
  <c r="D265" i="49"/>
  <c r="D292" i="49"/>
  <c r="D296" i="49"/>
  <c r="D300" i="49"/>
  <c r="D304" i="49"/>
  <c r="D308" i="49"/>
  <c r="D312" i="49"/>
  <c r="D316" i="49"/>
  <c r="D320" i="49"/>
  <c r="D324" i="49"/>
  <c r="D328" i="49"/>
  <c r="D332" i="49"/>
  <c r="D336" i="49"/>
  <c r="D340" i="49"/>
  <c r="D344" i="49"/>
  <c r="D348" i="49"/>
  <c r="D352" i="49"/>
  <c r="D356" i="49"/>
  <c r="D360" i="49"/>
  <c r="D269" i="49"/>
  <c r="D288" i="49"/>
  <c r="D267" i="49"/>
  <c r="D275" i="49"/>
  <c r="D277" i="49"/>
  <c r="D279" i="49"/>
  <c r="D282" i="49"/>
  <c r="D285" i="49"/>
  <c r="D291" i="49"/>
  <c r="D295" i="49"/>
  <c r="D299" i="49"/>
  <c r="D303" i="49"/>
  <c r="D307" i="49"/>
  <c r="D311" i="49"/>
  <c r="D315" i="49"/>
  <c r="D319" i="49"/>
  <c r="D323" i="49"/>
  <c r="D327" i="49"/>
  <c r="D331" i="49"/>
  <c r="D335" i="49"/>
  <c r="D339" i="49"/>
  <c r="D343" i="49"/>
  <c r="D347" i="49"/>
  <c r="D351" i="49"/>
  <c r="D355" i="49"/>
  <c r="D359" i="49"/>
  <c r="D363" i="49"/>
  <c r="D367" i="49"/>
  <c r="D371" i="49"/>
  <c r="D375" i="49"/>
  <c r="D379" i="49"/>
  <c r="D270" i="49"/>
  <c r="D284" i="49"/>
  <c r="D287" i="49"/>
  <c r="D290" i="49"/>
  <c r="D294" i="49"/>
  <c r="D298" i="49"/>
  <c r="D302" i="49"/>
  <c r="D306" i="49"/>
  <c r="D310" i="49"/>
  <c r="D314" i="49"/>
  <c r="D318" i="49"/>
  <c r="D322" i="49"/>
  <c r="D326" i="49"/>
  <c r="D330" i="49"/>
  <c r="D334" i="49"/>
  <c r="D338" i="49"/>
  <c r="D342" i="49"/>
  <c r="D346" i="49"/>
  <c r="D350" i="49"/>
  <c r="D354" i="49"/>
  <c r="D358" i="49"/>
  <c r="D362" i="49"/>
  <c r="D273" i="49"/>
  <c r="D278" i="49"/>
  <c r="D281" i="49"/>
  <c r="D385" i="49"/>
  <c r="D394" i="49"/>
  <c r="D398" i="49"/>
  <c r="D402" i="49"/>
  <c r="D406" i="49"/>
  <c r="D410" i="49"/>
  <c r="D414" i="49"/>
  <c r="D418" i="49"/>
  <c r="D422" i="49"/>
  <c r="D426" i="49"/>
  <c r="D430" i="49"/>
  <c r="D434" i="49"/>
  <c r="D438" i="49"/>
  <c r="D442" i="49"/>
  <c r="D446" i="49"/>
  <c r="D450" i="49"/>
  <c r="D454" i="49"/>
  <c r="D458" i="49"/>
  <c r="D462" i="49"/>
  <c r="D466" i="49"/>
  <c r="D470" i="49"/>
  <c r="D474" i="49"/>
  <c r="D478" i="49"/>
  <c r="D482" i="49"/>
  <c r="D486" i="49"/>
  <c r="D490" i="49"/>
  <c r="D368" i="49"/>
  <c r="D387" i="49"/>
  <c r="D390" i="49"/>
  <c r="D382" i="49"/>
  <c r="D393" i="49"/>
  <c r="D397" i="49"/>
  <c r="D401" i="49"/>
  <c r="D405" i="49"/>
  <c r="D409" i="49"/>
  <c r="D413" i="49"/>
  <c r="D417" i="49"/>
  <c r="D421" i="49"/>
  <c r="D425" i="49"/>
  <c r="D429" i="49"/>
  <c r="D433" i="49"/>
  <c r="D437" i="49"/>
  <c r="D441" i="49"/>
  <c r="D445" i="49"/>
  <c r="D449" i="49"/>
  <c r="D453" i="49"/>
  <c r="D457" i="49"/>
  <c r="D461" i="49"/>
  <c r="D465" i="49"/>
  <c r="D469" i="49"/>
  <c r="D364" i="49"/>
  <c r="D374" i="49"/>
  <c r="D380" i="49"/>
  <c r="D384" i="49"/>
  <c r="D370" i="49"/>
  <c r="D386" i="49"/>
  <c r="D389" i="49"/>
  <c r="D392" i="49"/>
  <c r="D396" i="49"/>
  <c r="D400" i="49"/>
  <c r="D404" i="49"/>
  <c r="D408" i="49"/>
  <c r="D412" i="49"/>
  <c r="D416" i="49"/>
  <c r="D420" i="49"/>
  <c r="D424" i="49"/>
  <c r="D428" i="49"/>
  <c r="D432" i="49"/>
  <c r="D436" i="49"/>
  <c r="D440" i="49"/>
  <c r="D444" i="49"/>
  <c r="D448" i="49"/>
  <c r="D452" i="49"/>
  <c r="D456" i="49"/>
  <c r="D460" i="49"/>
  <c r="D464" i="49"/>
  <c r="D468" i="49"/>
  <c r="D472" i="49"/>
  <c r="D476" i="49"/>
  <c r="D480" i="49"/>
  <c r="D484" i="49"/>
  <c r="D488" i="49"/>
  <c r="D378" i="49"/>
  <c r="D366" i="49"/>
  <c r="D388" i="49"/>
  <c r="D391" i="49"/>
  <c r="D395" i="49"/>
  <c r="D399" i="49"/>
  <c r="D403" i="49"/>
  <c r="D407" i="49"/>
  <c r="D411" i="49"/>
  <c r="D415" i="49"/>
  <c r="D419" i="49"/>
  <c r="D423" i="49"/>
  <c r="D427" i="49"/>
  <c r="D431" i="49"/>
  <c r="D435" i="49"/>
  <c r="D439" i="49"/>
  <c r="D443" i="49"/>
  <c r="D447" i="49"/>
  <c r="D451" i="49"/>
  <c r="D455" i="49"/>
  <c r="D459" i="49"/>
  <c r="D463" i="49"/>
  <c r="D467" i="49"/>
  <c r="D471" i="49"/>
  <c r="D475" i="49"/>
  <c r="D479" i="49"/>
  <c r="D372" i="49"/>
  <c r="D376" i="49"/>
  <c r="D383" i="49"/>
  <c r="D489" i="49"/>
  <c r="D481" i="49"/>
  <c r="D473" i="49"/>
  <c r="D483" i="49"/>
  <c r="D487" i="49"/>
  <c r="D477" i="49"/>
  <c r="D485" i="49"/>
  <c r="D491" i="49"/>
  <c r="J204" i="30"/>
  <c r="J205" i="30" s="1"/>
  <c r="J206" i="30" s="1"/>
  <c r="J144" i="28"/>
  <c r="BI146" i="30" l="1"/>
  <c r="AW146" i="30"/>
  <c r="AW146" i="28" s="1"/>
  <c r="AQ146" i="30"/>
  <c r="AQ146" i="28" s="1"/>
  <c r="Y146" i="30"/>
  <c r="Y146" i="28" s="1"/>
  <c r="M146" i="30"/>
  <c r="M146" i="28" s="1"/>
  <c r="I42" i="51"/>
  <c r="J42" i="51" s="1"/>
  <c r="I34" i="51"/>
  <c r="J34" i="51" s="1"/>
  <c r="I12" i="51"/>
  <c r="P12" i="51" s="1"/>
  <c r="I32" i="51"/>
  <c r="J32" i="51" s="1"/>
  <c r="I33" i="51"/>
  <c r="J33" i="51" s="1"/>
  <c r="I36" i="51"/>
  <c r="J36" i="51" s="1"/>
  <c r="I15" i="51"/>
  <c r="P15" i="51" s="1"/>
  <c r="I37" i="51"/>
  <c r="J37" i="51" s="1"/>
  <c r="I27" i="51"/>
  <c r="J27" i="51" s="1"/>
  <c r="I11" i="51"/>
  <c r="P11" i="51" s="1"/>
  <c r="I23" i="51"/>
  <c r="P23" i="51" s="1"/>
  <c r="I28" i="51"/>
  <c r="J28" i="51" s="1"/>
  <c r="I22" i="51"/>
  <c r="J22" i="51" s="1"/>
  <c r="I26" i="51"/>
  <c r="J26" i="51" s="1"/>
  <c r="I6" i="51"/>
  <c r="P6" i="51" s="1"/>
  <c r="I17" i="51"/>
  <c r="P17" i="51" s="1"/>
  <c r="I8" i="51"/>
  <c r="J8" i="51" s="1"/>
  <c r="I38" i="51"/>
  <c r="J38" i="51" s="1"/>
  <c r="I39" i="51"/>
  <c r="J39" i="51" s="1"/>
  <c r="I14" i="51"/>
  <c r="P14" i="51" s="1"/>
  <c r="I10" i="51"/>
  <c r="P10" i="51" s="1"/>
  <c r="I43" i="51"/>
  <c r="J43" i="51" s="1"/>
  <c r="I5" i="51"/>
  <c r="P5" i="51" s="1"/>
  <c r="I44" i="51"/>
  <c r="J44" i="51" s="1"/>
  <c r="I9" i="51"/>
  <c r="J9" i="51" s="1"/>
  <c r="I35" i="51"/>
  <c r="J35" i="51" s="1"/>
  <c r="I21" i="51"/>
  <c r="P21" i="51" s="1"/>
  <c r="I16" i="51"/>
  <c r="P16" i="51" s="1"/>
  <c r="I13" i="51"/>
  <c r="P13" i="51" s="1"/>
  <c r="I40" i="51"/>
  <c r="J40" i="51" s="1"/>
  <c r="I30" i="51"/>
  <c r="J30" i="51" s="1"/>
  <c r="BL133" i="30"/>
  <c r="BL130" i="30" s="1"/>
  <c r="BL142" i="30"/>
  <c r="BL149" i="30"/>
  <c r="BL150" i="30"/>
  <c r="BL150" i="28" s="1"/>
  <c r="BL155" i="30"/>
  <c r="BL151" i="30"/>
  <c r="BL151" i="28" s="1"/>
  <c r="BL125" i="28"/>
  <c r="AB212" i="30"/>
  <c r="AB130" i="30"/>
  <c r="BF151" i="30"/>
  <c r="BF151" i="28" s="1"/>
  <c r="BF125" i="28"/>
  <c r="BF149" i="30"/>
  <c r="BF133" i="30"/>
  <c r="BF130" i="30" s="1"/>
  <c r="BF142" i="30"/>
  <c r="BF150" i="30"/>
  <c r="BF150" i="28" s="1"/>
  <c r="BF155" i="30"/>
  <c r="AH130" i="30"/>
  <c r="AH212" i="30"/>
  <c r="AB150" i="30"/>
  <c r="AB150" i="28" s="1"/>
  <c r="AB155" i="30"/>
  <c r="AB125" i="28"/>
  <c r="AB142" i="30"/>
  <c r="AB149" i="30"/>
  <c r="AB151" i="30"/>
  <c r="AB151" i="28" s="1"/>
  <c r="AH150" i="30"/>
  <c r="AH150" i="28" s="1"/>
  <c r="AH155" i="30"/>
  <c r="AH151" i="30"/>
  <c r="AH151" i="28" s="1"/>
  <c r="AH125" i="28"/>
  <c r="AH142" i="30"/>
  <c r="AH149" i="30"/>
  <c r="AT151" i="30"/>
  <c r="AT151" i="28" s="1"/>
  <c r="AT150" i="30"/>
  <c r="AT150" i="28" s="1"/>
  <c r="AT155" i="30"/>
  <c r="AT125" i="28"/>
  <c r="AT142" i="30"/>
  <c r="AT149" i="30"/>
  <c r="BI146" i="28"/>
  <c r="BC152" i="30"/>
  <c r="BC152" i="28" s="1"/>
  <c r="BC149" i="28"/>
  <c r="P152" i="30"/>
  <c r="P152" i="28" s="1"/>
  <c r="P149" i="28"/>
  <c r="M196" i="30"/>
  <c r="M155" i="28"/>
  <c r="AN152" i="30"/>
  <c r="AN152" i="28" s="1"/>
  <c r="AN149" i="28"/>
  <c r="V196" i="30"/>
  <c r="V155" i="28"/>
  <c r="BO143" i="30"/>
  <c r="BO143" i="28" s="1"/>
  <c r="BO142" i="28"/>
  <c r="AK143" i="30"/>
  <c r="AK143" i="28" s="1"/>
  <c r="AK142" i="28"/>
  <c r="S143" i="30"/>
  <c r="S143" i="28" s="1"/>
  <c r="S142" i="28"/>
  <c r="AZ143" i="30"/>
  <c r="AZ143" i="28" s="1"/>
  <c r="AZ142" i="28"/>
  <c r="J157" i="28"/>
  <c r="P143" i="30"/>
  <c r="P143" i="28" s="1"/>
  <c r="P142" i="28"/>
  <c r="M152" i="30"/>
  <c r="M197" i="30" s="1"/>
  <c r="M149" i="28"/>
  <c r="AN143" i="30"/>
  <c r="AN143" i="28" s="1"/>
  <c r="AN142" i="28"/>
  <c r="BO196" i="30"/>
  <c r="BO155" i="28"/>
  <c r="AE143" i="30"/>
  <c r="AE143" i="28" s="1"/>
  <c r="AE142" i="28"/>
  <c r="J20" i="51"/>
  <c r="P18" i="51"/>
  <c r="BC143" i="30"/>
  <c r="BC143" i="28" s="1"/>
  <c r="BC142" i="28"/>
  <c r="Y143" i="30"/>
  <c r="Y143" i="28" s="1"/>
  <c r="Y142" i="28"/>
  <c r="P146" i="30"/>
  <c r="M143" i="30"/>
  <c r="M143" i="28" s="1"/>
  <c r="M142" i="28"/>
  <c r="AW143" i="30"/>
  <c r="AW143" i="28" s="1"/>
  <c r="AW142" i="28"/>
  <c r="AN146" i="30"/>
  <c r="AQ152" i="30"/>
  <c r="AQ152" i="28" s="1"/>
  <c r="AQ149" i="28"/>
  <c r="AZ196" i="30"/>
  <c r="AZ155" i="28"/>
  <c r="BC146" i="30"/>
  <c r="I41" i="51"/>
  <c r="J41" i="51" s="1"/>
  <c r="I19" i="51"/>
  <c r="V152" i="30"/>
  <c r="V152" i="28" s="1"/>
  <c r="V149" i="28"/>
  <c r="BO152" i="30"/>
  <c r="BO152" i="28" s="1"/>
  <c r="BO149" i="28"/>
  <c r="AQ196" i="30"/>
  <c r="AQ155" i="28"/>
  <c r="S196" i="30"/>
  <c r="S155" i="28"/>
  <c r="AW196" i="30"/>
  <c r="AW155" i="28"/>
  <c r="E14" i="49"/>
  <c r="F14" i="49" s="1"/>
  <c r="Y196" i="30"/>
  <c r="Y155" i="28"/>
  <c r="AW152" i="30"/>
  <c r="AW152" i="28" s="1"/>
  <c r="AW149" i="28"/>
  <c r="I31" i="51"/>
  <c r="J31" i="51" s="1"/>
  <c r="I29" i="51"/>
  <c r="J29" i="51" s="1"/>
  <c r="I7" i="51"/>
  <c r="V143" i="30"/>
  <c r="V143" i="28" s="1"/>
  <c r="V142" i="28"/>
  <c r="BI196" i="30"/>
  <c r="BI155" i="28"/>
  <c r="AK152" i="30"/>
  <c r="AK152" i="28" s="1"/>
  <c r="AK149" i="28"/>
  <c r="S152" i="30"/>
  <c r="S152" i="28" s="1"/>
  <c r="S149" i="28"/>
  <c r="E14" i="50"/>
  <c r="F14" i="50" s="1"/>
  <c r="G14" i="50" s="1"/>
  <c r="C15" i="50" s="1"/>
  <c r="AE152" i="30"/>
  <c r="AE152" i="28" s="1"/>
  <c r="AE149" i="28"/>
  <c r="AK146" i="30"/>
  <c r="J24" i="51"/>
  <c r="BC196" i="30"/>
  <c r="BC155" i="28"/>
  <c r="Y152" i="30"/>
  <c r="Y152" i="28" s="1"/>
  <c r="Y149" i="28"/>
  <c r="AN196" i="30"/>
  <c r="AN155" i="28"/>
  <c r="AE130" i="30"/>
  <c r="AE212" i="30"/>
  <c r="V146" i="30"/>
  <c r="BO146" i="30"/>
  <c r="BI152" i="30"/>
  <c r="BI152" i="28" s="1"/>
  <c r="BI149" i="28"/>
  <c r="AQ143" i="30"/>
  <c r="AQ143" i="28" s="1"/>
  <c r="AQ142" i="28"/>
  <c r="AE146" i="30"/>
  <c r="AK196" i="30"/>
  <c r="AK155" i="28"/>
  <c r="AZ146" i="30"/>
  <c r="P196" i="30"/>
  <c r="P155" i="28"/>
  <c r="BI143" i="30"/>
  <c r="BI143" i="28" s="1"/>
  <c r="BI142" i="28"/>
  <c r="AE196" i="30"/>
  <c r="AE155" i="28"/>
  <c r="S146" i="30"/>
  <c r="AZ152" i="30"/>
  <c r="AZ152" i="28" s="1"/>
  <c r="AZ149" i="28"/>
  <c r="AN144" i="30" l="1"/>
  <c r="AN204" i="30" s="1"/>
  <c r="AN205" i="30" s="1"/>
  <c r="BC144" i="30"/>
  <c r="AK144" i="30"/>
  <c r="M144" i="30"/>
  <c r="AQ144" i="30"/>
  <c r="AQ204" i="30" s="1"/>
  <c r="AQ205" i="30" s="1"/>
  <c r="BO144" i="30"/>
  <c r="BL146" i="30"/>
  <c r="BL146" i="28" s="1"/>
  <c r="AW144" i="30"/>
  <c r="AW144" i="28" s="1"/>
  <c r="P144" i="30"/>
  <c r="V144" i="30"/>
  <c r="Y144" i="30"/>
  <c r="Y204" i="30" s="1"/>
  <c r="Y205" i="30" s="1"/>
  <c r="AZ144" i="30"/>
  <c r="BI144" i="30"/>
  <c r="AH146" i="30"/>
  <c r="AH146" i="28" s="1"/>
  <c r="AE144" i="30"/>
  <c r="AE144" i="28" s="1"/>
  <c r="S144" i="30"/>
  <c r="S144" i="28" s="1"/>
  <c r="J12" i="51"/>
  <c r="J14" i="51"/>
  <c r="J15" i="51"/>
  <c r="J11" i="51"/>
  <c r="J10" i="51"/>
  <c r="P22" i="51"/>
  <c r="J6" i="51"/>
  <c r="J23" i="51"/>
  <c r="J17" i="51"/>
  <c r="J5" i="51"/>
  <c r="P8" i="51"/>
  <c r="P9" i="51"/>
  <c r="J16" i="51"/>
  <c r="J21" i="51"/>
  <c r="AN197" i="30"/>
  <c r="J13" i="51"/>
  <c r="P197" i="30"/>
  <c r="AQ154" i="30"/>
  <c r="AQ154" i="28" s="1"/>
  <c r="AQ197" i="30"/>
  <c r="G14" i="49"/>
  <c r="H14" i="49" s="1"/>
  <c r="C15" i="49" s="1"/>
  <c r="BI197" i="30"/>
  <c r="V197" i="30"/>
  <c r="AB196" i="30"/>
  <c r="AB155" i="28"/>
  <c r="BF143" i="30"/>
  <c r="BF143" i="28" s="1"/>
  <c r="BF142" i="28"/>
  <c r="AT196" i="30"/>
  <c r="AT155" i="28"/>
  <c r="AH155" i="28"/>
  <c r="AH196" i="30"/>
  <c r="BF152" i="30"/>
  <c r="BF152" i="28" s="1"/>
  <c r="BF149" i="28"/>
  <c r="BL155" i="28"/>
  <c r="BL196" i="30"/>
  <c r="AB152" i="30"/>
  <c r="AB152" i="28" s="1"/>
  <c r="AB149" i="28"/>
  <c r="BF146" i="30"/>
  <c r="BL152" i="30"/>
  <c r="BL152" i="28" s="1"/>
  <c r="BL149" i="28"/>
  <c r="AT149" i="28"/>
  <c r="AT152" i="30"/>
  <c r="AT152" i="28" s="1"/>
  <c r="AH152" i="30"/>
  <c r="AH197" i="30" s="1"/>
  <c r="AH149" i="28"/>
  <c r="AB146" i="30"/>
  <c r="AB143" i="30"/>
  <c r="AB144" i="30" s="1"/>
  <c r="AB142" i="28"/>
  <c r="BF196" i="30"/>
  <c r="BF155" i="28"/>
  <c r="BL143" i="30"/>
  <c r="BL143" i="28" s="1"/>
  <c r="BL142" i="28"/>
  <c r="BC197" i="30"/>
  <c r="AT146" i="30"/>
  <c r="AT142" i="28"/>
  <c r="AT143" i="30"/>
  <c r="AT143" i="28" s="1"/>
  <c r="AH142" i="28"/>
  <c r="AH143" i="30"/>
  <c r="AH143" i="28" s="1"/>
  <c r="E15" i="50"/>
  <c r="F15" i="50" s="1"/>
  <c r="G15" i="50" s="1"/>
  <c r="C16" i="50" s="1"/>
  <c r="AE146" i="28"/>
  <c r="AE154" i="30"/>
  <c r="BO146" i="28"/>
  <c r="BO154" i="30"/>
  <c r="V146" i="28"/>
  <c r="V154" i="30"/>
  <c r="P19" i="51"/>
  <c r="J19" i="51"/>
  <c r="P146" i="28"/>
  <c r="P154" i="30"/>
  <c r="AW154" i="30"/>
  <c r="BC146" i="28"/>
  <c r="BC154" i="30"/>
  <c r="AW197" i="30"/>
  <c r="S197" i="30"/>
  <c r="AK197" i="30"/>
  <c r="AN146" i="28"/>
  <c r="AN154" i="30"/>
  <c r="Y197" i="30"/>
  <c r="M152" i="28"/>
  <c r="M154" i="30"/>
  <c r="S146" i="28"/>
  <c r="S154" i="30"/>
  <c r="Y154" i="30"/>
  <c r="AK146" i="28"/>
  <c r="AK154" i="30"/>
  <c r="BO197" i="30"/>
  <c r="BI154" i="30"/>
  <c r="P7" i="51"/>
  <c r="J7" i="51"/>
  <c r="AZ146" i="28"/>
  <c r="AZ154" i="30"/>
  <c r="AE197" i="30"/>
  <c r="AZ197" i="30"/>
  <c r="AT144" i="30" l="1"/>
  <c r="AT204" i="30" s="1"/>
  <c r="AT205" i="30" s="1"/>
  <c r="BL144" i="30"/>
  <c r="BF144" i="30"/>
  <c r="AH144" i="30"/>
  <c r="AH204" i="30" s="1"/>
  <c r="AH205" i="30" s="1"/>
  <c r="AQ157" i="30"/>
  <c r="AQ157" i="28" s="1"/>
  <c r="AN144" i="28"/>
  <c r="S204" i="30"/>
  <c r="S205" i="30" s="1"/>
  <c r="AE204" i="30"/>
  <c r="AE205" i="30" s="1"/>
  <c r="AW204" i="30"/>
  <c r="AW205" i="30" s="1"/>
  <c r="Y144" i="28"/>
  <c r="E15" i="49"/>
  <c r="F15" i="49" s="1"/>
  <c r="G15" i="49" s="1"/>
  <c r="H15" i="49" s="1"/>
  <c r="C16" i="49" s="1"/>
  <c r="AB197" i="30"/>
  <c r="BL154" i="30"/>
  <c r="BL154" i="28" s="1"/>
  <c r="BF197" i="30"/>
  <c r="AT197" i="30"/>
  <c r="AT146" i="28"/>
  <c r="AT154" i="30"/>
  <c r="AB143" i="28"/>
  <c r="BF146" i="28"/>
  <c r="BF154" i="30"/>
  <c r="BL197" i="30"/>
  <c r="AB146" i="28"/>
  <c r="AB154" i="30"/>
  <c r="AQ144" i="28"/>
  <c r="AH152" i="28"/>
  <c r="AH154" i="30"/>
  <c r="E16" i="50"/>
  <c r="F16" i="50" s="1"/>
  <c r="G16" i="50" s="1"/>
  <c r="C17" i="50" s="1"/>
  <c r="AK204" i="30"/>
  <c r="AK205" i="30" s="1"/>
  <c r="AK144" i="28"/>
  <c r="BC157" i="30"/>
  <c r="BC157" i="28" s="1"/>
  <c r="BC154" i="28"/>
  <c r="AE157" i="30"/>
  <c r="AE157" i="28" s="1"/>
  <c r="AE154" i="28"/>
  <c r="V204" i="30"/>
  <c r="V205" i="30" s="1"/>
  <c r="V144" i="28"/>
  <c r="BC204" i="30"/>
  <c r="BC205" i="30" s="1"/>
  <c r="BC144" i="28"/>
  <c r="BI157" i="30"/>
  <c r="BI157" i="28" s="1"/>
  <c r="BI154" i="28"/>
  <c r="V157" i="30"/>
  <c r="V157" i="28" s="1"/>
  <c r="V154" i="28"/>
  <c r="BI204" i="30"/>
  <c r="BI205" i="30" s="1"/>
  <c r="BI144" i="28"/>
  <c r="P204" i="30"/>
  <c r="P205" i="30" s="1"/>
  <c r="P144" i="28"/>
  <c r="S157" i="30"/>
  <c r="S157" i="28" s="1"/>
  <c r="S154" i="28"/>
  <c r="M157" i="30"/>
  <c r="M157" i="28" s="1"/>
  <c r="M154" i="28"/>
  <c r="AK157" i="30"/>
  <c r="AK157" i="28" s="1"/>
  <c r="AK154" i="28"/>
  <c r="AW157" i="30"/>
  <c r="AW157" i="28" s="1"/>
  <c r="AW154" i="28"/>
  <c r="AZ204" i="30"/>
  <c r="AZ205" i="30" s="1"/>
  <c r="AZ144" i="28"/>
  <c r="M204" i="30"/>
  <c r="M205" i="30" s="1"/>
  <c r="M206" i="30" s="1"/>
  <c r="M144" i="28"/>
  <c r="BO204" i="30"/>
  <c r="BO205" i="30" s="1"/>
  <c r="BO144" i="28"/>
  <c r="AZ157" i="30"/>
  <c r="AZ157" i="28" s="1"/>
  <c r="AZ154" i="28"/>
  <c r="Y157" i="30"/>
  <c r="Y157" i="28" s="1"/>
  <c r="Y154" i="28"/>
  <c r="AN157" i="30"/>
  <c r="AN157" i="28" s="1"/>
  <c r="AN154" i="28"/>
  <c r="P157" i="30"/>
  <c r="P157" i="28" s="1"/>
  <c r="P154" i="28"/>
  <c r="BO157" i="30"/>
  <c r="BO157" i="28" s="1"/>
  <c r="BO154" i="28"/>
  <c r="AT144" i="28" l="1"/>
  <c r="BL157" i="30"/>
  <c r="BL157" i="28" s="1"/>
  <c r="AH144" i="28"/>
  <c r="AB157" i="30"/>
  <c r="AB157" i="28" s="1"/>
  <c r="AB154" i="28"/>
  <c r="AH157" i="30"/>
  <c r="AH157" i="28" s="1"/>
  <c r="AH154" i="28"/>
  <c r="AT157" i="30"/>
  <c r="AT157" i="28" s="1"/>
  <c r="AT154" i="28"/>
  <c r="BF204" i="30"/>
  <c r="BF205" i="30" s="1"/>
  <c r="BF144" i="28"/>
  <c r="BL144" i="28"/>
  <c r="BL204" i="30"/>
  <c r="BL205" i="30" s="1"/>
  <c r="BF157" i="30"/>
  <c r="BF157" i="28" s="1"/>
  <c r="BF154" i="28"/>
  <c r="AB204" i="30"/>
  <c r="AB205" i="30" s="1"/>
  <c r="AB144" i="28"/>
  <c r="P206" i="30"/>
  <c r="S206" i="30" s="1"/>
  <c r="V206" i="30" s="1"/>
  <c r="Y206" i="30" s="1"/>
  <c r="E16" i="49"/>
  <c r="F16" i="49" s="1"/>
  <c r="E17" i="50"/>
  <c r="F17" i="50" s="1"/>
  <c r="G17" i="50" s="1"/>
  <c r="C18" i="50" s="1"/>
  <c r="AB206" i="30" l="1"/>
  <c r="AE206" i="30" s="1"/>
  <c r="AH206" i="30" s="1"/>
  <c r="AK206" i="30" s="1"/>
  <c r="AN206" i="30" s="1"/>
  <c r="AQ206" i="30" s="1"/>
  <c r="AT206" i="30" s="1"/>
  <c r="AW206" i="30" s="1"/>
  <c r="AZ206" i="30" s="1"/>
  <c r="BC206" i="30" s="1"/>
  <c r="BF206" i="30" s="1"/>
  <c r="BI206" i="30" s="1"/>
  <c r="BL206" i="30" s="1"/>
  <c r="BO206" i="30" s="1"/>
  <c r="E18" i="50"/>
  <c r="F18" i="50" s="1"/>
  <c r="G18" i="50" s="1"/>
  <c r="C19" i="50" s="1"/>
  <c r="G16" i="49"/>
  <c r="H16" i="49" s="1"/>
  <c r="C17" i="49" s="1"/>
  <c r="E19" i="50" l="1"/>
  <c r="F19" i="50" s="1"/>
  <c r="G19" i="50" s="1"/>
  <c r="C20" i="50" s="1"/>
  <c r="E17" i="49"/>
  <c r="E20" i="50" l="1"/>
  <c r="F20" i="50" s="1"/>
  <c r="G20" i="50" s="1"/>
  <c r="C21" i="50" s="1"/>
  <c r="F17" i="49"/>
  <c r="G17" i="49" s="1"/>
  <c r="H17" i="49" s="1"/>
  <c r="C18" i="49" s="1"/>
  <c r="E18" i="49" l="1"/>
  <c r="F18" i="49" s="1"/>
  <c r="E21" i="50"/>
  <c r="F21" i="50" s="1"/>
  <c r="G21" i="50" s="1"/>
  <c r="C22" i="50" s="1"/>
  <c r="E22" i="50" l="1"/>
  <c r="F22" i="50" s="1"/>
  <c r="G22" i="50" s="1"/>
  <c r="C23" i="50" s="1"/>
  <c r="G18" i="49"/>
  <c r="H18" i="49" s="1"/>
  <c r="C19" i="49" s="1"/>
  <c r="E23" i="50" l="1"/>
  <c r="F23" i="50" s="1"/>
  <c r="G23" i="50" s="1"/>
  <c r="C24" i="50" s="1"/>
  <c r="E19" i="49"/>
  <c r="E24" i="50" l="1"/>
  <c r="F24" i="50" s="1"/>
  <c r="G24" i="50" s="1"/>
  <c r="C25" i="50" s="1"/>
  <c r="F19" i="49"/>
  <c r="G19" i="49" s="1"/>
  <c r="H19" i="49" s="1"/>
  <c r="C20" i="49" s="1"/>
  <c r="E20" i="49" l="1"/>
  <c r="F20" i="49" s="1"/>
  <c r="E25" i="50"/>
  <c r="F25" i="50" s="1"/>
  <c r="G25" i="50" s="1"/>
  <c r="C26" i="50" s="1"/>
  <c r="E26" i="50" l="1"/>
  <c r="F26" i="50" s="1"/>
  <c r="G26" i="50" s="1"/>
  <c r="C27" i="50" s="1"/>
  <c r="G20" i="49"/>
  <c r="H20" i="49" s="1"/>
  <c r="C21" i="49" s="1"/>
  <c r="E27" i="50" l="1"/>
  <c r="F27" i="50" s="1"/>
  <c r="G27" i="50" s="1"/>
  <c r="C28" i="50" s="1"/>
  <c r="E21" i="49"/>
  <c r="E28" i="50" l="1"/>
  <c r="F28" i="50" s="1"/>
  <c r="G28" i="50" s="1"/>
  <c r="C29" i="50" s="1"/>
  <c r="F21" i="49"/>
  <c r="G21" i="49" s="1"/>
  <c r="H21" i="49" s="1"/>
  <c r="C22" i="49" s="1"/>
  <c r="E22" i="49" l="1"/>
  <c r="F22" i="49" s="1"/>
  <c r="E29" i="50"/>
  <c r="F29" i="50" s="1"/>
  <c r="G29" i="50" s="1"/>
  <c r="C30" i="50" s="1"/>
  <c r="E30" i="50" l="1"/>
  <c r="F30" i="50" s="1"/>
  <c r="G30" i="50" s="1"/>
  <c r="C31" i="50" s="1"/>
  <c r="G22" i="49"/>
  <c r="H22" i="49" s="1"/>
  <c r="C23" i="49" s="1"/>
  <c r="E23" i="49" l="1"/>
  <c r="F23" i="49" s="1"/>
  <c r="E31" i="50"/>
  <c r="F31" i="50" s="1"/>
  <c r="G31" i="50" s="1"/>
  <c r="C32" i="50" s="1"/>
  <c r="E32" i="50" l="1"/>
  <c r="F32" i="50" s="1"/>
  <c r="G32" i="50" s="1"/>
  <c r="C33" i="50" s="1"/>
  <c r="G23" i="49"/>
  <c r="H23" i="49" s="1"/>
  <c r="C24" i="49" s="1"/>
  <c r="E33" i="50" l="1"/>
  <c r="F33" i="50" s="1"/>
  <c r="G33" i="50" s="1"/>
  <c r="C34" i="50" s="1"/>
  <c r="E24" i="49"/>
  <c r="F24" i="49" s="1"/>
  <c r="E34" i="50" l="1"/>
  <c r="F34" i="50" s="1"/>
  <c r="G34" i="50" s="1"/>
  <c r="C35" i="50" s="1"/>
  <c r="G24" i="49"/>
  <c r="H24" i="49" s="1"/>
  <c r="C25" i="49" s="1"/>
  <c r="E35" i="50" l="1"/>
  <c r="F35" i="50" s="1"/>
  <c r="G35" i="50" s="1"/>
  <c r="C36" i="50" s="1"/>
  <c r="E25" i="49"/>
  <c r="F25" i="49" s="1"/>
  <c r="E36" i="50" l="1"/>
  <c r="F36" i="50" s="1"/>
  <c r="G36" i="50" s="1"/>
  <c r="C37" i="50" s="1"/>
  <c r="G25" i="49"/>
  <c r="H25" i="49" s="1"/>
  <c r="C26" i="49" s="1"/>
  <c r="E37" i="50" l="1"/>
  <c r="F37" i="50" s="1"/>
  <c r="G37" i="50" s="1"/>
  <c r="C38" i="50" s="1"/>
  <c r="E26" i="49"/>
  <c r="F26" i="49" s="1"/>
  <c r="E38" i="50" l="1"/>
  <c r="F38" i="50" s="1"/>
  <c r="G38" i="50" s="1"/>
  <c r="C39" i="50" s="1"/>
  <c r="G26" i="49"/>
  <c r="H26" i="49" s="1"/>
  <c r="C27" i="49" s="1"/>
  <c r="E39" i="50" l="1"/>
  <c r="F39" i="50" s="1"/>
  <c r="G39" i="50" s="1"/>
  <c r="C40" i="50" s="1"/>
  <c r="E27" i="49"/>
  <c r="E40" i="50" l="1"/>
  <c r="F40" i="50" s="1"/>
  <c r="G40" i="50" s="1"/>
  <c r="C41" i="50" s="1"/>
  <c r="F27" i="49"/>
  <c r="G27" i="49" s="1"/>
  <c r="H27" i="49" s="1"/>
  <c r="C28" i="49" s="1"/>
  <c r="E28" i="49" l="1"/>
  <c r="F28" i="49" s="1"/>
  <c r="E41" i="50"/>
  <c r="F41" i="50" s="1"/>
  <c r="G41" i="50" s="1"/>
  <c r="C42" i="50" s="1"/>
  <c r="E42" i="50" l="1"/>
  <c r="F42" i="50" s="1"/>
  <c r="G42" i="50" s="1"/>
  <c r="C43" i="50" s="1"/>
  <c r="G28" i="49"/>
  <c r="H28" i="49" s="1"/>
  <c r="C29" i="49" s="1"/>
  <c r="E43" i="50" l="1"/>
  <c r="F43" i="50" s="1"/>
  <c r="G43" i="50" s="1"/>
  <c r="C44" i="50" s="1"/>
  <c r="E29" i="49"/>
  <c r="F29" i="49" l="1"/>
  <c r="G29" i="49" s="1"/>
  <c r="H29" i="49" s="1"/>
  <c r="C30" i="49" s="1"/>
  <c r="E44" i="50"/>
  <c r="F44" i="50" s="1"/>
  <c r="G44" i="50" s="1"/>
  <c r="C45" i="50" s="1"/>
  <c r="E45" i="50" l="1"/>
  <c r="F45" i="50" s="1"/>
  <c r="G45" i="50" s="1"/>
  <c r="C46" i="50" s="1"/>
  <c r="E30" i="49"/>
  <c r="F30" i="49" s="1"/>
  <c r="E46" i="50" l="1"/>
  <c r="F46" i="50" s="1"/>
  <c r="G46" i="50" s="1"/>
  <c r="C47" i="50" s="1"/>
  <c r="G30" i="49"/>
  <c r="H30" i="49" s="1"/>
  <c r="C31" i="49" s="1"/>
  <c r="E47" i="50" l="1"/>
  <c r="F47" i="50" s="1"/>
  <c r="G47" i="50" s="1"/>
  <c r="C48" i="50" s="1"/>
  <c r="E31" i="49"/>
  <c r="E48" i="50" l="1"/>
  <c r="F48" i="50" s="1"/>
  <c r="G48" i="50" s="1"/>
  <c r="C49" i="50" s="1"/>
  <c r="F31" i="49"/>
  <c r="G31" i="49" s="1"/>
  <c r="H31" i="49" s="1"/>
  <c r="C32" i="49" s="1"/>
  <c r="E32" i="49" l="1"/>
  <c r="F32" i="49" s="1"/>
  <c r="E49" i="50"/>
  <c r="F49" i="50" s="1"/>
  <c r="G49" i="50" s="1"/>
  <c r="C50" i="50" s="1"/>
  <c r="E50" i="50" l="1"/>
  <c r="F50" i="50" s="1"/>
  <c r="G50" i="50" s="1"/>
  <c r="C51" i="50" s="1"/>
  <c r="G32" i="49"/>
  <c r="H32" i="49" s="1"/>
  <c r="C33" i="49" s="1"/>
  <c r="E33" i="49" l="1"/>
  <c r="F33" i="49" s="1"/>
  <c r="E51" i="50"/>
  <c r="F51" i="50" s="1"/>
  <c r="G51" i="50" s="1"/>
  <c r="C52" i="50" s="1"/>
  <c r="E52" i="50" l="1"/>
  <c r="F52" i="50" s="1"/>
  <c r="G52" i="50" s="1"/>
  <c r="C53" i="50" s="1"/>
  <c r="G33" i="49"/>
  <c r="H33" i="49" s="1"/>
  <c r="C34" i="49" s="1"/>
  <c r="E53" i="50" l="1"/>
  <c r="F53" i="50" s="1"/>
  <c r="G53" i="50" s="1"/>
  <c r="C54" i="50" s="1"/>
  <c r="E34" i="49"/>
  <c r="F34" i="49" s="1"/>
  <c r="E54" i="50" l="1"/>
  <c r="F54" i="50" s="1"/>
  <c r="G54" i="50" s="1"/>
  <c r="C55" i="50" s="1"/>
  <c r="G34" i="49"/>
  <c r="H34" i="49" s="1"/>
  <c r="C35" i="49" s="1"/>
  <c r="E55" i="50" l="1"/>
  <c r="F55" i="50" s="1"/>
  <c r="G55" i="50" s="1"/>
  <c r="C56" i="50" s="1"/>
  <c r="E35" i="49"/>
  <c r="E56" i="50" l="1"/>
  <c r="F56" i="50" s="1"/>
  <c r="G56" i="50" s="1"/>
  <c r="C57" i="50" s="1"/>
  <c r="F35" i="49"/>
  <c r="G35" i="49" s="1"/>
  <c r="H35" i="49" s="1"/>
  <c r="C36" i="49" s="1"/>
  <c r="E36" i="49" l="1"/>
  <c r="F36" i="49" s="1"/>
  <c r="E57" i="50"/>
  <c r="F57" i="50" s="1"/>
  <c r="G57" i="50" s="1"/>
  <c r="C58" i="50" s="1"/>
  <c r="E58" i="50" l="1"/>
  <c r="F58" i="50" s="1"/>
  <c r="G58" i="50" s="1"/>
  <c r="C59" i="50" s="1"/>
  <c r="G36" i="49"/>
  <c r="H36" i="49" s="1"/>
  <c r="C37" i="49" s="1"/>
  <c r="E59" i="50" l="1"/>
  <c r="F59" i="50" s="1"/>
  <c r="G59" i="50" s="1"/>
  <c r="C60" i="50" s="1"/>
  <c r="E37" i="49"/>
  <c r="F37" i="49" s="1"/>
  <c r="E60" i="50" l="1"/>
  <c r="F60" i="50" s="1"/>
  <c r="G60" i="50" s="1"/>
  <c r="C61" i="50" s="1"/>
  <c r="G37" i="49"/>
  <c r="H37" i="49" s="1"/>
  <c r="C38" i="49" s="1"/>
  <c r="E61" i="50" l="1"/>
  <c r="F61" i="50" s="1"/>
  <c r="G61" i="50" s="1"/>
  <c r="C62" i="50" s="1"/>
  <c r="E38" i="49"/>
  <c r="F38" i="49" l="1"/>
  <c r="G38" i="49" s="1"/>
  <c r="H38" i="49" s="1"/>
  <c r="C39" i="49" s="1"/>
  <c r="E62" i="50"/>
  <c r="F62" i="50" s="1"/>
  <c r="G62" i="50" s="1"/>
  <c r="C63" i="50" s="1"/>
  <c r="E39" i="49" l="1"/>
  <c r="F39" i="49" s="1"/>
  <c r="G39" i="49" s="1"/>
  <c r="H39" i="49" s="1"/>
  <c r="C40" i="49" s="1"/>
  <c r="E63" i="50"/>
  <c r="F63" i="50" s="1"/>
  <c r="G63" i="50" s="1"/>
  <c r="C64" i="50" s="1"/>
  <c r="E64" i="50" l="1"/>
  <c r="F64" i="50" s="1"/>
  <c r="G64" i="50" s="1"/>
  <c r="C65" i="50" s="1"/>
  <c r="E40" i="49"/>
  <c r="E65" i="50" l="1"/>
  <c r="F65" i="50" s="1"/>
  <c r="G65" i="50" s="1"/>
  <c r="C66" i="50" s="1"/>
  <c r="F40" i="49"/>
  <c r="G40" i="49" s="1"/>
  <c r="H40" i="49" s="1"/>
  <c r="C41" i="49" s="1"/>
  <c r="E41" i="49" l="1"/>
  <c r="F41" i="49" s="1"/>
  <c r="E66" i="50"/>
  <c r="F66" i="50" s="1"/>
  <c r="G66" i="50" s="1"/>
  <c r="C67" i="50" s="1"/>
  <c r="E67" i="50" l="1"/>
  <c r="F67" i="50" s="1"/>
  <c r="G67" i="50" s="1"/>
  <c r="C68" i="50" s="1"/>
  <c r="G41" i="49"/>
  <c r="H41" i="49" s="1"/>
  <c r="C42" i="49" s="1"/>
  <c r="E68" i="50" l="1"/>
  <c r="F68" i="50" s="1"/>
  <c r="G68" i="50" s="1"/>
  <c r="C69" i="50" s="1"/>
  <c r="E42" i="49"/>
  <c r="F42" i="49" s="1"/>
  <c r="E69" i="50" l="1"/>
  <c r="F69" i="50" s="1"/>
  <c r="G69" i="50" s="1"/>
  <c r="C70" i="50" s="1"/>
  <c r="G42" i="49"/>
  <c r="H42" i="49" s="1"/>
  <c r="C43" i="49" s="1"/>
  <c r="E43" i="49" l="1"/>
  <c r="F43" i="49" s="1"/>
  <c r="E70" i="50"/>
  <c r="F70" i="50" s="1"/>
  <c r="G70" i="50" s="1"/>
  <c r="C71" i="50" s="1"/>
  <c r="E71" i="50" l="1"/>
  <c r="F71" i="50" s="1"/>
  <c r="G71" i="50" s="1"/>
  <c r="C72" i="50" s="1"/>
  <c r="G43" i="49"/>
  <c r="H43" i="49" s="1"/>
  <c r="C44" i="49" s="1"/>
  <c r="E72" i="50" l="1"/>
  <c r="F72" i="50" s="1"/>
  <c r="G72" i="50" s="1"/>
  <c r="C73" i="50" s="1"/>
  <c r="E44" i="49"/>
  <c r="F44" i="49" s="1"/>
  <c r="E73" i="50" l="1"/>
  <c r="F73" i="50" s="1"/>
  <c r="G73" i="50" s="1"/>
  <c r="C74" i="50" s="1"/>
  <c r="G44" i="49"/>
  <c r="H44" i="49" s="1"/>
  <c r="C45" i="49" s="1"/>
  <c r="E74" i="50" l="1"/>
  <c r="F74" i="50" s="1"/>
  <c r="G74" i="50" s="1"/>
  <c r="C75" i="50" s="1"/>
  <c r="E45" i="49"/>
  <c r="F45" i="49" s="1"/>
  <c r="E75" i="50" l="1"/>
  <c r="F75" i="50" s="1"/>
  <c r="G75" i="50" s="1"/>
  <c r="C76" i="50" s="1"/>
  <c r="G45" i="49"/>
  <c r="H45" i="49" s="1"/>
  <c r="C46" i="49" s="1"/>
  <c r="E76" i="50" l="1"/>
  <c r="F76" i="50" s="1"/>
  <c r="G76" i="50" s="1"/>
  <c r="C77" i="50" s="1"/>
  <c r="E46" i="49"/>
  <c r="F46" i="49" s="1"/>
  <c r="E77" i="50" l="1"/>
  <c r="F77" i="50" s="1"/>
  <c r="G77" i="50" s="1"/>
  <c r="C78" i="50" s="1"/>
  <c r="G46" i="49"/>
  <c r="H46" i="49" s="1"/>
  <c r="C47" i="49" s="1"/>
  <c r="E78" i="50" l="1"/>
  <c r="F78" i="50" s="1"/>
  <c r="G78" i="50" s="1"/>
  <c r="C79" i="50" s="1"/>
  <c r="E47" i="49"/>
  <c r="F47" i="49" s="1"/>
  <c r="E79" i="50" l="1"/>
  <c r="F79" i="50" s="1"/>
  <c r="G79" i="50" s="1"/>
  <c r="C80" i="50" s="1"/>
  <c r="G47" i="49"/>
  <c r="H47" i="49" s="1"/>
  <c r="C48" i="49" s="1"/>
  <c r="E48" i="49" l="1"/>
  <c r="F48" i="49" s="1"/>
  <c r="E80" i="50"/>
  <c r="F80" i="50" s="1"/>
  <c r="G80" i="50" s="1"/>
  <c r="C81" i="50" s="1"/>
  <c r="E81" i="50" l="1"/>
  <c r="F81" i="50" s="1"/>
  <c r="G81" i="50" s="1"/>
  <c r="C82" i="50" s="1"/>
  <c r="G48" i="49"/>
  <c r="H48" i="49" s="1"/>
  <c r="C49" i="49" s="1"/>
  <c r="E82" i="50" l="1"/>
  <c r="F82" i="50" s="1"/>
  <c r="G82" i="50" s="1"/>
  <c r="C83" i="50" s="1"/>
  <c r="E49" i="49"/>
  <c r="E83" i="50" l="1"/>
  <c r="F83" i="50" s="1"/>
  <c r="G83" i="50" s="1"/>
  <c r="C84" i="50" s="1"/>
  <c r="F49" i="49"/>
  <c r="G49" i="49" s="1"/>
  <c r="H49" i="49" s="1"/>
  <c r="C50" i="49" s="1"/>
  <c r="E50" i="49" l="1"/>
  <c r="F50" i="49" s="1"/>
  <c r="E84" i="50"/>
  <c r="F84" i="50" s="1"/>
  <c r="G84" i="50" s="1"/>
  <c r="C85" i="50" s="1"/>
  <c r="E85" i="50" l="1"/>
  <c r="F85" i="50" s="1"/>
  <c r="G85" i="50" s="1"/>
  <c r="C86" i="50" s="1"/>
  <c r="G50" i="49"/>
  <c r="H50" i="49" s="1"/>
  <c r="C51" i="49" s="1"/>
  <c r="E86" i="50" l="1"/>
  <c r="F86" i="50" s="1"/>
  <c r="G86" i="50" s="1"/>
  <c r="C87" i="50" s="1"/>
  <c r="E51" i="49"/>
  <c r="E87" i="50" l="1"/>
  <c r="F87" i="50" s="1"/>
  <c r="G87" i="50" s="1"/>
  <c r="C88" i="50" s="1"/>
  <c r="F51" i="49"/>
  <c r="G51" i="49" s="1"/>
  <c r="H51" i="49" s="1"/>
  <c r="C52" i="49" s="1"/>
  <c r="E88" i="50" l="1"/>
  <c r="F88" i="50" s="1"/>
  <c r="G88" i="50" s="1"/>
  <c r="C89" i="50" s="1"/>
  <c r="E52" i="49"/>
  <c r="F52" i="49" s="1"/>
  <c r="E89" i="50" l="1"/>
  <c r="F89" i="50" s="1"/>
  <c r="G89" i="50" s="1"/>
  <c r="C90" i="50" s="1"/>
  <c r="G52" i="49"/>
  <c r="H52" i="49" s="1"/>
  <c r="C53" i="49" s="1"/>
  <c r="E90" i="50" l="1"/>
  <c r="F90" i="50" s="1"/>
  <c r="G90" i="50" s="1"/>
  <c r="C91" i="50" s="1"/>
  <c r="E53" i="49"/>
  <c r="F53" i="49" s="1"/>
  <c r="G53" i="49" l="1"/>
  <c r="H53" i="49" s="1"/>
  <c r="C54" i="49" s="1"/>
  <c r="E54" i="49" s="1"/>
  <c r="E91" i="50"/>
  <c r="F91" i="50" s="1"/>
  <c r="G91" i="50" s="1"/>
  <c r="C92" i="50" s="1"/>
  <c r="E92" i="50" l="1"/>
  <c r="F92" i="50" s="1"/>
  <c r="G92" i="50" s="1"/>
  <c r="C93" i="50" s="1"/>
  <c r="F54" i="49"/>
  <c r="G54" i="49" s="1"/>
  <c r="H54" i="49" s="1"/>
  <c r="C55" i="49" s="1"/>
  <c r="E55" i="49" l="1"/>
  <c r="F55" i="49" s="1"/>
  <c r="E93" i="50"/>
  <c r="F93" i="50" s="1"/>
  <c r="G93" i="50" s="1"/>
  <c r="C94" i="50" s="1"/>
  <c r="E94" i="50" l="1"/>
  <c r="F94" i="50" s="1"/>
  <c r="G94" i="50" s="1"/>
  <c r="C95" i="50" s="1"/>
  <c r="G55" i="49"/>
  <c r="H55" i="49" s="1"/>
  <c r="C56" i="49" s="1"/>
  <c r="E95" i="50" l="1"/>
  <c r="F95" i="50" s="1"/>
  <c r="G95" i="50" s="1"/>
  <c r="C96" i="50" s="1"/>
  <c r="E56" i="49"/>
  <c r="F56" i="49" s="1"/>
  <c r="E96" i="50" l="1"/>
  <c r="F96" i="50" s="1"/>
  <c r="G96" i="50" s="1"/>
  <c r="C97" i="50" s="1"/>
  <c r="G56" i="49"/>
  <c r="H56" i="49" s="1"/>
  <c r="C57" i="49" s="1"/>
  <c r="E97" i="50" l="1"/>
  <c r="F97" i="50" s="1"/>
  <c r="G97" i="50" s="1"/>
  <c r="C98" i="50" s="1"/>
  <c r="E57" i="49"/>
  <c r="F57" i="49" s="1"/>
  <c r="E98" i="50" l="1"/>
  <c r="F98" i="50" s="1"/>
  <c r="G98" i="50" s="1"/>
  <c r="C99" i="50" s="1"/>
  <c r="G57" i="49"/>
  <c r="H57" i="49" s="1"/>
  <c r="C58" i="49" s="1"/>
  <c r="E99" i="50" l="1"/>
  <c r="F99" i="50" s="1"/>
  <c r="G99" i="50" s="1"/>
  <c r="C100" i="50" s="1"/>
  <c r="E58" i="49"/>
  <c r="E100" i="50" l="1"/>
  <c r="F100" i="50" s="1"/>
  <c r="G100" i="50" s="1"/>
  <c r="C101" i="50" s="1"/>
  <c r="F58" i="49"/>
  <c r="G58" i="49" s="1"/>
  <c r="H58" i="49" s="1"/>
  <c r="C59" i="49" s="1"/>
  <c r="E59" i="49" l="1"/>
  <c r="F59" i="49" s="1"/>
  <c r="E101" i="50"/>
  <c r="F101" i="50" s="1"/>
  <c r="G101" i="50" s="1"/>
  <c r="C102" i="50" s="1"/>
  <c r="G59" i="49" l="1"/>
  <c r="H59" i="49" s="1"/>
  <c r="C60" i="49" s="1"/>
  <c r="E60" i="49" s="1"/>
  <c r="E102" i="50"/>
  <c r="F102" i="50" s="1"/>
  <c r="G102" i="50" s="1"/>
  <c r="C103" i="50" s="1"/>
  <c r="E103" i="50" l="1"/>
  <c r="F103" i="50" s="1"/>
  <c r="G103" i="50" s="1"/>
  <c r="C104" i="50" s="1"/>
  <c r="F60" i="49"/>
  <c r="G60" i="49" s="1"/>
  <c r="H60" i="49" s="1"/>
  <c r="C61" i="49" s="1"/>
  <c r="E61" i="49" l="1"/>
  <c r="F61" i="49" s="1"/>
  <c r="E104" i="50"/>
  <c r="F104" i="50" s="1"/>
  <c r="G104" i="50" s="1"/>
  <c r="C105" i="50" s="1"/>
  <c r="E105" i="50" l="1"/>
  <c r="F105" i="50" s="1"/>
  <c r="G105" i="50" s="1"/>
  <c r="C106" i="50" s="1"/>
  <c r="G61" i="49"/>
  <c r="H61" i="49" s="1"/>
  <c r="C62" i="49" s="1"/>
  <c r="E106" i="50" l="1"/>
  <c r="F106" i="50" s="1"/>
  <c r="G106" i="50" s="1"/>
  <c r="C107" i="50" s="1"/>
  <c r="E62" i="49"/>
  <c r="E107" i="50" l="1"/>
  <c r="F107" i="50" s="1"/>
  <c r="G107" i="50" s="1"/>
  <c r="C108" i="50" s="1"/>
  <c r="F62" i="49"/>
  <c r="G62" i="49" s="1"/>
  <c r="H62" i="49" s="1"/>
  <c r="C63" i="49" s="1"/>
  <c r="E63" i="49" l="1"/>
  <c r="F63" i="49" s="1"/>
  <c r="E108" i="50"/>
  <c r="F108" i="50" s="1"/>
  <c r="G108" i="50" s="1"/>
  <c r="C109" i="50" s="1"/>
  <c r="G63" i="49" l="1"/>
  <c r="H63" i="49" s="1"/>
  <c r="C64" i="49" s="1"/>
  <c r="E64" i="49" s="1"/>
  <c r="E109" i="50"/>
  <c r="F109" i="50" s="1"/>
  <c r="G109" i="50" s="1"/>
  <c r="C110" i="50" s="1"/>
  <c r="E110" i="50" l="1"/>
  <c r="F110" i="50" s="1"/>
  <c r="G110" i="50" s="1"/>
  <c r="C111" i="50" s="1"/>
  <c r="F64" i="49"/>
  <c r="G64" i="49" s="1"/>
  <c r="H64" i="49" s="1"/>
  <c r="C65" i="49" s="1"/>
  <c r="E65" i="49" l="1"/>
  <c r="F65" i="49" s="1"/>
  <c r="E111" i="50"/>
  <c r="F111" i="50" s="1"/>
  <c r="G111" i="50" s="1"/>
  <c r="C112" i="50" s="1"/>
  <c r="E112" i="50" l="1"/>
  <c r="F112" i="50" s="1"/>
  <c r="G112" i="50" s="1"/>
  <c r="C113" i="50" s="1"/>
  <c r="G65" i="49"/>
  <c r="H65" i="49" s="1"/>
  <c r="C66" i="49" s="1"/>
  <c r="E113" i="50" l="1"/>
  <c r="F113" i="50" s="1"/>
  <c r="G113" i="50" s="1"/>
  <c r="C114" i="50" s="1"/>
  <c r="E66" i="49"/>
  <c r="E114" i="50" l="1"/>
  <c r="F114" i="50" s="1"/>
  <c r="G114" i="50" s="1"/>
  <c r="C115" i="50" s="1"/>
  <c r="F66" i="49"/>
  <c r="G66" i="49" s="1"/>
  <c r="H66" i="49" s="1"/>
  <c r="C67" i="49" s="1"/>
  <c r="E67" i="49" l="1"/>
  <c r="E115" i="50"/>
  <c r="F115" i="50" s="1"/>
  <c r="G115" i="50" s="1"/>
  <c r="C116" i="50" s="1"/>
  <c r="E116" i="50" l="1"/>
  <c r="F116" i="50" s="1"/>
  <c r="G116" i="50" s="1"/>
  <c r="C117" i="50" s="1"/>
  <c r="F67" i="49"/>
  <c r="G67" i="49" s="1"/>
  <c r="H67" i="49" s="1"/>
  <c r="C68" i="49" s="1"/>
  <c r="E68" i="49" l="1"/>
  <c r="F68" i="49" s="1"/>
  <c r="E117" i="50"/>
  <c r="F117" i="50" s="1"/>
  <c r="G117" i="50" s="1"/>
  <c r="C118" i="50" s="1"/>
  <c r="G68" i="49" l="1"/>
  <c r="H68" i="49" s="1"/>
  <c r="C69" i="49" s="1"/>
  <c r="E69" i="49" s="1"/>
  <c r="F69" i="49" s="1"/>
  <c r="E118" i="50"/>
  <c r="F118" i="50" s="1"/>
  <c r="G118" i="50" s="1"/>
  <c r="C119" i="50" s="1"/>
  <c r="G69" i="49" l="1"/>
  <c r="H69" i="49" s="1"/>
  <c r="C70" i="49" s="1"/>
  <c r="E70" i="49" s="1"/>
  <c r="E119" i="50"/>
  <c r="F119" i="50" s="1"/>
  <c r="G119" i="50" s="1"/>
  <c r="C120" i="50" s="1"/>
  <c r="E120" i="50" l="1"/>
  <c r="F120" i="50" s="1"/>
  <c r="G120" i="50" s="1"/>
  <c r="C121" i="50" s="1"/>
  <c r="F70" i="49"/>
  <c r="G70" i="49" s="1"/>
  <c r="H70" i="49" s="1"/>
  <c r="C71" i="49" s="1"/>
  <c r="E71" i="49" l="1"/>
  <c r="F71" i="49" s="1"/>
  <c r="E121" i="50"/>
  <c r="F121" i="50" s="1"/>
  <c r="G121" i="50" s="1"/>
  <c r="C122" i="50" s="1"/>
  <c r="G71" i="49" l="1"/>
  <c r="H71" i="49" s="1"/>
  <c r="C72" i="49" s="1"/>
  <c r="E72" i="49" s="1"/>
  <c r="F72" i="49" s="1"/>
  <c r="E122" i="50"/>
  <c r="F122" i="50" s="1"/>
  <c r="G122" i="50" s="1"/>
  <c r="C123" i="50" s="1"/>
  <c r="E123" i="50" l="1"/>
  <c r="F123" i="50" s="1"/>
  <c r="G123" i="50" s="1"/>
  <c r="C124" i="50" s="1"/>
  <c r="G72" i="49"/>
  <c r="H72" i="49" s="1"/>
  <c r="C73" i="49" s="1"/>
  <c r="E124" i="50" l="1"/>
  <c r="F124" i="50" s="1"/>
  <c r="G124" i="50" s="1"/>
  <c r="C125" i="50" s="1"/>
  <c r="E73" i="49"/>
  <c r="F73" i="49" s="1"/>
  <c r="E125" i="50" l="1"/>
  <c r="F125" i="50" s="1"/>
  <c r="G125" i="50" s="1"/>
  <c r="C126" i="50" s="1"/>
  <c r="G73" i="49"/>
  <c r="H73" i="49" s="1"/>
  <c r="C74" i="49" s="1"/>
  <c r="E126" i="50" l="1"/>
  <c r="F126" i="50" s="1"/>
  <c r="G126" i="50" s="1"/>
  <c r="C127" i="50" s="1"/>
  <c r="E74" i="49"/>
  <c r="F74" i="49" s="1"/>
  <c r="E127" i="50" l="1"/>
  <c r="F127" i="50" s="1"/>
  <c r="G127" i="50" s="1"/>
  <c r="C128" i="50" s="1"/>
  <c r="G74" i="49"/>
  <c r="H74" i="49" s="1"/>
  <c r="C75" i="49" s="1"/>
  <c r="E128" i="50" l="1"/>
  <c r="F128" i="50" s="1"/>
  <c r="G128" i="50" s="1"/>
  <c r="C129" i="50" s="1"/>
  <c r="E75" i="49"/>
  <c r="F75" i="49" s="1"/>
  <c r="G75" i="49" l="1"/>
  <c r="H75" i="49" s="1"/>
  <c r="C76" i="49" s="1"/>
  <c r="E129" i="50"/>
  <c r="F129" i="50" s="1"/>
  <c r="G129" i="50" s="1"/>
  <c r="C130" i="50" s="1"/>
  <c r="E130" i="50" l="1"/>
  <c r="F130" i="50" s="1"/>
  <c r="G130" i="50" s="1"/>
  <c r="C131" i="50" s="1"/>
  <c r="E76" i="49"/>
  <c r="F76" i="49" s="1"/>
  <c r="E131" i="50" l="1"/>
  <c r="F131" i="50" s="1"/>
  <c r="G131" i="50" s="1"/>
  <c r="C132" i="50" s="1"/>
  <c r="G76" i="49"/>
  <c r="H76" i="49" s="1"/>
  <c r="C77" i="49" s="1"/>
  <c r="E132" i="50" l="1"/>
  <c r="F132" i="50" s="1"/>
  <c r="G132" i="50" s="1"/>
  <c r="C133" i="50" s="1"/>
  <c r="E77" i="49"/>
  <c r="F77" i="49" s="1"/>
  <c r="G77" i="49" l="1"/>
  <c r="H77" i="49" s="1"/>
  <c r="C78" i="49" s="1"/>
  <c r="E78" i="49" s="1"/>
  <c r="E133" i="50"/>
  <c r="F133" i="50" s="1"/>
  <c r="G133" i="50" s="1"/>
  <c r="C134" i="50" s="1"/>
  <c r="E134" i="50" l="1"/>
  <c r="F134" i="50" s="1"/>
  <c r="G134" i="50" s="1"/>
  <c r="C135" i="50" s="1"/>
  <c r="F78" i="49"/>
  <c r="G78" i="49" s="1"/>
  <c r="H78" i="49" s="1"/>
  <c r="C79" i="49" s="1"/>
  <c r="E79" i="49" l="1"/>
  <c r="E135" i="50"/>
  <c r="F135" i="50" s="1"/>
  <c r="G135" i="50" s="1"/>
  <c r="C136" i="50" s="1"/>
  <c r="E136" i="50" l="1"/>
  <c r="F136" i="50" s="1"/>
  <c r="G136" i="50" s="1"/>
  <c r="C137" i="50" s="1"/>
  <c r="F79" i="49"/>
  <c r="G79" i="49" s="1"/>
  <c r="H79" i="49" s="1"/>
  <c r="C80" i="49" s="1"/>
  <c r="E80" i="49" l="1"/>
  <c r="F80" i="49" s="1"/>
  <c r="E137" i="50"/>
  <c r="F137" i="50" s="1"/>
  <c r="G137" i="50" s="1"/>
  <c r="C138" i="50" s="1"/>
  <c r="E138" i="50" l="1"/>
  <c r="F138" i="50" s="1"/>
  <c r="G138" i="50" s="1"/>
  <c r="C139" i="50" s="1"/>
  <c r="G80" i="49"/>
  <c r="H80" i="49" s="1"/>
  <c r="C81" i="49" s="1"/>
  <c r="E139" i="50" l="1"/>
  <c r="F139" i="50" s="1"/>
  <c r="G139" i="50" s="1"/>
  <c r="C140" i="50" s="1"/>
  <c r="E81" i="49"/>
  <c r="F81" i="49" s="1"/>
  <c r="E140" i="50" l="1"/>
  <c r="F140" i="50" s="1"/>
  <c r="G140" i="50" s="1"/>
  <c r="C141" i="50" s="1"/>
  <c r="G81" i="49"/>
  <c r="H81" i="49" s="1"/>
  <c r="C82" i="49" s="1"/>
  <c r="E141" i="50" l="1"/>
  <c r="F141" i="50" s="1"/>
  <c r="G141" i="50" s="1"/>
  <c r="C142" i="50" s="1"/>
  <c r="E82" i="49"/>
  <c r="E142" i="50" l="1"/>
  <c r="F142" i="50" s="1"/>
  <c r="G142" i="50" s="1"/>
  <c r="C143" i="50" s="1"/>
  <c r="F82" i="49"/>
  <c r="G82" i="49" s="1"/>
  <c r="H82" i="49" s="1"/>
  <c r="C83" i="49" s="1"/>
  <c r="E83" i="49" l="1"/>
  <c r="E143" i="50"/>
  <c r="F143" i="50" s="1"/>
  <c r="G143" i="50" s="1"/>
  <c r="C144" i="50" s="1"/>
  <c r="E144" i="50" l="1"/>
  <c r="F144" i="50" s="1"/>
  <c r="G144" i="50" s="1"/>
  <c r="C145" i="50" s="1"/>
  <c r="F83" i="49"/>
  <c r="G83" i="49" s="1"/>
  <c r="H83" i="49" s="1"/>
  <c r="C84" i="49" s="1"/>
  <c r="E84" i="49" l="1"/>
  <c r="F84" i="49" s="1"/>
  <c r="E145" i="50"/>
  <c r="F145" i="50" s="1"/>
  <c r="G145" i="50" s="1"/>
  <c r="C146" i="50" s="1"/>
  <c r="G84" i="49" l="1"/>
  <c r="H84" i="49" s="1"/>
  <c r="C85" i="49" s="1"/>
  <c r="E85" i="49" s="1"/>
  <c r="F85" i="49" s="1"/>
  <c r="E146" i="50"/>
  <c r="F146" i="50" s="1"/>
  <c r="G146" i="50" s="1"/>
  <c r="C147" i="50" s="1"/>
  <c r="G85" i="49" l="1"/>
  <c r="H85" i="49" s="1"/>
  <c r="C86" i="49" s="1"/>
  <c r="E86" i="49" s="1"/>
  <c r="E147" i="50"/>
  <c r="F147" i="50" s="1"/>
  <c r="G147" i="50" s="1"/>
  <c r="C148" i="50" s="1"/>
  <c r="E148" i="50" l="1"/>
  <c r="F148" i="50" s="1"/>
  <c r="G148" i="50" s="1"/>
  <c r="C149" i="50" s="1"/>
  <c r="F86" i="49"/>
  <c r="G86" i="49" s="1"/>
  <c r="H86" i="49" s="1"/>
  <c r="C87" i="49" s="1"/>
  <c r="E87" i="49" l="1"/>
  <c r="F87" i="49" s="1"/>
  <c r="E149" i="50"/>
  <c r="F149" i="50" s="1"/>
  <c r="G149" i="50" s="1"/>
  <c r="C150" i="50" s="1"/>
  <c r="E150" i="50" l="1"/>
  <c r="F150" i="50" s="1"/>
  <c r="G150" i="50" s="1"/>
  <c r="C151" i="50" s="1"/>
  <c r="G87" i="49"/>
  <c r="H87" i="49" s="1"/>
  <c r="C88" i="49" s="1"/>
  <c r="E88" i="49" l="1"/>
  <c r="F88" i="49" s="1"/>
  <c r="E151" i="50"/>
  <c r="F151" i="50" s="1"/>
  <c r="G151" i="50" s="1"/>
  <c r="C152" i="50" s="1"/>
  <c r="E152" i="50" l="1"/>
  <c r="F152" i="50" s="1"/>
  <c r="G152" i="50" s="1"/>
  <c r="C153" i="50" s="1"/>
  <c r="G88" i="49"/>
  <c r="H88" i="49" s="1"/>
  <c r="C89" i="49" s="1"/>
  <c r="E153" i="50" l="1"/>
  <c r="F153" i="50" s="1"/>
  <c r="G153" i="50" s="1"/>
  <c r="C154" i="50" s="1"/>
  <c r="E89" i="49"/>
  <c r="E154" i="50" l="1"/>
  <c r="F154" i="50" s="1"/>
  <c r="G154" i="50" s="1"/>
  <c r="C155" i="50" s="1"/>
  <c r="F89" i="49"/>
  <c r="G89" i="49" s="1"/>
  <c r="H89" i="49" s="1"/>
  <c r="C90" i="49" s="1"/>
  <c r="E155" i="50" l="1"/>
  <c r="F155" i="50" s="1"/>
  <c r="G155" i="50" s="1"/>
  <c r="C156" i="50" s="1"/>
  <c r="E90" i="49"/>
  <c r="F90" i="49" l="1"/>
  <c r="G90" i="49" s="1"/>
  <c r="H90" i="49" s="1"/>
  <c r="C91" i="49" s="1"/>
  <c r="E156" i="50"/>
  <c r="F156" i="50" s="1"/>
  <c r="G156" i="50" s="1"/>
  <c r="C157" i="50" s="1"/>
  <c r="E157" i="50" l="1"/>
  <c r="F157" i="50" s="1"/>
  <c r="G157" i="50" s="1"/>
  <c r="C158" i="50" s="1"/>
  <c r="E91" i="49"/>
  <c r="F91" i="49" s="1"/>
  <c r="E158" i="50" l="1"/>
  <c r="F158" i="50" s="1"/>
  <c r="G158" i="50" s="1"/>
  <c r="C159" i="50" s="1"/>
  <c r="G91" i="49"/>
  <c r="H91" i="49" s="1"/>
  <c r="C92" i="49" s="1"/>
  <c r="E159" i="50" l="1"/>
  <c r="F159" i="50" s="1"/>
  <c r="G159" i="50" s="1"/>
  <c r="C160" i="50" s="1"/>
  <c r="E92" i="49"/>
  <c r="F92" i="49" s="1"/>
  <c r="E160" i="50" l="1"/>
  <c r="F160" i="50" s="1"/>
  <c r="G160" i="50" s="1"/>
  <c r="C161" i="50" s="1"/>
  <c r="G92" i="49"/>
  <c r="H92" i="49" s="1"/>
  <c r="C93" i="49" s="1"/>
  <c r="E161" i="50" l="1"/>
  <c r="F161" i="50" s="1"/>
  <c r="G161" i="50" s="1"/>
  <c r="C162" i="50" s="1"/>
  <c r="E93" i="49"/>
  <c r="F93" i="49" s="1"/>
  <c r="E162" i="50" l="1"/>
  <c r="F162" i="50" s="1"/>
  <c r="G162" i="50" s="1"/>
  <c r="C163" i="50" s="1"/>
  <c r="G93" i="49"/>
  <c r="H93" i="49" s="1"/>
  <c r="C94" i="49" s="1"/>
  <c r="E163" i="50" l="1"/>
  <c r="F163" i="50" s="1"/>
  <c r="G163" i="50" s="1"/>
  <c r="C164" i="50" s="1"/>
  <c r="E94" i="49"/>
  <c r="E164" i="50" l="1"/>
  <c r="F164" i="50" s="1"/>
  <c r="G164" i="50" s="1"/>
  <c r="C165" i="50" s="1"/>
  <c r="F94" i="49"/>
  <c r="G94" i="49" s="1"/>
  <c r="H94" i="49" s="1"/>
  <c r="C95" i="49" s="1"/>
  <c r="E165" i="50" l="1"/>
  <c r="F165" i="50" s="1"/>
  <c r="G165" i="50" s="1"/>
  <c r="C166" i="50" s="1"/>
  <c r="E95" i="49"/>
  <c r="F95" i="49" s="1"/>
  <c r="E166" i="50" l="1"/>
  <c r="F166" i="50" s="1"/>
  <c r="G166" i="50" s="1"/>
  <c r="C167" i="50" s="1"/>
  <c r="G95" i="49"/>
  <c r="H95" i="49" s="1"/>
  <c r="C96" i="49" s="1"/>
  <c r="E167" i="50" l="1"/>
  <c r="F167" i="50" s="1"/>
  <c r="G167" i="50" s="1"/>
  <c r="C168" i="50" s="1"/>
  <c r="E96" i="49"/>
  <c r="F96" i="49" s="1"/>
  <c r="E168" i="50" l="1"/>
  <c r="F168" i="50" s="1"/>
  <c r="G168" i="50" s="1"/>
  <c r="C169" i="50" s="1"/>
  <c r="G96" i="49"/>
  <c r="H96" i="49" s="1"/>
  <c r="C97" i="49" s="1"/>
  <c r="E169" i="50" l="1"/>
  <c r="F169" i="50" s="1"/>
  <c r="G169" i="50" s="1"/>
  <c r="C170" i="50" s="1"/>
  <c r="E97" i="49"/>
  <c r="F97" i="49" s="1"/>
  <c r="G97" i="49" l="1"/>
  <c r="H97" i="49" s="1"/>
  <c r="C98" i="49" s="1"/>
  <c r="E98" i="49" s="1"/>
  <c r="E170" i="50"/>
  <c r="F170" i="50" s="1"/>
  <c r="G170" i="50" s="1"/>
  <c r="C171" i="50" s="1"/>
  <c r="E171" i="50" l="1"/>
  <c r="F171" i="50" s="1"/>
  <c r="G171" i="50" s="1"/>
  <c r="C172" i="50" s="1"/>
  <c r="F98" i="49"/>
  <c r="G98" i="49" s="1"/>
  <c r="H98" i="49" s="1"/>
  <c r="C99" i="49" s="1"/>
  <c r="E99" i="49" l="1"/>
  <c r="E172" i="50"/>
  <c r="F172" i="50" s="1"/>
  <c r="G172" i="50" s="1"/>
  <c r="C173" i="50" s="1"/>
  <c r="E173" i="50" l="1"/>
  <c r="F173" i="50" s="1"/>
  <c r="G173" i="50" s="1"/>
  <c r="C174" i="50" s="1"/>
  <c r="F99" i="49"/>
  <c r="G99" i="49" s="1"/>
  <c r="H99" i="49" s="1"/>
  <c r="C100" i="49" s="1"/>
  <c r="E100" i="49" l="1"/>
  <c r="F100" i="49" s="1"/>
  <c r="E174" i="50"/>
  <c r="F174" i="50" s="1"/>
  <c r="G174" i="50" s="1"/>
  <c r="C175" i="50" s="1"/>
  <c r="E175" i="50" l="1"/>
  <c r="F175" i="50" s="1"/>
  <c r="G175" i="50" s="1"/>
  <c r="C176" i="50" s="1"/>
  <c r="G100" i="49"/>
  <c r="H100" i="49" s="1"/>
  <c r="C101" i="49" s="1"/>
  <c r="E176" i="50" l="1"/>
  <c r="F176" i="50" s="1"/>
  <c r="G176" i="50" s="1"/>
  <c r="C177" i="50" s="1"/>
  <c r="E101" i="49"/>
  <c r="F101" i="49" s="1"/>
  <c r="E177" i="50" l="1"/>
  <c r="F177" i="50" s="1"/>
  <c r="G177" i="50" s="1"/>
  <c r="C178" i="50" s="1"/>
  <c r="G101" i="49"/>
  <c r="H101" i="49" s="1"/>
  <c r="C102" i="49" s="1"/>
  <c r="E178" i="50" l="1"/>
  <c r="F178" i="50" s="1"/>
  <c r="G178" i="50" s="1"/>
  <c r="C179" i="50" s="1"/>
  <c r="E102" i="49"/>
  <c r="E179" i="50" l="1"/>
  <c r="F179" i="50" s="1"/>
  <c r="G179" i="50" s="1"/>
  <c r="C180" i="50" s="1"/>
  <c r="F102" i="49"/>
  <c r="G102" i="49" s="1"/>
  <c r="H102" i="49" s="1"/>
  <c r="C103" i="49" s="1"/>
  <c r="E103" i="49" l="1"/>
  <c r="E180" i="50"/>
  <c r="F180" i="50" s="1"/>
  <c r="G180" i="50" s="1"/>
  <c r="C181" i="50" s="1"/>
  <c r="E181" i="50" l="1"/>
  <c r="F181" i="50" s="1"/>
  <c r="G181" i="50" s="1"/>
  <c r="C182" i="50" s="1"/>
  <c r="F103" i="49"/>
  <c r="G103" i="49" s="1"/>
  <c r="H103" i="49" s="1"/>
  <c r="C104" i="49" s="1"/>
  <c r="E104" i="49" l="1"/>
  <c r="F104" i="49" s="1"/>
  <c r="E182" i="50"/>
  <c r="F182" i="50" s="1"/>
  <c r="G182" i="50" s="1"/>
  <c r="C183" i="50" s="1"/>
  <c r="E183" i="50" l="1"/>
  <c r="F183" i="50" s="1"/>
  <c r="G183" i="50" s="1"/>
  <c r="C184" i="50" s="1"/>
  <c r="G104" i="49"/>
  <c r="H104" i="49" s="1"/>
  <c r="C105" i="49" s="1"/>
  <c r="E184" i="50" l="1"/>
  <c r="F184" i="50" s="1"/>
  <c r="G184" i="50" s="1"/>
  <c r="C185" i="50" s="1"/>
  <c r="E105" i="49"/>
  <c r="F105" i="49" s="1"/>
  <c r="E185" i="50" l="1"/>
  <c r="F185" i="50" s="1"/>
  <c r="G185" i="50" s="1"/>
  <c r="C186" i="50" s="1"/>
  <c r="G105" i="49"/>
  <c r="H105" i="49" s="1"/>
  <c r="C106" i="49" s="1"/>
  <c r="E186" i="50" l="1"/>
  <c r="F186" i="50" s="1"/>
  <c r="G186" i="50" s="1"/>
  <c r="C187" i="50" s="1"/>
  <c r="E106" i="49"/>
  <c r="E187" i="50" l="1"/>
  <c r="F187" i="50" s="1"/>
  <c r="G187" i="50" s="1"/>
  <c r="C188" i="50" s="1"/>
  <c r="F106" i="49"/>
  <c r="G106" i="49" s="1"/>
  <c r="H106" i="49" s="1"/>
  <c r="C107" i="49" s="1"/>
  <c r="E107" i="49" l="1"/>
  <c r="E188" i="50"/>
  <c r="F188" i="50" s="1"/>
  <c r="G188" i="50" s="1"/>
  <c r="C189" i="50" s="1"/>
  <c r="E189" i="50" l="1"/>
  <c r="F189" i="50" s="1"/>
  <c r="G189" i="50" s="1"/>
  <c r="C190" i="50" s="1"/>
  <c r="F107" i="49"/>
  <c r="G107" i="49" s="1"/>
  <c r="H107" i="49" s="1"/>
  <c r="C108" i="49" s="1"/>
  <c r="E108" i="49" l="1"/>
  <c r="F108" i="49" s="1"/>
  <c r="E190" i="50"/>
  <c r="F190" i="50" s="1"/>
  <c r="G190" i="50" s="1"/>
  <c r="C191" i="50" s="1"/>
  <c r="G108" i="49" l="1"/>
  <c r="H108" i="49" s="1"/>
  <c r="C109" i="49" s="1"/>
  <c r="E109" i="49" s="1"/>
  <c r="E191" i="50"/>
  <c r="F191" i="50" s="1"/>
  <c r="G191" i="50" s="1"/>
  <c r="C192" i="50" s="1"/>
  <c r="F109" i="49" l="1"/>
  <c r="G109" i="49" s="1"/>
  <c r="H109" i="49" s="1"/>
  <c r="C110" i="49" s="1"/>
  <c r="E192" i="50"/>
  <c r="F192" i="50" s="1"/>
  <c r="G192" i="50" s="1"/>
  <c r="C193" i="50" s="1"/>
  <c r="E193" i="50" l="1"/>
  <c r="F193" i="50" s="1"/>
  <c r="G193" i="50" s="1"/>
  <c r="C194" i="50" s="1"/>
  <c r="E110" i="49"/>
  <c r="E194" i="50" l="1"/>
  <c r="F194" i="50" s="1"/>
  <c r="G194" i="50" s="1"/>
  <c r="C195" i="50" s="1"/>
  <c r="F110" i="49"/>
  <c r="G110" i="49" s="1"/>
  <c r="H110" i="49" s="1"/>
  <c r="C111" i="49" s="1"/>
  <c r="E111" i="49" l="1"/>
  <c r="E195" i="50"/>
  <c r="F195" i="50" s="1"/>
  <c r="G195" i="50" s="1"/>
  <c r="C196" i="50" s="1"/>
  <c r="E196" i="50" l="1"/>
  <c r="F196" i="50" s="1"/>
  <c r="G196" i="50" s="1"/>
  <c r="C197" i="50" s="1"/>
  <c r="F111" i="49"/>
  <c r="G111" i="49" s="1"/>
  <c r="H111" i="49" s="1"/>
  <c r="C112" i="49" s="1"/>
  <c r="E112" i="49" l="1"/>
  <c r="F112" i="49" s="1"/>
  <c r="E197" i="50"/>
  <c r="F197" i="50" s="1"/>
  <c r="G197" i="50" s="1"/>
  <c r="C198" i="50" s="1"/>
  <c r="E198" i="50" l="1"/>
  <c r="F198" i="50" s="1"/>
  <c r="G198" i="50" s="1"/>
  <c r="C199" i="50" s="1"/>
  <c r="G112" i="49"/>
  <c r="H112" i="49" s="1"/>
  <c r="C113" i="49" s="1"/>
  <c r="E199" i="50" l="1"/>
  <c r="F199" i="50" s="1"/>
  <c r="G199" i="50" s="1"/>
  <c r="C200" i="50" s="1"/>
  <c r="E113" i="49"/>
  <c r="E200" i="50" l="1"/>
  <c r="F200" i="50" s="1"/>
  <c r="G200" i="50" s="1"/>
  <c r="C201" i="50" s="1"/>
  <c r="F113" i="49"/>
  <c r="G113" i="49" s="1"/>
  <c r="H113" i="49" s="1"/>
  <c r="C114" i="49" s="1"/>
  <c r="E114" i="49" l="1"/>
  <c r="E201" i="50"/>
  <c r="F201" i="50" s="1"/>
  <c r="G201" i="50" s="1"/>
  <c r="C202" i="50" s="1"/>
  <c r="E202" i="50" l="1"/>
  <c r="F202" i="50" s="1"/>
  <c r="G202" i="50" s="1"/>
  <c r="C203" i="50" s="1"/>
  <c r="F114" i="49"/>
  <c r="G114" i="49" s="1"/>
  <c r="H114" i="49" s="1"/>
  <c r="C115" i="49" s="1"/>
  <c r="E115" i="49" l="1"/>
  <c r="E203" i="50"/>
  <c r="F203" i="50" s="1"/>
  <c r="G203" i="50" s="1"/>
  <c r="C204" i="50" s="1"/>
  <c r="E204" i="50" l="1"/>
  <c r="F204" i="50" s="1"/>
  <c r="G204" i="50" s="1"/>
  <c r="C205" i="50" s="1"/>
  <c r="F115" i="49"/>
  <c r="G115" i="49" s="1"/>
  <c r="H115" i="49" s="1"/>
  <c r="C116" i="49" s="1"/>
  <c r="E205" i="50" l="1"/>
  <c r="F205" i="50" s="1"/>
  <c r="G205" i="50" s="1"/>
  <c r="C206" i="50" s="1"/>
  <c r="E116" i="49"/>
  <c r="F116" i="49" s="1"/>
  <c r="G116" i="49" l="1"/>
  <c r="H116" i="49" s="1"/>
  <c r="C117" i="49" s="1"/>
  <c r="E117" i="49" s="1"/>
  <c r="E206" i="50"/>
  <c r="F206" i="50" s="1"/>
  <c r="G206" i="50" s="1"/>
  <c r="C207" i="50" s="1"/>
  <c r="F117" i="49" l="1"/>
  <c r="G117" i="49" s="1"/>
  <c r="H117" i="49" s="1"/>
  <c r="C118" i="49" s="1"/>
  <c r="E207" i="50"/>
  <c r="F207" i="50" s="1"/>
  <c r="G207" i="50" s="1"/>
  <c r="C208" i="50" s="1"/>
  <c r="E208" i="50" l="1"/>
  <c r="F208" i="50" s="1"/>
  <c r="G208" i="50" s="1"/>
  <c r="C209" i="50" s="1"/>
  <c r="E118" i="49"/>
  <c r="E209" i="50" l="1"/>
  <c r="F209" i="50" s="1"/>
  <c r="G209" i="50" s="1"/>
  <c r="C210" i="50" s="1"/>
  <c r="F118" i="49"/>
  <c r="G118" i="49" s="1"/>
  <c r="H118" i="49" s="1"/>
  <c r="C119" i="49" s="1"/>
  <c r="E119" i="49" l="1"/>
  <c r="F119" i="49" s="1"/>
  <c r="E210" i="50"/>
  <c r="F210" i="50" s="1"/>
  <c r="G210" i="50" s="1"/>
  <c r="C211" i="50" s="1"/>
  <c r="E211" i="50" l="1"/>
  <c r="F211" i="50" s="1"/>
  <c r="G211" i="50" s="1"/>
  <c r="C212" i="50" s="1"/>
  <c r="G119" i="49"/>
  <c r="H119" i="49" s="1"/>
  <c r="C120" i="49" s="1"/>
  <c r="E212" i="50" l="1"/>
  <c r="F212" i="50" s="1"/>
  <c r="G212" i="50" s="1"/>
  <c r="C213" i="50" s="1"/>
  <c r="E120" i="49"/>
  <c r="F120" i="49" s="1"/>
  <c r="E213" i="50" l="1"/>
  <c r="F213" i="50" s="1"/>
  <c r="G213" i="50" s="1"/>
  <c r="C214" i="50" s="1"/>
  <c r="G120" i="49"/>
  <c r="H120" i="49" s="1"/>
  <c r="C121" i="49" s="1"/>
  <c r="E214" i="50" l="1"/>
  <c r="F214" i="50" s="1"/>
  <c r="G214" i="50" s="1"/>
  <c r="C215" i="50" s="1"/>
  <c r="E121" i="49"/>
  <c r="F121" i="49" s="1"/>
  <c r="E215" i="50" l="1"/>
  <c r="F215" i="50" s="1"/>
  <c r="G215" i="50" s="1"/>
  <c r="C216" i="50" s="1"/>
  <c r="G121" i="49"/>
  <c r="H121" i="49" s="1"/>
  <c r="C122" i="49" s="1"/>
  <c r="E216" i="50" l="1"/>
  <c r="F216" i="50" s="1"/>
  <c r="G216" i="50" s="1"/>
  <c r="C217" i="50" s="1"/>
  <c r="E122" i="49"/>
  <c r="E217" i="50" l="1"/>
  <c r="F217" i="50" s="1"/>
  <c r="G217" i="50" s="1"/>
  <c r="C218" i="50" s="1"/>
  <c r="F122" i="49"/>
  <c r="G122" i="49" s="1"/>
  <c r="H122" i="49" s="1"/>
  <c r="C123" i="49" s="1"/>
  <c r="E123" i="49" l="1"/>
  <c r="E218" i="50"/>
  <c r="F218" i="50" s="1"/>
  <c r="G218" i="50" s="1"/>
  <c r="C219" i="50" s="1"/>
  <c r="E219" i="50" l="1"/>
  <c r="F219" i="50" s="1"/>
  <c r="G219" i="50" s="1"/>
  <c r="C220" i="50" s="1"/>
  <c r="F123" i="49"/>
  <c r="G123" i="49" s="1"/>
  <c r="H123" i="49" s="1"/>
  <c r="C124" i="49" s="1"/>
  <c r="E124" i="49" l="1"/>
  <c r="F124" i="49" s="1"/>
  <c r="E220" i="50"/>
  <c r="F220" i="50" s="1"/>
  <c r="G220" i="50" s="1"/>
  <c r="C221" i="50" s="1"/>
  <c r="E221" i="50" l="1"/>
  <c r="F221" i="50" s="1"/>
  <c r="G221" i="50" s="1"/>
  <c r="C222" i="50" s="1"/>
  <c r="G124" i="49"/>
  <c r="H124" i="49" s="1"/>
  <c r="C125" i="49" s="1"/>
  <c r="E222" i="50" l="1"/>
  <c r="F222" i="50" s="1"/>
  <c r="G222" i="50" s="1"/>
  <c r="C223" i="50" s="1"/>
  <c r="E125" i="49"/>
  <c r="F125" i="49" s="1"/>
  <c r="G125" i="49" l="1"/>
  <c r="H125" i="49" s="1"/>
  <c r="C126" i="49" s="1"/>
  <c r="E126" i="49" s="1"/>
  <c r="E223" i="50"/>
  <c r="F223" i="50" s="1"/>
  <c r="G223" i="50" s="1"/>
  <c r="C224" i="50" s="1"/>
  <c r="E224" i="50" l="1"/>
  <c r="F224" i="50" s="1"/>
  <c r="G224" i="50" s="1"/>
  <c r="C225" i="50" s="1"/>
  <c r="F126" i="49"/>
  <c r="G126" i="49" s="1"/>
  <c r="H126" i="49" s="1"/>
  <c r="C127" i="49" s="1"/>
  <c r="E127" i="49" l="1"/>
  <c r="E225" i="50"/>
  <c r="F225" i="50" s="1"/>
  <c r="G225" i="50" s="1"/>
  <c r="C226" i="50" s="1"/>
  <c r="E226" i="50" l="1"/>
  <c r="F226" i="50" s="1"/>
  <c r="G226" i="50" s="1"/>
  <c r="C227" i="50" s="1"/>
  <c r="F127" i="49"/>
  <c r="G127" i="49" s="1"/>
  <c r="H127" i="49" s="1"/>
  <c r="C128" i="49" s="1"/>
  <c r="E128" i="49" l="1"/>
  <c r="F128" i="49" s="1"/>
  <c r="E227" i="50"/>
  <c r="F227" i="50" s="1"/>
  <c r="G227" i="50" s="1"/>
  <c r="C228" i="50" s="1"/>
  <c r="E228" i="50" l="1"/>
  <c r="F228" i="50" s="1"/>
  <c r="G228" i="50" s="1"/>
  <c r="C229" i="50" s="1"/>
  <c r="G128" i="49"/>
  <c r="H128" i="49" s="1"/>
  <c r="C129" i="49" s="1"/>
  <c r="E229" i="50" l="1"/>
  <c r="F229" i="50" s="1"/>
  <c r="G229" i="50" s="1"/>
  <c r="C230" i="50" s="1"/>
  <c r="E129" i="49"/>
  <c r="F129" i="49" s="1"/>
  <c r="E230" i="50" l="1"/>
  <c r="F230" i="50" s="1"/>
  <c r="G230" i="50" s="1"/>
  <c r="C231" i="50" s="1"/>
  <c r="G129" i="49"/>
  <c r="H129" i="49" s="1"/>
  <c r="C130" i="49" s="1"/>
  <c r="E231" i="50" l="1"/>
  <c r="F231" i="50" s="1"/>
  <c r="G231" i="50" s="1"/>
  <c r="C232" i="50" s="1"/>
  <c r="E130" i="49"/>
  <c r="F130" i="49" s="1"/>
  <c r="E232" i="50" l="1"/>
  <c r="F232" i="50" s="1"/>
  <c r="G232" i="50" s="1"/>
  <c r="C233" i="50" s="1"/>
  <c r="G130" i="49"/>
  <c r="H130" i="49" s="1"/>
  <c r="C131" i="49" s="1"/>
  <c r="E233" i="50" l="1"/>
  <c r="F233" i="50" s="1"/>
  <c r="G233" i="50" s="1"/>
  <c r="C234" i="50" s="1"/>
  <c r="E131" i="49"/>
  <c r="F131" i="49" s="1"/>
  <c r="E234" i="50" l="1"/>
  <c r="F234" i="50" s="1"/>
  <c r="G234" i="50" s="1"/>
  <c r="C235" i="50" s="1"/>
  <c r="G131" i="49"/>
  <c r="H131" i="49" s="1"/>
  <c r="C132" i="49" s="1"/>
  <c r="E235" i="50" l="1"/>
  <c r="F235" i="50" s="1"/>
  <c r="G235" i="50" s="1"/>
  <c r="C236" i="50" s="1"/>
  <c r="E132" i="49"/>
  <c r="F132" i="49" s="1"/>
  <c r="E236" i="50" l="1"/>
  <c r="F236" i="50" s="1"/>
  <c r="G236" i="50" s="1"/>
  <c r="C237" i="50" s="1"/>
  <c r="G132" i="49"/>
  <c r="H132" i="49" s="1"/>
  <c r="C133" i="49" s="1"/>
  <c r="E237" i="50" l="1"/>
  <c r="F237" i="50" s="1"/>
  <c r="G237" i="50" s="1"/>
  <c r="C238" i="50" s="1"/>
  <c r="E133" i="49"/>
  <c r="F133" i="49" s="1"/>
  <c r="E238" i="50" l="1"/>
  <c r="F238" i="50" s="1"/>
  <c r="G238" i="50" s="1"/>
  <c r="C239" i="50" s="1"/>
  <c r="G133" i="49"/>
  <c r="H133" i="49" s="1"/>
  <c r="C134" i="49" s="1"/>
  <c r="E239" i="50" l="1"/>
  <c r="F239" i="50" s="1"/>
  <c r="G239" i="50" s="1"/>
  <c r="C240" i="50" s="1"/>
  <c r="E134" i="49"/>
  <c r="F134" i="49" s="1"/>
  <c r="E240" i="50" l="1"/>
  <c r="F240" i="50" s="1"/>
  <c r="G240" i="50" s="1"/>
  <c r="C241" i="50" s="1"/>
  <c r="G134" i="49"/>
  <c r="H134" i="49" s="1"/>
  <c r="C135" i="49" s="1"/>
  <c r="E241" i="50" l="1"/>
  <c r="F241" i="50" s="1"/>
  <c r="G241" i="50" s="1"/>
  <c r="C242" i="50" s="1"/>
  <c r="E135" i="49"/>
  <c r="F135" i="49" s="1"/>
  <c r="E242" i="50" l="1"/>
  <c r="F242" i="50" s="1"/>
  <c r="G242" i="50" s="1"/>
  <c r="C243" i="50" s="1"/>
  <c r="G135" i="49"/>
  <c r="H135" i="49" s="1"/>
  <c r="C136" i="49" s="1"/>
  <c r="E243" i="50" l="1"/>
  <c r="F243" i="50" s="1"/>
  <c r="G243" i="50" s="1"/>
  <c r="C244" i="50" s="1"/>
  <c r="E136" i="49"/>
  <c r="E244" i="50" l="1"/>
  <c r="F244" i="50" s="1"/>
  <c r="G244" i="50" s="1"/>
  <c r="C245" i="50" s="1"/>
  <c r="F136" i="49"/>
  <c r="G136" i="49" s="1"/>
  <c r="H136" i="49" s="1"/>
  <c r="C137" i="49" s="1"/>
  <c r="E137" i="49" l="1"/>
  <c r="F137" i="49" s="1"/>
  <c r="E245" i="50"/>
  <c r="F245" i="50" s="1"/>
  <c r="G245" i="50" s="1"/>
  <c r="C246" i="50" s="1"/>
  <c r="E246" i="50" l="1"/>
  <c r="F246" i="50" s="1"/>
  <c r="G246" i="50" s="1"/>
  <c r="C247" i="50" s="1"/>
  <c r="G137" i="49"/>
  <c r="H137" i="49" s="1"/>
  <c r="C138" i="49" s="1"/>
  <c r="E247" i="50" l="1"/>
  <c r="F247" i="50" s="1"/>
  <c r="G247" i="50" s="1"/>
  <c r="C248" i="50" s="1"/>
  <c r="E138" i="49"/>
  <c r="E248" i="50" l="1"/>
  <c r="F248" i="50" s="1"/>
  <c r="G248" i="50" s="1"/>
  <c r="C249" i="50" s="1"/>
  <c r="F138" i="49"/>
  <c r="G138" i="49" s="1"/>
  <c r="H138" i="49" s="1"/>
  <c r="C139" i="49" s="1"/>
  <c r="E139" i="49" l="1"/>
  <c r="E249" i="50"/>
  <c r="F249" i="50" s="1"/>
  <c r="G249" i="50" s="1"/>
  <c r="C250" i="50" s="1"/>
  <c r="E250" i="50" l="1"/>
  <c r="F250" i="50" s="1"/>
  <c r="G250" i="50" s="1"/>
  <c r="C251" i="50" s="1"/>
  <c r="F139" i="49"/>
  <c r="G139" i="49" s="1"/>
  <c r="H139" i="49" s="1"/>
  <c r="C140" i="49" s="1"/>
  <c r="E140" i="49" l="1"/>
  <c r="F140" i="49" s="1"/>
  <c r="E251" i="50"/>
  <c r="F251" i="50" s="1"/>
  <c r="G251" i="50" s="1"/>
  <c r="C252" i="50" s="1"/>
  <c r="E252" i="50" l="1"/>
  <c r="F252" i="50" s="1"/>
  <c r="G252" i="50" s="1"/>
  <c r="C253" i="50" s="1"/>
  <c r="G140" i="49"/>
  <c r="H140" i="49" s="1"/>
  <c r="C141" i="49" s="1"/>
  <c r="E253" i="50" l="1"/>
  <c r="F253" i="50" s="1"/>
  <c r="G253" i="50" s="1"/>
  <c r="C254" i="50" s="1"/>
  <c r="E141" i="49"/>
  <c r="F141" i="49" s="1"/>
  <c r="G141" i="49" l="1"/>
  <c r="H141" i="49" s="1"/>
  <c r="C142" i="49" s="1"/>
  <c r="E142" i="49" s="1"/>
  <c r="E254" i="50"/>
  <c r="F254" i="50" s="1"/>
  <c r="G254" i="50" s="1"/>
  <c r="C255" i="50" s="1"/>
  <c r="E255" i="50" l="1"/>
  <c r="F255" i="50" s="1"/>
  <c r="G255" i="50" s="1"/>
  <c r="C256" i="50" s="1"/>
  <c r="F142" i="49"/>
  <c r="G142" i="49" s="1"/>
  <c r="H142" i="49" s="1"/>
  <c r="C143" i="49" s="1"/>
  <c r="E143" i="49" l="1"/>
  <c r="F143" i="49" s="1"/>
  <c r="E256" i="50"/>
  <c r="F256" i="50" s="1"/>
  <c r="G256" i="50" s="1"/>
  <c r="C257" i="50" s="1"/>
  <c r="G143" i="49" l="1"/>
  <c r="H143" i="49" s="1"/>
  <c r="C144" i="49" s="1"/>
  <c r="E144" i="49" s="1"/>
  <c r="F144" i="49" s="1"/>
  <c r="E257" i="50"/>
  <c r="F257" i="50" s="1"/>
  <c r="G257" i="50" s="1"/>
  <c r="C258" i="50" s="1"/>
  <c r="G144" i="49" l="1"/>
  <c r="H144" i="49" s="1"/>
  <c r="C145" i="49" s="1"/>
  <c r="E145" i="49" s="1"/>
  <c r="F145" i="49" s="1"/>
  <c r="E258" i="50"/>
  <c r="F258" i="50" s="1"/>
  <c r="G258" i="50" s="1"/>
  <c r="C259" i="50" s="1"/>
  <c r="G145" i="49" l="1"/>
  <c r="H145" i="49" s="1"/>
  <c r="C146" i="49" s="1"/>
  <c r="E146" i="49" s="1"/>
  <c r="E259" i="50"/>
  <c r="F259" i="50" s="1"/>
  <c r="G259" i="50" s="1"/>
  <c r="C260" i="50" s="1"/>
  <c r="E260" i="50" l="1"/>
  <c r="F260" i="50" s="1"/>
  <c r="G260" i="50" s="1"/>
  <c r="C261" i="50" s="1"/>
  <c r="F146" i="49"/>
  <c r="G146" i="49" s="1"/>
  <c r="H146" i="49" s="1"/>
  <c r="C147" i="49" s="1"/>
  <c r="E147" i="49" l="1"/>
  <c r="E261" i="50"/>
  <c r="F261" i="50" s="1"/>
  <c r="G261" i="50" s="1"/>
  <c r="C262" i="50" s="1"/>
  <c r="E262" i="50" l="1"/>
  <c r="F262" i="50" s="1"/>
  <c r="G262" i="50" s="1"/>
  <c r="C263" i="50" s="1"/>
  <c r="F147" i="49"/>
  <c r="G147" i="49" s="1"/>
  <c r="H147" i="49" s="1"/>
  <c r="C148" i="49" s="1"/>
  <c r="E148" i="49" l="1"/>
  <c r="F148" i="49" s="1"/>
  <c r="E263" i="50"/>
  <c r="F263" i="50" s="1"/>
  <c r="G263" i="50" s="1"/>
  <c r="C264" i="50" s="1"/>
  <c r="E264" i="50" l="1"/>
  <c r="F264" i="50" s="1"/>
  <c r="G264" i="50" s="1"/>
  <c r="C265" i="50" s="1"/>
  <c r="G148" i="49"/>
  <c r="H148" i="49" s="1"/>
  <c r="C149" i="49" s="1"/>
  <c r="E265" i="50" l="1"/>
  <c r="F265" i="50" s="1"/>
  <c r="G265" i="50" s="1"/>
  <c r="C266" i="50" s="1"/>
  <c r="E149" i="49"/>
  <c r="E266" i="50" l="1"/>
  <c r="F266" i="50" s="1"/>
  <c r="G266" i="50" s="1"/>
  <c r="C267" i="50" s="1"/>
  <c r="F149" i="49"/>
  <c r="G149" i="49" s="1"/>
  <c r="H149" i="49" s="1"/>
  <c r="C150" i="49" s="1"/>
  <c r="E150" i="49" l="1"/>
  <c r="E267" i="50"/>
  <c r="F267" i="50" s="1"/>
  <c r="G267" i="50" s="1"/>
  <c r="C268" i="50" s="1"/>
  <c r="E268" i="50" l="1"/>
  <c r="F268" i="50" s="1"/>
  <c r="G268" i="50" s="1"/>
  <c r="C269" i="50" s="1"/>
  <c r="F150" i="49"/>
  <c r="G150" i="49" s="1"/>
  <c r="H150" i="49" s="1"/>
  <c r="C151" i="49" s="1"/>
  <c r="E151" i="49" l="1"/>
  <c r="E269" i="50"/>
  <c r="F269" i="50" s="1"/>
  <c r="G269" i="50" s="1"/>
  <c r="C270" i="50" s="1"/>
  <c r="E270" i="50" l="1"/>
  <c r="F270" i="50" s="1"/>
  <c r="G270" i="50" s="1"/>
  <c r="C271" i="50" s="1"/>
  <c r="F151" i="49"/>
  <c r="G151" i="49" s="1"/>
  <c r="H151" i="49" s="1"/>
  <c r="C152" i="49" s="1"/>
  <c r="E152" i="49" l="1"/>
  <c r="F152" i="49" s="1"/>
  <c r="E271" i="50"/>
  <c r="F271" i="50" s="1"/>
  <c r="G271" i="50" s="1"/>
  <c r="C272" i="50" s="1"/>
  <c r="E272" i="50" l="1"/>
  <c r="F272" i="50" s="1"/>
  <c r="G272" i="50" s="1"/>
  <c r="C273" i="50" s="1"/>
  <c r="G152" i="49"/>
  <c r="H152" i="49" s="1"/>
  <c r="C153" i="49" s="1"/>
  <c r="E273" i="50" l="1"/>
  <c r="F273" i="50" s="1"/>
  <c r="G273" i="50" s="1"/>
  <c r="C274" i="50" s="1"/>
  <c r="E153" i="49"/>
  <c r="F153" i="49" s="1"/>
  <c r="E274" i="50" l="1"/>
  <c r="F274" i="50" s="1"/>
  <c r="G274" i="50" s="1"/>
  <c r="C275" i="50" s="1"/>
  <c r="G153" i="49"/>
  <c r="H153" i="49" s="1"/>
  <c r="C154" i="49" s="1"/>
  <c r="E275" i="50" l="1"/>
  <c r="F275" i="50" s="1"/>
  <c r="G275" i="50" s="1"/>
  <c r="C276" i="50" s="1"/>
  <c r="E154" i="49"/>
  <c r="E276" i="50" l="1"/>
  <c r="F276" i="50" s="1"/>
  <c r="G276" i="50" s="1"/>
  <c r="C277" i="50" s="1"/>
  <c r="F154" i="49"/>
  <c r="G154" i="49" s="1"/>
  <c r="H154" i="49" s="1"/>
  <c r="C155" i="49" s="1"/>
  <c r="E155" i="49" l="1"/>
  <c r="E277" i="50"/>
  <c r="F277" i="50" s="1"/>
  <c r="G277" i="50" s="1"/>
  <c r="C278" i="50" s="1"/>
  <c r="E278" i="50" l="1"/>
  <c r="F278" i="50" s="1"/>
  <c r="G278" i="50" s="1"/>
  <c r="C279" i="50" s="1"/>
  <c r="F155" i="49"/>
  <c r="G155" i="49" s="1"/>
  <c r="H155" i="49" s="1"/>
  <c r="C156" i="49" s="1"/>
  <c r="E156" i="49" l="1"/>
  <c r="F156" i="49" s="1"/>
  <c r="E279" i="50"/>
  <c r="F279" i="50" s="1"/>
  <c r="G279" i="50" s="1"/>
  <c r="C280" i="50" s="1"/>
  <c r="E280" i="50" l="1"/>
  <c r="F280" i="50" s="1"/>
  <c r="G280" i="50" s="1"/>
  <c r="C281" i="50" s="1"/>
  <c r="G156" i="49"/>
  <c r="H156" i="49" s="1"/>
  <c r="C157" i="49" s="1"/>
  <c r="E281" i="50" l="1"/>
  <c r="F281" i="50" s="1"/>
  <c r="G281" i="50" s="1"/>
  <c r="C282" i="50" s="1"/>
  <c r="E157" i="49"/>
  <c r="F157" i="49" s="1"/>
  <c r="E282" i="50" l="1"/>
  <c r="F282" i="50" s="1"/>
  <c r="G282" i="50" s="1"/>
  <c r="C283" i="50" s="1"/>
  <c r="G157" i="49"/>
  <c r="H157" i="49" s="1"/>
  <c r="C158" i="49" s="1"/>
  <c r="E283" i="50" l="1"/>
  <c r="F283" i="50" s="1"/>
  <c r="G283" i="50" s="1"/>
  <c r="C284" i="50" s="1"/>
  <c r="E158" i="49"/>
  <c r="E284" i="50" l="1"/>
  <c r="F284" i="50" s="1"/>
  <c r="G284" i="50" s="1"/>
  <c r="C285" i="50" s="1"/>
  <c r="F158" i="49"/>
  <c r="G158" i="49" s="1"/>
  <c r="H158" i="49" s="1"/>
  <c r="C159" i="49" s="1"/>
  <c r="E159" i="49" l="1"/>
  <c r="F159" i="49" s="1"/>
  <c r="E285" i="50"/>
  <c r="F285" i="50" s="1"/>
  <c r="G285" i="50" s="1"/>
  <c r="C286" i="50" s="1"/>
  <c r="E286" i="50" l="1"/>
  <c r="F286" i="50" s="1"/>
  <c r="G286" i="50" s="1"/>
  <c r="C287" i="50" s="1"/>
  <c r="G159" i="49"/>
  <c r="H159" i="49" s="1"/>
  <c r="C160" i="49" s="1"/>
  <c r="E287" i="50" l="1"/>
  <c r="F287" i="50" s="1"/>
  <c r="G287" i="50" s="1"/>
  <c r="C288" i="50" s="1"/>
  <c r="E160" i="49"/>
  <c r="F160" i="49" s="1"/>
  <c r="G160" i="49" l="1"/>
  <c r="H160" i="49" s="1"/>
  <c r="C161" i="49" s="1"/>
  <c r="E161" i="49" s="1"/>
  <c r="F161" i="49" s="1"/>
  <c r="E288" i="50"/>
  <c r="F288" i="50" s="1"/>
  <c r="G288" i="50" s="1"/>
  <c r="C289" i="50" s="1"/>
  <c r="E289" i="50" l="1"/>
  <c r="F289" i="50" s="1"/>
  <c r="G289" i="50" s="1"/>
  <c r="C290" i="50" s="1"/>
  <c r="G161" i="49"/>
  <c r="H161" i="49" s="1"/>
  <c r="C162" i="49" s="1"/>
  <c r="E290" i="50" l="1"/>
  <c r="F290" i="50" s="1"/>
  <c r="G290" i="50" s="1"/>
  <c r="C291" i="50" s="1"/>
  <c r="E162" i="49"/>
  <c r="F162" i="49" s="1"/>
  <c r="E291" i="50" l="1"/>
  <c r="F291" i="50" s="1"/>
  <c r="G291" i="50" s="1"/>
  <c r="C292" i="50" s="1"/>
  <c r="G162" i="49"/>
  <c r="H162" i="49" s="1"/>
  <c r="C163" i="49" s="1"/>
  <c r="E292" i="50" l="1"/>
  <c r="F292" i="50" s="1"/>
  <c r="G292" i="50" s="1"/>
  <c r="C293" i="50" s="1"/>
  <c r="E163" i="49"/>
  <c r="F163" i="49" s="1"/>
  <c r="E293" i="50" l="1"/>
  <c r="F293" i="50" s="1"/>
  <c r="G293" i="50" s="1"/>
  <c r="C294" i="50" s="1"/>
  <c r="G163" i="49"/>
  <c r="H163" i="49" s="1"/>
  <c r="C164" i="49" s="1"/>
  <c r="E294" i="50" l="1"/>
  <c r="F294" i="50" s="1"/>
  <c r="G294" i="50" s="1"/>
  <c r="C295" i="50" s="1"/>
  <c r="E164" i="49"/>
  <c r="F164" i="49" s="1"/>
  <c r="E295" i="50" l="1"/>
  <c r="F295" i="50" s="1"/>
  <c r="G295" i="50" s="1"/>
  <c r="C296" i="50" s="1"/>
  <c r="G164" i="49"/>
  <c r="H164" i="49" s="1"/>
  <c r="C165" i="49" s="1"/>
  <c r="E296" i="50" l="1"/>
  <c r="F296" i="50" s="1"/>
  <c r="G296" i="50" s="1"/>
  <c r="C297" i="50" s="1"/>
  <c r="E165" i="49"/>
  <c r="F165" i="49" l="1"/>
  <c r="G165" i="49" s="1"/>
  <c r="H165" i="49" s="1"/>
  <c r="C166" i="49" s="1"/>
  <c r="E297" i="50"/>
  <c r="F297" i="50" s="1"/>
  <c r="G297" i="50" s="1"/>
  <c r="C298" i="50" s="1"/>
  <c r="E166" i="49" l="1"/>
  <c r="F166" i="49" s="1"/>
  <c r="E298" i="50"/>
  <c r="F298" i="50" s="1"/>
  <c r="G298" i="50" s="1"/>
  <c r="C299" i="50" s="1"/>
  <c r="G166" i="49" l="1"/>
  <c r="H166" i="49" s="1"/>
  <c r="C167" i="49" s="1"/>
  <c r="E167" i="49" s="1"/>
  <c r="F167" i="49" s="1"/>
  <c r="E299" i="50"/>
  <c r="F299" i="50" s="1"/>
  <c r="G299" i="50" s="1"/>
  <c r="C300" i="50" s="1"/>
  <c r="G167" i="49" l="1"/>
  <c r="H167" i="49" s="1"/>
  <c r="C168" i="49" s="1"/>
  <c r="E168" i="49" s="1"/>
  <c r="F168" i="49" s="1"/>
  <c r="E300" i="50"/>
  <c r="F300" i="50" s="1"/>
  <c r="G300" i="50" s="1"/>
  <c r="C301" i="50" s="1"/>
  <c r="E301" i="50" l="1"/>
  <c r="F301" i="50" s="1"/>
  <c r="G301" i="50" s="1"/>
  <c r="C302" i="50" s="1"/>
  <c r="G168" i="49"/>
  <c r="H168" i="49" s="1"/>
  <c r="C169" i="49" s="1"/>
  <c r="E302" i="50" l="1"/>
  <c r="F302" i="50" s="1"/>
  <c r="G302" i="50" s="1"/>
  <c r="C303" i="50" s="1"/>
  <c r="E169" i="49"/>
  <c r="F169" i="49" s="1"/>
  <c r="E303" i="50" l="1"/>
  <c r="F303" i="50" s="1"/>
  <c r="G303" i="50" s="1"/>
  <c r="C304" i="50" s="1"/>
  <c r="G169" i="49"/>
  <c r="H169" i="49" s="1"/>
  <c r="C170" i="49" s="1"/>
  <c r="E304" i="50" l="1"/>
  <c r="F304" i="50" s="1"/>
  <c r="G304" i="50" s="1"/>
  <c r="C305" i="50" s="1"/>
  <c r="E170" i="49"/>
  <c r="E305" i="50" l="1"/>
  <c r="F305" i="50" s="1"/>
  <c r="G305" i="50" s="1"/>
  <c r="C306" i="50" s="1"/>
  <c r="F170" i="49"/>
  <c r="G170" i="49" s="1"/>
  <c r="H170" i="49" s="1"/>
  <c r="C171" i="49" s="1"/>
  <c r="E171" i="49" l="1"/>
  <c r="F171" i="49" s="1"/>
  <c r="E306" i="50"/>
  <c r="F306" i="50" s="1"/>
  <c r="G306" i="50" s="1"/>
  <c r="C307" i="50" s="1"/>
  <c r="E307" i="50" l="1"/>
  <c r="F307" i="50" s="1"/>
  <c r="G307" i="50" s="1"/>
  <c r="C308" i="50" s="1"/>
  <c r="G171" i="49"/>
  <c r="H171" i="49" s="1"/>
  <c r="C172" i="49" s="1"/>
  <c r="E308" i="50" l="1"/>
  <c r="F308" i="50" s="1"/>
  <c r="G308" i="50" s="1"/>
  <c r="C309" i="50" s="1"/>
  <c r="E172" i="49"/>
  <c r="F172" i="49" s="1"/>
  <c r="E309" i="50" l="1"/>
  <c r="F309" i="50" s="1"/>
  <c r="G309" i="50" s="1"/>
  <c r="C310" i="50" s="1"/>
  <c r="G172" i="49"/>
  <c r="H172" i="49" s="1"/>
  <c r="C173" i="49" s="1"/>
  <c r="E310" i="50" l="1"/>
  <c r="F310" i="50" s="1"/>
  <c r="G310" i="50" s="1"/>
  <c r="C311" i="50" s="1"/>
  <c r="E173" i="49"/>
  <c r="F173" i="49" s="1"/>
  <c r="E311" i="50" l="1"/>
  <c r="F311" i="50" s="1"/>
  <c r="G311" i="50" s="1"/>
  <c r="C312" i="50" s="1"/>
  <c r="G173" i="49"/>
  <c r="H173" i="49" s="1"/>
  <c r="C174" i="49" s="1"/>
  <c r="E312" i="50" l="1"/>
  <c r="F312" i="50" s="1"/>
  <c r="G312" i="50" s="1"/>
  <c r="C313" i="50" s="1"/>
  <c r="E174" i="49"/>
  <c r="F174" i="49" s="1"/>
  <c r="E313" i="50" l="1"/>
  <c r="F313" i="50" s="1"/>
  <c r="G313" i="50" s="1"/>
  <c r="C314" i="50" s="1"/>
  <c r="G174" i="49"/>
  <c r="H174" i="49" s="1"/>
  <c r="C175" i="49" s="1"/>
  <c r="E314" i="50" l="1"/>
  <c r="F314" i="50" s="1"/>
  <c r="G314" i="50" s="1"/>
  <c r="C315" i="50" s="1"/>
  <c r="E175" i="49"/>
  <c r="E315" i="50" l="1"/>
  <c r="F315" i="50" s="1"/>
  <c r="G315" i="50" s="1"/>
  <c r="C316" i="50" s="1"/>
  <c r="F175" i="49"/>
  <c r="G175" i="49" s="1"/>
  <c r="H175" i="49" s="1"/>
  <c r="C176" i="49" s="1"/>
  <c r="E176" i="49" l="1"/>
  <c r="F176" i="49" s="1"/>
  <c r="E316" i="50"/>
  <c r="F316" i="50" s="1"/>
  <c r="G316" i="50" s="1"/>
  <c r="C317" i="50" s="1"/>
  <c r="E317" i="50" l="1"/>
  <c r="F317" i="50" s="1"/>
  <c r="G317" i="50" s="1"/>
  <c r="C318" i="50" s="1"/>
  <c r="G176" i="49"/>
  <c r="H176" i="49" s="1"/>
  <c r="C177" i="49" s="1"/>
  <c r="E318" i="50" l="1"/>
  <c r="F318" i="50" s="1"/>
  <c r="G318" i="50" s="1"/>
  <c r="C319" i="50" s="1"/>
  <c r="E177" i="49"/>
  <c r="F177" i="49" s="1"/>
  <c r="E319" i="50" l="1"/>
  <c r="F319" i="50" s="1"/>
  <c r="G319" i="50" s="1"/>
  <c r="C320" i="50" s="1"/>
  <c r="G177" i="49"/>
  <c r="H177" i="49" s="1"/>
  <c r="C178" i="49" s="1"/>
  <c r="E320" i="50" l="1"/>
  <c r="F320" i="50" s="1"/>
  <c r="G320" i="50" s="1"/>
  <c r="C321" i="50" s="1"/>
  <c r="E178" i="49"/>
  <c r="E321" i="50" l="1"/>
  <c r="F321" i="50" s="1"/>
  <c r="G321" i="50" s="1"/>
  <c r="C322" i="50" s="1"/>
  <c r="F178" i="49"/>
  <c r="G178" i="49" s="1"/>
  <c r="H178" i="49" s="1"/>
  <c r="C179" i="49" s="1"/>
  <c r="E179" i="49" l="1"/>
  <c r="F179" i="49" s="1"/>
  <c r="E322" i="50"/>
  <c r="F322" i="50" s="1"/>
  <c r="G322" i="50" s="1"/>
  <c r="C323" i="50" s="1"/>
  <c r="E323" i="50" l="1"/>
  <c r="F323" i="50" s="1"/>
  <c r="G323" i="50" s="1"/>
  <c r="C324" i="50" s="1"/>
  <c r="G179" i="49"/>
  <c r="H179" i="49" s="1"/>
  <c r="C180" i="49" s="1"/>
  <c r="E324" i="50" l="1"/>
  <c r="F324" i="50" s="1"/>
  <c r="G324" i="50" s="1"/>
  <c r="C325" i="50" s="1"/>
  <c r="E180" i="49"/>
  <c r="F180" i="49" s="1"/>
  <c r="G180" i="49" l="1"/>
  <c r="H180" i="49" s="1"/>
  <c r="C181" i="49" s="1"/>
  <c r="E181" i="49" s="1"/>
  <c r="F181" i="49" s="1"/>
  <c r="E325" i="50"/>
  <c r="F325" i="50" s="1"/>
  <c r="G325" i="50" s="1"/>
  <c r="C326" i="50" s="1"/>
  <c r="E326" i="50" l="1"/>
  <c r="F326" i="50" s="1"/>
  <c r="G326" i="50" s="1"/>
  <c r="C327" i="50" s="1"/>
  <c r="G181" i="49"/>
  <c r="H181" i="49" s="1"/>
  <c r="C182" i="49" s="1"/>
  <c r="E327" i="50" l="1"/>
  <c r="F327" i="50" s="1"/>
  <c r="G327" i="50" s="1"/>
  <c r="C328" i="50" s="1"/>
  <c r="E182" i="49"/>
  <c r="F182" i="49" s="1"/>
  <c r="G182" i="49" l="1"/>
  <c r="H182" i="49" s="1"/>
  <c r="C183" i="49" s="1"/>
  <c r="E328" i="50"/>
  <c r="F328" i="50" s="1"/>
  <c r="G328" i="50" s="1"/>
  <c r="C329" i="50" s="1"/>
  <c r="E329" i="50" l="1"/>
  <c r="F329" i="50" s="1"/>
  <c r="G329" i="50" s="1"/>
  <c r="C330" i="50" s="1"/>
  <c r="E183" i="49"/>
  <c r="E330" i="50" l="1"/>
  <c r="F330" i="50" s="1"/>
  <c r="G330" i="50" s="1"/>
  <c r="C331" i="50" s="1"/>
  <c r="F183" i="49"/>
  <c r="G183" i="49" s="1"/>
  <c r="H183" i="49" s="1"/>
  <c r="C184" i="49" s="1"/>
  <c r="E331" i="50" l="1"/>
  <c r="F331" i="50" s="1"/>
  <c r="G331" i="50" s="1"/>
  <c r="C332" i="50" s="1"/>
  <c r="E184" i="49"/>
  <c r="F184" i="49" l="1"/>
  <c r="G184" i="49" s="1"/>
  <c r="H184" i="49" s="1"/>
  <c r="C185" i="49" s="1"/>
  <c r="E332" i="50"/>
  <c r="F332" i="50" s="1"/>
  <c r="G332" i="50" s="1"/>
  <c r="C333" i="50" s="1"/>
  <c r="E185" i="49" l="1"/>
  <c r="F185" i="49" s="1"/>
  <c r="G185" i="49" s="1"/>
  <c r="H185" i="49" s="1"/>
  <c r="C186" i="49" s="1"/>
  <c r="E333" i="50"/>
  <c r="F333" i="50" s="1"/>
  <c r="G333" i="50" s="1"/>
  <c r="C334" i="50" s="1"/>
  <c r="E334" i="50" l="1"/>
  <c r="F334" i="50" s="1"/>
  <c r="G334" i="50" s="1"/>
  <c r="C335" i="50" s="1"/>
  <c r="E186" i="49"/>
  <c r="F186" i="49" s="1"/>
  <c r="G186" i="49" l="1"/>
  <c r="H186" i="49" s="1"/>
  <c r="C187" i="49" s="1"/>
  <c r="E335" i="50"/>
  <c r="F335" i="50" s="1"/>
  <c r="G335" i="50" s="1"/>
  <c r="C336" i="50" s="1"/>
  <c r="E336" i="50" l="1"/>
  <c r="F336" i="50" s="1"/>
  <c r="G336" i="50" s="1"/>
  <c r="C337" i="50" s="1"/>
  <c r="E187" i="49"/>
  <c r="F187" i="49" s="1"/>
  <c r="E337" i="50" l="1"/>
  <c r="F337" i="50" s="1"/>
  <c r="G337" i="50" s="1"/>
  <c r="C338" i="50" s="1"/>
  <c r="G187" i="49"/>
  <c r="H187" i="49" s="1"/>
  <c r="C188" i="49" s="1"/>
  <c r="E338" i="50" l="1"/>
  <c r="F338" i="50" s="1"/>
  <c r="G338" i="50" s="1"/>
  <c r="C339" i="50" s="1"/>
  <c r="E188" i="49"/>
  <c r="F188" i="49" s="1"/>
  <c r="G188" i="49" l="1"/>
  <c r="H188" i="49" s="1"/>
  <c r="C189" i="49" s="1"/>
  <c r="E189" i="49" s="1"/>
  <c r="F189" i="49" s="1"/>
  <c r="E339" i="50"/>
  <c r="F339" i="50" s="1"/>
  <c r="G339" i="50" s="1"/>
  <c r="C340" i="50" s="1"/>
  <c r="E340" i="50" l="1"/>
  <c r="F340" i="50" s="1"/>
  <c r="G340" i="50" s="1"/>
  <c r="C341" i="50" s="1"/>
  <c r="G189" i="49"/>
  <c r="H189" i="49" s="1"/>
  <c r="C190" i="49" s="1"/>
  <c r="E341" i="50" l="1"/>
  <c r="F341" i="50" s="1"/>
  <c r="G341" i="50" s="1"/>
  <c r="C342" i="50" s="1"/>
  <c r="E190" i="49"/>
  <c r="E342" i="50" l="1"/>
  <c r="F342" i="50" s="1"/>
  <c r="G342" i="50" s="1"/>
  <c r="C343" i="50" s="1"/>
  <c r="F190" i="49"/>
  <c r="G190" i="49" s="1"/>
  <c r="H190" i="49" s="1"/>
  <c r="C191" i="49" s="1"/>
  <c r="E191" i="49" l="1"/>
  <c r="F191" i="49" s="1"/>
  <c r="E343" i="50"/>
  <c r="F343" i="50" s="1"/>
  <c r="G343" i="50" s="1"/>
  <c r="C344" i="50" s="1"/>
  <c r="E344" i="50" l="1"/>
  <c r="F344" i="50" s="1"/>
  <c r="G344" i="50" s="1"/>
  <c r="C345" i="50" s="1"/>
  <c r="G191" i="49"/>
  <c r="H191" i="49" s="1"/>
  <c r="C192" i="49" s="1"/>
  <c r="E345" i="50" l="1"/>
  <c r="F345" i="50" s="1"/>
  <c r="G345" i="50" s="1"/>
  <c r="C346" i="50" s="1"/>
  <c r="E192" i="49"/>
  <c r="F192" i="49" s="1"/>
  <c r="E346" i="50" l="1"/>
  <c r="F346" i="50" s="1"/>
  <c r="G346" i="50" s="1"/>
  <c r="C347" i="50" s="1"/>
  <c r="G192" i="49"/>
  <c r="H192" i="49" s="1"/>
  <c r="C193" i="49" s="1"/>
  <c r="E347" i="50" l="1"/>
  <c r="F347" i="50" s="1"/>
  <c r="G347" i="50" s="1"/>
  <c r="C348" i="50" s="1"/>
  <c r="E193" i="49"/>
  <c r="F193" i="49" s="1"/>
  <c r="E348" i="50" l="1"/>
  <c r="F348" i="50" s="1"/>
  <c r="G348" i="50" s="1"/>
  <c r="C349" i="50" s="1"/>
  <c r="G193" i="49"/>
  <c r="H193" i="49" s="1"/>
  <c r="C194" i="49" s="1"/>
  <c r="E349" i="50" l="1"/>
  <c r="F349" i="50" s="1"/>
  <c r="G349" i="50" s="1"/>
  <c r="C350" i="50" s="1"/>
  <c r="E194" i="49"/>
  <c r="E350" i="50" l="1"/>
  <c r="F350" i="50" s="1"/>
  <c r="G350" i="50" s="1"/>
  <c r="C351" i="50" s="1"/>
  <c r="F194" i="49"/>
  <c r="G194" i="49" s="1"/>
  <c r="H194" i="49" s="1"/>
  <c r="C195" i="49" s="1"/>
  <c r="E195" i="49" l="1"/>
  <c r="F195" i="49" s="1"/>
  <c r="E351" i="50"/>
  <c r="F351" i="50" s="1"/>
  <c r="G351" i="50" s="1"/>
  <c r="C352" i="50" s="1"/>
  <c r="E352" i="50" l="1"/>
  <c r="F352" i="50" s="1"/>
  <c r="G352" i="50" s="1"/>
  <c r="C353" i="50" s="1"/>
  <c r="G195" i="49"/>
  <c r="H195" i="49" s="1"/>
  <c r="C196" i="49" s="1"/>
  <c r="E196" i="49" l="1"/>
  <c r="F196" i="49" s="1"/>
  <c r="E353" i="50"/>
  <c r="F353" i="50" s="1"/>
  <c r="G353" i="50" s="1"/>
  <c r="C354" i="50" s="1"/>
  <c r="E354" i="50" l="1"/>
  <c r="F354" i="50" s="1"/>
  <c r="G354" i="50" s="1"/>
  <c r="C355" i="50" s="1"/>
  <c r="G196" i="49"/>
  <c r="H196" i="49" s="1"/>
  <c r="C197" i="49" s="1"/>
  <c r="E355" i="50" l="1"/>
  <c r="F355" i="50" s="1"/>
  <c r="G355" i="50" s="1"/>
  <c r="C356" i="50" s="1"/>
  <c r="E197" i="49"/>
  <c r="F197" i="49" s="1"/>
  <c r="G197" i="49" l="1"/>
  <c r="H197" i="49" s="1"/>
  <c r="C198" i="49" s="1"/>
  <c r="E198" i="49" s="1"/>
  <c r="E356" i="50"/>
  <c r="F356" i="50" s="1"/>
  <c r="G356" i="50" s="1"/>
  <c r="C357" i="50" s="1"/>
  <c r="F198" i="49" l="1"/>
  <c r="G198" i="49" s="1"/>
  <c r="H198" i="49" s="1"/>
  <c r="C199" i="49" s="1"/>
  <c r="E357" i="50"/>
  <c r="F357" i="50" s="1"/>
  <c r="G357" i="50" s="1"/>
  <c r="C358" i="50" s="1"/>
  <c r="E358" i="50" l="1"/>
  <c r="F358" i="50" s="1"/>
  <c r="G358" i="50" s="1"/>
  <c r="C359" i="50" s="1"/>
  <c r="E199" i="49"/>
  <c r="F199" i="49" s="1"/>
  <c r="G199" i="49" l="1"/>
  <c r="H199" i="49" s="1"/>
  <c r="C200" i="49" s="1"/>
  <c r="E200" i="49" s="1"/>
  <c r="E359" i="50"/>
  <c r="F359" i="50" s="1"/>
  <c r="G359" i="50" s="1"/>
  <c r="C360" i="50" s="1"/>
  <c r="F200" i="49" l="1"/>
  <c r="G200" i="49" s="1"/>
  <c r="H200" i="49" s="1"/>
  <c r="C201" i="49" s="1"/>
  <c r="E360" i="50"/>
  <c r="F360" i="50" s="1"/>
  <c r="G360" i="50" s="1"/>
  <c r="C361" i="50" s="1"/>
  <c r="E361" i="50" l="1"/>
  <c r="F361" i="50" s="1"/>
  <c r="G361" i="50" s="1"/>
  <c r="C362" i="50" s="1"/>
  <c r="E201" i="49"/>
  <c r="F201" i="49" s="1"/>
  <c r="E362" i="50" l="1"/>
  <c r="F362" i="50" s="1"/>
  <c r="G362" i="50" s="1"/>
  <c r="C363" i="50" s="1"/>
  <c r="G201" i="49"/>
  <c r="H201" i="49" s="1"/>
  <c r="C202" i="49" s="1"/>
  <c r="E363" i="50" l="1"/>
  <c r="F363" i="50" s="1"/>
  <c r="G363" i="50" s="1"/>
  <c r="C364" i="50" s="1"/>
  <c r="E202" i="49"/>
  <c r="F202" i="49" s="1"/>
  <c r="E364" i="50" l="1"/>
  <c r="F364" i="50" s="1"/>
  <c r="G364" i="50" s="1"/>
  <c r="C365" i="50" s="1"/>
  <c r="G202" i="49"/>
  <c r="H202" i="49" s="1"/>
  <c r="C203" i="49" s="1"/>
  <c r="E365" i="50" l="1"/>
  <c r="F365" i="50" s="1"/>
  <c r="G365" i="50" s="1"/>
  <c r="C366" i="50" s="1"/>
  <c r="E203" i="49"/>
  <c r="F203" i="49" s="1"/>
  <c r="G203" i="49" l="1"/>
  <c r="H203" i="49" s="1"/>
  <c r="C204" i="49" s="1"/>
  <c r="E204" i="49" s="1"/>
  <c r="F204" i="49" s="1"/>
  <c r="E366" i="50"/>
  <c r="F366" i="50" s="1"/>
  <c r="G366" i="50" s="1"/>
  <c r="C367" i="50" s="1"/>
  <c r="G204" i="49" l="1"/>
  <c r="H204" i="49" s="1"/>
  <c r="C205" i="49" s="1"/>
  <c r="E205" i="49" s="1"/>
  <c r="F205" i="49" s="1"/>
  <c r="E367" i="50"/>
  <c r="F367" i="50" s="1"/>
  <c r="G367" i="50" s="1"/>
  <c r="C368" i="50" s="1"/>
  <c r="E368" i="50" l="1"/>
  <c r="F368" i="50" s="1"/>
  <c r="G368" i="50" s="1"/>
  <c r="C369" i="50" s="1"/>
  <c r="G205" i="49"/>
  <c r="H205" i="49" s="1"/>
  <c r="C206" i="49" s="1"/>
  <c r="E369" i="50" l="1"/>
  <c r="F369" i="50" s="1"/>
  <c r="G369" i="50" s="1"/>
  <c r="C370" i="50" s="1"/>
  <c r="E206" i="49"/>
  <c r="E370" i="50" l="1"/>
  <c r="F370" i="50" s="1"/>
  <c r="G370" i="50" s="1"/>
  <c r="C371" i="50" s="1"/>
  <c r="F206" i="49"/>
  <c r="G206" i="49" s="1"/>
  <c r="H206" i="49" s="1"/>
  <c r="C207" i="49" s="1"/>
  <c r="E207" i="49" l="1"/>
  <c r="F207" i="49" s="1"/>
  <c r="E371" i="50"/>
  <c r="F371" i="50" s="1"/>
  <c r="G371" i="50" s="1"/>
  <c r="C372" i="50" s="1"/>
  <c r="E372" i="50" l="1"/>
  <c r="F372" i="50" s="1"/>
  <c r="G372" i="50" s="1"/>
  <c r="C373" i="50" s="1"/>
  <c r="G207" i="49"/>
  <c r="H207" i="49" s="1"/>
  <c r="C208" i="49" s="1"/>
  <c r="E373" i="50" l="1"/>
  <c r="F373" i="50" s="1"/>
  <c r="G373" i="50" s="1"/>
  <c r="C374" i="50" s="1"/>
  <c r="E208" i="49"/>
  <c r="F208" i="49" s="1"/>
  <c r="E374" i="50" l="1"/>
  <c r="F374" i="50" s="1"/>
  <c r="G374" i="50" s="1"/>
  <c r="C375" i="50" s="1"/>
  <c r="G208" i="49"/>
  <c r="H208" i="49" s="1"/>
  <c r="C209" i="49" s="1"/>
  <c r="E375" i="50" l="1"/>
  <c r="F375" i="50" s="1"/>
  <c r="G375" i="50" s="1"/>
  <c r="C376" i="50" s="1"/>
  <c r="E209" i="49"/>
  <c r="F209" i="49" s="1"/>
  <c r="E376" i="50" l="1"/>
  <c r="F376" i="50" s="1"/>
  <c r="G376" i="50" s="1"/>
  <c r="C377" i="50" s="1"/>
  <c r="G209" i="49"/>
  <c r="H209" i="49" s="1"/>
  <c r="C210" i="49" s="1"/>
  <c r="E377" i="50" l="1"/>
  <c r="F377" i="50" s="1"/>
  <c r="G377" i="50" s="1"/>
  <c r="C378" i="50" s="1"/>
  <c r="E210" i="49"/>
  <c r="F210" i="49" s="1"/>
  <c r="E378" i="50" l="1"/>
  <c r="F378" i="50" s="1"/>
  <c r="G378" i="50" s="1"/>
  <c r="C379" i="50" s="1"/>
  <c r="G210" i="49"/>
  <c r="H210" i="49" s="1"/>
  <c r="C211" i="49" s="1"/>
  <c r="E379" i="50" l="1"/>
  <c r="F379" i="50" s="1"/>
  <c r="G379" i="50" s="1"/>
  <c r="C380" i="50" s="1"/>
  <c r="E211" i="49"/>
  <c r="F211" i="49" s="1"/>
  <c r="E380" i="50" l="1"/>
  <c r="F380" i="50" s="1"/>
  <c r="G380" i="50" s="1"/>
  <c r="C381" i="50" s="1"/>
  <c r="G211" i="49"/>
  <c r="H211" i="49" s="1"/>
  <c r="C212" i="49" s="1"/>
  <c r="E381" i="50" l="1"/>
  <c r="F381" i="50" s="1"/>
  <c r="G381" i="50" s="1"/>
  <c r="C382" i="50" s="1"/>
  <c r="E212" i="49"/>
  <c r="F212" i="49" s="1"/>
  <c r="G212" i="49" l="1"/>
  <c r="H212" i="49" s="1"/>
  <c r="C213" i="49" s="1"/>
  <c r="E213" i="49" s="1"/>
  <c r="F213" i="49" s="1"/>
  <c r="E382" i="50"/>
  <c r="F382" i="50" s="1"/>
  <c r="G382" i="50" s="1"/>
  <c r="C383" i="50" s="1"/>
  <c r="E383" i="50" l="1"/>
  <c r="F383" i="50" s="1"/>
  <c r="G383" i="50" s="1"/>
  <c r="C384" i="50" s="1"/>
  <c r="G213" i="49"/>
  <c r="H213" i="49" s="1"/>
  <c r="C214" i="49" s="1"/>
  <c r="E384" i="50" l="1"/>
  <c r="F384" i="50" s="1"/>
  <c r="G384" i="50" s="1"/>
  <c r="C385" i="50" s="1"/>
  <c r="E214" i="49"/>
  <c r="E385" i="50" l="1"/>
  <c r="F385" i="50" s="1"/>
  <c r="G385" i="50" s="1"/>
  <c r="C386" i="50" s="1"/>
  <c r="F214" i="49"/>
  <c r="G214" i="49" s="1"/>
  <c r="H214" i="49" s="1"/>
  <c r="C215" i="49" s="1"/>
  <c r="E215" i="49" l="1"/>
  <c r="F215" i="49" s="1"/>
  <c r="E386" i="50"/>
  <c r="F386" i="50" s="1"/>
  <c r="G386" i="50" s="1"/>
  <c r="C387" i="50" s="1"/>
  <c r="E387" i="50" l="1"/>
  <c r="F387" i="50" s="1"/>
  <c r="G387" i="50" s="1"/>
  <c r="C388" i="50" s="1"/>
  <c r="G215" i="49"/>
  <c r="H215" i="49" s="1"/>
  <c r="C216" i="49" s="1"/>
  <c r="E388" i="50" l="1"/>
  <c r="F388" i="50" s="1"/>
  <c r="G388" i="50" s="1"/>
  <c r="C389" i="50" s="1"/>
  <c r="E216" i="49"/>
  <c r="E389" i="50" l="1"/>
  <c r="F389" i="50" s="1"/>
  <c r="G389" i="50" s="1"/>
  <c r="C390" i="50" s="1"/>
  <c r="F216" i="49"/>
  <c r="G216" i="49" s="1"/>
  <c r="H216" i="49" s="1"/>
  <c r="C217" i="49" s="1"/>
  <c r="E217" i="49" l="1"/>
  <c r="F217" i="49" s="1"/>
  <c r="E390" i="50"/>
  <c r="F390" i="50" s="1"/>
  <c r="G390" i="50" s="1"/>
  <c r="C391" i="50" s="1"/>
  <c r="E391" i="50" l="1"/>
  <c r="F391" i="50" s="1"/>
  <c r="G391" i="50" s="1"/>
  <c r="C392" i="50" s="1"/>
  <c r="G217" i="49"/>
  <c r="H217" i="49" s="1"/>
  <c r="C218" i="49" s="1"/>
  <c r="E218" i="49" l="1"/>
  <c r="E392" i="50"/>
  <c r="F392" i="50" s="1"/>
  <c r="G392" i="50" s="1"/>
  <c r="C393" i="50" s="1"/>
  <c r="F218" i="49" l="1"/>
  <c r="G218" i="49" s="1"/>
  <c r="H218" i="49" s="1"/>
  <c r="C219" i="49" s="1"/>
  <c r="E219" i="49" s="1"/>
  <c r="F219" i="49" s="1"/>
  <c r="E393" i="50"/>
  <c r="F393" i="50" s="1"/>
  <c r="G393" i="50" s="1"/>
  <c r="C394" i="50" s="1"/>
  <c r="E394" i="50" l="1"/>
  <c r="F394" i="50" s="1"/>
  <c r="G394" i="50" s="1"/>
  <c r="C395" i="50" s="1"/>
  <c r="G219" i="49"/>
  <c r="H219" i="49" s="1"/>
  <c r="C220" i="49" s="1"/>
  <c r="E395" i="50" l="1"/>
  <c r="F395" i="50" s="1"/>
  <c r="G395" i="50" s="1"/>
  <c r="C396" i="50" s="1"/>
  <c r="E220" i="49"/>
  <c r="F220" i="49" s="1"/>
  <c r="E396" i="50" l="1"/>
  <c r="F396" i="50" s="1"/>
  <c r="G396" i="50" s="1"/>
  <c r="C397" i="50" s="1"/>
  <c r="G220" i="49"/>
  <c r="H220" i="49" s="1"/>
  <c r="C221" i="49" s="1"/>
  <c r="E221" i="49" l="1"/>
  <c r="F221" i="49" s="1"/>
  <c r="E397" i="50"/>
  <c r="F397" i="50" s="1"/>
  <c r="G397" i="50" s="1"/>
  <c r="C398" i="50" s="1"/>
  <c r="E398" i="50" l="1"/>
  <c r="F398" i="50" s="1"/>
  <c r="G398" i="50" s="1"/>
  <c r="C399" i="50" s="1"/>
  <c r="G221" i="49"/>
  <c r="H221" i="49" s="1"/>
  <c r="C222" i="49" s="1"/>
  <c r="E399" i="50" l="1"/>
  <c r="F399" i="50" s="1"/>
  <c r="G399" i="50" s="1"/>
  <c r="C400" i="50" s="1"/>
  <c r="E222" i="49"/>
  <c r="F222" i="49" s="1"/>
  <c r="G222" i="49" l="1"/>
  <c r="H222" i="49" s="1"/>
  <c r="C223" i="49" s="1"/>
  <c r="E400" i="50"/>
  <c r="F400" i="50" s="1"/>
  <c r="G400" i="50" s="1"/>
  <c r="C401" i="50" s="1"/>
  <c r="E401" i="50" l="1"/>
  <c r="F401" i="50" s="1"/>
  <c r="G401" i="50" s="1"/>
  <c r="C402" i="50" s="1"/>
  <c r="E223" i="49"/>
  <c r="F223" i="49" s="1"/>
  <c r="E402" i="50" l="1"/>
  <c r="F402" i="50" s="1"/>
  <c r="G402" i="50" s="1"/>
  <c r="C403" i="50" s="1"/>
  <c r="G223" i="49"/>
  <c r="H223" i="49" s="1"/>
  <c r="C224" i="49" s="1"/>
  <c r="E403" i="50" l="1"/>
  <c r="F403" i="50" s="1"/>
  <c r="G403" i="50" s="1"/>
  <c r="C404" i="50" s="1"/>
  <c r="E224" i="49"/>
  <c r="F224" i="49" s="1"/>
  <c r="E404" i="50" l="1"/>
  <c r="F404" i="50" s="1"/>
  <c r="G404" i="50" s="1"/>
  <c r="C405" i="50" s="1"/>
  <c r="G224" i="49"/>
  <c r="H224" i="49" s="1"/>
  <c r="C225" i="49" s="1"/>
  <c r="E225" i="49" l="1"/>
  <c r="F225" i="49" s="1"/>
  <c r="E405" i="50"/>
  <c r="F405" i="50" s="1"/>
  <c r="G405" i="50" s="1"/>
  <c r="C406" i="50" s="1"/>
  <c r="G225" i="49" l="1"/>
  <c r="H225" i="49" s="1"/>
  <c r="C226" i="49" s="1"/>
  <c r="E226" i="49" s="1"/>
  <c r="F226" i="49" s="1"/>
  <c r="E406" i="50"/>
  <c r="F406" i="50" s="1"/>
  <c r="G406" i="50" s="1"/>
  <c r="C407" i="50" s="1"/>
  <c r="E407" i="50" l="1"/>
  <c r="F407" i="50" s="1"/>
  <c r="G407" i="50" s="1"/>
  <c r="C408" i="50" s="1"/>
  <c r="G226" i="49"/>
  <c r="H226" i="49" s="1"/>
  <c r="C227" i="49" s="1"/>
  <c r="E408" i="50" l="1"/>
  <c r="F408" i="50" s="1"/>
  <c r="G408" i="50" s="1"/>
  <c r="C409" i="50" s="1"/>
  <c r="E227" i="49"/>
  <c r="F227" i="49" s="1"/>
  <c r="E409" i="50" l="1"/>
  <c r="F409" i="50" s="1"/>
  <c r="G409" i="50" s="1"/>
  <c r="C410" i="50" s="1"/>
  <c r="G227" i="49"/>
  <c r="H227" i="49" s="1"/>
  <c r="C228" i="49" s="1"/>
  <c r="E410" i="50" l="1"/>
  <c r="F410" i="50" s="1"/>
  <c r="G410" i="50" s="1"/>
  <c r="C411" i="50" s="1"/>
  <c r="E228" i="49"/>
  <c r="F228" i="49" s="1"/>
  <c r="G228" i="49" l="1"/>
  <c r="H228" i="49" s="1"/>
  <c r="C229" i="49" s="1"/>
  <c r="E229" i="49" s="1"/>
  <c r="F229" i="49" s="1"/>
  <c r="E411" i="50"/>
  <c r="F411" i="50" s="1"/>
  <c r="G411" i="50" s="1"/>
  <c r="C412" i="50" s="1"/>
  <c r="E412" i="50" l="1"/>
  <c r="F412" i="50" s="1"/>
  <c r="G412" i="50" s="1"/>
  <c r="C413" i="50" s="1"/>
  <c r="G229" i="49"/>
  <c r="H229" i="49" s="1"/>
  <c r="C230" i="49" s="1"/>
  <c r="E413" i="50" l="1"/>
  <c r="F413" i="50" s="1"/>
  <c r="G413" i="50" s="1"/>
  <c r="C414" i="50" s="1"/>
  <c r="E230" i="49"/>
  <c r="F230" i="49" s="1"/>
  <c r="G230" i="49" l="1"/>
  <c r="H230" i="49" s="1"/>
  <c r="C231" i="49" s="1"/>
  <c r="E231" i="49" s="1"/>
  <c r="E414" i="50"/>
  <c r="F414" i="50" s="1"/>
  <c r="G414" i="50" s="1"/>
  <c r="C415" i="50" s="1"/>
  <c r="F231" i="49" l="1"/>
  <c r="G231" i="49" s="1"/>
  <c r="H231" i="49" s="1"/>
  <c r="C232" i="49" s="1"/>
  <c r="E232" i="49" s="1"/>
  <c r="E415" i="50"/>
  <c r="F415" i="50" s="1"/>
  <c r="G415" i="50" s="1"/>
  <c r="C416" i="50" s="1"/>
  <c r="E416" i="50" l="1"/>
  <c r="F416" i="50" s="1"/>
  <c r="G416" i="50" s="1"/>
  <c r="C417" i="50" s="1"/>
  <c r="F232" i="49"/>
  <c r="G232" i="49" s="1"/>
  <c r="H232" i="49" s="1"/>
  <c r="C233" i="49" s="1"/>
  <c r="E233" i="49" l="1"/>
  <c r="F233" i="49" s="1"/>
  <c r="E417" i="50"/>
  <c r="F417" i="50" s="1"/>
  <c r="G417" i="50" s="1"/>
  <c r="C418" i="50" s="1"/>
  <c r="E418" i="50" l="1"/>
  <c r="F418" i="50" s="1"/>
  <c r="G418" i="50" s="1"/>
  <c r="C419" i="50" s="1"/>
  <c r="G233" i="49"/>
  <c r="H233" i="49" s="1"/>
  <c r="C234" i="49" s="1"/>
  <c r="E419" i="50" l="1"/>
  <c r="F419" i="50" s="1"/>
  <c r="G419" i="50" s="1"/>
  <c r="C420" i="50" s="1"/>
  <c r="E234" i="49"/>
  <c r="F234" i="49" s="1"/>
  <c r="E420" i="50" l="1"/>
  <c r="F420" i="50" s="1"/>
  <c r="G420" i="50" s="1"/>
  <c r="C421" i="50" s="1"/>
  <c r="G234" i="49"/>
  <c r="H234" i="49" s="1"/>
  <c r="C235" i="49" s="1"/>
  <c r="E421" i="50" l="1"/>
  <c r="F421" i="50" s="1"/>
  <c r="G421" i="50" s="1"/>
  <c r="C422" i="50" s="1"/>
  <c r="E235" i="49"/>
  <c r="F235" i="49" s="1"/>
  <c r="E422" i="50" l="1"/>
  <c r="F422" i="50" s="1"/>
  <c r="G422" i="50" s="1"/>
  <c r="C423" i="50" s="1"/>
  <c r="G235" i="49"/>
  <c r="H235" i="49" s="1"/>
  <c r="C236" i="49" s="1"/>
  <c r="E423" i="50" l="1"/>
  <c r="F423" i="50" s="1"/>
  <c r="G423" i="50" s="1"/>
  <c r="C424" i="50" s="1"/>
  <c r="E236" i="49"/>
  <c r="E424" i="50" l="1"/>
  <c r="F424" i="50" s="1"/>
  <c r="G424" i="50" s="1"/>
  <c r="C425" i="50" s="1"/>
  <c r="F236" i="49"/>
  <c r="G236" i="49" s="1"/>
  <c r="H236" i="49" s="1"/>
  <c r="C237" i="49" s="1"/>
  <c r="E425" i="50" l="1"/>
  <c r="F425" i="50" s="1"/>
  <c r="G425" i="50" s="1"/>
  <c r="C426" i="50" s="1"/>
  <c r="E237" i="49"/>
  <c r="F237" i="49" s="1"/>
  <c r="E426" i="50" l="1"/>
  <c r="F426" i="50" s="1"/>
  <c r="G426" i="50" s="1"/>
  <c r="C427" i="50" s="1"/>
  <c r="G237" i="49"/>
  <c r="H237" i="49" s="1"/>
  <c r="C238" i="49" s="1"/>
  <c r="E427" i="50" l="1"/>
  <c r="F427" i="50" s="1"/>
  <c r="G427" i="50" s="1"/>
  <c r="C428" i="50" s="1"/>
  <c r="E238" i="49"/>
  <c r="F238" i="49" s="1"/>
  <c r="E428" i="50" l="1"/>
  <c r="F428" i="50" s="1"/>
  <c r="G428" i="50" s="1"/>
  <c r="C429" i="50" s="1"/>
  <c r="G238" i="49"/>
  <c r="H238" i="49" s="1"/>
  <c r="C239" i="49" s="1"/>
  <c r="E429" i="50" l="1"/>
  <c r="F429" i="50" s="1"/>
  <c r="G429" i="50" s="1"/>
  <c r="C430" i="50" s="1"/>
  <c r="E239" i="49"/>
  <c r="F239" i="49" s="1"/>
  <c r="G239" i="49" l="1"/>
  <c r="H239" i="49" s="1"/>
  <c r="C240" i="49" s="1"/>
  <c r="E240" i="49" s="1"/>
  <c r="F240" i="49" s="1"/>
  <c r="E430" i="50"/>
  <c r="F430" i="50" s="1"/>
  <c r="G430" i="50" s="1"/>
  <c r="C431" i="50" s="1"/>
  <c r="E431" i="50" l="1"/>
  <c r="F431" i="50" s="1"/>
  <c r="G431" i="50" s="1"/>
  <c r="C432" i="50" s="1"/>
  <c r="G240" i="49"/>
  <c r="H240" i="49" s="1"/>
  <c r="C241" i="49" s="1"/>
  <c r="E432" i="50" l="1"/>
  <c r="F432" i="50" s="1"/>
  <c r="G432" i="50" s="1"/>
  <c r="C433" i="50" s="1"/>
  <c r="E241" i="49"/>
  <c r="F241" i="49" s="1"/>
  <c r="G241" i="49" l="1"/>
  <c r="H241" i="49" s="1"/>
  <c r="C242" i="49" s="1"/>
  <c r="E242" i="49" s="1"/>
  <c r="E433" i="50"/>
  <c r="F433" i="50" s="1"/>
  <c r="G433" i="50" s="1"/>
  <c r="C434" i="50" s="1"/>
  <c r="E434" i="50" l="1"/>
  <c r="F434" i="50" s="1"/>
  <c r="G434" i="50" s="1"/>
  <c r="C435" i="50" s="1"/>
  <c r="F242" i="49"/>
  <c r="G242" i="49" s="1"/>
  <c r="H242" i="49" s="1"/>
  <c r="C243" i="49" s="1"/>
  <c r="E243" i="49" l="1"/>
  <c r="F243" i="49" s="1"/>
  <c r="E435" i="50"/>
  <c r="F435" i="50" s="1"/>
  <c r="G435" i="50" s="1"/>
  <c r="C436" i="50" s="1"/>
  <c r="E436" i="50" l="1"/>
  <c r="F436" i="50" s="1"/>
  <c r="G436" i="50" s="1"/>
  <c r="C437" i="50" s="1"/>
  <c r="G243" i="49"/>
  <c r="H243" i="49" s="1"/>
  <c r="C244" i="49" s="1"/>
  <c r="E437" i="50" l="1"/>
  <c r="F437" i="50" s="1"/>
  <c r="G437" i="50" s="1"/>
  <c r="C438" i="50" s="1"/>
  <c r="E244" i="49"/>
  <c r="F244" i="49" s="1"/>
  <c r="G244" i="49" l="1"/>
  <c r="H244" i="49" s="1"/>
  <c r="C245" i="49" s="1"/>
  <c r="E245" i="49" s="1"/>
  <c r="F245" i="49" s="1"/>
  <c r="E438" i="50"/>
  <c r="F438" i="50" s="1"/>
  <c r="G438" i="50" s="1"/>
  <c r="C439" i="50" s="1"/>
  <c r="E439" i="50" l="1"/>
  <c r="F439" i="50" s="1"/>
  <c r="G439" i="50" s="1"/>
  <c r="C440" i="50" s="1"/>
  <c r="G245" i="49"/>
  <c r="H245" i="49" s="1"/>
  <c r="C246" i="49" s="1"/>
  <c r="E440" i="50" l="1"/>
  <c r="F440" i="50" s="1"/>
  <c r="G440" i="50" s="1"/>
  <c r="C441" i="50" s="1"/>
  <c r="E246" i="49"/>
  <c r="F246" i="49" s="1"/>
  <c r="E441" i="50" l="1"/>
  <c r="F441" i="50" s="1"/>
  <c r="G441" i="50" s="1"/>
  <c r="C442" i="50" s="1"/>
  <c r="G246" i="49"/>
  <c r="H246" i="49" s="1"/>
  <c r="C247" i="49" s="1"/>
  <c r="E442" i="50" l="1"/>
  <c r="F442" i="50" s="1"/>
  <c r="G442" i="50" s="1"/>
  <c r="C443" i="50" s="1"/>
  <c r="E247" i="49"/>
  <c r="F247" i="49" s="1"/>
  <c r="G247" i="49" l="1"/>
  <c r="H247" i="49" s="1"/>
  <c r="C248" i="49" s="1"/>
  <c r="E248" i="49" s="1"/>
  <c r="F248" i="49" s="1"/>
  <c r="E443" i="50"/>
  <c r="F443" i="50" s="1"/>
  <c r="G443" i="50" s="1"/>
  <c r="C444" i="50" s="1"/>
  <c r="E444" i="50" l="1"/>
  <c r="F444" i="50" s="1"/>
  <c r="G444" i="50" s="1"/>
  <c r="C445" i="50" s="1"/>
  <c r="G248" i="49"/>
  <c r="H248" i="49" s="1"/>
  <c r="C249" i="49" s="1"/>
  <c r="E445" i="50" l="1"/>
  <c r="F445" i="50" s="1"/>
  <c r="G445" i="50" s="1"/>
  <c r="C446" i="50" s="1"/>
  <c r="E249" i="49"/>
  <c r="F249" i="49" s="1"/>
  <c r="E446" i="50" l="1"/>
  <c r="F446" i="50" s="1"/>
  <c r="G446" i="50" s="1"/>
  <c r="C447" i="50" s="1"/>
  <c r="G249" i="49"/>
  <c r="H249" i="49" s="1"/>
  <c r="C250" i="49" s="1"/>
  <c r="E447" i="50" l="1"/>
  <c r="F447" i="50" s="1"/>
  <c r="G447" i="50" s="1"/>
  <c r="C448" i="50" s="1"/>
  <c r="E250" i="49"/>
  <c r="E448" i="50" l="1"/>
  <c r="F448" i="50" s="1"/>
  <c r="G448" i="50" s="1"/>
  <c r="C449" i="50" s="1"/>
  <c r="F250" i="49"/>
  <c r="G250" i="49" s="1"/>
  <c r="H250" i="49" s="1"/>
  <c r="C251" i="49" s="1"/>
  <c r="E251" i="49" l="1"/>
  <c r="F251" i="49" s="1"/>
  <c r="E449" i="50"/>
  <c r="F449" i="50" s="1"/>
  <c r="G449" i="50" s="1"/>
  <c r="C450" i="50" s="1"/>
  <c r="E450" i="50" l="1"/>
  <c r="F450" i="50" s="1"/>
  <c r="G450" i="50" s="1"/>
  <c r="C451" i="50" s="1"/>
  <c r="G251" i="49"/>
  <c r="H251" i="49" s="1"/>
  <c r="C252" i="49" s="1"/>
  <c r="E451" i="50" l="1"/>
  <c r="F451" i="50" s="1"/>
  <c r="G451" i="50" s="1"/>
  <c r="C452" i="50" s="1"/>
  <c r="E252" i="49"/>
  <c r="F252" i="49" s="1"/>
  <c r="G252" i="49" l="1"/>
  <c r="H252" i="49" s="1"/>
  <c r="C253" i="49" s="1"/>
  <c r="E253" i="49" s="1"/>
  <c r="E452" i="50"/>
  <c r="F452" i="50" s="1"/>
  <c r="G452" i="50" s="1"/>
  <c r="C453" i="50" s="1"/>
  <c r="F253" i="49" l="1"/>
  <c r="G253" i="49" s="1"/>
  <c r="H253" i="49" s="1"/>
  <c r="C254" i="49" s="1"/>
  <c r="E453" i="50"/>
  <c r="F453" i="50" s="1"/>
  <c r="G453" i="50" s="1"/>
  <c r="C454" i="50" s="1"/>
  <c r="E454" i="50" l="1"/>
  <c r="F454" i="50" s="1"/>
  <c r="G454" i="50" s="1"/>
  <c r="C455" i="50" s="1"/>
  <c r="E254" i="49"/>
  <c r="F254" i="49" s="1"/>
  <c r="E455" i="50" l="1"/>
  <c r="F455" i="50" s="1"/>
  <c r="G455" i="50" s="1"/>
  <c r="C456" i="50" s="1"/>
  <c r="G254" i="49"/>
  <c r="H254" i="49" s="1"/>
  <c r="C255" i="49" s="1"/>
  <c r="E456" i="50" l="1"/>
  <c r="F456" i="50" s="1"/>
  <c r="G456" i="50" s="1"/>
  <c r="C457" i="50" s="1"/>
  <c r="E255" i="49"/>
  <c r="E457" i="50" l="1"/>
  <c r="F457" i="50" s="1"/>
  <c r="G457" i="50" s="1"/>
  <c r="C458" i="50" s="1"/>
  <c r="F255" i="49"/>
  <c r="G255" i="49" s="1"/>
  <c r="H255" i="49" s="1"/>
  <c r="C256" i="49" s="1"/>
  <c r="E256" i="49" l="1"/>
  <c r="F256" i="49" s="1"/>
  <c r="E458" i="50"/>
  <c r="F458" i="50" s="1"/>
  <c r="G458" i="50" s="1"/>
  <c r="C459" i="50" s="1"/>
  <c r="E459" i="50" l="1"/>
  <c r="F459" i="50" s="1"/>
  <c r="G459" i="50" s="1"/>
  <c r="C460" i="50" s="1"/>
  <c r="G256" i="49"/>
  <c r="H256" i="49" s="1"/>
  <c r="C257" i="49" s="1"/>
  <c r="E460" i="50" l="1"/>
  <c r="F460" i="50" s="1"/>
  <c r="G460" i="50" s="1"/>
  <c r="C461" i="50" s="1"/>
  <c r="E257" i="49"/>
  <c r="E461" i="50" l="1"/>
  <c r="F461" i="50" s="1"/>
  <c r="G461" i="50" s="1"/>
  <c r="C462" i="50" s="1"/>
  <c r="F257" i="49"/>
  <c r="G257" i="49" s="1"/>
  <c r="H257" i="49" s="1"/>
  <c r="C258" i="49" s="1"/>
  <c r="E462" i="50" l="1"/>
  <c r="F462" i="50" s="1"/>
  <c r="G462" i="50" s="1"/>
  <c r="C463" i="50" s="1"/>
  <c r="E258" i="49"/>
  <c r="E463" i="50" l="1"/>
  <c r="F463" i="50" s="1"/>
  <c r="G463" i="50" s="1"/>
  <c r="C464" i="50" s="1"/>
  <c r="F258" i="49"/>
  <c r="G258" i="49" s="1"/>
  <c r="H258" i="49" s="1"/>
  <c r="C259" i="49" s="1"/>
  <c r="E464" i="50" l="1"/>
  <c r="F464" i="50" s="1"/>
  <c r="G464" i="50" s="1"/>
  <c r="C465" i="50" s="1"/>
  <c r="E259" i="49"/>
  <c r="E465" i="50" l="1"/>
  <c r="F465" i="50" s="1"/>
  <c r="G465" i="50" s="1"/>
  <c r="C466" i="50" s="1"/>
  <c r="F259" i="49"/>
  <c r="G259" i="49" s="1"/>
  <c r="H259" i="49" s="1"/>
  <c r="C260" i="49" s="1"/>
  <c r="E260" i="49" l="1"/>
  <c r="F260" i="49" s="1"/>
  <c r="E466" i="50"/>
  <c r="F466" i="50" s="1"/>
  <c r="G466" i="50" s="1"/>
  <c r="C467" i="50" s="1"/>
  <c r="E467" i="50" l="1"/>
  <c r="F467" i="50" s="1"/>
  <c r="G467" i="50" s="1"/>
  <c r="C468" i="50" s="1"/>
  <c r="G260" i="49"/>
  <c r="H260" i="49" s="1"/>
  <c r="C261" i="49" s="1"/>
  <c r="E468" i="50" l="1"/>
  <c r="F468" i="50" s="1"/>
  <c r="G468" i="50" s="1"/>
  <c r="C469" i="50" s="1"/>
  <c r="E261" i="49"/>
  <c r="F261" i="49" s="1"/>
  <c r="E469" i="50" l="1"/>
  <c r="F469" i="50" s="1"/>
  <c r="G469" i="50" s="1"/>
  <c r="C470" i="50" s="1"/>
  <c r="G261" i="49"/>
  <c r="H261" i="49" s="1"/>
  <c r="C262" i="49" s="1"/>
  <c r="E470" i="50" l="1"/>
  <c r="F470" i="50" s="1"/>
  <c r="G470" i="50" s="1"/>
  <c r="C471" i="50" s="1"/>
  <c r="E262" i="49"/>
  <c r="F262" i="49" s="1"/>
  <c r="E471" i="50" l="1"/>
  <c r="F471" i="50" s="1"/>
  <c r="G471" i="50" s="1"/>
  <c r="C472" i="50" s="1"/>
  <c r="G262" i="49"/>
  <c r="H262" i="49" s="1"/>
  <c r="C263" i="49" s="1"/>
  <c r="E472" i="50" l="1"/>
  <c r="F472" i="50" s="1"/>
  <c r="G472" i="50" s="1"/>
  <c r="C473" i="50" s="1"/>
  <c r="E263" i="49"/>
  <c r="E473" i="50" l="1"/>
  <c r="F473" i="50" s="1"/>
  <c r="G473" i="50" s="1"/>
  <c r="C474" i="50" s="1"/>
  <c r="F263" i="49"/>
  <c r="G263" i="49" s="1"/>
  <c r="H263" i="49" s="1"/>
  <c r="C264" i="49" s="1"/>
  <c r="E264" i="49" l="1"/>
  <c r="F264" i="49" s="1"/>
  <c r="E474" i="50"/>
  <c r="F474" i="50" s="1"/>
  <c r="G474" i="50" s="1"/>
  <c r="C475" i="50" s="1"/>
  <c r="E475" i="50" l="1"/>
  <c r="F475" i="50" s="1"/>
  <c r="G475" i="50" s="1"/>
  <c r="C476" i="50" s="1"/>
  <c r="G264" i="49"/>
  <c r="H264" i="49" s="1"/>
  <c r="C265" i="49" s="1"/>
  <c r="E476" i="50" l="1"/>
  <c r="F476" i="50" s="1"/>
  <c r="G476" i="50" s="1"/>
  <c r="C477" i="50" s="1"/>
  <c r="E265" i="49"/>
  <c r="F265" i="49" s="1"/>
  <c r="E477" i="50" l="1"/>
  <c r="F477" i="50" s="1"/>
  <c r="G477" i="50" s="1"/>
  <c r="C478" i="50" s="1"/>
  <c r="G265" i="49"/>
  <c r="H265" i="49" s="1"/>
  <c r="C266" i="49" s="1"/>
  <c r="E478" i="50" l="1"/>
  <c r="F478" i="50" s="1"/>
  <c r="G478" i="50" s="1"/>
  <c r="C479" i="50" s="1"/>
  <c r="E266" i="49"/>
  <c r="F266" i="49" s="1"/>
  <c r="E479" i="50" l="1"/>
  <c r="F479" i="50" s="1"/>
  <c r="G479" i="50" s="1"/>
  <c r="C480" i="50" s="1"/>
  <c r="G266" i="49"/>
  <c r="H266" i="49" s="1"/>
  <c r="C267" i="49" s="1"/>
  <c r="E480" i="50" l="1"/>
  <c r="F480" i="50" s="1"/>
  <c r="G480" i="50" s="1"/>
  <c r="C481" i="50" s="1"/>
  <c r="E267" i="49"/>
  <c r="F267" i="49" s="1"/>
  <c r="G267" i="49" l="1"/>
  <c r="H267" i="49" s="1"/>
  <c r="C268" i="49" s="1"/>
  <c r="E268" i="49" s="1"/>
  <c r="F268" i="49" s="1"/>
  <c r="E481" i="50"/>
  <c r="F481" i="50" s="1"/>
  <c r="G481" i="50" s="1"/>
  <c r="C482" i="50" s="1"/>
  <c r="E482" i="50" l="1"/>
  <c r="F482" i="50" s="1"/>
  <c r="G482" i="50" s="1"/>
  <c r="C483" i="50" s="1"/>
  <c r="G268" i="49"/>
  <c r="H268" i="49" s="1"/>
  <c r="C269" i="49" s="1"/>
  <c r="E483" i="50" l="1"/>
  <c r="F483" i="50" s="1"/>
  <c r="G483" i="50" s="1"/>
  <c r="C484" i="50" s="1"/>
  <c r="E269" i="49"/>
  <c r="F269" i="49" s="1"/>
  <c r="G269" i="49" l="1"/>
  <c r="H269" i="49" s="1"/>
  <c r="C270" i="49" s="1"/>
  <c r="E270" i="49" s="1"/>
  <c r="E484" i="50"/>
  <c r="F484" i="50" s="1"/>
  <c r="G484" i="50" s="1"/>
  <c r="C485" i="50" s="1"/>
  <c r="E485" i="50" l="1"/>
  <c r="F485" i="50" s="1"/>
  <c r="G485" i="50" s="1"/>
  <c r="C486" i="50" s="1"/>
  <c r="F270" i="49"/>
  <c r="G270" i="49" s="1"/>
  <c r="H270" i="49" s="1"/>
  <c r="C271" i="49" s="1"/>
  <c r="E271" i="49" l="1"/>
  <c r="F271" i="49" s="1"/>
  <c r="E486" i="50"/>
  <c r="F486" i="50" s="1"/>
  <c r="G486" i="50" s="1"/>
  <c r="C487" i="50" s="1"/>
  <c r="E487" i="50" l="1"/>
  <c r="F487" i="50" s="1"/>
  <c r="G487" i="50" s="1"/>
  <c r="C488" i="50" s="1"/>
  <c r="G271" i="49"/>
  <c r="H271" i="49" s="1"/>
  <c r="C272" i="49" s="1"/>
  <c r="E488" i="50" l="1"/>
  <c r="F488" i="50" s="1"/>
  <c r="G488" i="50" s="1"/>
  <c r="C489" i="50" s="1"/>
  <c r="E272" i="49"/>
  <c r="E489" i="50" l="1"/>
  <c r="F489" i="50" s="1"/>
  <c r="G489" i="50" s="1"/>
  <c r="C490" i="50" s="1"/>
  <c r="F272" i="49"/>
  <c r="G272" i="49" s="1"/>
  <c r="H272" i="49" s="1"/>
  <c r="C273" i="49" s="1"/>
  <c r="E273" i="49" l="1"/>
  <c r="F273" i="49" s="1"/>
  <c r="E490" i="50"/>
  <c r="F490" i="50" s="1"/>
  <c r="G490" i="50" s="1"/>
  <c r="C491" i="50" s="1"/>
  <c r="E491" i="50" l="1"/>
  <c r="F491" i="50" s="1"/>
  <c r="G491" i="50" s="1"/>
  <c r="C492" i="50" s="1"/>
  <c r="G273" i="49"/>
  <c r="H273" i="49" s="1"/>
  <c r="C274" i="49" s="1"/>
  <c r="E492" i="50" l="1"/>
  <c r="D492" i="50" s="1"/>
  <c r="F492" i="50" s="1"/>
  <c r="G492" i="50" s="1"/>
  <c r="E274" i="49"/>
  <c r="F274" i="49" s="1"/>
  <c r="G274" i="49" l="1"/>
  <c r="H274" i="49" s="1"/>
  <c r="C275" i="49" s="1"/>
  <c r="E275" i="49" l="1"/>
  <c r="F275" i="49" s="1"/>
  <c r="G275" i="49" l="1"/>
  <c r="H275" i="49" s="1"/>
  <c r="C276" i="49" s="1"/>
  <c r="E276" i="49" l="1"/>
  <c r="F276" i="49" s="1"/>
  <c r="G276" i="49" l="1"/>
  <c r="H276" i="49" s="1"/>
  <c r="C277" i="49" s="1"/>
  <c r="E277" i="49" s="1"/>
  <c r="F277" i="49" s="1"/>
  <c r="G277" i="49" l="1"/>
  <c r="H277" i="49" s="1"/>
  <c r="C278" i="49" s="1"/>
  <c r="E278" i="49" l="1"/>
  <c r="F278" i="49" s="1"/>
  <c r="G278" i="49" l="1"/>
  <c r="H278" i="49" s="1"/>
  <c r="C279" i="49" s="1"/>
  <c r="E279" i="49" l="1"/>
  <c r="F279" i="49" l="1"/>
  <c r="G279" i="49" s="1"/>
  <c r="H279" i="49" s="1"/>
  <c r="C280" i="49" s="1"/>
  <c r="E280" i="49" l="1"/>
  <c r="F280" i="49" s="1"/>
  <c r="G280" i="49" l="1"/>
  <c r="H280" i="49" s="1"/>
  <c r="C281" i="49" s="1"/>
  <c r="E281" i="49" l="1"/>
  <c r="F281" i="49" s="1"/>
  <c r="G281" i="49" l="1"/>
  <c r="H281" i="49" s="1"/>
  <c r="C282" i="49" s="1"/>
  <c r="E282" i="49" l="1"/>
  <c r="F282" i="49" s="1"/>
  <c r="G282" i="49" l="1"/>
  <c r="H282" i="49" s="1"/>
  <c r="C283" i="49" s="1"/>
  <c r="E283" i="49" l="1"/>
  <c r="F283" i="49" s="1"/>
  <c r="G283" i="49" l="1"/>
  <c r="H283" i="49" s="1"/>
  <c r="C284" i="49" s="1"/>
  <c r="E284" i="49" l="1"/>
  <c r="F284" i="49" l="1"/>
  <c r="G284" i="49" s="1"/>
  <c r="H284" i="49" s="1"/>
  <c r="C285" i="49" s="1"/>
  <c r="E285" i="49" l="1"/>
  <c r="F285" i="49" s="1"/>
  <c r="G285" i="49" l="1"/>
  <c r="H285" i="49" s="1"/>
  <c r="C286" i="49" s="1"/>
  <c r="E286" i="49" l="1"/>
  <c r="F286" i="49" s="1"/>
  <c r="G286" i="49" l="1"/>
  <c r="H286" i="49" s="1"/>
  <c r="C287" i="49" s="1"/>
  <c r="E287" i="49" s="1"/>
  <c r="F287" i="49" l="1"/>
  <c r="G287" i="49" s="1"/>
  <c r="H287" i="49" s="1"/>
  <c r="C288" i="49" s="1"/>
  <c r="E288" i="49" l="1"/>
  <c r="F288" i="49" s="1"/>
  <c r="G288" i="49" l="1"/>
  <c r="H288" i="49" s="1"/>
  <c r="C289" i="49" s="1"/>
  <c r="E289" i="49" l="1"/>
  <c r="F289" i="49" s="1"/>
  <c r="G289" i="49" l="1"/>
  <c r="H289" i="49" s="1"/>
  <c r="C290" i="49" s="1"/>
  <c r="E290" i="49" l="1"/>
  <c r="F290" i="49" l="1"/>
  <c r="G290" i="49" s="1"/>
  <c r="H290" i="49" s="1"/>
  <c r="C291" i="49" s="1"/>
  <c r="E291" i="49" l="1"/>
  <c r="F291" i="49" l="1"/>
  <c r="G291" i="49" s="1"/>
  <c r="H291" i="49" s="1"/>
  <c r="C292" i="49" s="1"/>
  <c r="E292" i="49" l="1"/>
  <c r="F292" i="49" s="1"/>
  <c r="G292" i="49" l="1"/>
  <c r="H292" i="49" s="1"/>
  <c r="C293" i="49" s="1"/>
  <c r="E293" i="49" l="1"/>
  <c r="F293" i="49" s="1"/>
  <c r="G293" i="49" l="1"/>
  <c r="H293" i="49" s="1"/>
  <c r="C294" i="49" s="1"/>
  <c r="E294" i="49" l="1"/>
  <c r="F294" i="49" l="1"/>
  <c r="G294" i="49" s="1"/>
  <c r="H294" i="49" s="1"/>
  <c r="C295" i="49" s="1"/>
  <c r="E295" i="49" l="1"/>
  <c r="F295" i="49" s="1"/>
  <c r="G295" i="49" l="1"/>
  <c r="H295" i="49" s="1"/>
  <c r="C296" i="49" s="1"/>
  <c r="E296" i="49" s="1"/>
  <c r="F296" i="49" s="1"/>
  <c r="G296" i="49" l="1"/>
  <c r="H296" i="49" s="1"/>
  <c r="C297" i="49" s="1"/>
  <c r="E297" i="49" l="1"/>
  <c r="F297" i="49" s="1"/>
  <c r="G297" i="49" l="1"/>
  <c r="H297" i="49" s="1"/>
  <c r="C298" i="49" s="1"/>
  <c r="E298" i="49" l="1"/>
  <c r="F298" i="49" l="1"/>
  <c r="G298" i="49" s="1"/>
  <c r="H298" i="49" s="1"/>
  <c r="C299" i="49" s="1"/>
  <c r="E299" i="49" l="1"/>
  <c r="F299" i="49" l="1"/>
  <c r="G299" i="49" s="1"/>
  <c r="H299" i="49" s="1"/>
  <c r="C300" i="49" s="1"/>
  <c r="E300" i="49" l="1"/>
  <c r="F300" i="49" s="1"/>
  <c r="G300" i="49" l="1"/>
  <c r="H300" i="49" s="1"/>
  <c r="C301" i="49" s="1"/>
  <c r="E301" i="49" l="1"/>
  <c r="F301" i="49" s="1"/>
  <c r="G301" i="49" l="1"/>
  <c r="H301" i="49" s="1"/>
  <c r="C302" i="49" s="1"/>
  <c r="E302" i="49" l="1"/>
  <c r="F302" i="49" l="1"/>
  <c r="G302" i="49" s="1"/>
  <c r="H302" i="49" s="1"/>
  <c r="C303" i="49" s="1"/>
  <c r="E303" i="49" l="1"/>
  <c r="F303" i="49" s="1"/>
  <c r="G303" i="49" l="1"/>
  <c r="H303" i="49" s="1"/>
  <c r="C304" i="49" s="1"/>
  <c r="E304" i="49" s="1"/>
  <c r="F304" i="49" s="1"/>
  <c r="G304" i="49" l="1"/>
  <c r="H304" i="49" s="1"/>
  <c r="C305" i="49" s="1"/>
  <c r="E305" i="49" l="1"/>
  <c r="F305" i="49" s="1"/>
  <c r="G305" i="49" l="1"/>
  <c r="H305" i="49" s="1"/>
  <c r="C306" i="49" s="1"/>
  <c r="E306" i="49" l="1"/>
  <c r="F306" i="49" l="1"/>
  <c r="G306" i="49" s="1"/>
  <c r="H306" i="49" s="1"/>
  <c r="C307" i="49" s="1"/>
  <c r="E307" i="49" l="1"/>
  <c r="F307" i="49" s="1"/>
  <c r="G307" i="49" l="1"/>
  <c r="H307" i="49" s="1"/>
  <c r="C308" i="49" s="1"/>
  <c r="E308" i="49" s="1"/>
  <c r="F308" i="49" s="1"/>
  <c r="G308" i="49" l="1"/>
  <c r="H308" i="49" s="1"/>
  <c r="C309" i="49" s="1"/>
  <c r="E309" i="49" l="1"/>
  <c r="F309" i="49" s="1"/>
  <c r="G309" i="49" l="1"/>
  <c r="H309" i="49" s="1"/>
  <c r="C310" i="49" s="1"/>
  <c r="E310" i="49" l="1"/>
  <c r="F310" i="49" l="1"/>
  <c r="G310" i="49" s="1"/>
  <c r="H310" i="49" s="1"/>
  <c r="C311" i="49" s="1"/>
  <c r="E311" i="49" l="1"/>
  <c r="F311" i="49" l="1"/>
  <c r="G311" i="49" s="1"/>
  <c r="H311" i="49" s="1"/>
  <c r="C312" i="49" s="1"/>
  <c r="E312" i="49" l="1"/>
  <c r="F312" i="49" s="1"/>
  <c r="G312" i="49" l="1"/>
  <c r="H312" i="49" s="1"/>
  <c r="C313" i="49" s="1"/>
  <c r="E313" i="49" l="1"/>
  <c r="F313" i="49" s="1"/>
  <c r="G313" i="49" l="1"/>
  <c r="H313" i="49" s="1"/>
  <c r="C314" i="49" s="1"/>
  <c r="E314" i="49" s="1"/>
  <c r="F314" i="49" l="1"/>
  <c r="G314" i="49" s="1"/>
  <c r="H314" i="49" s="1"/>
  <c r="C315" i="49" s="1"/>
  <c r="E315" i="49" l="1"/>
  <c r="F315" i="49" l="1"/>
  <c r="G315" i="49" s="1"/>
  <c r="H315" i="49" s="1"/>
  <c r="C316" i="49" s="1"/>
  <c r="E316" i="49" l="1"/>
  <c r="F316" i="49" s="1"/>
  <c r="G316" i="49" l="1"/>
  <c r="H316" i="49" s="1"/>
  <c r="C317" i="49" s="1"/>
  <c r="E317" i="49" l="1"/>
  <c r="F317" i="49" s="1"/>
  <c r="G317" i="49" l="1"/>
  <c r="H317" i="49" s="1"/>
  <c r="C318" i="49" s="1"/>
  <c r="E318" i="49" l="1"/>
  <c r="F318" i="49" l="1"/>
  <c r="G318" i="49" s="1"/>
  <c r="H318" i="49" s="1"/>
  <c r="C319" i="49" s="1"/>
  <c r="E319" i="49" l="1"/>
  <c r="F319" i="49" s="1"/>
  <c r="G319" i="49" l="1"/>
  <c r="H319" i="49" s="1"/>
  <c r="C320" i="49" s="1"/>
  <c r="E320" i="49" s="1"/>
  <c r="F320" i="49" s="1"/>
  <c r="G320" i="49" l="1"/>
  <c r="H320" i="49" s="1"/>
  <c r="C321" i="49" s="1"/>
  <c r="E321" i="49" l="1"/>
  <c r="F321" i="49" s="1"/>
  <c r="G321" i="49" l="1"/>
  <c r="H321" i="49" s="1"/>
  <c r="C322" i="49" s="1"/>
  <c r="E322" i="49" l="1"/>
  <c r="F322" i="49" l="1"/>
  <c r="G322" i="49" s="1"/>
  <c r="H322" i="49" s="1"/>
  <c r="C323" i="49" s="1"/>
  <c r="E323" i="49" l="1"/>
  <c r="F323" i="49" s="1"/>
  <c r="G323" i="49" l="1"/>
  <c r="H323" i="49" s="1"/>
  <c r="C324" i="49" s="1"/>
  <c r="E324" i="49" s="1"/>
  <c r="F324" i="49" s="1"/>
  <c r="G324" i="49" l="1"/>
  <c r="H324" i="49" s="1"/>
  <c r="C325" i="49" s="1"/>
  <c r="E325" i="49" l="1"/>
  <c r="F325" i="49" s="1"/>
  <c r="G325" i="49" l="1"/>
  <c r="H325" i="49" s="1"/>
  <c r="C326" i="49" s="1"/>
  <c r="E326" i="49" l="1"/>
  <c r="F326" i="49" l="1"/>
  <c r="G326" i="49" s="1"/>
  <c r="H326" i="49" s="1"/>
  <c r="C327" i="49" s="1"/>
  <c r="E327" i="49" l="1"/>
  <c r="F327" i="49" l="1"/>
  <c r="G327" i="49" s="1"/>
  <c r="H327" i="49" s="1"/>
  <c r="C328" i="49" s="1"/>
  <c r="E328" i="49" l="1"/>
  <c r="F328" i="49" s="1"/>
  <c r="G328" i="49" l="1"/>
  <c r="H328" i="49" s="1"/>
  <c r="C329" i="49" s="1"/>
  <c r="E329" i="49" l="1"/>
  <c r="F329" i="49" s="1"/>
  <c r="G329" i="49" l="1"/>
  <c r="H329" i="49" s="1"/>
  <c r="C330" i="49" s="1"/>
  <c r="E330" i="49" l="1"/>
  <c r="F330" i="49" l="1"/>
  <c r="G330" i="49" s="1"/>
  <c r="H330" i="49" s="1"/>
  <c r="C331" i="49" s="1"/>
  <c r="E331" i="49" l="1"/>
  <c r="F331" i="49" l="1"/>
  <c r="G331" i="49" s="1"/>
  <c r="H331" i="49" s="1"/>
  <c r="C332" i="49" s="1"/>
  <c r="E332" i="49" l="1"/>
  <c r="F332" i="49" s="1"/>
  <c r="G332" i="49" l="1"/>
  <c r="H332" i="49" s="1"/>
  <c r="C333" i="49" s="1"/>
  <c r="E333" i="49" l="1"/>
  <c r="F333" i="49" s="1"/>
  <c r="G333" i="49" l="1"/>
  <c r="H333" i="49" s="1"/>
  <c r="C334" i="49" s="1"/>
  <c r="E334" i="49" l="1"/>
  <c r="F334" i="49" l="1"/>
  <c r="G334" i="49" s="1"/>
  <c r="H334" i="49" s="1"/>
  <c r="C335" i="49" s="1"/>
  <c r="E335" i="49" l="1"/>
  <c r="F335" i="49" s="1"/>
  <c r="G335" i="49" l="1"/>
  <c r="H335" i="49" s="1"/>
  <c r="C336" i="49" s="1"/>
  <c r="E336" i="49" l="1"/>
  <c r="F336" i="49" s="1"/>
  <c r="G336" i="49" l="1"/>
  <c r="H336" i="49" s="1"/>
  <c r="C337" i="49" s="1"/>
  <c r="E337" i="49" l="1"/>
  <c r="F337" i="49" s="1"/>
  <c r="G337" i="49" l="1"/>
  <c r="H337" i="49" s="1"/>
  <c r="C338" i="49" s="1"/>
  <c r="E338" i="49" l="1"/>
  <c r="F338" i="49" l="1"/>
  <c r="G338" i="49" s="1"/>
  <c r="H338" i="49" s="1"/>
  <c r="C339" i="49" s="1"/>
  <c r="E339" i="49" l="1"/>
  <c r="F339" i="49" l="1"/>
  <c r="G339" i="49" s="1"/>
  <c r="H339" i="49" s="1"/>
  <c r="C340" i="49" s="1"/>
  <c r="E340" i="49" l="1"/>
  <c r="F340" i="49" s="1"/>
  <c r="G340" i="49" l="1"/>
  <c r="H340" i="49" s="1"/>
  <c r="C341" i="49" s="1"/>
  <c r="E341" i="49" s="1"/>
  <c r="F341" i="49" s="1"/>
  <c r="G341" i="49" l="1"/>
  <c r="H341" i="49" s="1"/>
  <c r="C342" i="49" s="1"/>
  <c r="E342" i="49" l="1"/>
  <c r="F342" i="49" l="1"/>
  <c r="G342" i="49" s="1"/>
  <c r="H342" i="49" s="1"/>
  <c r="C343" i="49" s="1"/>
  <c r="E343" i="49" l="1"/>
  <c r="F343" i="49" s="1"/>
  <c r="G343" i="49" l="1"/>
  <c r="H343" i="49" s="1"/>
  <c r="C344" i="49" s="1"/>
  <c r="E344" i="49" s="1"/>
  <c r="F344" i="49" s="1"/>
  <c r="G344" i="49" l="1"/>
  <c r="H344" i="49" s="1"/>
  <c r="C345" i="49" s="1"/>
  <c r="E345" i="49" l="1"/>
  <c r="F345" i="49" s="1"/>
  <c r="G345" i="49" l="1"/>
  <c r="H345" i="49" s="1"/>
  <c r="C346" i="49" s="1"/>
  <c r="E346" i="49" l="1"/>
  <c r="F346" i="49" l="1"/>
  <c r="G346" i="49" s="1"/>
  <c r="H346" i="49" s="1"/>
  <c r="C347" i="49" s="1"/>
  <c r="E347" i="49" l="1"/>
  <c r="F347" i="49" s="1"/>
  <c r="G347" i="49" l="1"/>
  <c r="H347" i="49" s="1"/>
  <c r="C348" i="49" s="1"/>
  <c r="E348" i="49" l="1"/>
  <c r="F348" i="49" s="1"/>
  <c r="G348" i="49" l="1"/>
  <c r="H348" i="49" s="1"/>
  <c r="C349" i="49" s="1"/>
  <c r="E349" i="49" l="1"/>
  <c r="F349" i="49" s="1"/>
  <c r="G349" i="49" l="1"/>
  <c r="H349" i="49" s="1"/>
  <c r="C350" i="49" s="1"/>
  <c r="E350" i="49" s="1"/>
  <c r="F350" i="49" l="1"/>
  <c r="G350" i="49" s="1"/>
  <c r="H350" i="49" s="1"/>
  <c r="C351" i="49" s="1"/>
  <c r="E351" i="49" l="1"/>
  <c r="F351" i="49" s="1"/>
  <c r="G351" i="49" l="1"/>
  <c r="H351" i="49" s="1"/>
  <c r="C352" i="49" s="1"/>
  <c r="E352" i="49" l="1"/>
  <c r="F352" i="49" s="1"/>
  <c r="G352" i="49" l="1"/>
  <c r="H352" i="49" s="1"/>
  <c r="C353" i="49" s="1"/>
  <c r="E353" i="49" l="1"/>
  <c r="F353" i="49" s="1"/>
  <c r="G353" i="49" l="1"/>
  <c r="H353" i="49" s="1"/>
  <c r="C354" i="49" s="1"/>
  <c r="E354" i="49" l="1"/>
  <c r="F354" i="49" l="1"/>
  <c r="G354" i="49" s="1"/>
  <c r="H354" i="49" s="1"/>
  <c r="C355" i="49" s="1"/>
  <c r="E355" i="49" l="1"/>
  <c r="F355" i="49" l="1"/>
  <c r="G355" i="49" s="1"/>
  <c r="H355" i="49" s="1"/>
  <c r="C356" i="49" s="1"/>
  <c r="E356" i="49" l="1"/>
  <c r="F356" i="49" s="1"/>
  <c r="G356" i="49" l="1"/>
  <c r="H356" i="49" s="1"/>
  <c r="C357" i="49" s="1"/>
  <c r="E357" i="49" l="1"/>
  <c r="F357" i="49" s="1"/>
  <c r="G357" i="49" l="1"/>
  <c r="H357" i="49" s="1"/>
  <c r="C358" i="49" s="1"/>
  <c r="E358" i="49" l="1"/>
  <c r="F358" i="49" l="1"/>
  <c r="G358" i="49" s="1"/>
  <c r="H358" i="49" s="1"/>
  <c r="C359" i="49" s="1"/>
  <c r="E359" i="49" l="1"/>
  <c r="F359" i="49" l="1"/>
  <c r="G359" i="49" s="1"/>
  <c r="H359" i="49" s="1"/>
  <c r="C360" i="49" s="1"/>
  <c r="E360" i="49" l="1"/>
  <c r="F360" i="49" s="1"/>
  <c r="G360" i="49" l="1"/>
  <c r="H360" i="49" s="1"/>
  <c r="C361" i="49" s="1"/>
  <c r="E361" i="49" s="1"/>
  <c r="F361" i="49" s="1"/>
  <c r="G361" i="49" l="1"/>
  <c r="H361" i="49" s="1"/>
  <c r="C362" i="49" s="1"/>
  <c r="E362" i="49" l="1"/>
  <c r="F362" i="49" l="1"/>
  <c r="G362" i="49" s="1"/>
  <c r="H362" i="49" s="1"/>
  <c r="C363" i="49" s="1"/>
  <c r="E363" i="49" l="1"/>
  <c r="F363" i="49" l="1"/>
  <c r="G363" i="49" s="1"/>
  <c r="H363" i="49" s="1"/>
  <c r="C364" i="49" s="1"/>
  <c r="E364" i="49" l="1"/>
  <c r="F364" i="49" s="1"/>
  <c r="G364" i="49" l="1"/>
  <c r="H364" i="49" s="1"/>
  <c r="C365" i="49" s="1"/>
  <c r="E365" i="49" l="1"/>
  <c r="F365" i="49" s="1"/>
  <c r="G365" i="49" l="1"/>
  <c r="H365" i="49" s="1"/>
  <c r="C366" i="49" s="1"/>
  <c r="E366" i="49" l="1"/>
  <c r="F366" i="49" l="1"/>
  <c r="G366" i="49" s="1"/>
  <c r="H366" i="49" s="1"/>
  <c r="C367" i="49" s="1"/>
  <c r="E367" i="49" l="1"/>
  <c r="F367" i="49" s="1"/>
  <c r="G367" i="49" l="1"/>
  <c r="H367" i="49" s="1"/>
  <c r="C368" i="49" s="1"/>
  <c r="E368" i="49" s="1"/>
  <c r="F368" i="49" s="1"/>
  <c r="G368" i="49" l="1"/>
  <c r="H368" i="49" s="1"/>
  <c r="C369" i="49" s="1"/>
  <c r="E369" i="49" l="1"/>
  <c r="F369" i="49" s="1"/>
  <c r="G369" i="49" l="1"/>
  <c r="H369" i="49" s="1"/>
  <c r="C370" i="49" s="1"/>
  <c r="E370" i="49" l="1"/>
  <c r="F370" i="49" l="1"/>
  <c r="G370" i="49" s="1"/>
  <c r="H370" i="49" s="1"/>
  <c r="C371" i="49" s="1"/>
  <c r="E371" i="49" l="1"/>
  <c r="F371" i="49" s="1"/>
  <c r="G371" i="49" l="1"/>
  <c r="H371" i="49" s="1"/>
  <c r="C372" i="49" s="1"/>
  <c r="E372" i="49" s="1"/>
  <c r="F372" i="49" s="1"/>
  <c r="G372" i="49" l="1"/>
  <c r="H372" i="49" s="1"/>
  <c r="C373" i="49" s="1"/>
  <c r="E373" i="49" l="1"/>
  <c r="F373" i="49" s="1"/>
  <c r="G373" i="49" l="1"/>
  <c r="H373" i="49" s="1"/>
  <c r="C374" i="49" s="1"/>
  <c r="E374" i="49" l="1"/>
  <c r="F374" i="49" l="1"/>
  <c r="G374" i="49" s="1"/>
  <c r="H374" i="49" s="1"/>
  <c r="C375" i="49" s="1"/>
  <c r="E375" i="49" l="1"/>
  <c r="F375" i="49" s="1"/>
  <c r="G375" i="49" l="1"/>
  <c r="H375" i="49" s="1"/>
  <c r="C376" i="49" s="1"/>
  <c r="E376" i="49" l="1"/>
  <c r="F376" i="49" l="1"/>
  <c r="G376" i="49" s="1"/>
  <c r="H376" i="49" s="1"/>
  <c r="C377" i="49" s="1"/>
  <c r="E377" i="49" l="1"/>
  <c r="F377" i="49" s="1"/>
  <c r="G377" i="49" l="1"/>
  <c r="H377" i="49" s="1"/>
  <c r="C378" i="49" s="1"/>
  <c r="E378" i="49" l="1"/>
  <c r="F378" i="49" l="1"/>
  <c r="G378" i="49" s="1"/>
  <c r="H378" i="49" s="1"/>
  <c r="C379" i="49" s="1"/>
  <c r="E379" i="49" l="1"/>
  <c r="F379" i="49" s="1"/>
  <c r="G379" i="49" l="1"/>
  <c r="H379" i="49" s="1"/>
  <c r="C380" i="49" s="1"/>
  <c r="E380" i="49" l="1"/>
  <c r="F380" i="49" l="1"/>
  <c r="G380" i="49" s="1"/>
  <c r="H380" i="49" s="1"/>
  <c r="C381" i="49" s="1"/>
  <c r="E381" i="49" l="1"/>
  <c r="F381" i="49" s="1"/>
  <c r="G381" i="49" l="1"/>
  <c r="H381" i="49" s="1"/>
  <c r="C382" i="49" s="1"/>
  <c r="E382" i="49" l="1"/>
  <c r="F382" i="49" s="1"/>
  <c r="G382" i="49" l="1"/>
  <c r="H382" i="49" s="1"/>
  <c r="C383" i="49" s="1"/>
  <c r="E383" i="49" l="1"/>
  <c r="F383" i="49" s="1"/>
  <c r="G383" i="49" l="1"/>
  <c r="H383" i="49" s="1"/>
  <c r="C384" i="49" s="1"/>
  <c r="E384" i="49" l="1"/>
  <c r="F384" i="49" s="1"/>
  <c r="G384" i="49" l="1"/>
  <c r="H384" i="49" s="1"/>
  <c r="C385" i="49" s="1"/>
  <c r="E385" i="49" l="1"/>
  <c r="F385" i="49" s="1"/>
  <c r="G385" i="49" l="1"/>
  <c r="H385" i="49" s="1"/>
  <c r="C386" i="49" s="1"/>
  <c r="E386" i="49" l="1"/>
  <c r="F386" i="49" s="1"/>
  <c r="G386" i="49" l="1"/>
  <c r="H386" i="49" s="1"/>
  <c r="C387" i="49" s="1"/>
  <c r="E387" i="49" l="1"/>
  <c r="F387" i="49" s="1"/>
  <c r="G387" i="49" l="1"/>
  <c r="H387" i="49" s="1"/>
  <c r="C388" i="49" s="1"/>
  <c r="E388" i="49" l="1"/>
  <c r="F388" i="49" l="1"/>
  <c r="G388" i="49" s="1"/>
  <c r="H388" i="49" s="1"/>
  <c r="C389" i="49" s="1"/>
  <c r="E389" i="49" l="1"/>
  <c r="F389" i="49" s="1"/>
  <c r="G389" i="49" l="1"/>
  <c r="H389" i="49" s="1"/>
  <c r="C390" i="49" s="1"/>
  <c r="E390" i="49" l="1"/>
  <c r="F390" i="49" s="1"/>
  <c r="G390" i="49" l="1"/>
  <c r="H390" i="49" s="1"/>
  <c r="C391" i="49" s="1"/>
  <c r="E391" i="49" l="1"/>
  <c r="F391" i="49" l="1"/>
  <c r="G391" i="49" s="1"/>
  <c r="H391" i="49" s="1"/>
  <c r="C392" i="49" s="1"/>
  <c r="E392" i="49" l="1"/>
  <c r="F392" i="49" s="1"/>
  <c r="G392" i="49" l="1"/>
  <c r="H392" i="49" s="1"/>
  <c r="C393" i="49" s="1"/>
  <c r="E393" i="49" l="1"/>
  <c r="F393" i="49" s="1"/>
  <c r="G393" i="49" l="1"/>
  <c r="H393" i="49" s="1"/>
  <c r="C394" i="49" s="1"/>
  <c r="E394" i="49" l="1"/>
  <c r="F394" i="49" s="1"/>
  <c r="G394" i="49" l="1"/>
  <c r="H394" i="49" s="1"/>
  <c r="C395" i="49" s="1"/>
  <c r="E395" i="49" l="1"/>
  <c r="F395" i="49" l="1"/>
  <c r="G395" i="49" s="1"/>
  <c r="H395" i="49" s="1"/>
  <c r="C396" i="49" s="1"/>
  <c r="E396" i="49" l="1"/>
  <c r="F396" i="49" s="1"/>
  <c r="G396" i="49" l="1"/>
  <c r="H396" i="49" s="1"/>
  <c r="C397" i="49" s="1"/>
  <c r="E397" i="49" l="1"/>
  <c r="F397" i="49" s="1"/>
  <c r="G397" i="49" l="1"/>
  <c r="H397" i="49" s="1"/>
  <c r="C398" i="49" s="1"/>
  <c r="E398" i="49" l="1"/>
  <c r="F398" i="49" s="1"/>
  <c r="G398" i="49" l="1"/>
  <c r="H398" i="49" s="1"/>
  <c r="C399" i="49" s="1"/>
  <c r="E399" i="49" l="1"/>
  <c r="F399" i="49" l="1"/>
  <c r="G399" i="49" s="1"/>
  <c r="H399" i="49" s="1"/>
  <c r="C400" i="49" s="1"/>
  <c r="E400" i="49" l="1"/>
  <c r="F400" i="49" l="1"/>
  <c r="G400" i="49" s="1"/>
  <c r="H400" i="49" s="1"/>
  <c r="C401" i="49" s="1"/>
  <c r="E401" i="49" l="1"/>
  <c r="F401" i="49" s="1"/>
  <c r="G401" i="49" l="1"/>
  <c r="H401" i="49" s="1"/>
  <c r="C402" i="49" s="1"/>
  <c r="E402" i="49" l="1"/>
  <c r="F402" i="49" s="1"/>
  <c r="G402" i="49" l="1"/>
  <c r="H402" i="49" s="1"/>
  <c r="C403" i="49" s="1"/>
  <c r="E403" i="49" l="1"/>
  <c r="F403" i="49" l="1"/>
  <c r="G403" i="49" s="1"/>
  <c r="H403" i="49" s="1"/>
  <c r="C404" i="49" s="1"/>
  <c r="E404" i="49" l="1"/>
  <c r="F404" i="49" s="1"/>
  <c r="G404" i="49" l="1"/>
  <c r="H404" i="49" s="1"/>
  <c r="C405" i="49" s="1"/>
  <c r="E405" i="49" l="1"/>
  <c r="F405" i="49" s="1"/>
  <c r="G405" i="49" l="1"/>
  <c r="H405" i="49" s="1"/>
  <c r="C406" i="49" s="1"/>
  <c r="E406" i="49" l="1"/>
  <c r="F406" i="49" s="1"/>
  <c r="G406" i="49" l="1"/>
  <c r="H406" i="49" s="1"/>
  <c r="C407" i="49" s="1"/>
  <c r="E407" i="49" l="1"/>
  <c r="F407" i="49" l="1"/>
  <c r="G407" i="49" s="1"/>
  <c r="H407" i="49" s="1"/>
  <c r="C408" i="49" s="1"/>
  <c r="E408" i="49" l="1"/>
  <c r="F408" i="49" l="1"/>
  <c r="G408" i="49" s="1"/>
  <c r="H408" i="49" s="1"/>
  <c r="C409" i="49" s="1"/>
  <c r="E409" i="49" l="1"/>
  <c r="F409" i="49" s="1"/>
  <c r="G409" i="49" l="1"/>
  <c r="H409" i="49" s="1"/>
  <c r="C410" i="49" s="1"/>
  <c r="E410" i="49" l="1"/>
  <c r="F410" i="49" s="1"/>
  <c r="G410" i="49" l="1"/>
  <c r="H410" i="49" s="1"/>
  <c r="C411" i="49" s="1"/>
  <c r="E411" i="49" l="1"/>
  <c r="F411" i="49" l="1"/>
  <c r="G411" i="49" s="1"/>
  <c r="H411" i="49" s="1"/>
  <c r="C412" i="49" s="1"/>
  <c r="E412" i="49" l="1"/>
  <c r="F412" i="49" s="1"/>
  <c r="G412" i="49" l="1"/>
  <c r="H412" i="49" s="1"/>
  <c r="C413" i="49" s="1"/>
  <c r="E413" i="49" l="1"/>
  <c r="F413" i="49" s="1"/>
  <c r="G413" i="49" l="1"/>
  <c r="H413" i="49" s="1"/>
  <c r="C414" i="49" s="1"/>
  <c r="E414" i="49" l="1"/>
  <c r="F414" i="49" s="1"/>
  <c r="G414" i="49" l="1"/>
  <c r="H414" i="49" s="1"/>
  <c r="C415" i="49" s="1"/>
  <c r="E415" i="49" l="1"/>
  <c r="F415" i="49" l="1"/>
  <c r="G415" i="49" s="1"/>
  <c r="H415" i="49" s="1"/>
  <c r="C416" i="49" s="1"/>
  <c r="E416" i="49" l="1"/>
  <c r="F416" i="49" l="1"/>
  <c r="G416" i="49" s="1"/>
  <c r="H416" i="49" s="1"/>
  <c r="C417" i="49" s="1"/>
  <c r="E417" i="49" l="1"/>
  <c r="F417" i="49" s="1"/>
  <c r="G417" i="49" l="1"/>
  <c r="H417" i="49" s="1"/>
  <c r="C418" i="49" s="1"/>
  <c r="E418" i="49" l="1"/>
  <c r="F418" i="49" s="1"/>
  <c r="G418" i="49" l="1"/>
  <c r="H418" i="49" s="1"/>
  <c r="C419" i="49" s="1"/>
  <c r="E419" i="49" s="1"/>
  <c r="F419" i="49" l="1"/>
  <c r="G419" i="49" s="1"/>
  <c r="H419" i="49" s="1"/>
  <c r="C420" i="49" s="1"/>
  <c r="E420" i="49" l="1"/>
  <c r="F420" i="49" l="1"/>
  <c r="G420" i="49" s="1"/>
  <c r="H420" i="49" s="1"/>
  <c r="C421" i="49" s="1"/>
  <c r="E421" i="49" l="1"/>
  <c r="F421" i="49" s="1"/>
  <c r="G421" i="49" l="1"/>
  <c r="H421" i="49" s="1"/>
  <c r="C422" i="49" s="1"/>
  <c r="E422" i="49" s="1"/>
  <c r="F422" i="49" l="1"/>
  <c r="G422" i="49" s="1"/>
  <c r="H422" i="49" s="1"/>
  <c r="C423" i="49" s="1"/>
  <c r="E423" i="49" l="1"/>
  <c r="F423" i="49" l="1"/>
  <c r="G423" i="49" s="1"/>
  <c r="H423" i="49" s="1"/>
  <c r="C424" i="49" s="1"/>
  <c r="E424" i="49" l="1"/>
  <c r="F424" i="49" l="1"/>
  <c r="G424" i="49" s="1"/>
  <c r="H424" i="49" s="1"/>
  <c r="C425" i="49" s="1"/>
  <c r="E425" i="49" l="1"/>
  <c r="F425" i="49" s="1"/>
  <c r="G425" i="49" l="1"/>
  <c r="H425" i="49" s="1"/>
  <c r="C426" i="49" s="1"/>
  <c r="E426" i="49" l="1"/>
  <c r="F426" i="49" s="1"/>
  <c r="G426" i="49" l="1"/>
  <c r="H426" i="49" s="1"/>
  <c r="C427" i="49" s="1"/>
  <c r="E427" i="49" s="1"/>
  <c r="F427" i="49" l="1"/>
  <c r="G427" i="49" s="1"/>
  <c r="H427" i="49" s="1"/>
  <c r="C428" i="49" s="1"/>
  <c r="E428" i="49" l="1"/>
  <c r="F428" i="49" s="1"/>
  <c r="G428" i="49" l="1"/>
  <c r="H428" i="49" s="1"/>
  <c r="C429" i="49" s="1"/>
  <c r="E429" i="49" l="1"/>
  <c r="F429" i="49" s="1"/>
  <c r="G429" i="49" l="1"/>
  <c r="H429" i="49" s="1"/>
  <c r="C430" i="49" s="1"/>
  <c r="E430" i="49" s="1"/>
  <c r="F430" i="49" s="1"/>
  <c r="G430" i="49" l="1"/>
  <c r="H430" i="49" s="1"/>
  <c r="C431" i="49" s="1"/>
  <c r="E431" i="49" l="1"/>
  <c r="F431" i="49" l="1"/>
  <c r="G431" i="49" s="1"/>
  <c r="H431" i="49" s="1"/>
  <c r="C432" i="49" s="1"/>
  <c r="E432" i="49" l="1"/>
  <c r="F432" i="49" l="1"/>
  <c r="G432" i="49" s="1"/>
  <c r="H432" i="49" s="1"/>
  <c r="C433" i="49" s="1"/>
  <c r="E433" i="49" l="1"/>
  <c r="F433" i="49" s="1"/>
  <c r="G433" i="49" l="1"/>
  <c r="H433" i="49" s="1"/>
  <c r="C434" i="49" s="1"/>
  <c r="E434" i="49" l="1"/>
  <c r="F434" i="49" s="1"/>
  <c r="G434" i="49" l="1"/>
  <c r="H434" i="49" s="1"/>
  <c r="C435" i="49" s="1"/>
  <c r="E435" i="49" l="1"/>
  <c r="F435" i="49" l="1"/>
  <c r="G435" i="49" s="1"/>
  <c r="H435" i="49" s="1"/>
  <c r="C436" i="49" s="1"/>
  <c r="E436" i="49" l="1"/>
  <c r="F436" i="49" l="1"/>
  <c r="G436" i="49" s="1"/>
  <c r="H436" i="49" s="1"/>
  <c r="C437" i="49" s="1"/>
  <c r="E437" i="49" l="1"/>
  <c r="F437" i="49" s="1"/>
  <c r="G437" i="49" l="1"/>
  <c r="H437" i="49" s="1"/>
  <c r="C438" i="49" s="1"/>
  <c r="E438" i="49" l="1"/>
  <c r="F438" i="49" s="1"/>
  <c r="G438" i="49" l="1"/>
  <c r="H438" i="49" s="1"/>
  <c r="C439" i="49" s="1"/>
  <c r="E439" i="49" l="1"/>
  <c r="F439" i="49" l="1"/>
  <c r="G439" i="49" s="1"/>
  <c r="H439" i="49" s="1"/>
  <c r="C440" i="49" s="1"/>
  <c r="E440" i="49" l="1"/>
  <c r="F440" i="49" s="1"/>
  <c r="G440" i="49" l="1"/>
  <c r="H440" i="49" s="1"/>
  <c r="C441" i="49" s="1"/>
  <c r="E441" i="49" s="1"/>
  <c r="F441" i="49" l="1"/>
  <c r="G441" i="49" s="1"/>
  <c r="H441" i="49" s="1"/>
  <c r="C442" i="49" s="1"/>
  <c r="E442" i="49" l="1"/>
  <c r="F442" i="49" s="1"/>
  <c r="G442" i="49" l="1"/>
  <c r="H442" i="49" s="1"/>
  <c r="C443" i="49" s="1"/>
  <c r="E443" i="49" l="1"/>
  <c r="F443" i="49" l="1"/>
  <c r="G443" i="49" s="1"/>
  <c r="H443" i="49" s="1"/>
  <c r="C444" i="49" s="1"/>
  <c r="E444" i="49" l="1"/>
  <c r="F444" i="49" s="1"/>
  <c r="G444" i="49" l="1"/>
  <c r="H444" i="49" s="1"/>
  <c r="C445" i="49" s="1"/>
  <c r="E445" i="49" l="1"/>
  <c r="F445" i="49" s="1"/>
  <c r="G445" i="49" l="1"/>
  <c r="H445" i="49" s="1"/>
  <c r="C446" i="49" s="1"/>
  <c r="E446" i="49" s="1"/>
  <c r="F446" i="49" s="1"/>
  <c r="G446" i="49" l="1"/>
  <c r="H446" i="49" s="1"/>
  <c r="C447" i="49" s="1"/>
  <c r="E447" i="49" l="1"/>
  <c r="F447" i="49" l="1"/>
  <c r="G447" i="49" s="1"/>
  <c r="H447" i="49" s="1"/>
  <c r="C448" i="49" s="1"/>
  <c r="E448" i="49" l="1"/>
  <c r="F448" i="49" l="1"/>
  <c r="G448" i="49" s="1"/>
  <c r="H448" i="49" s="1"/>
  <c r="C449" i="49" s="1"/>
  <c r="E449" i="49" l="1"/>
  <c r="F449" i="49" s="1"/>
  <c r="G449" i="49" l="1"/>
  <c r="H449" i="49" s="1"/>
  <c r="C450" i="49" s="1"/>
  <c r="E450" i="49" l="1"/>
  <c r="F450" i="49" s="1"/>
  <c r="G450" i="49" l="1"/>
  <c r="H450" i="49" s="1"/>
  <c r="C451" i="49" s="1"/>
  <c r="E451" i="49" l="1"/>
  <c r="F451" i="49" l="1"/>
  <c r="G451" i="49" s="1"/>
  <c r="H451" i="49" s="1"/>
  <c r="C452" i="49" s="1"/>
  <c r="E452" i="49" l="1"/>
  <c r="F452" i="49" l="1"/>
  <c r="G452" i="49" s="1"/>
  <c r="H452" i="49" s="1"/>
  <c r="C453" i="49" s="1"/>
  <c r="E453" i="49" l="1"/>
  <c r="F453" i="49" s="1"/>
  <c r="G453" i="49" l="1"/>
  <c r="H453" i="49" s="1"/>
  <c r="C454" i="49" s="1"/>
  <c r="E454" i="49" l="1"/>
  <c r="F454" i="49" s="1"/>
  <c r="G454" i="49" l="1"/>
  <c r="H454" i="49" s="1"/>
  <c r="C455" i="49" s="1"/>
  <c r="E455" i="49" s="1"/>
  <c r="F455" i="49" l="1"/>
  <c r="G455" i="49" s="1"/>
  <c r="H455" i="49" s="1"/>
  <c r="C456" i="49" s="1"/>
  <c r="E456" i="49" l="1"/>
  <c r="F456" i="49" s="1"/>
  <c r="G456" i="49" l="1"/>
  <c r="H456" i="49" s="1"/>
  <c r="C457" i="49" s="1"/>
  <c r="E457" i="49" s="1"/>
  <c r="F457" i="49" s="1"/>
  <c r="G457" i="49" l="1"/>
  <c r="H457" i="49" s="1"/>
  <c r="C458" i="49" s="1"/>
  <c r="E458" i="49" l="1"/>
  <c r="F458" i="49" s="1"/>
  <c r="G458" i="49" l="1"/>
  <c r="H458" i="49" s="1"/>
  <c r="C459" i="49" s="1"/>
  <c r="E459" i="49" l="1"/>
  <c r="F459" i="49" l="1"/>
  <c r="G459" i="49" s="1"/>
  <c r="H459" i="49" s="1"/>
  <c r="C460" i="49" s="1"/>
  <c r="E460" i="49" l="1"/>
  <c r="F460" i="49" l="1"/>
  <c r="G460" i="49" s="1"/>
  <c r="H460" i="49" s="1"/>
  <c r="C461" i="49" s="1"/>
  <c r="E461" i="49" l="1"/>
  <c r="F461" i="49" s="1"/>
  <c r="G461" i="49" l="1"/>
  <c r="H461" i="49" s="1"/>
  <c r="C462" i="49" s="1"/>
  <c r="E462" i="49" l="1"/>
  <c r="F462" i="49" s="1"/>
  <c r="G462" i="49" l="1"/>
  <c r="H462" i="49" s="1"/>
  <c r="C463" i="49" s="1"/>
  <c r="E463" i="49" l="1"/>
  <c r="F463" i="49" l="1"/>
  <c r="G463" i="49" s="1"/>
  <c r="H463" i="49" s="1"/>
  <c r="C464" i="49" s="1"/>
  <c r="E464" i="49" l="1"/>
  <c r="F464" i="49" s="1"/>
  <c r="G464" i="49" l="1"/>
  <c r="H464" i="49" s="1"/>
  <c r="C465" i="49" s="1"/>
  <c r="E465" i="49" s="1"/>
  <c r="F465" i="49" s="1"/>
  <c r="G465" i="49" l="1"/>
  <c r="H465" i="49" s="1"/>
  <c r="C466" i="49" s="1"/>
  <c r="E466" i="49" l="1"/>
  <c r="F466" i="49" s="1"/>
  <c r="G466" i="49" l="1"/>
  <c r="H466" i="49" s="1"/>
  <c r="C467" i="49" s="1"/>
  <c r="E467" i="49" l="1"/>
  <c r="F467" i="49" l="1"/>
  <c r="G467" i="49" s="1"/>
  <c r="H467" i="49" s="1"/>
  <c r="C468" i="49" s="1"/>
  <c r="E468" i="49" l="1"/>
  <c r="F468" i="49" l="1"/>
  <c r="G468" i="49" s="1"/>
  <c r="H468" i="49" s="1"/>
  <c r="C469" i="49" s="1"/>
  <c r="E469" i="49" l="1"/>
  <c r="F469" i="49" s="1"/>
  <c r="G469" i="49" l="1"/>
  <c r="H469" i="49" s="1"/>
  <c r="C470" i="49" s="1"/>
  <c r="E470" i="49" s="1"/>
  <c r="F470" i="49" s="1"/>
  <c r="G470" i="49" l="1"/>
  <c r="H470" i="49" s="1"/>
  <c r="C471" i="49" s="1"/>
  <c r="E471" i="49" l="1"/>
  <c r="F471" i="49" l="1"/>
  <c r="G471" i="49" s="1"/>
  <c r="H471" i="49" s="1"/>
  <c r="C472" i="49" s="1"/>
  <c r="E472" i="49" l="1"/>
  <c r="F472" i="49" s="1"/>
  <c r="G472" i="49" l="1"/>
  <c r="H472" i="49" s="1"/>
  <c r="C473" i="49" s="1"/>
  <c r="E473" i="49" s="1"/>
  <c r="F473" i="49" s="1"/>
  <c r="G473" i="49" l="1"/>
  <c r="H473" i="49" s="1"/>
  <c r="C474" i="49" s="1"/>
  <c r="E474" i="49" l="1"/>
  <c r="F474" i="49" s="1"/>
  <c r="G474" i="49" l="1"/>
  <c r="H474" i="49" s="1"/>
  <c r="C475" i="49" s="1"/>
  <c r="E475" i="49" l="1"/>
  <c r="F475" i="49" l="1"/>
  <c r="G475" i="49" s="1"/>
  <c r="H475" i="49" s="1"/>
  <c r="C476" i="49" s="1"/>
  <c r="E476" i="49" l="1"/>
  <c r="F476" i="49" s="1"/>
  <c r="G476" i="49" l="1"/>
  <c r="H476" i="49" s="1"/>
  <c r="C477" i="49" s="1"/>
  <c r="E477" i="49" l="1"/>
  <c r="F477" i="49" s="1"/>
  <c r="G477" i="49" l="1"/>
  <c r="H477" i="49" s="1"/>
  <c r="C478" i="49" s="1"/>
  <c r="E478" i="49" l="1"/>
  <c r="F478" i="49" s="1"/>
  <c r="G478" i="49" l="1"/>
  <c r="H478" i="49" s="1"/>
  <c r="C479" i="49" s="1"/>
  <c r="E479" i="49" l="1"/>
  <c r="F479" i="49" l="1"/>
  <c r="G479" i="49" s="1"/>
  <c r="H479" i="49" s="1"/>
  <c r="C480" i="49" s="1"/>
  <c r="E480" i="49" l="1"/>
  <c r="F480" i="49" s="1"/>
  <c r="G480" i="49" l="1"/>
  <c r="H480" i="49" s="1"/>
  <c r="C481" i="49" s="1"/>
  <c r="E481" i="49" s="1"/>
  <c r="F481" i="49" s="1"/>
  <c r="G481" i="49" l="1"/>
  <c r="H481" i="49" s="1"/>
  <c r="C482" i="49" s="1"/>
  <c r="E482" i="49" l="1"/>
  <c r="F482" i="49" s="1"/>
  <c r="G482" i="49" l="1"/>
  <c r="H482" i="49" s="1"/>
  <c r="C483" i="49" s="1"/>
  <c r="E483" i="49" l="1"/>
  <c r="F483" i="49" l="1"/>
  <c r="G483" i="49" s="1"/>
  <c r="H483" i="49" s="1"/>
  <c r="C484" i="49" s="1"/>
  <c r="E484" i="49" l="1"/>
  <c r="F484" i="49" l="1"/>
  <c r="G484" i="49" s="1"/>
  <c r="H484" i="49" s="1"/>
  <c r="C485" i="49" s="1"/>
  <c r="E485" i="49" l="1"/>
  <c r="F485" i="49" l="1"/>
  <c r="G485" i="49" s="1"/>
  <c r="H485" i="49" s="1"/>
  <c r="C486" i="49" s="1"/>
  <c r="E486" i="49" l="1"/>
  <c r="F486" i="49" s="1"/>
  <c r="G486" i="49" l="1"/>
  <c r="H486" i="49" s="1"/>
  <c r="C487" i="49" s="1"/>
  <c r="E487" i="49" l="1"/>
  <c r="F487" i="49" l="1"/>
  <c r="G487" i="49" s="1"/>
  <c r="H487" i="49" s="1"/>
  <c r="C488" i="49" s="1"/>
  <c r="E488" i="49" l="1"/>
  <c r="F488" i="49" l="1"/>
  <c r="G488" i="49" s="1"/>
  <c r="H488" i="49" s="1"/>
  <c r="C489" i="49" s="1"/>
  <c r="E489" i="49" l="1"/>
  <c r="F489" i="49" s="1"/>
  <c r="G489" i="49" l="1"/>
  <c r="H489" i="49" s="1"/>
  <c r="C490" i="49" s="1"/>
  <c r="E490" i="49" l="1"/>
  <c r="F490" i="49" s="1"/>
  <c r="G490" i="49" l="1"/>
  <c r="H490" i="49" s="1"/>
  <c r="C491" i="49" s="1"/>
  <c r="E491" i="49" l="1"/>
  <c r="F491" i="49" l="1"/>
  <c r="G491" i="49" s="1"/>
  <c r="H491" i="49" s="1"/>
  <c r="C492" i="49" s="1"/>
  <c r="E492" i="49" l="1"/>
  <c r="F492" i="49" s="1"/>
  <c r="D492" i="49" l="1"/>
  <c r="G492" i="49" s="1"/>
  <c r="H492" i="4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Jackie Tsou</author>
  </authors>
  <commentList>
    <comment ref="D4" authorId="0" shapeId="0" xr:uid="{00000000-0006-0000-0100-000001000000}">
      <text>
        <r>
          <rPr>
            <b/>
            <sz val="9"/>
            <color indexed="81"/>
            <rFont val="Tahoma"/>
            <family val="2"/>
          </rPr>
          <t>enter as "YYYY"</t>
        </r>
      </text>
    </comment>
    <comment ref="B69" authorId="0" shapeId="0" xr:uid="{00000000-0006-0000-0100-000002000000}">
      <text>
        <r>
          <rPr>
            <b/>
            <sz val="9"/>
            <color indexed="81"/>
            <rFont val="Tahoma"/>
            <family val="2"/>
          </rPr>
          <t xml:space="preserve">MOHCD: 
</t>
        </r>
        <r>
          <rPr>
            <sz val="9"/>
            <color indexed="81"/>
            <rFont val="Tahoma"/>
            <family val="2"/>
          </rPr>
          <t xml:space="preserve">Enter subsidy name in this box.
</t>
        </r>
      </text>
    </comment>
    <comment ref="J80" authorId="0" shapeId="0" xr:uid="{00000000-0006-0000-0100-000003000000}">
      <text>
        <r>
          <rPr>
            <b/>
            <sz val="9"/>
            <color indexed="81"/>
            <rFont val="Tahoma"/>
            <family val="2"/>
          </rPr>
          <t xml:space="preserve">mmcloone:
</t>
        </r>
        <r>
          <rPr>
            <sz val="9"/>
            <color indexed="81"/>
            <rFont val="Tahoma"/>
            <family val="2"/>
          </rPr>
          <t>these would likely be fields in tblLoans</t>
        </r>
      </text>
    </comment>
    <comment ref="CF80" authorId="0" shapeId="0" xr:uid="{00000000-0006-0000-0100-000004000000}">
      <text>
        <r>
          <rPr>
            <b/>
            <sz val="9"/>
            <color indexed="81"/>
            <rFont val="Tahoma"/>
            <family val="2"/>
          </rPr>
          <t xml:space="preserve">mmcloone:
</t>
        </r>
        <r>
          <rPr>
            <sz val="9"/>
            <color indexed="81"/>
            <rFont val="Tahoma"/>
            <family val="2"/>
          </rPr>
          <t xml:space="preserve">we might not want/need to import these since the data would exist already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Jackie Tsou</author>
  </authors>
  <commentList>
    <comment ref="C10" authorId="0" shapeId="0" xr:uid="{00000000-0006-0000-0400-000001000000}">
      <text>
        <r>
          <rPr>
            <b/>
            <sz val="9"/>
            <color indexed="81"/>
            <rFont val="Tahoma"/>
            <family val="2"/>
          </rPr>
          <t xml:space="preserve">MOHCD: 
</t>
        </r>
        <r>
          <rPr>
            <sz val="9"/>
            <color indexed="81"/>
            <rFont val="Tahoma"/>
            <family val="2"/>
          </rPr>
          <t xml:space="preserve">Once Unit Restriction has been selected for a unit, you may cut and paste for units below it, rather than selecting for each unit.
</t>
        </r>
      </text>
    </comment>
    <comment ref="W11" authorId="0" shapeId="0" xr:uid="{00000000-0006-0000-0400-000002000000}">
      <text>
        <r>
          <rPr>
            <b/>
            <sz val="9"/>
            <color indexed="81"/>
            <rFont val="Tahoma"/>
            <family val="2"/>
          </rPr>
          <t xml:space="preserve">MOHCD: </t>
        </r>
        <r>
          <rPr>
            <sz val="9"/>
            <color indexed="81"/>
            <rFont val="Tahoma"/>
            <family val="2"/>
          </rPr>
          <t xml:space="preserve">For Small Sites, do not use "No Change" button below. 
</t>
        </r>
      </text>
    </comment>
    <comment ref="X11" authorId="0" shapeId="0" xr:uid="{00000000-0006-0000-0400-000003000000}">
      <text>
        <r>
          <rPr>
            <b/>
            <sz val="9"/>
            <color indexed="81"/>
            <rFont val="Tahoma"/>
            <family val="2"/>
          </rPr>
          <t xml:space="preserve">MOHCD: </t>
        </r>
        <r>
          <rPr>
            <sz val="9"/>
            <color indexed="81"/>
            <rFont val="Tahoma"/>
            <family val="2"/>
          </rPr>
          <t xml:space="preserve">For Small Sites, do not use "No Change" button below. 
</t>
        </r>
      </text>
    </comment>
    <comment ref="AE11" authorId="0" shapeId="0" xr:uid="{00000000-0006-0000-0400-000004000000}">
      <text>
        <r>
          <rPr>
            <b/>
            <sz val="9"/>
            <color indexed="81"/>
            <rFont val="Tahoma"/>
            <family val="2"/>
          </rPr>
          <t>MOHCD:</t>
        </r>
        <r>
          <rPr>
            <sz val="9"/>
            <color indexed="81"/>
            <rFont val="Tahoma"/>
            <family val="2"/>
          </rPr>
          <t xml:space="preserve">
For Small Sites, add current tenant rent, any property tax payment and proposed increase in tenant paid rent to determine "Other Tenant Rent Amount".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Jackie Tsou</author>
  </authors>
  <commentList>
    <comment ref="D25" authorId="0" shapeId="0" xr:uid="{3C65EC70-C8FD-41AF-88D2-009204EB1443}">
      <text>
        <r>
          <rPr>
            <b/>
            <sz val="9"/>
            <color indexed="81"/>
            <rFont val="Tahoma"/>
            <family val="2"/>
          </rPr>
          <t>MOHCD:</t>
        </r>
        <r>
          <rPr>
            <sz val="9"/>
            <color indexed="81"/>
            <rFont val="Tahoma"/>
            <family val="2"/>
          </rPr>
          <t xml:space="preserve">
Enter Negative # if need to override.</t>
        </r>
      </text>
    </comment>
    <comment ref="E25" authorId="0" shapeId="0" xr:uid="{C4A1BFCF-DFE8-4F93-8318-D037BBD0D0DA}">
      <text>
        <r>
          <rPr>
            <b/>
            <sz val="9"/>
            <color indexed="81"/>
            <rFont val="Tahoma"/>
            <family val="2"/>
          </rPr>
          <t>MOHCD:</t>
        </r>
        <r>
          <rPr>
            <sz val="9"/>
            <color indexed="81"/>
            <rFont val="Tahoma"/>
            <family val="2"/>
          </rPr>
          <t xml:space="preserve">
Enter Negative # if need to override.</t>
        </r>
      </text>
    </comment>
    <comment ref="F25" authorId="0" shapeId="0" xr:uid="{FF651E07-F31C-41AF-810F-AA772CFDFC30}">
      <text>
        <r>
          <rPr>
            <b/>
            <sz val="9"/>
            <color indexed="81"/>
            <rFont val="Tahoma"/>
            <family val="2"/>
          </rPr>
          <t>MOHCD:</t>
        </r>
        <r>
          <rPr>
            <sz val="9"/>
            <color indexed="81"/>
            <rFont val="Tahoma"/>
            <family val="2"/>
          </rPr>
          <t xml:space="preserve">
Enter Negative # if need to override.</t>
        </r>
      </text>
    </comment>
    <comment ref="D26" authorId="0" shapeId="0" xr:uid="{14087AF6-0D66-4D11-9346-D229DDBA4E28}">
      <text>
        <r>
          <rPr>
            <b/>
            <sz val="9"/>
            <color indexed="81"/>
            <rFont val="Tahoma"/>
            <family val="2"/>
          </rPr>
          <t>MOHCD:</t>
        </r>
        <r>
          <rPr>
            <sz val="9"/>
            <color indexed="81"/>
            <rFont val="Tahoma"/>
            <family val="2"/>
          </rPr>
          <t xml:space="preserve">
Enter Negative # if need to override.</t>
        </r>
      </text>
    </comment>
    <comment ref="E26" authorId="0" shapeId="0" xr:uid="{7F5D28AA-DFF6-4FAC-AD13-41AC697EB789}">
      <text>
        <r>
          <rPr>
            <b/>
            <sz val="9"/>
            <color indexed="81"/>
            <rFont val="Tahoma"/>
            <family val="2"/>
          </rPr>
          <t>MOHCD:</t>
        </r>
        <r>
          <rPr>
            <sz val="9"/>
            <color indexed="81"/>
            <rFont val="Tahoma"/>
            <family val="2"/>
          </rPr>
          <t xml:space="preserve">
Enter Negative # if need to override.</t>
        </r>
      </text>
    </comment>
    <comment ref="F26" authorId="0" shapeId="0" xr:uid="{4FD8BA5F-3A93-41D0-9E5D-78258A45384D}">
      <text>
        <r>
          <rPr>
            <b/>
            <sz val="9"/>
            <color indexed="81"/>
            <rFont val="Tahoma"/>
            <family val="2"/>
          </rPr>
          <t>MOHCD:</t>
        </r>
        <r>
          <rPr>
            <sz val="9"/>
            <color indexed="81"/>
            <rFont val="Tahoma"/>
            <family val="2"/>
          </rPr>
          <t xml:space="preserve">
Enter Negative # if need to override.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mmcloone</author>
    <author>Scott Madden</author>
  </authors>
  <commentList>
    <comment ref="F11" authorId="0" shapeId="0" xr:uid="{00000000-0006-0000-0B00-000001000000}">
      <text>
        <r>
          <rPr>
            <sz val="9"/>
            <color indexed="81"/>
            <rFont val="Tahoma"/>
            <family val="2"/>
          </rPr>
          <t xml:space="preserve">Years 2 thru 20 need to be entered manually. You may use a formula to increment but should only do so if the rent/operating subsidy contract provides for such increases.
</t>
        </r>
      </text>
    </comment>
    <comment ref="C154" authorId="1" shapeId="0" xr:uid="{00000000-0006-0000-0B00-000002000000}">
      <text>
        <r>
          <rPr>
            <b/>
            <sz val="9"/>
            <color indexed="81"/>
            <rFont val="Tahoma"/>
            <family val="2"/>
          </rPr>
          <t>Scott Madden:</t>
        </r>
        <r>
          <rPr>
            <sz val="9"/>
            <color indexed="81"/>
            <rFont val="Tahoma"/>
            <family val="2"/>
          </rPr>
          <t xml:space="preserve">
Remove bold from text in parentheses.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mmcloone</author>
  </authors>
  <commentList>
    <comment ref="G4" authorId="0" shapeId="0" xr:uid="{00000000-0006-0000-0D00-000001000000}">
      <text>
        <r>
          <rPr>
            <b/>
            <sz val="9"/>
            <color indexed="81"/>
            <rFont val="Tahoma"/>
            <family val="2"/>
          </rPr>
          <t>DON'T FORGET TO ENTER A DATE, MUST BE 1ST OF THE MONTH!</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Jackie Tsou</author>
  </authors>
  <commentList>
    <comment ref="V16" authorId="0" shapeId="0" xr:uid="{00000000-0006-0000-0F00-000001000000}">
      <text>
        <r>
          <rPr>
            <b/>
            <sz val="9"/>
            <color indexed="81"/>
            <rFont val="Tahoma"/>
            <family val="2"/>
          </rPr>
          <t>Jackie Tsou:</t>
        </r>
        <r>
          <rPr>
            <sz val="9"/>
            <color indexed="81"/>
            <rFont val="Tahoma"/>
            <family val="2"/>
          </rPr>
          <t xml:space="preserve">
Utilities for SRO units should be included in rent, so always keep at $0.</t>
        </r>
      </text>
    </comment>
    <comment ref="V35" authorId="0" shapeId="0" xr:uid="{00000000-0006-0000-0F00-000002000000}">
      <text>
        <r>
          <rPr>
            <b/>
            <sz val="9"/>
            <color indexed="81"/>
            <rFont val="Tahoma"/>
            <family val="2"/>
          </rPr>
          <t>Jackie Tsou:</t>
        </r>
        <r>
          <rPr>
            <sz val="9"/>
            <color indexed="81"/>
            <rFont val="Tahoma"/>
            <family val="2"/>
          </rPr>
          <t xml:space="preserve">
Utilities for SRO units should be included in rent, so always keep at $0.</t>
        </r>
      </text>
    </comment>
  </commentList>
</comments>
</file>

<file path=xl/sharedStrings.xml><?xml version="1.0" encoding="utf-8"?>
<sst xmlns="http://schemas.openxmlformats.org/spreadsheetml/2006/main" count="3011" uniqueCount="1761">
  <si>
    <t>Comments</t>
  </si>
  <si>
    <t>Insurance</t>
  </si>
  <si>
    <t>Application Date:</t>
  </si>
  <si>
    <t>Gross Potential Income</t>
  </si>
  <si>
    <t>Utilities</t>
  </si>
  <si>
    <t>Gas</t>
  </si>
  <si>
    <t>Electricity</t>
  </si>
  <si>
    <t>Water</t>
  </si>
  <si>
    <t>Management Fee</t>
  </si>
  <si>
    <t>Residential - Tenant Rents</t>
  </si>
  <si>
    <t>Miscellaneous Rent Income</t>
  </si>
  <si>
    <t>Supportive Services Income</t>
  </si>
  <si>
    <t>Interest Income - Project Operations</t>
  </si>
  <si>
    <t>Laundry and Vending</t>
  </si>
  <si>
    <t>Tenant Charges</t>
  </si>
  <si>
    <t>Commercial Space</t>
  </si>
  <si>
    <t>Management</t>
  </si>
  <si>
    <t>Asset Management Fee</t>
  </si>
  <si>
    <t>Administrative Rent-Free Unit</t>
  </si>
  <si>
    <t>Salaries/Benefits</t>
  </si>
  <si>
    <t>Office Salaries</t>
  </si>
  <si>
    <t>Manager's Salary</t>
  </si>
  <si>
    <t>Health Insurance and Other Benefits</t>
  </si>
  <si>
    <t>Other Salaries/Benefits</t>
  </si>
  <si>
    <t>Administration</t>
  </si>
  <si>
    <t>Advertising and Marketing</t>
  </si>
  <si>
    <t>Office Expenses</t>
  </si>
  <si>
    <t>Office Rent</t>
  </si>
  <si>
    <t>Legal Expense - Property</t>
  </si>
  <si>
    <t>Audit Expense</t>
  </si>
  <si>
    <t>Bookkeeping/Accounting Services</t>
  </si>
  <si>
    <t>Bad Debts</t>
  </si>
  <si>
    <t>Miscellaneous</t>
  </si>
  <si>
    <t>Sewer</t>
  </si>
  <si>
    <t>Sub-total Administration Expenses</t>
  </si>
  <si>
    <t>Sub-total Salaries/Benefits</t>
  </si>
  <si>
    <t>Real Estate Taxes</t>
  </si>
  <si>
    <t>Payroll Taxes</t>
  </si>
  <si>
    <t>Miscellaneous Taxes, Licenses and Permits</t>
  </si>
  <si>
    <t>Sub-total Taxes and Licenses</t>
  </si>
  <si>
    <t>Taxes and Licenses</t>
  </si>
  <si>
    <t>Property and Liability Insurance</t>
  </si>
  <si>
    <t>Fidelity Bond Insurance</t>
  </si>
  <si>
    <t>Worker's Compensation</t>
  </si>
  <si>
    <t>Sub-total Insurance</t>
  </si>
  <si>
    <t>Maintenance &amp; Repair</t>
  </si>
  <si>
    <t>Payroll</t>
  </si>
  <si>
    <t>Supplies</t>
  </si>
  <si>
    <t>Contracts</t>
  </si>
  <si>
    <t>Garbage and Trash Removal</t>
  </si>
  <si>
    <t>Security Payroll/Contract</t>
  </si>
  <si>
    <t>HVAC Repairs and Maintenance</t>
  </si>
  <si>
    <t>Vehicle and Maintenance Equipment Operation and Repairs</t>
  </si>
  <si>
    <t>Miscellaneous Operating and Maintenance Expenses</t>
  </si>
  <si>
    <t>Sub-total Maintenance &amp; Repair Expenses</t>
  </si>
  <si>
    <t>Supportive Services</t>
  </si>
  <si>
    <t>Account Number</t>
  </si>
  <si>
    <t>Sub-total Utilities</t>
  </si>
  <si>
    <t>Replacement Reserve Deposit</t>
  </si>
  <si>
    <t>Project Sponsor:</t>
  </si>
  <si>
    <t>INCOME</t>
  </si>
  <si>
    <t>OPERATING EXPENSES</t>
  </si>
  <si>
    <t>EFFECTIVE GROSS INCOME</t>
  </si>
  <si>
    <t>Sub-total Management Expenses</t>
  </si>
  <si>
    <t>Operating Reserve Deposit</t>
  </si>
  <si>
    <t>Project Name:</t>
  </si>
  <si>
    <t>Project Address:</t>
  </si>
  <si>
    <t>% annual increase</t>
  </si>
  <si>
    <t>REPLACEMENT RESERVE - RUNNING BALANCE</t>
  </si>
  <si>
    <t>Replacement Reserve Interest</t>
  </si>
  <si>
    <t>RR Running Balance</t>
  </si>
  <si>
    <t>Replacement Reserve Withdrawals (ideally tied to CNA)</t>
  </si>
  <si>
    <t>Replacement Reserve Starting Balance</t>
  </si>
  <si>
    <t>OPERATING RESERVE - RUNNING BALANCE</t>
  </si>
  <si>
    <t>Operating Reserve Starting Balance</t>
  </si>
  <si>
    <t>Operating Reserve Withdrawals</t>
  </si>
  <si>
    <t>Operating Reserve Deposits</t>
  </si>
  <si>
    <t>Replacement Reserve Deposits</t>
  </si>
  <si>
    <t>Operating Reserve Interest</t>
  </si>
  <si>
    <t>OR Running Balance</t>
  </si>
  <si>
    <t>Director's &amp; Officers' Liability Insurance</t>
  </si>
  <si>
    <t>Other Payments</t>
  </si>
  <si>
    <t>Final Balance (should be zero)</t>
  </si>
  <si>
    <t>Other Distributions/Uses</t>
  </si>
  <si>
    <t>n/a</t>
  </si>
  <si>
    <t>Vacancy Loss - Commercial</t>
  </si>
  <si>
    <t>Business Year</t>
  </si>
  <si>
    <t>TOTAL HARD DEBT SERVICE</t>
  </si>
  <si>
    <t>Yes</t>
  </si>
  <si>
    <t>No</t>
  </si>
  <si>
    <t>"Below-the-line" Asset Mgt fee (uncommon in new projects, see policy)</t>
  </si>
  <si>
    <t>Investor Service Fee (aka "LP Asset Mgt Fee") (see policy for limits)</t>
  </si>
  <si>
    <t>Partnership Management Fee (see policy for limits)</t>
  </si>
  <si>
    <t>REMAINDER (Should be zero unless there are distributions below)</t>
  </si>
  <si>
    <t>Last Mod</t>
  </si>
  <si>
    <t>No. of Units</t>
  </si>
  <si>
    <t>Less Utility Allowance</t>
  </si>
  <si>
    <t>SRO</t>
  </si>
  <si>
    <t>Studio</t>
  </si>
  <si>
    <t>1 Bdrm</t>
  </si>
  <si>
    <t>2 Bdrm</t>
  </si>
  <si>
    <t>3 Bdrm</t>
  </si>
  <si>
    <t>4 Bdrm</t>
  </si>
  <si>
    <t>5 Bdrm</t>
  </si>
  <si>
    <t>Heating</t>
  </si>
  <si>
    <t>Cooking</t>
  </si>
  <si>
    <t>Other Electric</t>
  </si>
  <si>
    <t>Water Heating</t>
  </si>
  <si>
    <t>Type</t>
  </si>
  <si>
    <t>STUDIO</t>
  </si>
  <si>
    <t>2015 Utility Allowance Chart</t>
  </si>
  <si>
    <t>Allowances for Tenant-Furnished Utilities</t>
  </si>
  <si>
    <t>Utility or Service</t>
  </si>
  <si>
    <t>Monthly Dollar Allowances</t>
  </si>
  <si>
    <t>*As published by the San Francisco Housing Authority on 12/01/2014</t>
  </si>
  <si>
    <t>Owner</t>
  </si>
  <si>
    <t>Tenant</t>
  </si>
  <si>
    <t>Total</t>
  </si>
  <si>
    <t>Commercial Expenses</t>
  </si>
  <si>
    <r>
      <t xml:space="preserve">NET OPERATING INCOME </t>
    </r>
    <r>
      <rPr>
        <sz val="11"/>
        <rFont val="Arial"/>
        <family val="2"/>
      </rPr>
      <t>(INCOME minus OP EXPENSES)</t>
    </r>
  </si>
  <si>
    <t>Other Reserve 1 Starting Balance</t>
  </si>
  <si>
    <t>Other Reserve 1  Deposits</t>
  </si>
  <si>
    <t xml:space="preserve">Other Reserve 1 Withdrawals </t>
  </si>
  <si>
    <t>Other Reserve 1  Interest</t>
  </si>
  <si>
    <t>OTHER RESERVE 2 - RUNNING BALANCE</t>
  </si>
  <si>
    <t>Other Reserve 2 Starting Balance</t>
  </si>
  <si>
    <t>Other Reserve 2  Deposits</t>
  </si>
  <si>
    <t xml:space="preserve">Other Reserve 2 Withdrawals </t>
  </si>
  <si>
    <t>Other Reserve 2  Interest</t>
  </si>
  <si>
    <t>Income Levels</t>
  </si>
  <si>
    <t xml:space="preserve">Bond Monitoring Fee </t>
  </si>
  <si>
    <t>Reserves/Ground Lease Base Rent/Bond Fees</t>
  </si>
  <si>
    <t>Sub-total Reserves/Ground Lease Base Rent/Bond Fees</t>
  </si>
  <si>
    <t>USES THAT PRECEDE MOHCD DEBT SERVICE IN WATERFALL</t>
  </si>
  <si>
    <r>
      <t xml:space="preserve">RESIDUAL RECEIPTS </t>
    </r>
    <r>
      <rPr>
        <sz val="11"/>
        <rFont val="Arial"/>
        <family val="2"/>
      </rPr>
      <t>(CASH FLOW minus PAYMENTS PRECEDING MOHCD)</t>
    </r>
  </si>
  <si>
    <t>TOTAL PAYMENTS PRECEDING MOHCD</t>
  </si>
  <si>
    <t>OTHER REQUIRED RESERVE 1 - RUNNING BALANCE</t>
  </si>
  <si>
    <t>Other Required Reserve 1 Deposit</t>
  </si>
  <si>
    <t>Other Required Reserve 2 Deposit</t>
  </si>
  <si>
    <t>Other Required Reserve 1 Running Balance</t>
  </si>
  <si>
    <t>Other Required Reserve 2 Running Balance</t>
  </si>
  <si>
    <t>AMI Year</t>
  </si>
  <si>
    <t>AMI for 4-per HH</t>
  </si>
  <si>
    <t>MOHCD Maximum Rents</t>
  </si>
  <si>
    <t>Max Rent %</t>
  </si>
  <si>
    <t>HH Size Weight Factors&gt;&gt;</t>
  </si>
  <si>
    <t>MOHCD</t>
  </si>
  <si>
    <t>Unit Types</t>
  </si>
  <si>
    <t>Total Units</t>
  </si>
  <si>
    <t>Who Pays</t>
  </si>
  <si>
    <t>Utility Type</t>
  </si>
  <si>
    <t>Natural Gas</t>
  </si>
  <si>
    <t>Electric</t>
  </si>
  <si>
    <t>Who Pays?</t>
  </si>
  <si>
    <t>1a</t>
  </si>
  <si>
    <t>1b</t>
  </si>
  <si>
    <t>2a</t>
  </si>
  <si>
    <t>2b</t>
  </si>
  <si>
    <t>4a</t>
  </si>
  <si>
    <t>4b</t>
  </si>
  <si>
    <t>Utility Code</t>
  </si>
  <si>
    <t xml:space="preserve">Instructions for MOHCD: </t>
  </si>
  <si>
    <t xml:space="preserve">When AMI data is published, update the Maximum Rents below by changing the AMI Year and AMI for a 4-person household. Maximum rents will automatically update. </t>
  </si>
  <si>
    <t xml:space="preserve">For utilities, paste new utility allowance numbers over existing values. Do no overwrite the "Utility Code" - they are needed to pull the correct UA into the input tab. </t>
  </si>
  <si>
    <t>(select from drop down menu)</t>
  </si>
  <si>
    <t>Efficiency</t>
  </si>
  <si>
    <t>1BD</t>
  </si>
  <si>
    <t>2BD</t>
  </si>
  <si>
    <t>3BD</t>
  </si>
  <si>
    <t>4BD</t>
  </si>
  <si>
    <t>5BD</t>
  </si>
  <si>
    <t>Manager Unit</t>
  </si>
  <si>
    <t>Laundry</t>
  </si>
  <si>
    <t>No. of Units Using Central Laundry</t>
  </si>
  <si>
    <t>Weekly Assumed Income Per Unit</t>
  </si>
  <si>
    <t>Annual Total Laundry Income</t>
  </si>
  <si>
    <t>Residential Parking</t>
  </si>
  <si>
    <t>Monthly  Income Per Space</t>
  </si>
  <si>
    <t>Annual Residential Parking Income</t>
  </si>
  <si>
    <t>Lien Order</t>
  </si>
  <si>
    <t>Interest Rate</t>
  </si>
  <si>
    <t>Total Funding Amount</t>
  </si>
  <si>
    <t>Maturity Date</t>
  </si>
  <si>
    <t>Required Reserve Deposit/s, Commercial</t>
  </si>
  <si>
    <t>Other Commercial Income</t>
  </si>
  <si>
    <t>Hard Debt/Soft Debt/Both</t>
  </si>
  <si>
    <t>Commercial Only Cash Flow</t>
  </si>
  <si>
    <t>MOHCD RESIDUAL RECEIPTS DEBT SERVICE</t>
  </si>
  <si>
    <t>Miscellaneous Residential Income</t>
  </si>
  <si>
    <t xml:space="preserve">Enter comments re: annual increase, etc. </t>
  </si>
  <si>
    <t>Commercial Hard Debt Service</t>
  </si>
  <si>
    <t>MOHCD Maximum Gross Rents</t>
  </si>
  <si>
    <t>HH Size &gt;&gt;</t>
  </si>
  <si>
    <t>Non-Mgr Unit</t>
  </si>
  <si>
    <t>Link from Reserve Section below, as applicable</t>
  </si>
  <si>
    <t>Vacancy Loss - Residential - Tenant Rents</t>
  </si>
  <si>
    <t>per MOHCD policy</t>
  </si>
  <si>
    <t>NON-MOHCD RESIDUAL RECEIPTS DEBT SERVICE</t>
  </si>
  <si>
    <t>Total Non-MOHCD Residual Receipts Debt Service</t>
  </si>
  <si>
    <t>REMAINING BALANCE AFTER MOHCD RESIDUAL RECEIPTS DEBT SERVICE</t>
  </si>
  <si>
    <t>Annual Miscellaneous Rent Income</t>
  </si>
  <si>
    <t>Annual Misc Residential Income</t>
  </si>
  <si>
    <t>Proposed # Units</t>
  </si>
  <si>
    <t>Comments 
(related to annual inc assumptions)</t>
  </si>
  <si>
    <t>don't delete - rows inserted to match row # in 1st Yr Op Budget</t>
  </si>
  <si>
    <t>Debt Loans</t>
  </si>
  <si>
    <t>Dist. Soft</t>
  </si>
  <si>
    <t>Proposed MOHCD Residual Receipts Amount to Loan Repayment</t>
  </si>
  <si>
    <t>Proposed MOHCD Residual Receipts Amount to Residual Ground Lease</t>
  </si>
  <si>
    <t xml:space="preserve">Yes/No </t>
  </si>
  <si>
    <t>Allocation per pro rata share of all soft debt loans, and MOHCD residual receipts policy</t>
  </si>
  <si>
    <t>Proposed Total MOHCD Amt Due less Loan Repayment</t>
  </si>
  <si>
    <t>Enter formulas manually per relevant MOH policy; annual incrementing usually not appropriate</t>
  </si>
  <si>
    <t>AMI Standard</t>
  </si>
  <si>
    <t>TCAC</t>
  </si>
  <si>
    <r>
      <t xml:space="preserve">Income Limit 
(% AMI)
</t>
    </r>
    <r>
      <rPr>
        <i/>
        <sz val="8"/>
        <rFont val="Arial"/>
        <family val="2"/>
      </rPr>
      <t>(select from drop down)</t>
    </r>
  </si>
  <si>
    <t>Subsidy Program:</t>
  </si>
  <si>
    <t>Subsidy Program</t>
  </si>
  <si>
    <t>S+C</t>
  </si>
  <si>
    <t>HOPWA</t>
  </si>
  <si>
    <t>VASH</t>
  </si>
  <si>
    <t>DAH (DPH)</t>
  </si>
  <si>
    <t>HOME TBA</t>
  </si>
  <si>
    <t>Rent Supplement</t>
  </si>
  <si>
    <t>Other</t>
  </si>
  <si>
    <t xml:space="preserve">Max Gross Rent </t>
  </si>
  <si>
    <t>ROUNDED</t>
  </si>
  <si>
    <t>CALCULATED FORMULAS THAT MATCH PUBLISHED AMI SCHEDULE</t>
  </si>
  <si>
    <r>
      <t xml:space="preserve">Other: </t>
    </r>
    <r>
      <rPr>
        <sz val="8"/>
        <rFont val="Arial"/>
        <family val="2"/>
      </rPr>
      <t>(please describe)</t>
    </r>
  </si>
  <si>
    <t>Sec 8-Voucher</t>
  </si>
  <si>
    <t>Monthly Income from Tenant Assistance Payments</t>
  </si>
  <si>
    <t>Tenant Assistance Payment Notes</t>
  </si>
  <si>
    <t>include Mgr's Unit(s)</t>
  </si>
  <si>
    <t>Unrestricted Units</t>
  </si>
  <si>
    <t>USES OF CASH FLOW</t>
  </si>
  <si>
    <r>
      <t xml:space="preserve">CASH FLOW </t>
    </r>
    <r>
      <rPr>
        <sz val="11"/>
        <rFont val="Arial"/>
        <family val="2"/>
      </rPr>
      <t>(NOI minus DEBT SERVICE</t>
    </r>
    <r>
      <rPr>
        <sz val="11"/>
        <rFont val="Arial"/>
        <family val="2"/>
      </rPr>
      <t>)</t>
    </r>
  </si>
  <si>
    <t>TOTAL USES OF CASH FLOW</t>
  </si>
  <si>
    <t>per MOHCD policy no annual increase</t>
  </si>
  <si>
    <t xml:space="preserve">Residual Receipts Calculation </t>
  </si>
  <si>
    <t>MOHCD Residual Receipts Amount Due</t>
  </si>
  <si>
    <t>First Repymt 
Due Date</t>
  </si>
  <si>
    <t>Repayment Terms</t>
  </si>
  <si>
    <t>Debt Type</t>
  </si>
  <si>
    <t>Hard</t>
  </si>
  <si>
    <t>Soft</t>
  </si>
  <si>
    <t>Both</t>
  </si>
  <si>
    <t>Enter/override amount of residual receipts proposed for loan repayment.</t>
  </si>
  <si>
    <t xml:space="preserve">If applicable, MOHCD residual receipts amt due LESS amt proposed for loan repymt. </t>
  </si>
  <si>
    <t xml:space="preserve">Restricted Units - No Subsidy </t>
  </si>
  <si>
    <t xml:space="preserve">Other Soft Debt Lender - Lender 4 </t>
  </si>
  <si>
    <t xml:space="preserve">Other Soft Debt Lender - Lender 5 </t>
  </si>
  <si>
    <t>Lender 4 Residual Receipts Due</t>
  </si>
  <si>
    <t>Lender 5 Residual Receipts Due</t>
  </si>
  <si>
    <t>Total Principal Amt</t>
  </si>
  <si>
    <t>(Select lender name/program from drop down)</t>
  </si>
  <si>
    <t xml:space="preserve">Hard Debt - Fourth Lender </t>
  </si>
  <si>
    <r>
      <rPr>
        <b/>
        <sz val="11"/>
        <rFont val="Arial"/>
        <family val="2"/>
      </rPr>
      <t>Soft Debt Lenders with Residual Receipts Obligations</t>
    </r>
    <r>
      <rPr>
        <b/>
        <sz val="10"/>
        <rFont val="Arial"/>
        <family val="2"/>
      </rPr>
      <t xml:space="preserve"> </t>
    </r>
  </si>
  <si>
    <t xml:space="preserve">Project Name </t>
  </si>
  <si>
    <t>Application Date</t>
  </si>
  <si>
    <t># of Affordable Units</t>
  </si>
  <si>
    <t>Monthly Income at Proposed Tenant Paid Rents</t>
  </si>
  <si>
    <t>Max Tenant Paid Rent</t>
  </si>
  <si>
    <t>Monthly Income at Maximum Tenant Paid Rents</t>
  </si>
  <si>
    <t xml:space="preserve">Total for Unrestricted Units: </t>
  </si>
  <si>
    <t>Do not delete! Message below is used for comment section for Rent adjustment</t>
  </si>
  <si>
    <t>Rent adjustments are not typically applicable. If rent adjustment is entered, please provide description of rent adjustment here.</t>
  </si>
  <si>
    <t>No. of Tenant Rental Spaces</t>
  </si>
  <si>
    <r>
      <t>Applicable Rent Limit</t>
    </r>
    <r>
      <rPr>
        <sz val="9"/>
        <rFont val="Arial"/>
        <family val="2"/>
      </rPr>
      <t xml:space="preserve"> </t>
    </r>
    <r>
      <rPr>
        <sz val="8"/>
        <rFont val="Arial"/>
        <family val="2"/>
      </rPr>
      <t>(select from drop down)</t>
    </r>
  </si>
  <si>
    <r>
      <t xml:space="preserve">Tenant Assistance Payment 
</t>
    </r>
    <r>
      <rPr>
        <sz val="8"/>
        <rFont val="Arial"/>
        <family val="2"/>
      </rPr>
      <t>(per unit)</t>
    </r>
  </si>
  <si>
    <t>Withdrawal from Capitalized Reserve (deposit to operating account)</t>
  </si>
  <si>
    <t>(select from drop down)</t>
  </si>
  <si>
    <t>Monthly Income at Estimated Tenant Paid Rents</t>
  </si>
  <si>
    <t>Monthly Income from Contract</t>
  </si>
  <si>
    <t>Applicable Rent Limit</t>
  </si>
  <si>
    <t>Total Restricted Units - No Subsidy</t>
  </si>
  <si>
    <t>Total Restricted Units - With Subsidy</t>
  </si>
  <si>
    <t>Owner Distributions/Incentive Management Fee</t>
  </si>
  <si>
    <t xml:space="preserve">Hard Debt - Second Lender </t>
  </si>
  <si>
    <t xml:space="preserve">Hard Debt - Third Lender </t>
  </si>
  <si>
    <t>Project has MOHCD ground lease?</t>
  </si>
  <si>
    <t>Hard Debt - First Lender</t>
  </si>
  <si>
    <t>&lt;If RAD project, type "RAD" in I5, otherwise delete!</t>
  </si>
  <si>
    <t xml:space="preserve">Formula can also be stated as: </t>
  </si>
  <si>
    <t>(K42+I42)/((HLOOKUP(F42,RentsUA!$K$9:$Q$10,2,FALSE)*RentsUA!$B$5)*0.3/12)</t>
  </si>
  <si>
    <t>(Proposed Tenant Rent + Utility Allowance)/((HLOOKUP(Unit Type,Range including unit types and HH Size Weight Factors)*AMI for 4 pp HH)*0.3/12)</t>
  </si>
  <si>
    <r>
      <rPr>
        <b/>
        <sz val="11"/>
        <rFont val="Calibri"/>
        <family val="2"/>
        <scheme val="minor"/>
      </rPr>
      <t>Printing</t>
    </r>
    <r>
      <rPr>
        <sz val="11"/>
        <rFont val="Calibri"/>
        <family val="2"/>
        <scheme val="minor"/>
      </rPr>
      <t>: The worksheets have been formatted for optimal printing on MOHCD printers. Some worksheets are setup to print on legal-size paper. Please do not change the print settings without first conferring with the MOHCD staff with whom you are working. To avoid creating problems when MOHCD staff need to print, typically the best approach is to change the print settings on a copy of the file.</t>
    </r>
  </si>
  <si>
    <t>MOHCD's Annual Monitoring Report ("AMR") has been designed in parallel with this Operating Budget Proforma. Please review the latest version of the AMR if you have any questions or concerns about how your project's Operating Budget Actuals will be analyzed in the future.</t>
  </si>
  <si>
    <t xml:space="preserve">In the table below, enter each type of anticipated rent-related income </t>
  </si>
  <si>
    <t>not already included in the calculation of gross rental income.</t>
  </si>
  <si>
    <t xml:space="preserve">In the table below, itemize other revenue proposed to be generated </t>
  </si>
  <si>
    <t xml:space="preserve">by the project and not already included in other income line items. </t>
  </si>
  <si>
    <t xml:space="preserve">Do not include misc. rent-related income below; enter those under </t>
  </si>
  <si>
    <t>Residual receipts</t>
  </si>
  <si>
    <t>Periodic</t>
  </si>
  <si>
    <t>Deferred</t>
  </si>
  <si>
    <t>Forgivable</t>
  </si>
  <si>
    <r>
      <t xml:space="preserve">Repayment Terms
</t>
    </r>
    <r>
      <rPr>
        <i/>
        <sz val="10"/>
        <rFont val="Arial"/>
        <family val="2"/>
      </rPr>
      <t>(select from drop down)</t>
    </r>
  </si>
  <si>
    <r>
      <t>Applicable Rent Limit</t>
    </r>
    <r>
      <rPr>
        <sz val="9"/>
        <rFont val="Arial"/>
        <family val="2"/>
      </rPr>
      <t xml:space="preserve"> </t>
    </r>
    <r>
      <rPr>
        <i/>
        <sz val="8"/>
        <rFont val="Arial"/>
        <family val="2"/>
      </rPr>
      <t>(select from drop down)</t>
    </r>
  </si>
  <si>
    <t xml:space="preserve">First Year assumes 50%; enter negative # if need to override. For out years, manually enter per MOHCD policy; annual incrementing usually not appropriate. Indicate if market study or other source if using "actual projected vacancy." </t>
  </si>
  <si>
    <r>
      <t xml:space="preserve">USES OF CASH FLOW BELOW </t>
    </r>
    <r>
      <rPr>
        <sz val="11"/>
        <rFont val="Arial"/>
        <family val="2"/>
      </rPr>
      <t xml:space="preserve"> (This row also shows DSCR.)                       </t>
    </r>
  </si>
  <si>
    <t xml:space="preserve">DSCR: </t>
  </si>
  <si>
    <t>DSCR:</t>
  </si>
  <si>
    <t>Non-amortizing Loan Pmnt - Lender 1</t>
  </si>
  <si>
    <t xml:space="preserve">Non-amortizing Loan Pmnt - Lender 2 </t>
  </si>
  <si>
    <t>Other Income</t>
  </si>
  <si>
    <t>Annual Interest Income - Project Operations</t>
  </si>
  <si>
    <t>Annual Tenant Charges Income</t>
  </si>
  <si>
    <t xml:space="preserve">Ground Lease Base Rent </t>
  </si>
  <si>
    <t>For summary tab: do not delet this row! And HIDE!</t>
  </si>
  <si>
    <t>Vacancy Loss - Residential - Tenant Assistance Payments</t>
  </si>
  <si>
    <t>Row Num</t>
  </si>
  <si>
    <t>none</t>
  </si>
  <si>
    <t xml:space="preserve">Household Annual Income as of Most Recent Recertification </t>
  </si>
  <si>
    <r>
      <t xml:space="preserve">Date Of Most Recent Income Recertification </t>
    </r>
    <r>
      <rPr>
        <b/>
        <sz val="8"/>
        <rFont val="Arial"/>
        <family val="2"/>
      </rPr>
      <t/>
    </r>
  </si>
  <si>
    <t>ProposedRentTypes</t>
  </si>
  <si>
    <t>HHSize</t>
  </si>
  <si>
    <t>vacant</t>
  </si>
  <si>
    <t>Section 8 - Project-Based</t>
  </si>
  <si>
    <t>Section 8 - Tenant Voucher</t>
  </si>
  <si>
    <t>LOSP</t>
  </si>
  <si>
    <t>RentalSubsidy</t>
  </si>
  <si>
    <t>PRAC - 202</t>
  </si>
  <si>
    <t>PRAC - 811</t>
  </si>
  <si>
    <t>UnitType</t>
  </si>
  <si>
    <r>
      <t xml:space="preserve">Unit Type
</t>
    </r>
    <r>
      <rPr>
        <sz val="8"/>
        <rFont val="Arial"/>
        <family val="2"/>
      </rPr>
      <t>(select below)</t>
    </r>
  </si>
  <si>
    <r>
      <rPr>
        <b/>
        <sz val="10"/>
        <rFont val="Arial"/>
        <family val="2"/>
      </rPr>
      <t>Household Size as of Most Recent Recertification</t>
    </r>
    <r>
      <rPr>
        <sz val="10"/>
        <rFont val="Arial"/>
        <family val="2"/>
      </rPr>
      <t xml:space="preserve"> 
</t>
    </r>
    <r>
      <rPr>
        <sz val="8"/>
        <rFont val="Arial"/>
        <family val="2"/>
      </rPr>
      <t>(select below)</t>
    </r>
  </si>
  <si>
    <r>
      <rPr>
        <b/>
        <sz val="10"/>
        <rFont val="Arial"/>
        <family val="2"/>
      </rPr>
      <t xml:space="preserve">Rental Assistance Type </t>
    </r>
    <r>
      <rPr>
        <sz val="10"/>
        <rFont val="Arial"/>
        <family val="2"/>
      </rPr>
      <t xml:space="preserve">
</t>
    </r>
    <r>
      <rPr>
        <sz val="8"/>
        <rFont val="Arial"/>
        <family val="2"/>
      </rPr>
      <t>(select below)</t>
    </r>
  </si>
  <si>
    <t>Amount of Monthly Rental Assistance</t>
  </si>
  <si>
    <r>
      <rPr>
        <b/>
        <sz val="10"/>
        <rFont val="Arial"/>
        <family val="2"/>
      </rPr>
      <t xml:space="preserve">Utility Allowance </t>
    </r>
    <r>
      <rPr>
        <sz val="10"/>
        <rFont val="Arial"/>
        <family val="2"/>
      </rPr>
      <t xml:space="preserve">
</t>
    </r>
  </si>
  <si>
    <t>INCM_RentalIncom_Resid</t>
  </si>
  <si>
    <t>INCM_TenantAssistance_Amount</t>
  </si>
  <si>
    <t>INCM_RentalIncome_Commercial</t>
  </si>
  <si>
    <t>INCM_ParkingSpaces</t>
  </si>
  <si>
    <t>INCM_MiscRentIncome</t>
  </si>
  <si>
    <t>INCM_SuppServices_Income</t>
  </si>
  <si>
    <t>INCM_IntIncome_ProjOps</t>
  </si>
  <si>
    <t>INCM_LaundryVending</t>
  </si>
  <si>
    <t>INCM_TenantCharges</t>
  </si>
  <si>
    <t>INCM_MiscOtherIncome</t>
  </si>
  <si>
    <t>INCM_sub_OtherCmmerclInc</t>
  </si>
  <si>
    <t>INCM_VacLossHousingUnits</t>
  </si>
  <si>
    <t>INCM_VacLossCommercial</t>
  </si>
  <si>
    <t>AMdb Field Name</t>
  </si>
  <si>
    <t>EXP_MgtFee</t>
  </si>
  <si>
    <t>EXP_AssetMgtFee</t>
  </si>
  <si>
    <t>EXP_OfficeSalaries</t>
  </si>
  <si>
    <t>EXP_MgrSalary</t>
  </si>
  <si>
    <t>EXP_HelthInsOtherBenefits</t>
  </si>
  <si>
    <t>EXP_OthersalaryBenefits</t>
  </si>
  <si>
    <t>EXP_AdminRentFreeUnit</t>
  </si>
  <si>
    <t>EXP_AdvertMarketing</t>
  </si>
  <si>
    <t>EXP_OfficeExp</t>
  </si>
  <si>
    <t>EXP_OfficeRent</t>
  </si>
  <si>
    <t>EXP_LegalExp-PPT</t>
  </si>
  <si>
    <t>EXP_Audit</t>
  </si>
  <si>
    <t>EXP_BookkeepingAccntngSvcs</t>
  </si>
  <si>
    <t>EXP_BadDebts</t>
  </si>
  <si>
    <t>EXP_MiscAdminExp</t>
  </si>
  <si>
    <t>EXP_Electricity</t>
  </si>
  <si>
    <t>EXP_Water</t>
  </si>
  <si>
    <t>EXP_Gas</t>
  </si>
  <si>
    <t>EXP_Sewer</t>
  </si>
  <si>
    <t>EXP_RealEstateTaxes</t>
  </si>
  <si>
    <t>EXP_PayrollTaxes</t>
  </si>
  <si>
    <t>EXP_MiscTaxesLicensesPermits</t>
  </si>
  <si>
    <t>EXP_PropertyAndLiabInsur</t>
  </si>
  <si>
    <t>EXP_FidelityBondInsur</t>
  </si>
  <si>
    <t>EXP_WorkersComp</t>
  </si>
  <si>
    <t>EXP_DirectorOfficerLiabInsur</t>
  </si>
  <si>
    <t>EXP_MaintRepairPayroll</t>
  </si>
  <si>
    <t>EXP_Supplies</t>
  </si>
  <si>
    <t>EXP_Contracts</t>
  </si>
  <si>
    <t>EXP_GarbageTrashRemoval</t>
  </si>
  <si>
    <t>EXP_SecurityPayrollAndOrContract</t>
  </si>
  <si>
    <t>EXP_HVACRepairsMaint</t>
  </si>
  <si>
    <t>EXP_VehicleAndMaintEquipmtOpsAndRepairs</t>
  </si>
  <si>
    <t>EXP_MiscOpsMaintExpenses</t>
  </si>
  <si>
    <t>EXP_SuppSvcs</t>
  </si>
  <si>
    <t>EXP_sub_NonResidentialExps</t>
  </si>
  <si>
    <t>TotOpExp-New_TOT</t>
  </si>
  <si>
    <t>GroundLessorBaseRent_Res</t>
  </si>
  <si>
    <t>Name for the CY AMR WS2 fields = CYAMR</t>
  </si>
  <si>
    <t>INCM_ParkingSpaces_cmmercl</t>
  </si>
  <si>
    <t>INCM_MiscRentIncome_cmmercl</t>
  </si>
  <si>
    <t>INCM_SuppServices_Income_cmmercl</t>
  </si>
  <si>
    <t>INCM_IntIncome_ProjOps_cmmercl</t>
  </si>
  <si>
    <t>INCM_TenantCharges_cmmercl</t>
  </si>
  <si>
    <t>INCM_MiscOtherIncome_cmmercl</t>
  </si>
  <si>
    <t>EXP_MgtFee_commercial</t>
  </si>
  <si>
    <t>EXP_AssetMgtFee_commercial</t>
  </si>
  <si>
    <t>EXP_AdminRentFreeUnit_commercial</t>
  </si>
  <si>
    <t>EXP_OfficeSalaries_commercial</t>
  </si>
  <si>
    <t>EXP_MgrSalary_commercial</t>
  </si>
  <si>
    <t>EXP_HelthInsOtherBenefits_commercial</t>
  </si>
  <si>
    <t>EXP_OthersalaryBenefits_commercial</t>
  </si>
  <si>
    <t>EXP_AdvertMarketing_commercial</t>
  </si>
  <si>
    <t>EXP_OfficeExp_commercial</t>
  </si>
  <si>
    <t>EXP_LegalExp-PPT_commercial</t>
  </si>
  <si>
    <t>EXP_Audit_commercial</t>
  </si>
  <si>
    <t>EXP_BookkeepingAccntngSvcs_commercial</t>
  </si>
  <si>
    <t>EXP_BadDebts_commercial</t>
  </si>
  <si>
    <t>EXP_MiscAdminExp_commercial</t>
  </si>
  <si>
    <t>EXP_Electricity_commercial</t>
  </si>
  <si>
    <t>EXP_Water_commercial</t>
  </si>
  <si>
    <t>EXP_Gas_commercial</t>
  </si>
  <si>
    <t>EXP_Sewer_commercial</t>
  </si>
  <si>
    <t>EXP_RealEstateTaxes_commercial</t>
  </si>
  <si>
    <t>EXP_PayrollTaxes_commercial</t>
  </si>
  <si>
    <t>EXP_MiscTaxesLicensesPermits_commercial</t>
  </si>
  <si>
    <t>EXP_PropertyAndLiabInsur_commercial</t>
  </si>
  <si>
    <t>EXP_FidelityBondInsur_commercial</t>
  </si>
  <si>
    <t>EXP_WorkersComp_commercial</t>
  </si>
  <si>
    <t>EXP_DirectorOfficerLiabInsur_commercial</t>
  </si>
  <si>
    <t>EXP_MaintRepairPayroll_commercial</t>
  </si>
  <si>
    <t>EXP_Supplies_commercial</t>
  </si>
  <si>
    <t>EXP_Contracts_commercial</t>
  </si>
  <si>
    <t>EXP_GarbageTrashRemoval_commercial</t>
  </si>
  <si>
    <t>EXP_SecurityPayrollAndOrContract_commercial</t>
  </si>
  <si>
    <t>EXP_HVACRepairsMaint_commercial</t>
  </si>
  <si>
    <t>EXP_VehicleAndMaintEquipmtOpsAndRepairs_commercial</t>
  </si>
  <si>
    <t>EXP_MiscOpsMaintExpenses_commercial</t>
  </si>
  <si>
    <t>EXP_SuppSvcs_commercial</t>
  </si>
  <si>
    <t>OpRsrv_MinReqdAnnlDep</t>
  </si>
  <si>
    <t>ReplRsrv_MinReqdAnnlDep</t>
  </si>
  <si>
    <t/>
  </si>
  <si>
    <t>DON'T TOUCH - CELLS AUTO SUM!</t>
  </si>
  <si>
    <t>Non-Residential Expenses</t>
  </si>
  <si>
    <t>Net Reserve Activity</t>
  </si>
  <si>
    <t>Variance (AMR-1st year Op)</t>
  </si>
  <si>
    <t>ProjKey</t>
  </si>
  <si>
    <t>Total Income Variance</t>
  </si>
  <si>
    <t>Total Expenses Variance</t>
  </si>
  <si>
    <t>Monthly Rental Assistance:</t>
  </si>
  <si>
    <t>Current Max Tenant Rent</t>
  </si>
  <si>
    <t>New Construction</t>
  </si>
  <si>
    <t>Existing Development</t>
  </si>
  <si>
    <t xml:space="preserve">Monthly Proposed Tenant Rent: </t>
  </si>
  <si>
    <t xml:space="preserve">Annual Proposed Tenant Rent: </t>
  </si>
  <si>
    <t xml:space="preserve">Unit No.
</t>
  </si>
  <si>
    <t>Current Affordability Restrictions</t>
  </si>
  <si>
    <t>Proposed Affordability Restrictions</t>
  </si>
  <si>
    <t>Restricted</t>
  </si>
  <si>
    <t>Unrestricted</t>
  </si>
  <si>
    <t xml:space="preserve">Current AMI/Rent Year: </t>
  </si>
  <si>
    <t>Rent Roll Date:</t>
  </si>
  <si>
    <t xml:space="preserve">Total Units: </t>
  </si>
  <si>
    <t>Current Affordability</t>
  </si>
  <si>
    <t>Current Affordability - Unique Values</t>
  </si>
  <si>
    <t>Proposed Affordability</t>
  </si>
  <si>
    <t>Proposed Affordability - Unique Values</t>
  </si>
  <si>
    <t>Project Zip Code</t>
  </si>
  <si>
    <t>PROPOSED DEVELOPMENT</t>
  </si>
  <si>
    <t>Project Neighborhood</t>
  </si>
  <si>
    <t>Supervisorial District</t>
  </si>
  <si>
    <t>Building Type</t>
  </si>
  <si>
    <t>Occupancy Type</t>
  </si>
  <si>
    <t xml:space="preserve">Supportive Housing? </t>
  </si>
  <si>
    <t xml:space="preserve">Transitional Housing? </t>
  </si>
  <si>
    <t>Ownership Type</t>
  </si>
  <si>
    <t xml:space="preserve">Property Owner  </t>
  </si>
  <si>
    <t>Property Owner Contact Name</t>
  </si>
  <si>
    <t>Property Owner Contact Title</t>
  </si>
  <si>
    <t>Property Owner Contact Email</t>
  </si>
  <si>
    <t xml:space="preserve">Property Owner  Contact Phone </t>
  </si>
  <si>
    <t>PROPOSED UNIT DISTRIBUTION</t>
  </si>
  <si>
    <t xml:space="preserve">PROJECT FINANCING </t>
  </si>
  <si>
    <t>RESIDUAL RECEIPTS/GROUND LEASE INFORMATION</t>
  </si>
  <si>
    <t xml:space="preserve">Enter the total proposed number of units, including </t>
  </si>
  <si>
    <t xml:space="preserve">manager units, and unrestricted units, if any. </t>
  </si>
  <si>
    <t xml:space="preserve">Data entry below is required! Drop down menus in the 1st Year Operating Budget will not work if the Project Financing Table is not completed. </t>
  </si>
  <si>
    <t>Current AMI/Rent Year:</t>
  </si>
  <si>
    <t>Other Tenant Rent Amount</t>
  </si>
  <si>
    <t>Min DSCR:</t>
  </si>
  <si>
    <t>Mortgage Rate:</t>
  </si>
  <si>
    <t>Families</t>
  </si>
  <si>
    <t>Persons with HIV/AIDS</t>
  </si>
  <si>
    <t>Mentally or Physically Disabled</t>
  </si>
  <si>
    <t>Veterans</t>
  </si>
  <si>
    <t>Formerly Incarcerated</t>
  </si>
  <si>
    <t>Transition-Aged Youth ("TAY")</t>
  </si>
  <si>
    <t>TARGET POPULATION</t>
  </si>
  <si>
    <t xml:space="preserve">PROPOSED RENTAL SUBSIDIES </t>
  </si>
  <si>
    <t>Developmentally Disabled</t>
  </si>
  <si>
    <t>Homeless Persons</t>
  </si>
  <si>
    <t>Seniors</t>
  </si>
  <si>
    <t>Persons with Substance Abuse</t>
  </si>
  <si>
    <t>Domestic Violence Survivors</t>
  </si>
  <si>
    <t>target population proposed to be served.</t>
  </si>
  <si>
    <t xml:space="preserve">Financing is requested for: </t>
  </si>
  <si>
    <t>Acquisition/Predevelopment/Construction</t>
  </si>
  <si>
    <t>Permanent/Gap</t>
  </si>
  <si>
    <t xml:space="preserve">Enter # of units proposed to be supported by each rental subsidy type. </t>
  </si>
  <si>
    <t>% of</t>
  </si>
  <si>
    <t># Units:</t>
  </si>
  <si>
    <t xml:space="preserve">If yes, enter Lessor name: </t>
  </si>
  <si>
    <t xml:space="preserve">General Project Input </t>
  </si>
  <si>
    <t>Neighborhood</t>
  </si>
  <si>
    <t>Bayview / Hunters Point</t>
  </si>
  <si>
    <t>Bernal Heights</t>
  </si>
  <si>
    <t>Castro</t>
  </si>
  <si>
    <t>Chinatown</t>
  </si>
  <si>
    <t>Citywide</t>
  </si>
  <si>
    <t>Confidential</t>
  </si>
  <si>
    <t>Diamond Heights</t>
  </si>
  <si>
    <t>Excelsior</t>
  </si>
  <si>
    <t>Glen Park</t>
  </si>
  <si>
    <t>Hayes Valley</t>
  </si>
  <si>
    <t>Ingleside</t>
  </si>
  <si>
    <t>Laurel Heights</t>
  </si>
  <si>
    <t>Marina</t>
  </si>
  <si>
    <t>Mission</t>
  </si>
  <si>
    <t>Mission Bay</t>
  </si>
  <si>
    <t>Nob Hill</t>
  </si>
  <si>
    <t>Noe Valley</t>
  </si>
  <si>
    <t>North Beach</t>
  </si>
  <si>
    <t>North of Market</t>
  </si>
  <si>
    <t>Oceanview</t>
  </si>
  <si>
    <t>Outer Mission</t>
  </si>
  <si>
    <t>Pacific Heights</t>
  </si>
  <si>
    <t>Parkside</t>
  </si>
  <si>
    <t>Portola</t>
  </si>
  <si>
    <t>Potrero Hill</t>
  </si>
  <si>
    <t>Presidio</t>
  </si>
  <si>
    <t>Richmond</t>
  </si>
  <si>
    <t>Russian Hill</t>
  </si>
  <si>
    <t>South Beach</t>
  </si>
  <si>
    <t>South of Market</t>
  </si>
  <si>
    <t>St. Francis Wood</t>
  </si>
  <si>
    <t>Sunnyside</t>
  </si>
  <si>
    <t>Sunset</t>
  </si>
  <si>
    <t>Telegraph Hill</t>
  </si>
  <si>
    <t>Tenderloin</t>
  </si>
  <si>
    <t>Treasure Island</t>
  </si>
  <si>
    <t>Twin Peaks</t>
  </si>
  <si>
    <t>Upper Market</t>
  </si>
  <si>
    <t>Visitacion Valley</t>
  </si>
  <si>
    <t>West Portal</t>
  </si>
  <si>
    <t>Western Addition</t>
  </si>
  <si>
    <t>Westwood</t>
  </si>
  <si>
    <t>Supe District</t>
  </si>
  <si>
    <t>Tower (85' or &gt;7 stories)</t>
  </si>
  <si>
    <t>Midrise (40-85', or 4-6 stories)</t>
  </si>
  <si>
    <t>Non Profit Corporation</t>
  </si>
  <si>
    <t>For Profit Corporation</t>
  </si>
  <si>
    <t>Partnership</t>
  </si>
  <si>
    <t>Publicly Owned</t>
  </si>
  <si>
    <t>Private Individual</t>
  </si>
  <si>
    <t>Condominium</t>
  </si>
  <si>
    <t>Single Room Occupancy (SRO)</t>
  </si>
  <si>
    <t>Multi-Room Occupancy (MRO)</t>
  </si>
  <si>
    <t>SRO/MRO Mix</t>
  </si>
  <si>
    <t>Single Family Detached</t>
  </si>
  <si>
    <t>Co-op</t>
  </si>
  <si>
    <t>Group/shared</t>
  </si>
  <si>
    <t>UTILITY ALLOWANCE</t>
  </si>
  <si>
    <t>OTHER PROJECT INCOME</t>
  </si>
  <si>
    <t xml:space="preserve">Application Date: </t>
  </si>
  <si>
    <t>Misc</t>
  </si>
  <si>
    <t>New Devt</t>
  </si>
  <si>
    <t>PRAC-811</t>
  </si>
  <si>
    <t>PRAC-202</t>
  </si>
  <si>
    <t>Unit Size</t>
  </si>
  <si>
    <t xml:space="preserve">RENT AND UNIT MIX INFORMATION - NEW CONSTRUCTION PROJECTS ONLY </t>
  </si>
  <si>
    <t>Total Monthly Tenant Paid Rent from Non-Rental Subsidy Units:</t>
  </si>
  <si>
    <t xml:space="preserve">Total Monthly Income From Rent-Subsidized Units: </t>
  </si>
  <si>
    <t>Tenant Paid Rent</t>
  </si>
  <si>
    <t>Tenant Asst. Payments</t>
  </si>
  <si>
    <t>UNRESTRICTED UNITS</t>
  </si>
  <si>
    <t xml:space="preserve">RENTAL INCOME SUMMARY </t>
  </si>
  <si>
    <t>In the table below, enter in information for non-restricted units. Rents entered below will</t>
  </si>
  <si>
    <t xml:space="preserve">flow into the calculation of total Tenant Rents in the 1st Year Operating Budget. </t>
  </si>
  <si>
    <r>
      <t>Unit Size</t>
    </r>
    <r>
      <rPr>
        <b/>
        <sz val="9"/>
        <rFont val="Arial"/>
        <family val="2"/>
      </rPr>
      <t xml:space="preserve"> </t>
    </r>
  </si>
  <si>
    <t>Monthly</t>
  </si>
  <si>
    <t>Income at</t>
  </si>
  <si>
    <t>Proposed</t>
  </si>
  <si>
    <t>Paid Rents</t>
  </si>
  <si>
    <t>Paid Rent</t>
  </si>
  <si>
    <t>(indicate if Mgr's unit)</t>
  </si>
  <si>
    <t xml:space="preserve">Unrestricted Units </t>
  </si>
  <si>
    <t>Income from Tenant Assistance Payments</t>
  </si>
  <si>
    <t>Tenant Paid Rent from Restricted Non-Subsidy Units</t>
  </si>
  <si>
    <t>Tenant Paid Rent from Restricted Subsidized Units</t>
  </si>
  <si>
    <t>Tenant Paid Rent from Unrestricted Units</t>
  </si>
  <si>
    <t>Unit distribution by AMI level will auto-populate when detailed information is entered above. No data entry is needed in the table below. If unit count information does not match the total numbers provided in the Proposed Unit Distribution table above, red error messages will appear. When unit information above has been corrected, red error messages will disappear. If you don't understand the  cause for an error message, please check with MOHCD asset management staff.</t>
  </si>
  <si>
    <t>SUMMARY OF PROPOSED UNIT TYPES BY INCOME CATEGORIES</t>
  </si>
  <si>
    <t>Does the project have/will have HCD financing?</t>
  </si>
  <si>
    <t>If Transitional, # Beds</t>
  </si>
  <si>
    <t xml:space="preserve">Miscellaneous Rent Income. </t>
  </si>
  <si>
    <t xml:space="preserve">Total Restricted Non-Subsidy Units: </t>
  </si>
  <si>
    <t xml:space="preserve">Total Restricted Units with Rent Subsidy: </t>
  </si>
  <si>
    <t xml:space="preserve">PUPA </t>
  </si>
  <si>
    <r>
      <t>First Year of Operations</t>
    </r>
    <r>
      <rPr>
        <sz val="11"/>
        <rFont val="Arial"/>
        <family val="2"/>
      </rPr>
      <t xml:space="preserve"> (provide data assuming that Year 1 is a full year, i.e. 12 months of operations)</t>
    </r>
    <r>
      <rPr>
        <b/>
        <sz val="11"/>
        <rFont val="Arial"/>
        <family val="2"/>
      </rPr>
      <t>:</t>
    </r>
  </si>
  <si>
    <r>
      <t xml:space="preserve">Non-amortizing Loan Pmnt - Lender 1 </t>
    </r>
    <r>
      <rPr>
        <sz val="10"/>
        <rFont val="Arial"/>
        <family val="2"/>
      </rPr>
      <t xml:space="preserve">(select lender in comments field) </t>
    </r>
  </si>
  <si>
    <r>
      <t xml:space="preserve">Non-amortizing Loan Pmnt - Lender 2 </t>
    </r>
    <r>
      <rPr>
        <sz val="10"/>
        <rFont val="Arial"/>
        <family val="2"/>
      </rPr>
      <t xml:space="preserve">(select lender in comments field) </t>
    </r>
  </si>
  <si>
    <t>Monthly Tenant Paid Rental Income - Restricted Units</t>
  </si>
  <si>
    <t>Monthly Tenant Paid Rental Income - Unrestricted Units</t>
  </si>
  <si>
    <t>Total Monthly Tenant Paid Rental Income - Restricted and Unrestricted Units</t>
  </si>
  <si>
    <t>Total Annual Tenant Paid Rental Income - Restricted and Unrestricted Units (O138 x 12)</t>
  </si>
  <si>
    <t>Annual Tenant Paid Rent - Rent Adjustments:</t>
  </si>
  <si>
    <t>Total Residential Tenant Paid Rents (Annual Rental Income + Rent Adjustments):</t>
  </si>
  <si>
    <t>Restricted Units - With Rental Subsidy</t>
  </si>
  <si>
    <r>
      <t>Project Sponsor</t>
    </r>
    <r>
      <rPr>
        <sz val="10"/>
        <rFont val="Arial"/>
        <family val="2"/>
      </rPr>
      <t xml:space="preserve"> (parent entit(ies), not LP)</t>
    </r>
  </si>
  <si>
    <t>Project Street #</t>
  </si>
  <si>
    <t>Project Street Name</t>
  </si>
  <si>
    <t xml:space="preserve">Other: </t>
  </si>
  <si>
    <t>Section 8-Voucher</t>
  </si>
  <si>
    <t>Subtotal Monthly Tenant Paid Rent - Restricted Units</t>
  </si>
  <si>
    <t>Existing Devt</t>
  </si>
  <si>
    <t>Provide additional comments here, if needed.</t>
  </si>
  <si>
    <r>
      <rPr>
        <b/>
        <sz val="11"/>
        <rFont val="Calibri"/>
        <family val="2"/>
        <scheme val="minor"/>
      </rPr>
      <t>Protection</t>
    </r>
    <r>
      <rPr>
        <sz val="11"/>
        <rFont val="Calibri"/>
        <family val="2"/>
        <scheme val="minor"/>
      </rPr>
      <t xml:space="preserve">: All of the worksheets in this workbook are "protected"; most of the cells are locked. The protection prevents users from overriding formulas and ensures that all projects are analyzed uniformly. </t>
    </r>
  </si>
  <si>
    <t>non-LOSP</t>
  </si>
  <si>
    <t xml:space="preserve">Total </t>
  </si>
  <si>
    <t>Proposed 1st Mortgage Amt:</t>
  </si>
  <si>
    <t>GENERAL PROJECT INFORMATION</t>
  </si>
  <si>
    <t>Proposed Max Tenant Rent</t>
  </si>
  <si>
    <t>Proposed Tenant Paid Rent and Affordability Restrictions</t>
  </si>
  <si>
    <r>
      <t xml:space="preserve">Current Max Tenant Rent 
</t>
    </r>
    <r>
      <rPr>
        <sz val="8"/>
        <rFont val="Arial"/>
        <family val="2"/>
      </rPr>
      <t>(Max Gross Rent per Income Limit - Utility Allowance)</t>
    </r>
    <r>
      <rPr>
        <b/>
        <sz val="10"/>
        <rFont val="Arial"/>
        <family val="2"/>
      </rPr>
      <t xml:space="preserve">
</t>
    </r>
  </si>
  <si>
    <r>
      <t xml:space="preserve">Proposed Max Tenant Rent 
</t>
    </r>
    <r>
      <rPr>
        <sz val="8"/>
        <color theme="1"/>
        <rFont val="Arial"/>
        <family val="2"/>
      </rPr>
      <t>(Max Gross Rent per Income Limit - Utility Allowance)</t>
    </r>
  </si>
  <si>
    <r>
      <t xml:space="preserve">Current Tenant Gross Rent </t>
    </r>
    <r>
      <rPr>
        <sz val="8"/>
        <rFont val="Arial"/>
        <family val="2"/>
      </rPr>
      <t>(Tenant Paid Rent + Utility Allowance)</t>
    </r>
  </si>
  <si>
    <r>
      <t xml:space="preserve">Current Income Limit 
</t>
    </r>
    <r>
      <rPr>
        <sz val="8"/>
        <rFont val="Arial"/>
        <family val="2"/>
      </rPr>
      <t>(% MOHCD AMI) 
Leave blank for unrestricted units</t>
    </r>
  </si>
  <si>
    <r>
      <rPr>
        <b/>
        <sz val="10"/>
        <color theme="1"/>
        <rFont val="Arial"/>
        <family val="2"/>
      </rPr>
      <t xml:space="preserve">Other Tenant Rent Amount </t>
    </r>
    <r>
      <rPr>
        <sz val="10"/>
        <color theme="1"/>
        <rFont val="Arial"/>
        <family val="2"/>
      </rPr>
      <t xml:space="preserve">
</t>
    </r>
    <r>
      <rPr>
        <sz val="8"/>
        <color theme="1"/>
        <rFont val="Arial"/>
        <family val="2"/>
      </rPr>
      <t>(Enter only if proposing tenant rent different from Current Tenant Paid Rent, Current Max Tenant Rent, or Proposed Max Tenant Rent)</t>
    </r>
  </si>
  <si>
    <t>Proposed Tenant Gross Rent</t>
  </si>
  <si>
    <r>
      <t xml:space="preserve">% Change </t>
    </r>
    <r>
      <rPr>
        <sz val="8"/>
        <color theme="1"/>
        <rFont val="Arial"/>
        <family val="2"/>
      </rPr>
      <t>(Proposed Tenant Rent vs. Current Tenant Rent)</t>
    </r>
  </si>
  <si>
    <t>Restriction</t>
  </si>
  <si>
    <t xml:space="preserve">Unit Type </t>
  </si>
  <si>
    <t>&lt;Average Calculated AMI</t>
  </si>
  <si>
    <t>1 BR</t>
  </si>
  <si>
    <t>2 BR</t>
  </si>
  <si>
    <t>3 BR</t>
  </si>
  <si>
    <t>4 BR</t>
  </si>
  <si>
    <t>5 BR</t>
  </si>
  <si>
    <t>For persons that qualify for more than one target population</t>
  </si>
  <si>
    <t xml:space="preserve">group, include the individual in each target population group. </t>
  </si>
  <si>
    <t>Amount</t>
  </si>
  <si>
    <t>Miscellaneous Rent Income Source</t>
  </si>
  <si>
    <t>Interest Income Source</t>
  </si>
  <si>
    <t>Tenant Charges Source</t>
  </si>
  <si>
    <t>Miscellaneous Residential Income Source</t>
  </si>
  <si>
    <t>In the table below, enter each type of anticipated Other Monthly Commercial Income other than commercial space rental revenue.</t>
  </si>
  <si>
    <t>Annual Commercial income</t>
  </si>
  <si>
    <t>Other Commercial Income Source</t>
  </si>
  <si>
    <t>RentLimit</t>
  </si>
  <si>
    <t xml:space="preserve">MOHCD </t>
  </si>
  <si>
    <t xml:space="preserve">State </t>
  </si>
  <si>
    <r>
      <t xml:space="preserve">Applicable Rent Limit 
</t>
    </r>
    <r>
      <rPr>
        <sz val="8"/>
        <rFont val="Arial"/>
        <family val="2"/>
      </rPr>
      <t>(Select if not MOHCD, otherwise leave blank)</t>
    </r>
  </si>
  <si>
    <t>Manager</t>
  </si>
  <si>
    <r>
      <t xml:space="preserve">Income Limit
</t>
    </r>
    <r>
      <rPr>
        <sz val="8"/>
        <rFont val="Arial"/>
        <family val="2"/>
      </rPr>
      <t>(Select below if cell is highlighted yellow.)</t>
    </r>
  </si>
  <si>
    <t>Supportable 1st Mortgage Amt:</t>
  </si>
  <si>
    <t>Gross SF</t>
  </si>
  <si>
    <t>TOTAL DEVELOPMENT COST</t>
  </si>
  <si>
    <t>TOTAL DEVELOPER COSTS</t>
  </si>
  <si>
    <t>Other (specify)</t>
  </si>
  <si>
    <t>Development Consultant Fees</t>
  </si>
  <si>
    <t>DEVELOPER COSTS</t>
  </si>
  <si>
    <t>TOTAL RESERVES</t>
  </si>
  <si>
    <t>Replacement Reserves</t>
  </si>
  <si>
    <t>Operating Reserves</t>
  </si>
  <si>
    <t>RESERVES</t>
  </si>
  <si>
    <t>Soft Cost Contingency</t>
  </si>
  <si>
    <t>TOTAL SOFT COSTS</t>
  </si>
  <si>
    <t>Market Study</t>
  </si>
  <si>
    <t>Furnishings</t>
  </si>
  <si>
    <t>Relocation</t>
  </si>
  <si>
    <t>Property Taxes</t>
  </si>
  <si>
    <t>Appraisal</t>
  </si>
  <si>
    <t>Total Legal Costs</t>
  </si>
  <si>
    <t>Legal Costs</t>
  </si>
  <si>
    <t>Total Financing Costs</t>
  </si>
  <si>
    <t>Sub-total Perm. Financing Costs</t>
  </si>
  <si>
    <t xml:space="preserve">Title &amp; Recording </t>
  </si>
  <si>
    <t>Credit Enhance. &amp; Appl. Fee</t>
  </si>
  <si>
    <t>Permanent Loan Origination Fee</t>
  </si>
  <si>
    <t>Sub-total Const. Financing Costs</t>
  </si>
  <si>
    <t>Construction Loan Interest</t>
  </si>
  <si>
    <t>Construction Loan Origination Fee</t>
  </si>
  <si>
    <t>Financing Costs</t>
  </si>
  <si>
    <t>Phase I &amp; II Reports</t>
  </si>
  <si>
    <t>Geotechnical studies</t>
  </si>
  <si>
    <t>Survey</t>
  </si>
  <si>
    <t>SOFT COSTS</t>
  </si>
  <si>
    <t>TOTAL CONSTRUCTION COSTS</t>
  </si>
  <si>
    <t>Parking</t>
  </si>
  <si>
    <t>Unit Construction/Rehab</t>
  </si>
  <si>
    <t>Environmental Remediation</t>
  </si>
  <si>
    <t>CONSTRUCTION (HARD COSTS)</t>
  </si>
  <si>
    <t>TOTAL ACQUISITION</t>
  </si>
  <si>
    <t>Demolition</t>
  </si>
  <si>
    <t>Acquisition cost or value</t>
  </si>
  <si>
    <t>ACQUISITION</t>
  </si>
  <si>
    <t>USES</t>
  </si>
  <si>
    <t>SOURCES</t>
  </si>
  <si>
    <t>Total Sources</t>
  </si>
  <si>
    <t xml:space="preserve"># Beds: </t>
  </si>
  <si>
    <t>UTILITIES AND OTHER PROJECT INCOME</t>
  </si>
  <si>
    <t xml:space="preserve"># Bedrooms: </t>
  </si>
  <si>
    <t>Alternative LOSP Split</t>
  </si>
  <si>
    <t>Approved By (reqd)</t>
  </si>
  <si>
    <t>Projected LOSP Split</t>
  </si>
  <si>
    <t>(only acceptable if LOSP-specific expenses are being tracked at entry level in the project's accounting system)</t>
  </si>
  <si>
    <t>LOSP/non-LOSP Allocation</t>
  </si>
  <si>
    <t>Links from 'Utilities &amp; Other Income' Worksheet</t>
  </si>
  <si>
    <t>Lowrise (1-3 stories)</t>
  </si>
  <si>
    <t>Real Estate District</t>
  </si>
  <si>
    <t>1 - Northwest</t>
  </si>
  <si>
    <t>2 - Central West</t>
  </si>
  <si>
    <t>3 - Southwest</t>
  </si>
  <si>
    <t>4 - Twin Peaks West</t>
  </si>
  <si>
    <t>5 - Central</t>
  </si>
  <si>
    <t>6 - Central North</t>
  </si>
  <si>
    <t xml:space="preserve">7 - North </t>
  </si>
  <si>
    <t>8 - Northest</t>
  </si>
  <si>
    <t>9 - Central East</t>
  </si>
  <si>
    <t>10 - Southeast</t>
  </si>
  <si>
    <r>
      <t xml:space="preserve">Project Street Suffix </t>
    </r>
    <r>
      <rPr>
        <sz val="9"/>
        <rFont val="Arial"/>
        <family val="2"/>
      </rPr>
      <t>(St/Ave/etc.)</t>
    </r>
  </si>
  <si>
    <t>Allocation of Commercial Surplus to LOPS/non-LOSP (residual income)</t>
  </si>
  <si>
    <t>RENT AND UNIT MIX INFORMATION - EXISTING PROJECTS ONLY</t>
  </si>
  <si>
    <t>Maximum Tenant Gross Rent</t>
  </si>
  <si>
    <r>
      <t xml:space="preserve">Current Tenant Rent </t>
    </r>
    <r>
      <rPr>
        <sz val="8"/>
        <rFont val="Arial"/>
        <family val="2"/>
      </rPr>
      <t>(monthly)</t>
    </r>
  </si>
  <si>
    <t>Current Tenant Rent</t>
  </si>
  <si>
    <t xml:space="preserve">Proposed Max Gross Rent 
</t>
  </si>
  <si>
    <r>
      <t xml:space="preserve">Proposed Rent Type
</t>
    </r>
    <r>
      <rPr>
        <sz val="8"/>
        <color theme="1"/>
        <rFont val="Arial"/>
        <family val="2"/>
      </rPr>
      <t xml:space="preserve">(Select from below)
Proposed Rent Types selected below will determine the amount of Tenant Rent in the 1st yr. Operating Budget. </t>
    </r>
    <r>
      <rPr>
        <b/>
        <sz val="10"/>
        <color theme="1"/>
        <rFont val="Arial"/>
        <family val="2"/>
      </rPr>
      <t xml:space="preserve">
</t>
    </r>
  </si>
  <si>
    <t>New Const</t>
  </si>
  <si>
    <t>Existing</t>
  </si>
  <si>
    <t>Ac/Predev</t>
  </si>
  <si>
    <t>Perm</t>
  </si>
  <si>
    <r>
      <t>Max Gross Rent</t>
    </r>
    <r>
      <rPr>
        <sz val="8"/>
        <rFont val="Arial"/>
        <family val="2"/>
      </rPr>
      <t xml:space="preserve">
(Enter if cell is highlighted yellow.)</t>
    </r>
  </si>
  <si>
    <t>Total Restricted Units</t>
  </si>
  <si>
    <t>Manger Units</t>
  </si>
  <si>
    <t>Unrestricted/ Manager Units</t>
  </si>
  <si>
    <t xml:space="preserve">1st Year to be set according to HUD schedule. </t>
  </si>
  <si>
    <t>(Number above will link to 1st Year Op. Budget, cell F10)</t>
  </si>
  <si>
    <t>(Number above will link to 1st Year Op. Budget, cell F9)</t>
  </si>
  <si>
    <t xml:space="preserve">Annual Rent Amount: </t>
  </si>
  <si>
    <t>MOHCD/OCII - Soft Debt Loans</t>
  </si>
  <si>
    <t>All MOHCD/OCII Loans payable from res. rects</t>
  </si>
  <si>
    <t>1BR</t>
  </si>
  <si>
    <t>2BR</t>
  </si>
  <si>
    <t>3BR</t>
  </si>
  <si>
    <t>4BR</t>
  </si>
  <si>
    <t>5BR</t>
  </si>
  <si>
    <t>Residential - LOSP Tenant Assistance Payments</t>
  </si>
  <si>
    <t>Monthly Residential Parking Income</t>
  </si>
  <si>
    <t>Monthly Interest Income</t>
  </si>
  <si>
    <t>Monthly Tenant Charges</t>
  </si>
  <si>
    <t>Monthly Misc Residential Income</t>
  </si>
  <si>
    <t>Utility Allowance Year:</t>
  </si>
  <si>
    <t>Utility 
Allowance Year:</t>
  </si>
  <si>
    <t xml:space="preserve">Utility Allowance Year: </t>
  </si>
  <si>
    <t xml:space="preserve">Will the project defer the payment of the Developer Fee, and therefore </t>
  </si>
  <si>
    <t>% of Residual Receipts available for distribution to all soft debt lenders:</t>
  </si>
  <si>
    <t>Does Project have a MOHCD Residual Receipt Obligation?</t>
  </si>
  <si>
    <t xml:space="preserve">Will Project Defer Developer Fee? </t>
  </si>
  <si>
    <r>
      <t xml:space="preserve">Max </t>
    </r>
    <r>
      <rPr>
        <b/>
        <sz val="11"/>
        <rFont val="Arial"/>
        <family val="2"/>
      </rPr>
      <t>Deferred Developer Fee/Borrower</t>
    </r>
    <r>
      <rPr>
        <sz val="11"/>
        <rFont val="Arial"/>
        <family val="2"/>
      </rPr>
      <t xml:space="preserve"> % of Residual Receipts in Yr 1:</t>
    </r>
  </si>
  <si>
    <t xml:space="preserve">Residual Rent Amount: </t>
  </si>
  <si>
    <r>
      <t xml:space="preserve">Annual Payment Amount
</t>
    </r>
    <r>
      <rPr>
        <sz val="10"/>
        <rFont val="Arial"/>
        <family val="2"/>
      </rPr>
      <t>(or N/A, if not applicable)</t>
    </r>
  </si>
  <si>
    <r>
      <t>Notes</t>
    </r>
    <r>
      <rPr>
        <sz val="10"/>
        <rFont val="Arial"/>
        <family val="2"/>
      </rPr>
      <t xml:space="preserve"> 
(please note any anticipate changes to repayment obligations)</t>
    </r>
  </si>
  <si>
    <t>Developer Fee Starting Balance</t>
  </si>
  <si>
    <t>Developer Fee Remaining Balance</t>
  </si>
  <si>
    <t>Deferred Developer Fee Remaining Balance</t>
  </si>
  <si>
    <t>Year</t>
  </si>
  <si>
    <t>Deferred Developer Fee % Split</t>
  </si>
  <si>
    <t>Soft Debt Lender % Split</t>
  </si>
  <si>
    <t>Owner Distribution % Split</t>
  </si>
  <si>
    <t>HIDE THIS ROW</t>
  </si>
  <si>
    <t>DO NOT EDIT BELOW</t>
  </si>
  <si>
    <t>LOSP FUNDING SCHEDULE</t>
  </si>
  <si>
    <t xml:space="preserve">Project  Address: </t>
  </si>
  <si>
    <t>FOR REFERENCE ONLY</t>
  </si>
  <si>
    <t>Exhibit A-2: LOSP Funding By Calendar Year</t>
  </si>
  <si>
    <t>TOT</t>
  </si>
  <si>
    <t>Total Months</t>
  </si>
  <si>
    <t>CY-1</t>
  </si>
  <si>
    <t>A</t>
  </si>
  <si>
    <t>B</t>
  </si>
  <si>
    <t>A+B</t>
  </si>
  <si>
    <t>1/1-6/30</t>
  </si>
  <si>
    <t>7/1-12/31</t>
  </si>
  <si>
    <t>CY-2</t>
  </si>
  <si>
    <t>C</t>
  </si>
  <si>
    <t>D</t>
  </si>
  <si>
    <t>C+D</t>
  </si>
  <si>
    <t>CY-3</t>
  </si>
  <si>
    <t>E</t>
  </si>
  <si>
    <t>F</t>
  </si>
  <si>
    <t>E+F</t>
  </si>
  <si>
    <t>CY-4</t>
  </si>
  <si>
    <t>G</t>
  </si>
  <si>
    <t>H</t>
  </si>
  <si>
    <t>G+H</t>
  </si>
  <si>
    <t>CY-5</t>
  </si>
  <si>
    <t>I</t>
  </si>
  <si>
    <t>J</t>
  </si>
  <si>
    <t>I+J</t>
  </si>
  <si>
    <t>CY-6</t>
  </si>
  <si>
    <t>K</t>
  </si>
  <si>
    <t>L</t>
  </si>
  <si>
    <t>K+L</t>
  </si>
  <si>
    <t>CY-7</t>
  </si>
  <si>
    <t>M</t>
  </si>
  <si>
    <t>N</t>
  </si>
  <si>
    <t>M+N</t>
  </si>
  <si>
    <t>CY-8</t>
  </si>
  <si>
    <t>O</t>
  </si>
  <si>
    <t>P</t>
  </si>
  <si>
    <t>O+P</t>
  </si>
  <si>
    <t>CY-9</t>
  </si>
  <si>
    <t>Q</t>
  </si>
  <si>
    <t>R</t>
  </si>
  <si>
    <t>Q+R</t>
  </si>
  <si>
    <t>CY-10</t>
  </si>
  <si>
    <t>S</t>
  </si>
  <si>
    <t>T</t>
  </si>
  <si>
    <t>S+T</t>
  </si>
  <si>
    <t>CY-11</t>
  </si>
  <si>
    <t>U</t>
  </si>
  <si>
    <t>V</t>
  </si>
  <si>
    <t>U+V</t>
  </si>
  <si>
    <t>CY-12</t>
  </si>
  <si>
    <t>W</t>
  </si>
  <si>
    <t>X</t>
  </si>
  <si>
    <t>W+X</t>
  </si>
  <si>
    <t>CY-13</t>
  </si>
  <si>
    <t>Y</t>
  </si>
  <si>
    <t>Z</t>
  </si>
  <si>
    <t>Y+Z</t>
  </si>
  <si>
    <t>CY-14</t>
  </si>
  <si>
    <t>AA</t>
  </si>
  <si>
    <t>BB</t>
  </si>
  <si>
    <t>AA+BB</t>
  </si>
  <si>
    <t>CY-15</t>
  </si>
  <si>
    <t>CC</t>
  </si>
  <si>
    <t>DD</t>
  </si>
  <si>
    <t>CC+DD</t>
  </si>
  <si>
    <t>EE</t>
  </si>
  <si>
    <t>FF</t>
  </si>
  <si>
    <t>EE+FF</t>
  </si>
  <si>
    <t>Exhibit A-1: LOSP Disbursement Schedule By Fiscal Year</t>
  </si>
  <si>
    <t>sent to sponsor btwn 7/1 &amp; 9/1</t>
  </si>
  <si>
    <t>B+C</t>
  </si>
  <si>
    <t>D+E</t>
  </si>
  <si>
    <t>F+G</t>
  </si>
  <si>
    <t>H+I</t>
  </si>
  <si>
    <t>J+K</t>
  </si>
  <si>
    <t>L+M</t>
  </si>
  <si>
    <t>N+O</t>
  </si>
  <si>
    <t>P+Q</t>
  </si>
  <si>
    <t>R+S</t>
  </si>
  <si>
    <t>T+U</t>
  </si>
  <si>
    <t>V+W</t>
  </si>
  <si>
    <t>X+Y</t>
  </si>
  <si>
    <t>Z+AA</t>
  </si>
  <si>
    <t>BB+CC</t>
  </si>
  <si>
    <t>DD+EE</t>
  </si>
  <si>
    <t>1st Yr of Operations</t>
  </si>
  <si>
    <t>Annual Rental Assistance:</t>
  </si>
  <si>
    <t>Monthly Miscellaneous Rent Income</t>
  </si>
  <si>
    <t>Monthly Other Commercial Income</t>
  </si>
  <si>
    <r>
      <t xml:space="preserve">% of Residual Receipts available for distribution to </t>
    </r>
    <r>
      <rPr>
        <b/>
        <sz val="11"/>
        <rFont val="Arial"/>
        <family val="2"/>
      </rPr>
      <t>soft debt lenders</t>
    </r>
    <r>
      <rPr>
        <sz val="11"/>
        <rFont val="Arial"/>
        <family val="2"/>
      </rPr>
      <t xml:space="preserve"> in Yr 1:</t>
    </r>
  </si>
  <si>
    <t xml:space="preserve">Does the project have/will have Federal Funding? </t>
  </si>
  <si>
    <t>Name of Most Restrictive Funder</t>
  </si>
  <si>
    <t>Total Utility Allowance</t>
  </si>
  <si>
    <t>Water Heating*</t>
  </si>
  <si>
    <t>Other Electric*</t>
  </si>
  <si>
    <t>Cooking*</t>
  </si>
  <si>
    <t>Heating*</t>
  </si>
  <si>
    <t xml:space="preserve">For each utility type below, select either "Tenant" or "Owner" and the type of utility source, as applicable. The selections will automatically calculate the total utility allowance by unit type, and will be used in the calculation of "Max Tenant Paid Rent" in the "New Devt - Rent &amp; Unit Mix" and "Existing Devt - Rent Roll" worksheets.  
If using a engineer calculated utility allowance, select "Owner" for all utility types, and enter in calculated utility allowance directly in the row "Other". </t>
  </si>
  <si>
    <t># Comm Units</t>
  </si>
  <si>
    <t>Comm SF</t>
  </si>
  <si>
    <r>
      <t xml:space="preserve">Calculated Unadjusted MOHCD AMI 
</t>
    </r>
    <r>
      <rPr>
        <sz val="8"/>
        <rFont val="Arial"/>
        <family val="2"/>
      </rPr>
      <t>(Current Tenant Gross Rent expressed as % of rent based on 100% AMI.)</t>
    </r>
  </si>
  <si>
    <r>
      <t xml:space="preserve">Calculated Unadjusted MOHCD AMI 
</t>
    </r>
    <r>
      <rPr>
        <sz val="8"/>
        <rFont val="Arial"/>
        <family val="2"/>
      </rPr>
      <t>(Proposed Tenant Gross Rent expressed as % of rent based on 100% AMI.)</t>
    </r>
  </si>
  <si>
    <t>PUPM</t>
  </si>
  <si>
    <t>Distrib. of Soft Debt Loans</t>
  </si>
  <si>
    <t xml:space="preserve">Must Pay Base Rent Amount: </t>
  </si>
  <si>
    <t>DEFERRED DEVELOPER FEE - RUNNING BALANCE</t>
  </si>
  <si>
    <t xml:space="preserve">Ratio of Sum of DDF and calculated 50%: </t>
  </si>
  <si>
    <t>Sum of DD F from LOSP and non-LOSP:</t>
  </si>
  <si>
    <t>AVAILABLE CASH FLOW</t>
  </si>
  <si>
    <t>% annual inc LOSP</t>
  </si>
  <si>
    <r>
      <t>This file contains macros. When first opening the file, the Security Warning below may first appear. Click "</t>
    </r>
    <r>
      <rPr>
        <b/>
        <sz val="11"/>
        <rFont val="Calibri"/>
        <family val="2"/>
        <scheme val="minor"/>
      </rPr>
      <t>Enable Content</t>
    </r>
    <r>
      <rPr>
        <sz val="11"/>
        <rFont val="Calibri"/>
        <family val="2"/>
        <scheme val="minor"/>
      </rPr>
      <t xml:space="preserve">" in order to use macros. </t>
    </r>
  </si>
  <si>
    <t>Deferred Developer Fee (Enter amt &lt;= Max Fee from cell I130)</t>
  </si>
  <si>
    <t>Deferred Developer Fee (Enter amt &lt;= Max Fee from row 131)</t>
  </si>
  <si>
    <t>Tax Credit Equity Pricing:</t>
  </si>
  <si>
    <t>Construction Financing Costs</t>
  </si>
  <si>
    <t>Database Fieldname</t>
  </si>
  <si>
    <t>Link to Proforma</t>
  </si>
  <si>
    <t>Title on Proforma</t>
  </si>
  <si>
    <t xml:space="preserve">Proposed Development </t>
  </si>
  <si>
    <t>Proposed Unit Distribution</t>
  </si>
  <si>
    <t>Target Population</t>
  </si>
  <si>
    <t>Narrative</t>
  </si>
  <si>
    <t>Project Financing</t>
  </si>
  <si>
    <t>Proposed Rental Subsidies</t>
  </si>
  <si>
    <t>Other Number</t>
  </si>
  <si>
    <t>Residual Receipts/Ground Lease Information</t>
  </si>
  <si>
    <t>1st RR Split to Lenders</t>
  </si>
  <si>
    <t>1st RR Split to Deferred Developer Fee</t>
  </si>
  <si>
    <t>2nd RR Split to Lenders</t>
  </si>
  <si>
    <t>2nd RR Split to Deferred Developer Fee</t>
  </si>
  <si>
    <t>non-MOHCD/OCCII Ground Lease Lessor Name</t>
  </si>
  <si>
    <t>Total Developer Fee</t>
  </si>
  <si>
    <t>Amount of Deferred Developer Fee</t>
  </si>
  <si>
    <t xml:space="preserve">FOR IMPORTING TO DATABASE - DO NO TOUCH! </t>
  </si>
  <si>
    <t>Proj_Project Name</t>
  </si>
  <si>
    <t>Proj_Address</t>
  </si>
  <si>
    <t>Proj_Street</t>
  </si>
  <si>
    <t>Proj_ZipCode</t>
  </si>
  <si>
    <t>Proj_StreetSuffix</t>
  </si>
  <si>
    <t>Proj_Units</t>
  </si>
  <si>
    <t>Proj_AffordableUnits</t>
  </si>
  <si>
    <t>Proj_Comm'l Units</t>
  </si>
  <si>
    <t>Proj_Neighborhood</t>
  </si>
  <si>
    <t>Supervisoral District</t>
  </si>
  <si>
    <t>Proj_Total SF</t>
  </si>
  <si>
    <t>BuildingType</t>
  </si>
  <si>
    <t>NumFloorsInBldg</t>
  </si>
  <si>
    <t>Proj_Property Type</t>
  </si>
  <si>
    <t>Proj_Ownership Type</t>
  </si>
  <si>
    <t>Transitional Housing?</t>
  </si>
  <si>
    <t>SupportiveHsg</t>
  </si>
  <si>
    <t>Proj_SROs</t>
  </si>
  <si>
    <t>Proj_Studios</t>
  </si>
  <si>
    <t>Proj_1Bdrms</t>
  </si>
  <si>
    <t>Proj_2Bdrms</t>
  </si>
  <si>
    <t>Proj_3BR</t>
  </si>
  <si>
    <t>Proj_4BR</t>
  </si>
  <si>
    <t>Proj_5+BR</t>
  </si>
  <si>
    <t>Homeless#</t>
  </si>
  <si>
    <t>LOSP#</t>
  </si>
  <si>
    <t>Families#</t>
  </si>
  <si>
    <t>Seniors#</t>
  </si>
  <si>
    <t>Veterans#</t>
  </si>
  <si>
    <t>DV#</t>
  </si>
  <si>
    <t>Substance Abuse#</t>
  </si>
  <si>
    <t>Reentry#</t>
  </si>
  <si>
    <t>Persons with HIV/AIDS#</t>
  </si>
  <si>
    <t>DevelopmentallyDisabled#</t>
  </si>
  <si>
    <t>TAY#</t>
  </si>
  <si>
    <t>HOPWA#</t>
  </si>
  <si>
    <t>PRAC-202#</t>
  </si>
  <si>
    <t>PRAC-811#</t>
  </si>
  <si>
    <t>S+C#</t>
  </si>
  <si>
    <t>VASH#</t>
  </si>
  <si>
    <t>Proj_HOME TBA</t>
  </si>
  <si>
    <t>PBSection8ModRehab#</t>
  </si>
  <si>
    <t>Proj_Other RentAsst</t>
  </si>
  <si>
    <t>AppDate</t>
  </si>
  <si>
    <t>Financing_AcPredev</t>
  </si>
  <si>
    <t>Financing_Perm</t>
  </si>
  <si>
    <t>Op_FirstYr</t>
  </si>
  <si>
    <t>Op_FirstMonth</t>
  </si>
  <si>
    <t>Proj_NewConst</t>
  </si>
  <si>
    <t>Proj_Beds</t>
  </si>
  <si>
    <t>Comm_SF</t>
  </si>
  <si>
    <t>Sponsor</t>
  </si>
  <si>
    <t>PPTOwnrContactName</t>
  </si>
  <si>
    <t>PPTOwnrOrgName</t>
  </si>
  <si>
    <t>PPTOwnrContactTitle</t>
  </si>
  <si>
    <t>PPTOwnrContactEmail</t>
  </si>
  <si>
    <t>PPTOwnrContactPhone</t>
  </si>
  <si>
    <t>HCD?</t>
  </si>
  <si>
    <t>FedFunding?</t>
  </si>
  <si>
    <t>Subsidy_OtherName</t>
  </si>
  <si>
    <t>ResidualReceipt?</t>
  </si>
  <si>
    <t>DeferredDevtFee?</t>
  </si>
  <si>
    <t>FirstResRecSplit_Lenders</t>
  </si>
  <si>
    <t>FirstResRecSplit_Developer</t>
  </si>
  <si>
    <t>SecondResRecSplit_Lenders</t>
  </si>
  <si>
    <t>SecondResRecSplit_Developer</t>
  </si>
  <si>
    <t>DeveloperFee_Total</t>
  </si>
  <si>
    <t>DeveloperFee_Deferred</t>
  </si>
  <si>
    <t>GroundLease_Other?</t>
  </si>
  <si>
    <t>Ground_Lease_Other_LessorName</t>
  </si>
  <si>
    <t>GroundLease_AnnualRent</t>
  </si>
  <si>
    <t>Disabled#</t>
  </si>
  <si>
    <t>Target Population Narrative</t>
  </si>
  <si>
    <t>GL_Key</t>
  </si>
  <si>
    <t>ResidRentAmountDueAnnually</t>
  </si>
  <si>
    <t>BaseRentAmountDueAnnually</t>
  </si>
  <si>
    <t>PBSection8Voucher#</t>
  </si>
  <si>
    <t>Proj_Existing</t>
  </si>
  <si>
    <t>Sec 8-Project-Based</t>
  </si>
  <si>
    <t xml:space="preserve">Project-Based-Section 8 </t>
  </si>
  <si>
    <t>PB-Sec 8 Contract</t>
  </si>
  <si>
    <t>HUD</t>
  </si>
  <si>
    <t>SFHA</t>
  </si>
  <si>
    <t>Sec 8-Project-Based (Mod Rehab SRO)</t>
  </si>
  <si>
    <t>Project-Based-Section 8 (Mod Rehab SRO)</t>
  </si>
  <si>
    <r>
      <t xml:space="preserve">HAP Contract With </t>
    </r>
    <r>
      <rPr>
        <sz val="8"/>
        <rFont val="Arial"/>
        <family val="2"/>
      </rPr>
      <t>(Select if any PB-Sec8 Units)</t>
    </r>
    <r>
      <rPr>
        <sz val="10"/>
        <rFont val="Arial"/>
        <family val="2"/>
      </rPr>
      <t xml:space="preserve">: </t>
    </r>
  </si>
  <si>
    <t>PBSection8#</t>
  </si>
  <si>
    <t>MOHCD Base Rent Due</t>
  </si>
  <si>
    <t>MOHCD Base Rent Proposed to be Paid</t>
  </si>
  <si>
    <t>Balance - MOHCD Base Rent Accrued</t>
  </si>
  <si>
    <t>Cumulative Balance - MOHCD Base Rent Accrued</t>
  </si>
  <si>
    <t>MOHCD Residual Rent Due</t>
  </si>
  <si>
    <t>MOHCD Residual Rent Proposed to be Paid</t>
  </si>
  <si>
    <t>Balance - MOHCD Residual Rent Accrued</t>
  </si>
  <si>
    <t>Cumulative Balance - MOHCD Residual Rent Accrued</t>
  </si>
  <si>
    <t>Total # Units:</t>
  </si>
  <si>
    <t>Small Sites</t>
  </si>
  <si>
    <t>Proposed MOHCD Residual Receipts Amount to Replacement Reserve</t>
  </si>
  <si>
    <t xml:space="preserve">MOHCD res rects to Rep Res (RR) until RR balance &gt;= 1.5 Original Capitalized RR amt. </t>
  </si>
  <si>
    <t>Term (Years):</t>
  </si>
  <si>
    <t>Supportable 1st Mortgage Pmt:</t>
  </si>
  <si>
    <t>EUL= Average Estimated Useful Life</t>
  </si>
  <si>
    <t>REPLACEMENT RESERVE STUDY</t>
  </si>
  <si>
    <t>RUL= Remaining Useful Life</t>
  </si>
  <si>
    <t>Replacement Cost</t>
  </si>
  <si>
    <t>AVG</t>
  </si>
  <si>
    <t>Immediate</t>
  </si>
  <si>
    <t>TOTAL</t>
  </si>
  <si>
    <t>ITEM</t>
  </si>
  <si>
    <t>DESCRIPTION</t>
  </si>
  <si>
    <t>EUL</t>
  </si>
  <si>
    <t>RUL</t>
  </si>
  <si>
    <t>Low</t>
  </si>
  <si>
    <t>High</t>
  </si>
  <si>
    <t>COST</t>
  </si>
  <si>
    <t>Units</t>
  </si>
  <si>
    <t>Needs</t>
  </si>
  <si>
    <t>Common Area</t>
  </si>
  <si>
    <t>Required Expenditures from Reserves</t>
  </si>
  <si>
    <t xml:space="preserve">Date of CNA: </t>
  </si>
  <si>
    <t>Inflated Expeditures from Reserves</t>
  </si>
  <si>
    <t xml:space="preserve">Sponsor: </t>
  </si>
  <si>
    <t xml:space="preserve">Project Name: </t>
  </si>
  <si>
    <t xml:space="preserve">HIDE THIS ROW!! Used for calculating last row in list of CNA scope items. </t>
  </si>
  <si>
    <t xml:space="preserve">10-Year Inflated Total: </t>
  </si>
  <si>
    <t>Development Cost/Unit by Source</t>
  </si>
  <si>
    <t>Development Cost/Unit as % of TDC by Source</t>
  </si>
  <si>
    <t>Construction Cost (inc Const Contingency)/Unit By Source</t>
  </si>
  <si>
    <t>Construction Cost (inc Const Contingency)/SF</t>
  </si>
  <si>
    <t>Acquisition Cost/Unit by Source</t>
  </si>
  <si>
    <t>Household Income AMI</t>
  </si>
  <si>
    <t>100% AMI</t>
  </si>
  <si>
    <r>
      <t xml:space="preserve">Current Unit Restriction
</t>
    </r>
    <r>
      <rPr>
        <sz val="8"/>
        <rFont val="Arial"/>
        <family val="2"/>
      </rPr>
      <t>(select below)</t>
    </r>
  </si>
  <si>
    <r>
      <t xml:space="preserve">Proposed Unit Restriction
</t>
    </r>
    <r>
      <rPr>
        <sz val="8"/>
        <color theme="1"/>
        <rFont val="Arial"/>
        <family val="2"/>
      </rPr>
      <t>(select below)
If no change from current, press button below to copy Col C.</t>
    </r>
  </si>
  <si>
    <t>Rent Burden @ Proposed Tenant Gross Rent</t>
  </si>
  <si>
    <r>
      <rPr>
        <b/>
        <sz val="9"/>
        <rFont val="Arial"/>
        <family val="2"/>
      </rPr>
      <t>Total</t>
    </r>
    <r>
      <rPr>
        <sz val="9"/>
        <rFont val="Arial"/>
        <family val="2"/>
      </rPr>
      <t xml:space="preserve"> </t>
    </r>
    <r>
      <rPr>
        <b/>
        <sz val="9"/>
        <rFont val="Arial"/>
        <family val="2"/>
      </rPr>
      <t xml:space="preserve"># Units 
</t>
    </r>
    <r>
      <rPr>
        <sz val="9"/>
        <rFont val="Arial"/>
        <family val="2"/>
      </rPr>
      <t>(inc. Mgr's Unit)</t>
    </r>
  </si>
  <si>
    <t xml:space="preserve">Monthly Proposed Max Tenant Rent: </t>
  </si>
  <si>
    <t xml:space="preserve">Annual Proposed Max Tenant Rent: </t>
  </si>
  <si>
    <t>Summary of Current and Proposed Affordability Limits</t>
  </si>
  <si>
    <t>In the table below, please provide information about all existing and proposed project financing, including all hard and soft debt lenders. Lenders should be listed in lien</t>
  </si>
  <si>
    <t>order with the most senior lender in the first lien position and the most junior lender in the last lien position. Enter information for all columns. If not applicable, enter "N/A."</t>
  </si>
  <si>
    <t xml:space="preserve">Does/Will the project have a MOHCD/OCII ground lease? </t>
  </si>
  <si>
    <t xml:space="preserve">Does/Will the project have a non-MOHCD/OCII ground lease? </t>
  </si>
  <si>
    <t>Local Funding Programs:</t>
  </si>
  <si>
    <t>City Share Replacement Reserve Deposit (Small Sites Only)</t>
  </si>
  <si>
    <t># of</t>
  </si>
  <si>
    <t xml:space="preserve">Average Household AMI: </t>
  </si>
  <si>
    <r>
      <t xml:space="preserve">Property Tax Payment (Small Sites)
</t>
    </r>
    <r>
      <rPr>
        <sz val="8"/>
        <color theme="1"/>
        <rFont val="Arial"/>
        <family val="2"/>
      </rPr>
      <t>Enter "Exempt" if unit is exempt. Otherwise, provide Property Tax Payment Amount.</t>
    </r>
    <r>
      <rPr>
        <b/>
        <sz val="10"/>
        <color theme="1"/>
        <rFont val="Arial"/>
        <family val="2"/>
      </rPr>
      <t xml:space="preserve"> </t>
    </r>
  </si>
  <si>
    <r>
      <t xml:space="preserve">Increase in Tenant Rent (Small Sites)
</t>
    </r>
    <r>
      <rPr>
        <sz val="8"/>
        <color theme="1"/>
        <rFont val="Arial"/>
        <family val="2"/>
      </rPr>
      <t>Enter additional amount tenant rent will increase.</t>
    </r>
  </si>
  <si>
    <t>MOHCD/OCII</t>
  </si>
  <si>
    <t>Rent Burden @ Proposed Tenant Rent</t>
  </si>
  <si>
    <t>Proposed Tenant Rent Amount 
(Year 1)</t>
  </si>
  <si>
    <t>Proposed Tenant Rent Amount 
(Year 2)</t>
  </si>
  <si>
    <t>Proposed Tenant Rent Amount 
(Year 3)</t>
  </si>
  <si>
    <t>Proposed Tenant Rent Amount 
(Year 4)</t>
  </si>
  <si>
    <t>Proposed Tenant Rent Amount 
(Year 5)</t>
  </si>
  <si>
    <t>Target AMI%</t>
  </si>
  <si>
    <t>As-Restricted 
(for Modeling Purposes Only)</t>
  </si>
  <si>
    <r>
      <t xml:space="preserve">Target Tenant Rent 
</t>
    </r>
    <r>
      <rPr>
        <sz val="10"/>
        <color theme="1"/>
        <rFont val="Arial"/>
        <family val="2"/>
      </rPr>
      <t>(excludes Utility Allowance)</t>
    </r>
  </si>
  <si>
    <t>As-Restricted Rental Income</t>
  </si>
  <si>
    <t>Annual:</t>
  </si>
  <si>
    <t>Monthly:</t>
  </si>
  <si>
    <r>
      <t xml:space="preserve">Proposed Income Limit 
</t>
    </r>
    <r>
      <rPr>
        <sz val="8"/>
        <color theme="1"/>
        <rFont val="Arial"/>
        <family val="2"/>
      </rPr>
      <t>(% MOHCD AMI) 
If no change from current, press button below to copy Col O.</t>
    </r>
  </si>
  <si>
    <r>
      <t xml:space="preserve">Units </t>
    </r>
    <r>
      <rPr>
        <i/>
        <sz val="10"/>
        <rFont val="Arial"/>
        <family val="2"/>
      </rPr>
      <t>(Group improvements by unit number below)</t>
    </r>
  </si>
  <si>
    <t>Years 1 - 20</t>
  </si>
  <si>
    <t>Deferred Developer Fee Earned in Year</t>
  </si>
  <si>
    <t>Max Deferred Developer Fee Amt:</t>
  </si>
  <si>
    <t>Cum. Deferred Developer Fee:</t>
  </si>
  <si>
    <t>This file may open in Protected view. If the warning message below appears, click "Enable Editing" in order to proceed.</t>
  </si>
  <si>
    <t>Worksheet: 1.GeneralProjectInfo</t>
  </si>
  <si>
    <r>
      <t xml:space="preserve">Begin here. Input to this worksheet will flow into the other worksheets in this file. Therefore, </t>
    </r>
    <r>
      <rPr>
        <b/>
        <i/>
        <sz val="11"/>
        <rFont val="Calibri"/>
        <family val="2"/>
        <scheme val="minor"/>
      </rPr>
      <t>it is very important that this worksheet is completed with all errors fixed before moving onto the other blue worksheets</t>
    </r>
    <r>
      <rPr>
        <sz val="11"/>
        <rFont val="Calibri"/>
        <family val="2"/>
        <scheme val="minor"/>
      </rPr>
      <t xml:space="preserve">. This worksheet collects general project information, information about target populations, rental subsidies, as well as project financing information. </t>
    </r>
    <r>
      <rPr>
        <b/>
        <i/>
        <sz val="11"/>
        <rFont val="Calibri"/>
        <family val="2"/>
        <scheme val="minor"/>
      </rPr>
      <t>If applicable, be sure to select the local funding program</t>
    </r>
    <r>
      <rPr>
        <sz val="11"/>
        <rFont val="Calibri"/>
        <family val="2"/>
        <scheme val="minor"/>
      </rPr>
      <t xml:space="preserve"> (Small Sites or LOSP) at the top of the page</t>
    </r>
    <r>
      <rPr>
        <i/>
        <sz val="11"/>
        <rFont val="Calibri"/>
        <family val="2"/>
        <scheme val="minor"/>
      </rPr>
      <t>.</t>
    </r>
    <r>
      <rPr>
        <sz val="11"/>
        <rFont val="Calibri"/>
        <family val="2"/>
        <scheme val="minor"/>
      </rPr>
      <t xml:space="preserve"> This will ensure that the appropriate format of the following worksheets is displayed for data entry and printing. </t>
    </r>
  </si>
  <si>
    <t>Worksheet: 2.Utilities&amp;OtherIncome</t>
  </si>
  <si>
    <t>Worksheets: 3a.NewProj-Rent&amp;UnitMix/3b.ExistingProj-RentRoll</t>
  </si>
  <si>
    <t>Worksheets: 4a.PredevS&amp;U/4b.PermanentS&amp;U</t>
  </si>
  <si>
    <r>
      <rPr>
        <b/>
        <i/>
        <sz val="11"/>
        <rFont val="Calibri"/>
        <family val="2"/>
        <scheme val="minor"/>
      </rPr>
      <t>Fill out only one worksheet, not both.</t>
    </r>
    <r>
      <rPr>
        <sz val="11"/>
        <rFont val="Calibri"/>
        <family val="2"/>
        <scheme val="minor"/>
      </rPr>
      <t xml:space="preserve"> For new developments, provide rent and unit information on the worksheet "</t>
    </r>
    <r>
      <rPr>
        <b/>
        <sz val="11"/>
        <rFont val="Calibri"/>
        <family val="2"/>
        <scheme val="minor"/>
      </rPr>
      <t>3a.New Proj-Rent&amp;UnitMix</t>
    </r>
    <r>
      <rPr>
        <sz val="11"/>
        <rFont val="Calibri"/>
        <family val="2"/>
        <scheme val="minor"/>
      </rPr>
      <t>". 
For existing developments, provide rent and unit information on the worksheet "</t>
    </r>
    <r>
      <rPr>
        <b/>
        <sz val="11"/>
        <rFont val="Calibri"/>
        <family val="2"/>
        <scheme val="minor"/>
      </rPr>
      <t>3b.ExistingProj-RentRoll</t>
    </r>
    <r>
      <rPr>
        <sz val="11"/>
        <rFont val="Calibri"/>
        <family val="2"/>
        <scheme val="minor"/>
      </rPr>
      <t xml:space="preserve">". Input to these worksheets will flow into the other worksheets in this file. </t>
    </r>
  </si>
  <si>
    <r>
      <t>Complete either "</t>
    </r>
    <r>
      <rPr>
        <b/>
        <sz val="11"/>
        <rFont val="Calibri"/>
        <family val="2"/>
        <scheme val="minor"/>
      </rPr>
      <t>4a.PredevS&amp;U</t>
    </r>
    <r>
      <rPr>
        <sz val="11"/>
        <rFont val="Calibri"/>
        <family val="2"/>
        <scheme val="minor"/>
      </rPr>
      <t>" or "</t>
    </r>
    <r>
      <rPr>
        <b/>
        <sz val="11"/>
        <rFont val="Calibri"/>
        <family val="2"/>
        <scheme val="minor"/>
      </rPr>
      <t>4b.PermanentS&amp;U</t>
    </r>
    <r>
      <rPr>
        <sz val="11"/>
        <rFont val="Calibri"/>
        <family val="2"/>
        <scheme val="minor"/>
      </rPr>
      <t xml:space="preserve">" depending on the funding requested. Insert the number of bedrooms on the top right of the "Sources &amp; Uses" worksheet. Then, insert the names of any Other Sources of funding besides MOHCD, in the yellow highlighted cells, to the right of the "MOHCD" column. If needed for a permanent financing request, insert additional columns for sources and uses. 
Use the line items to describe all the uses of funds proposed to be paid by each identified Source. Use the "Comments" column to describe how the amounts are derived, i.e., whether the costs are estimated or bid and provide any other relevant information which justifies the budgeted expenses, such as cost per square foot, an applicable percentage of other costs (e.g. construction contingency as a percentage of construction costs), or an estimated number of work hours. Explain any costs that are not consistent with MOHCD underwriting guidelines.  </t>
    </r>
  </si>
  <si>
    <t>Worksheet: 5.CommOp.Budget</t>
  </si>
  <si>
    <t>DATA ENTRY WORKSHEETS</t>
  </si>
  <si>
    <t>Small Sites Program ONLY - Worksheet: CNA</t>
  </si>
  <si>
    <t>OUTPUT WORKSHEETS</t>
  </si>
  <si>
    <t xml:space="preserve">MOHCD - DEVELOPMENT &amp; OPERATING BUDGET PROFORMA TEMPLATE -- INSTRUCTIONS </t>
  </si>
  <si>
    <t>Worksheet: 20YrSummary</t>
  </si>
  <si>
    <t xml:space="preserve">Summarizes the worksheet "7.20YrDetails". </t>
  </si>
  <si>
    <t>Worksheet:1stYrOpBudget-LoanDoc</t>
  </si>
  <si>
    <t xml:space="preserve">Same as worksheet "6.1styrOpBudget", but prints on 8.5"x11". </t>
  </si>
  <si>
    <t>Worksheet: 20YrDetails-LoanDoc</t>
  </si>
  <si>
    <t>Same as worksheet "7.20YrDetails", but prints on 8.5"x11".</t>
  </si>
  <si>
    <t>LOSP Projects ONLY - Worksheet: ExhibitsA1&amp;A2</t>
  </si>
  <si>
    <t xml:space="preserve">LOSP Funding and Disbursement schedules. </t>
  </si>
  <si>
    <r>
      <t xml:space="preserve">This workbook contains worksheets colored </t>
    </r>
    <r>
      <rPr>
        <b/>
        <i/>
        <sz val="11"/>
        <color rgb="FFFF0000"/>
        <rFont val="Calibri"/>
        <family val="2"/>
        <scheme val="minor"/>
      </rPr>
      <t>red</t>
    </r>
    <r>
      <rPr>
        <b/>
        <i/>
        <sz val="11"/>
        <rFont val="Calibri"/>
        <family val="2"/>
        <scheme val="minor"/>
      </rPr>
      <t xml:space="preserve"> (Instructions), </t>
    </r>
    <r>
      <rPr>
        <b/>
        <i/>
        <sz val="11"/>
        <color rgb="FF00B0F0"/>
        <rFont val="Calibri"/>
        <family val="2"/>
        <scheme val="minor"/>
      </rPr>
      <t>blue</t>
    </r>
    <r>
      <rPr>
        <b/>
        <i/>
        <sz val="11"/>
        <rFont val="Calibri"/>
        <family val="2"/>
        <scheme val="minor"/>
      </rPr>
      <t xml:space="preserve"> (data entry), and </t>
    </r>
    <r>
      <rPr>
        <b/>
        <i/>
        <sz val="11"/>
        <color rgb="FF92D050"/>
        <rFont val="Calibri"/>
        <family val="2"/>
        <scheme val="minor"/>
      </rPr>
      <t>green</t>
    </r>
    <r>
      <rPr>
        <b/>
        <i/>
        <sz val="11"/>
        <rFont val="Calibri"/>
        <family val="2"/>
        <scheme val="minor"/>
      </rPr>
      <t xml:space="preserve"> (output only - no data entry). Data entry is allowed only in the yellow highlighted cells on the blue worksheets. Instructions are also provided in the data entry worksheets.  Throughout the workbook, red error messages will appear if data has not been correctly entered. Once corrected, red error messages will disappear. </t>
    </r>
  </si>
  <si>
    <t>OTHER NOTES</t>
  </si>
  <si>
    <t xml:space="preserve">Note: Hidden columns are in between total columns. To update/delete values in yellow cells, manipulate each cell rather than dragging across multiple cells. </t>
  </si>
  <si>
    <r>
      <t xml:space="preserve">Column F can be used to provide the rate of annual increase for bduget line items. Default rates have are autopopulated. 
Reserves/Ground Lease Base Rent/Bond Fees and hard debt service autopopulate based on 1st Year data entry. Update as needed. </t>
    </r>
    <r>
      <rPr>
        <i/>
        <sz val="11"/>
        <rFont val="Calibri"/>
        <family val="2"/>
        <scheme val="minor"/>
      </rPr>
      <t xml:space="preserve">Note: Hidden columns are in between total columns. To update/delete values in yellow cells, manipulate each cell rather than dragging across multiple cells. </t>
    </r>
    <r>
      <rPr>
        <sz val="11"/>
        <rFont val="Calibri"/>
        <family val="2"/>
        <scheme val="minor"/>
      </rPr>
      <t xml:space="preserve">
Enter uses of cash flow that preceded MOHCD debt service in water fall for years 2-20. 
Lastly, be sure to provide the starting balance, withdrawals, and interest earnings for the Replacement Reserve, Operating Reserve, and any other required reserves. 
Supply comments explain how proposed costs were estimated or derived, what assumptions were made, what other projects were the costs based on. Please also provide comments to explain any formulas used. </t>
    </r>
  </si>
  <si>
    <t xml:space="preserve">Proposed Tenant Rent Amount 
</t>
  </si>
  <si>
    <t>(Annual Proposed Tenant Rent for Yrs 2-5 links to 20YrDetails, row 9)</t>
  </si>
  <si>
    <t>(To add row for Common Area Improvements, click button to left. Be sure to keep row 63 blank. New rows will be inserted after row 63.)</t>
  </si>
  <si>
    <t>(To add row for Unit Improvements, click button to left. Be sure to keep row 136 blank. New rows will be inserted after row 136.)</t>
  </si>
  <si>
    <t>City Subsidy/Unit</t>
  </si>
  <si>
    <t>Report</t>
  </si>
  <si>
    <t>Section #</t>
  </si>
  <si>
    <t>( Yr 1 links to 1stYrOpBudget, row 9)</t>
  </si>
  <si>
    <t xml:space="preserve">Replacement Reserve Deposits (Non-Operating Account) </t>
  </si>
  <si>
    <t xml:space="preserve">Enter a full year of budget data, regardless of the projected start month. Data flows automatically from this worksheet into the "20Yr-Details" worksheet. Note that some data will be pulled from the worksheets 1, 2, 3, and 5, if applicable. Red error messages will appear if debt service comments have not been provided. Once corrected, red error messages will disappear. 
Supply comments explain how proposed costs were estimated or derived, what assumptions were made, what other projects were the costs based on. Please also provide comments to explain any formulas used. 
For LOSP projects, if Shelter+Care (S+C) subsidy is anticipated, 100% of S+C Subsidy should be allocated to LOSP units, per LOSP program guidelines. </t>
  </si>
  <si>
    <t>Next, enter assumptions about utilities and other project income here. Input to this worksheet will flow into the other worksheets in this file.</t>
  </si>
  <si>
    <t>The CNA worksheet is split into two main categories, “Common Area” and “Units.”  Input improvements in clearly delineated subcategories, e.g. Electrical, Structural, Plumbing, Exterior, Interior, Grounds and by individual unit numbers.  These subcategories should be bolded and/or in CAPS to clarify the division between them.  Use “Item” column to list proposed improvements.  Use “Description” column to provide a more detailed description of items in the “Item” column, i.e. any details about the materials to be used, whether the item will be replaced or repaired, rationale for timing or treatment of individual scope items, etc.  Use the “Add Comment” button to leave a comment anywhere in the document.  Include the report name and page # of each scope item in the “Report Section #” column for reference.  The worksheet will tabulate the immediate needs scope and 10-year total which can be linked to tab 4b.PermanentS&amp;U and each subsequent year which are automatically included in tab 7.20YrDetails as withdrawals from the project’s replacement reserves.</t>
  </si>
  <si>
    <t xml:space="preserve">Avg Pre-Acq Rent by AMI: </t>
  </si>
  <si>
    <r>
      <t xml:space="preserve">Unit Size
</t>
    </r>
    <r>
      <rPr>
        <sz val="8"/>
        <rFont val="Arial"/>
        <family val="2"/>
      </rPr>
      <t>(square feet)</t>
    </r>
  </si>
  <si>
    <t>(Number above links to 1st Year Op. Budget, cell F10)</t>
  </si>
  <si>
    <t>Name of Sources:</t>
  </si>
  <si>
    <t>Project Start Date:</t>
  </si>
  <si>
    <t>Calendar Year</t>
  </si>
  <si>
    <t>Full Year 
Funding Amount</t>
  </si>
  <si>
    <t xml:space="preserve"># Months to Fund </t>
  </si>
  <si>
    <t>Total Disbursement for 
Calendar Year</t>
  </si>
  <si>
    <t>Estimated Disbursement Date</t>
  </si>
  <si>
    <t xml:space="preserve">Total Contract Amount: </t>
  </si>
  <si>
    <r>
      <t xml:space="preserve">Projected Start Date </t>
    </r>
    <r>
      <rPr>
        <b/>
        <i/>
        <sz val="11"/>
        <rFont val="Calibri"/>
        <family val="2"/>
      </rPr>
      <t>(must be on 1st of the month!)</t>
    </r>
    <r>
      <rPr>
        <b/>
        <sz val="10"/>
        <rFont val="Arial"/>
        <family val="2"/>
      </rPr>
      <t>:</t>
    </r>
  </si>
  <si>
    <t xml:space="preserve">MOHCD STAFF: Exhibit A (right side) is intended to replace Exhibit A1-A2, but there may be instances where we must still use A1-A2. Please check with Mike &amp; Anne for additional information and Guidance. 
Schedule A is set as the print area. Reset if Exhibit A1-A2 is used. </t>
  </si>
  <si>
    <t>Exhibit A</t>
  </si>
  <si>
    <t>Holding Costs</t>
  </si>
  <si>
    <t>Transfer Tax</t>
  </si>
  <si>
    <t>Commercial Shell Construction</t>
  </si>
  <si>
    <t>Onsight Improvements/Landscaping</t>
  </si>
  <si>
    <t>Infrastructure Improvements</t>
  </si>
  <si>
    <t>GC Overhead &amp; Profit</t>
  </si>
  <si>
    <t>CG General Conditions</t>
  </si>
  <si>
    <t>Sub-total Construction Costs</t>
  </si>
  <si>
    <t>Design Contingency (remove at DD)</t>
  </si>
  <si>
    <t>Bid Contingency (remove at bid)</t>
  </si>
  <si>
    <t>Plan Check Contingency (remove/reduce during Plan Review)</t>
  </si>
  <si>
    <t>Hard Cost Construction Contingency</t>
  </si>
  <si>
    <t>HOPE SF/OCII costs for streets etc.</t>
  </si>
  <si>
    <t>5% up to $30MM HC, 4% $30-$45MM, 3% $45MM+</t>
  </si>
  <si>
    <t>4% up to $30MM HC, 3% $30-$45MM, 2% $45MM+</t>
  </si>
  <si>
    <t>5% new construction / 15% rehab</t>
  </si>
  <si>
    <t>Architect design fees</t>
  </si>
  <si>
    <t>Design Subconsultants to the Architect (incl. Fees)</t>
  </si>
  <si>
    <t>Architect Construction Admin</t>
  </si>
  <si>
    <t>Reimbursables</t>
  </si>
  <si>
    <t>Additional Services</t>
  </si>
  <si>
    <t>Sub-total Architect Contract</t>
  </si>
  <si>
    <t>Other Third Party design consultants (not included under Architect contract)</t>
  </si>
  <si>
    <t>Consultants not covered under architect contract; name consultant type and contract amount</t>
  </si>
  <si>
    <t>CNA/PNA (rehab only)</t>
  </si>
  <si>
    <t>Other environmental consultants</t>
  </si>
  <si>
    <t>CDLAC &amp; CDIAC fees</t>
  </si>
  <si>
    <t>Bond Issuer Fees</t>
  </si>
  <si>
    <t xml:space="preserve">Other Bond Cost of Issuance </t>
  </si>
  <si>
    <t>Other Lender Costs (specify)</t>
  </si>
  <si>
    <t>Borrower Legal fees</t>
  </si>
  <si>
    <t>Land Use / CEQA Attorney fees</t>
  </si>
  <si>
    <t>Tax Credit Counsel</t>
  </si>
  <si>
    <t>Bond Counsel</t>
  </si>
  <si>
    <t>Construction Lender Counsel</t>
  </si>
  <si>
    <t>Permanent Lender Counsel</t>
  </si>
  <si>
    <t>Other Legal (specify)</t>
  </si>
  <si>
    <t>Other Development Costs</t>
  </si>
  <si>
    <t>Accounting / Audit</t>
  </si>
  <si>
    <t>CEQA / Environmental Review consultants</t>
  </si>
  <si>
    <t>NEPA / 106 Review</t>
  </si>
  <si>
    <t>Legal / Closing costs / Broker's Fee</t>
  </si>
  <si>
    <t>Organizational Costs</t>
  </si>
  <si>
    <t>Entitlement / Permit Fees</t>
  </si>
  <si>
    <t>Marketing / Rent-up</t>
  </si>
  <si>
    <t>PGE / Utility Fees</t>
  </si>
  <si>
    <t>TCAC App / Alloc / Monitor Fees</t>
  </si>
  <si>
    <t>Financial Consultant fees</t>
  </si>
  <si>
    <t>Construction Management fees / Owner's Rep</t>
  </si>
  <si>
    <t>Security during Construction</t>
  </si>
  <si>
    <t>Total Other Development Costs</t>
  </si>
  <si>
    <t>Tenant Improvements Reserves</t>
  </si>
  <si>
    <t>Need MOHCD approval for this cost, N/A for most projects</t>
  </si>
  <si>
    <t>Construction Bond Amount:</t>
  </si>
  <si>
    <t>Architecture &amp; Design</t>
  </si>
  <si>
    <t>Engineering &amp; Environmental Studies</t>
  </si>
  <si>
    <t>Total Architecture &amp; Design</t>
  </si>
  <si>
    <t>Total Engineering &amp; Environmental Studies</t>
  </si>
  <si>
    <t>Construction Loan Interest Rate (as %):</t>
  </si>
  <si>
    <t>Total Soft Cost Contingency as % of Total Soft Costs</t>
  </si>
  <si>
    <t>$2,000/unit; See MOHCD U/W Guidelines on: http://sfmohcd.org/documents-reports-and-forms</t>
  </si>
  <si>
    <t>See MOHCD A&amp;E Fee Guidelines: http://sfmohcd.org/documents-reports-and-forms</t>
  </si>
  <si>
    <t>Commercial Space 1</t>
  </si>
  <si>
    <t>Commercial Space 2</t>
  </si>
  <si>
    <t>Commercial Space 3</t>
  </si>
  <si>
    <t>Commercial Space 4</t>
  </si>
  <si>
    <t>Commercial Space 5</t>
  </si>
  <si>
    <t xml:space="preserve">Rent/SF/Month: </t>
  </si>
  <si>
    <t>Repayment of City Loan from Cash Out (Small Sites Only)</t>
  </si>
  <si>
    <t>Construction line item costs as a % of hard costs</t>
  </si>
  <si>
    <t>$2,000/unit; See MOHCD U/W Guidelines: http://sfmohcd.org/documents-reports-and-forms</t>
  </si>
  <si>
    <t>OR Balance as a % of Prior Yr Op Exps + Debt Service</t>
  </si>
  <si>
    <t>RR Balance/Unit</t>
  </si>
  <si>
    <r>
      <t xml:space="preserve">Calculated Unadjusted MOHCD AMI 
</t>
    </r>
    <r>
      <rPr>
        <sz val="8"/>
        <rFont val="Arial"/>
        <family val="2"/>
      </rPr>
      <t>(Current Tenant Rent + Monthly Rental Assistance + Utility Allowance expressed as % of rent based on 100% AMI.)</t>
    </r>
  </si>
  <si>
    <r>
      <t xml:space="preserve">Calculated Unadjusted MOHCD AMI 
</t>
    </r>
    <r>
      <rPr>
        <sz val="8"/>
        <rFont val="Arial"/>
        <family val="2"/>
      </rPr>
      <t>(Proposed Tenant Rent + Monthly Renatl Assistance + Utility Allowance expressed as % of rent based on 100% AMI.)</t>
    </r>
  </si>
  <si>
    <t>HH Size</t>
  </si>
  <si>
    <t>Low Income (80%)</t>
  </si>
  <si>
    <t xml:space="preserve">Column Displays for SSP and non-SSP: </t>
  </si>
  <si>
    <t>SSP</t>
  </si>
  <si>
    <t>BOTH</t>
  </si>
  <si>
    <t>NON</t>
  </si>
  <si>
    <t>Commercial Management Fee</t>
  </si>
  <si>
    <t xml:space="preserve">Fee to be based on recommendation of current market study. </t>
  </si>
  <si>
    <t xml:space="preserve">Confirm Maximum Rent amounts with schedules published by MOHCD. For Small Sites Projects, also update Low Income limits published by HCD. </t>
  </si>
  <si>
    <t>Contingency (Arch, Eng, Fin, Legal  &amp; Other Dev)</t>
  </si>
  <si>
    <t xml:space="preserve">Should be either 10% or 5% of total soft costs. </t>
  </si>
  <si>
    <t xml:space="preserve">Total Funding: </t>
  </si>
  <si>
    <t>Sub-total Construction Contingencies</t>
  </si>
  <si>
    <t>Permanent Financing Costs</t>
  </si>
  <si>
    <t>Construction Loan Term (in months):</t>
  </si>
  <si>
    <t>Offsite Improvements</t>
  </si>
  <si>
    <t>GC Bond Premium/GC Insurance/GC Taxes</t>
  </si>
  <si>
    <t>Name consultants &amp; contract amounts</t>
  </si>
  <si>
    <t>Include FF&amp;E</t>
  </si>
  <si>
    <r>
      <t xml:space="preserve">This application for financing is for </t>
    </r>
    <r>
      <rPr>
        <sz val="10"/>
        <rFont val="Arial"/>
        <family val="2"/>
      </rPr>
      <t>(</t>
    </r>
    <r>
      <rPr>
        <i/>
        <sz val="10"/>
        <rFont val="Arial"/>
        <family val="2"/>
      </rPr>
      <t xml:space="preserve">select only </t>
    </r>
    <r>
      <rPr>
        <i/>
        <u/>
        <sz val="10"/>
        <rFont val="Arial"/>
        <family val="2"/>
      </rPr>
      <t>one</t>
    </r>
    <r>
      <rPr>
        <sz val="10"/>
        <rFont val="Arial"/>
        <family val="2"/>
      </rPr>
      <t>)</t>
    </r>
    <r>
      <rPr>
        <b/>
        <sz val="10"/>
        <rFont val="Arial"/>
        <family val="2"/>
      </rPr>
      <t xml:space="preserve">: </t>
    </r>
  </si>
  <si>
    <t># Floors</t>
  </si>
  <si>
    <t xml:space="preserve">Enter # of persons within each target proposed to be served: </t>
  </si>
  <si>
    <r>
      <t xml:space="preserve">Lender </t>
    </r>
    <r>
      <rPr>
        <sz val="10"/>
        <rFont val="Arial"/>
        <family val="2"/>
      </rPr>
      <t>(and Funding Program if applicable)</t>
    </r>
  </si>
  <si>
    <t xml:space="preserve">Does/Will the project have a MOHCD/OCII Residual Receipts loan repayment obligation? </t>
  </si>
  <si>
    <t>have two different Residual Receipts splits? (See Developer Fee Policy.)</t>
  </si>
  <si>
    <t xml:space="preserve">RESTRICTED UNITS - NO RENTAL SUBSIDY </t>
  </si>
  <si>
    <r>
      <t xml:space="preserve">In the four tables below, enter information for restricted units that </t>
    </r>
    <r>
      <rPr>
        <u/>
        <sz val="10"/>
        <color rgb="FF0070C0"/>
        <rFont val="Arial"/>
        <family val="2"/>
      </rPr>
      <t>will not receive any rental subsidy</t>
    </r>
    <r>
      <rPr>
        <sz val="10"/>
        <color rgb="FF0070C0"/>
        <rFont val="Arial"/>
        <family val="2"/>
      </rPr>
      <t xml:space="preserve">. Use one table for each AMI/rent limit level proposed for the project. First select the applicable income limit  and corresponding regulatory agency that sets the Applicable Rent Limit. Enter the number of units at the selected AMI level. The table will automatically populate with the current Maximum Gross Rent and Utility Allowance. After reviewing the Maximum Gross Rent, then enter the Proposed Tenant Paid Rents based on the most restrictive funder that are at or below the MOHCD Maximum Tenant Paid Rent. 
</t>
    </r>
    <r>
      <rPr>
        <b/>
        <sz val="10"/>
        <color rgb="FFFF0000"/>
        <rFont val="Arial"/>
        <family val="2"/>
      </rPr>
      <t xml:space="preserve">
</t>
    </r>
    <r>
      <rPr>
        <sz val="10"/>
        <color rgb="FFFF0000"/>
        <rFont val="Arial"/>
        <family val="2"/>
      </rPr>
      <t>Note that TCAC is an available Applicable Rent Limit for analytical purposes only. The final version of the proforma must be based on MOHCD AMI/rent levels.</t>
    </r>
  </si>
  <si>
    <r>
      <t xml:space="preserve">Please use the tables below to provide detailed information about other projected </t>
    </r>
    <r>
      <rPr>
        <b/>
        <u/>
        <sz val="10"/>
        <color rgb="FF0070C0"/>
        <rFont val="Arial"/>
        <family val="2"/>
      </rPr>
      <t>monthly</t>
    </r>
    <r>
      <rPr>
        <sz val="10"/>
        <color rgb="FF0070C0"/>
        <rFont val="Arial"/>
        <family val="2"/>
      </rPr>
      <t xml:space="preserve"> residential and commercial income. </t>
    </r>
    <r>
      <rPr>
        <b/>
        <sz val="10"/>
        <color rgb="FF0070C0"/>
        <rFont val="Arial"/>
        <family val="2"/>
      </rPr>
      <t xml:space="preserve">The information provided below will link to income line items in the 1st year Operating Budget worksheet. </t>
    </r>
  </si>
  <si>
    <r>
      <rPr>
        <b/>
        <sz val="10"/>
        <rFont val="Arial"/>
        <family val="2"/>
      </rPr>
      <t>Narrative:</t>
    </r>
    <r>
      <rPr>
        <i/>
        <sz val="10"/>
        <color rgb="FF0070C0"/>
        <rFont val="Arial"/>
        <family val="2"/>
      </rPr>
      <t xml:space="preserve"> </t>
    </r>
    <r>
      <rPr>
        <sz val="9"/>
        <color rgb="FF0070C0"/>
        <rFont val="Arial"/>
        <family val="2"/>
      </rPr>
      <t xml:space="preserve">Please provide summary of  </t>
    </r>
  </si>
  <si>
    <t>RESTRICTED UNITS - WITH RENTAL SUBSIDY</t>
  </si>
  <si>
    <r>
      <t xml:space="preserve">Proposed Tenant Paid Rent 
</t>
    </r>
    <r>
      <rPr>
        <sz val="10"/>
        <rFont val="Arial"/>
        <family val="2"/>
      </rPr>
      <t>(most restrictive)</t>
    </r>
  </si>
  <si>
    <t>Proposed Tenant Paid Rent &amp; Utility Allowance expressed as a % of rent based on 100% unadjusted (MOHCD) AMI</t>
  </si>
  <si>
    <r>
      <t xml:space="preserve">In the four tables below, only enter information for restricted units that </t>
    </r>
    <r>
      <rPr>
        <u/>
        <sz val="10"/>
        <color rgb="FF0070C0"/>
        <rFont val="Arial"/>
        <family val="2"/>
      </rPr>
      <t>will receive rental subsidy</t>
    </r>
    <r>
      <rPr>
        <sz val="10"/>
        <color rgb="FF0070C0"/>
        <rFont val="Arial"/>
        <family val="2"/>
      </rPr>
      <t xml:space="preserve">. Use one table for each AMI/rent limit level with subsidized units. First select the applicable income limit and Subsidy Program. Enter the Monthly Contract Rent set by the subsidy program selected. Then, enter the Estimated Tenant Paid Rent for the applicable unit size. Tenant Assistance Payment will automatically calculate as Monthly Contract Rent minus Estimated Tenant Paid Rent. Enter the number of units at the selected AMI level and subsidy program. Please also provide any notes to describe the calculation of the Tenant Assistance Payments. 
</t>
    </r>
    <r>
      <rPr>
        <u/>
        <sz val="10"/>
        <color rgb="FF0070C0"/>
        <rFont val="Arial"/>
        <family val="2"/>
      </rPr>
      <t>For LOSP Projects</t>
    </r>
    <r>
      <rPr>
        <sz val="10"/>
        <color rgb="FF0070C0"/>
        <rFont val="Arial"/>
        <family val="2"/>
      </rPr>
      <t xml:space="preserve"> - leave "Monthly Contract Rent" blank, and enter Estimated Tenant Paid Rent and Number of Units. The amount of LOSP subsidy is calculated on the 1st Year and 20-Year Operating Budget worksheets.  </t>
    </r>
  </si>
  <si>
    <t>Proposed Tenant Paid Rent (+ Utility Allowance) expressed as a % of rent based on 100% unadjusted (MOHCD) AMI</t>
  </si>
  <si>
    <r>
      <t xml:space="preserve">Monthly Contract Rent 
</t>
    </r>
    <r>
      <rPr>
        <sz val="8"/>
        <rFont val="Arial"/>
        <family val="2"/>
      </rPr>
      <t>(per unit)</t>
    </r>
  </si>
  <si>
    <t>TOTAL COMMERCIAL OPERATING EXPENSES</t>
  </si>
  <si>
    <r>
      <t xml:space="preserve">NET OPERATING INCOME </t>
    </r>
    <r>
      <rPr>
        <sz val="10"/>
        <rFont val="Arial"/>
        <family val="2"/>
      </rPr>
      <t>(INCOME minus OP EXPENSES)</t>
    </r>
  </si>
  <si>
    <t xml:space="preserve">TOTAL OPERATING EXPENSES </t>
  </si>
  <si>
    <r>
      <t xml:space="preserve">TOTAL OPERATING EXPENSES </t>
    </r>
    <r>
      <rPr>
        <sz val="11"/>
        <rFont val="Arial"/>
        <family val="2"/>
      </rPr>
      <t>(w/ Reserves/GL Base Rent/ Bond Fees)</t>
    </r>
  </si>
  <si>
    <r>
      <t xml:space="preserve">PUPA </t>
    </r>
    <r>
      <rPr>
        <sz val="11"/>
        <rFont val="Arial"/>
        <family val="2"/>
      </rPr>
      <t>(w/o Reserves/GL Base Rent/Bond Fees)</t>
    </r>
  </si>
  <si>
    <r>
      <t xml:space="preserve">PUPA </t>
    </r>
    <r>
      <rPr>
        <sz val="11"/>
        <rFont val="Arial"/>
        <family val="2"/>
      </rPr>
      <t>(w/ Reserves/GL Base Rent/Bond Fees)</t>
    </r>
  </si>
  <si>
    <r>
      <t xml:space="preserve">DEBT SERVICE/MUST PAY PAYMENTS </t>
    </r>
    <r>
      <rPr>
        <sz val="11"/>
        <rFont val="Arial"/>
        <family val="2"/>
      </rPr>
      <t>("hard debt"/amortized loans)</t>
    </r>
  </si>
  <si>
    <t>Developer Fee - Cash-out Paid at Milestones</t>
  </si>
  <si>
    <t>Developer Fee - Cash-out At Risk</t>
  </si>
  <si>
    <t>Developer Fee - GP Equity (also show as source)</t>
  </si>
  <si>
    <t>Developer Fee - Deferred (also show as source)</t>
  </si>
  <si>
    <r>
      <t xml:space="preserve">Variance Amount </t>
    </r>
    <r>
      <rPr>
        <sz val="10"/>
        <rFont val="Arial"/>
        <family val="2"/>
      </rPr>
      <t>(1st Year Op MINUS AMR actuals)</t>
    </r>
  </si>
  <si>
    <t xml:space="preserve">FY Budgeted
(for Disbursement) </t>
  </si>
  <si>
    <t>Use this version for CY projects that are estimating a start month of July or later</t>
  </si>
  <si>
    <t>Use this version for CY projects that are estimating a start month of June or earlier</t>
  </si>
  <si>
    <t>For LOSP Budget Data Entry -- copy this data and then use Paste Special --&gt; Values to enter into LOSP tracking sheet</t>
  </si>
  <si>
    <t>FY Year</t>
  </si>
  <si>
    <t>FY Budget Year</t>
  </si>
  <si>
    <t>LOSP Operating - Extra Amount needed for year one only (up to 6 months) (Col K shows full amount to be budgeted for the city's FY)</t>
  </si>
  <si>
    <t>LOSP Operating - Current Contract Amount</t>
  </si>
  <si>
    <t>ProjectKey (enter in cell Z9)</t>
  </si>
  <si>
    <t>ProjectKey (enter in cell AF8)</t>
  </si>
  <si>
    <t>MOHCD/OCII - Ground Lease Value or Land Acq Cost</t>
  </si>
  <si>
    <t>TCAC Income Limits and Gross Rents</t>
  </si>
  <si>
    <t xml:space="preserve">Change year and type in all income limits from TCAC schedule and rents in black font below. </t>
  </si>
  <si>
    <r>
      <rPr>
        <b/>
        <sz val="9"/>
        <rFont val="Arial"/>
        <family val="2"/>
      </rPr>
      <t xml:space="preserve">Total Proposed # Units 
</t>
    </r>
    <r>
      <rPr>
        <sz val="9"/>
        <rFont val="Arial"/>
        <family val="2"/>
      </rPr>
      <t>(inc. Mgr's Unit)</t>
    </r>
  </si>
  <si>
    <t>Summary</t>
  </si>
  <si>
    <t>Acquisition cost minus the present value of 55 years of ground lease base rent payments. (This data informs the pro rata split of residual receipts, see worksheet 6, I134-I138 for detailed breakdown.)</t>
  </si>
  <si>
    <t>Current UA Chart</t>
  </si>
  <si>
    <t>AVG Tenant Paid Rent expressed as MOHCD AMI equivalent</t>
  </si>
  <si>
    <t>Commercial Developer Fee</t>
  </si>
  <si>
    <t>*Possible non-eligible GO Bond/COP Amount:</t>
  </si>
  <si>
    <t>*</t>
  </si>
  <si>
    <t># Commercial Spaces:</t>
  </si>
  <si>
    <t>COMMERCIAL SPACE</t>
  </si>
  <si>
    <t>Space 1</t>
  </si>
  <si>
    <t>Space 2</t>
  </si>
  <si>
    <t>Space 3</t>
  </si>
  <si>
    <t>Space 4</t>
  </si>
  <si>
    <t>Space 5</t>
  </si>
  <si>
    <t>Commercial Use - Description</t>
  </si>
  <si>
    <t>Total Commercial SF</t>
  </si>
  <si>
    <r>
      <t>Legal / Closing costs /</t>
    </r>
    <r>
      <rPr>
        <sz val="11"/>
        <color rgb="FFFF0000"/>
        <rFont val="Arial"/>
        <family val="2"/>
      </rPr>
      <t xml:space="preserve"> </t>
    </r>
    <r>
      <rPr>
        <sz val="11"/>
        <rFont val="Arial"/>
        <family val="2"/>
      </rPr>
      <t>Broker's Fee</t>
    </r>
  </si>
  <si>
    <t>Commercial Warm Shell Construction</t>
  </si>
  <si>
    <t>See MOHCD Commercial Underwriting Guidelines: http://sfmohcd.org/documents-reports-and-forms</t>
  </si>
  <si>
    <t>Commercial Cold Shell Construction</t>
  </si>
  <si>
    <t>Architecture design fees for Schematic Drawings for tenant-paid tenant improvements</t>
  </si>
  <si>
    <r>
      <t>Permanent</t>
    </r>
    <r>
      <rPr>
        <sz val="11"/>
        <color rgb="FFFF0000"/>
        <rFont val="Arial"/>
        <family val="2"/>
      </rPr>
      <t xml:space="preserve"> </t>
    </r>
    <r>
      <rPr>
        <sz val="11"/>
        <rFont val="Arial"/>
        <family val="2"/>
      </rPr>
      <t>Loan Origination Fee</t>
    </r>
  </si>
  <si>
    <t>Commercial Loan Origination Fee</t>
  </si>
  <si>
    <t>Commercial Lease-Up Reserves</t>
  </si>
  <si>
    <t>Commercial Developer Fee - Cash-out Paid at Milestones</t>
  </si>
  <si>
    <t xml:space="preserve">TOAL DEVELOPER FEE BREAKDOWN </t>
  </si>
  <si>
    <t>RESIDENTIAL DEVELOPER FEE</t>
  </si>
  <si>
    <t>Fee Percentage</t>
  </si>
  <si>
    <t>Project Management Fee available during predevelopment and construction:</t>
  </si>
  <si>
    <t>Project Management Fee available at risk (the "At Risk Fee"):</t>
  </si>
  <si>
    <t>Additional Project Management Fee that is available at risk (the "At Risk Fee") to large projects over 100 units:</t>
  </si>
  <si>
    <t>$10K per unit over 100 units allowed.  If taking + $1.1MM at risk fee for large projects, Sponsor to provide analysis that additional fee does not increase MOHCD loan.</t>
  </si>
  <si>
    <t>General Partner Equity</t>
  </si>
  <si>
    <t>Minimum $500K. +$500k encouraged.</t>
  </si>
  <si>
    <t>Deferred Developer Fee</t>
  </si>
  <si>
    <t>Deferred fee allowed when distribution changed to 50% and taking higher fee doesn't increase MOHCD's loan (see analysis below.)</t>
  </si>
  <si>
    <t>TOTAL RESIDENTIAL DEVELOPER FEE</t>
  </si>
  <si>
    <t>TOTAL COMMERCIAL DEVELOPER FEE</t>
  </si>
  <si>
    <t>Note: PM needs to change the distribution cell if developer is opting to take deferred dev fee.</t>
  </si>
  <si>
    <t>TOTAL DEVELOPER FEE IN DEVELOPMENT BUDGET</t>
  </si>
  <si>
    <t>Match Total Developer Fee Costs in S&amp;U tab?</t>
  </si>
  <si>
    <t>DISBURSEMENT MILESTONES FOR CASH-OUT DEVELOPER FEE</t>
  </si>
  <si>
    <t>Milestones for Disbursement for Residential Developer Fee payable for Project Management and At-Risk Fee</t>
  </si>
  <si>
    <t>Amount Paid at Milestone</t>
  </si>
  <si>
    <t>This amount will be part of this predev request and in the Developer Fee Agreement.</t>
  </si>
  <si>
    <t>Meet max. $550K paid by MOHCD during predevelopment?</t>
  </si>
  <si>
    <r>
      <rPr>
        <b/>
        <sz val="11"/>
        <color theme="1"/>
        <rFont val="Arial"/>
        <family val="2"/>
      </rPr>
      <t xml:space="preserve">Project Management Fee: </t>
    </r>
    <r>
      <rPr>
        <sz val="11"/>
        <color theme="1"/>
        <rFont val="Arial"/>
        <family val="2"/>
      </rPr>
      <t xml:space="preserve"> At Construction Closing</t>
    </r>
  </si>
  <si>
    <t xml:space="preserve">These amounts are shown for possible disbursement of the overall project developer fee.  </t>
  </si>
  <si>
    <r>
      <rPr>
        <b/>
        <sz val="11"/>
        <color theme="1"/>
        <rFont val="Arial"/>
        <family val="2"/>
      </rPr>
      <t xml:space="preserve">Project Management Fee:  </t>
    </r>
    <r>
      <rPr>
        <sz val="11"/>
        <color theme="1"/>
        <rFont val="Arial"/>
        <family val="2"/>
      </rPr>
      <t>During Construction (disbursed upon request depending on % of construction completion) or Completion of Construction</t>
    </r>
  </si>
  <si>
    <t>Same as above.</t>
  </si>
  <si>
    <r>
      <rPr>
        <b/>
        <sz val="11"/>
        <color theme="1"/>
        <rFont val="Arial"/>
        <family val="2"/>
      </rPr>
      <t xml:space="preserve">Project Management:  </t>
    </r>
    <r>
      <rPr>
        <sz val="11"/>
        <color theme="1"/>
        <rFont val="Arial"/>
        <family val="2"/>
      </rPr>
      <t>Project Close-Out - Placed-In-Service application; 100% lease-up; City approval of sponsor's project completion report and documents; and City acceptance of final cost certification.</t>
    </r>
  </si>
  <si>
    <t>TOTAL PROJECT MANAGEMENT FEE</t>
  </si>
  <si>
    <r>
      <rPr>
        <b/>
        <sz val="11"/>
        <color theme="1"/>
        <rFont val="Arial"/>
        <family val="2"/>
      </rPr>
      <t xml:space="preserve">At Risk Fee:  </t>
    </r>
    <r>
      <rPr>
        <sz val="11"/>
        <color theme="1"/>
        <rFont val="Arial"/>
        <family val="2"/>
      </rPr>
      <t>95% Leased Up and Draft Cost Certification</t>
    </r>
  </si>
  <si>
    <t>These amounts are shown for possible disbursement of the overall project.</t>
  </si>
  <si>
    <r>
      <rPr>
        <b/>
        <sz val="11"/>
        <color theme="1"/>
        <rFont val="Arial"/>
        <family val="2"/>
      </rPr>
      <t xml:space="preserve">At Risk Fee:  </t>
    </r>
    <r>
      <rPr>
        <sz val="11"/>
        <color theme="1"/>
        <rFont val="Arial"/>
        <family val="2"/>
      </rPr>
      <t>Permanent Loan Closing/Conversion (Final Cost Certification)</t>
    </r>
  </si>
  <si>
    <r>
      <rPr>
        <b/>
        <sz val="11"/>
        <color theme="1"/>
        <rFont val="Arial"/>
        <family val="2"/>
      </rPr>
      <t xml:space="preserve">At Risk Fee: </t>
    </r>
    <r>
      <rPr>
        <sz val="11"/>
        <color theme="1"/>
        <rFont val="Arial"/>
        <family val="2"/>
      </rPr>
      <t xml:space="preserve"> Project Close Out (See Project Management Project Close-Out milestone activities)</t>
    </r>
  </si>
  <si>
    <t>TOTAL AT-RISK FEE</t>
  </si>
  <si>
    <t>Milestones for Disbursement Payable for Commercial Developer Fee</t>
  </si>
  <si>
    <t>At completion of condominium subdivision mapping</t>
  </si>
  <si>
    <t>Executed LOI with commercial tenant</t>
  </si>
  <si>
    <t>Executed lease with commercial tenant</t>
  </si>
  <si>
    <t>Conditional and will not be paid no earlier than TCO.</t>
  </si>
  <si>
    <t>Occupancy by commercial tenant provider</t>
  </si>
  <si>
    <t>See MOHCD Commercial Underwriting Guidelines for Total Allowed Commercial Developer Fee: http://sfmohcd.org/documents-reports-and-forms</t>
  </si>
  <si>
    <t>TOTAL CASH-OUT DEVELOPER FEE</t>
  </si>
  <si>
    <t>ADDITIONAL DEVELOPER FEE ANALYSIS ON MOHCD/OCII GAP LOAN</t>
  </si>
  <si>
    <t>Total Unit Count</t>
  </si>
  <si>
    <t>SUBTOTAL OF RESIDENTIAL DEVELOPER FEE</t>
  </si>
  <si>
    <t>Credit Rate</t>
  </si>
  <si>
    <t>Pay-In</t>
  </si>
  <si>
    <t>QCT/DDA</t>
  </si>
  <si>
    <t>Tax Credit Equity</t>
  </si>
  <si>
    <t>Tax Credit Delivery Years</t>
  </si>
  <si>
    <t>ADDITIONAL EQUITY GENERATED</t>
  </si>
  <si>
    <t>Y1</t>
  </si>
  <si>
    <t>Y2</t>
  </si>
  <si>
    <t>Y3</t>
  </si>
  <si>
    <t>Y4</t>
  </si>
  <si>
    <t>Y5</t>
  </si>
  <si>
    <t>Y6</t>
  </si>
  <si>
    <t>Y7</t>
  </si>
  <si>
    <t>Y8</t>
  </si>
  <si>
    <t>Y9</t>
  </si>
  <si>
    <t>Y10</t>
  </si>
  <si>
    <t>Y11</t>
  </si>
  <si>
    <t>NET PRESENT VALUE OF CASH FLOW LOSS</t>
  </si>
  <si>
    <t>10 Year Surplus Cash (no developer fee)</t>
  </si>
  <si>
    <t>Developer fee Generated through Year 11</t>
  </si>
  <si>
    <t>Upon Full Payment of Deferred Developer Fee - Surplus Cash Flow Split</t>
  </si>
  <si>
    <t>Deferred Developer Fee - Surplus Cash Flow Split</t>
  </si>
  <si>
    <t>Additional Equity generated after paying for additional developer fee and loss of cash flow</t>
  </si>
  <si>
    <t>DOES ADDITIONAL DEVELOPER FEE INCREASE THE MOHCD/OCII GAP LOAN?</t>
  </si>
  <si>
    <t>Development Cost/SF by Source</t>
  </si>
  <si>
    <t>Acquisition Cost/SF by Source</t>
  </si>
  <si>
    <t>Construction Cost (inc Const Contingency)/SF By Source</t>
  </si>
  <si>
    <t>Commercial Loan Amount:</t>
  </si>
  <si>
    <t>Commercial Loan Term (in years):</t>
  </si>
  <si>
    <t>Commercial Interest Rate (as %):</t>
  </si>
  <si>
    <t>%age Total Building Costs in Commercial Budget</t>
  </si>
  <si>
    <t>Loss of Residual ReceIpts to MOHCD</t>
  </si>
  <si>
    <t>Marketing / Lease-up</t>
  </si>
  <si>
    <r>
      <rPr>
        <b/>
        <sz val="11"/>
        <color theme="1"/>
        <rFont val="Arial"/>
        <family val="2"/>
      </rPr>
      <t xml:space="preserve">Project Management Fee:  </t>
    </r>
    <r>
      <rPr>
        <sz val="11"/>
        <color theme="1"/>
        <rFont val="Arial"/>
        <family val="2"/>
      </rPr>
      <t>Acquisition/Predev</t>
    </r>
  </si>
  <si>
    <t>Worksheet: 6.1stYrOpBudget</t>
  </si>
  <si>
    <t>Worksheet: 7a.20YrDetails</t>
  </si>
  <si>
    <t>Worksheet: 4c.Commercial Sources and Uses</t>
  </si>
  <si>
    <t>Worksheet: 8.Developer Fee Calculation</t>
  </si>
  <si>
    <t>Gray areas show the totals in the MOHCD Developer Fee Policy</t>
  </si>
  <si>
    <t>Proj Mgt Fee portion 2 of 3:Predevelopment - Submission of HCD funding application</t>
  </si>
  <si>
    <t>Proj Mgt Fee portion 3 of 3: Predevelopment - Submission of joint CDLAC and TCAC application</t>
  </si>
  <si>
    <r>
      <rPr>
        <b/>
        <sz val="11"/>
        <color theme="1"/>
        <rFont val="Arial"/>
        <family val="2"/>
      </rPr>
      <t xml:space="preserve">Project Management Fee:  </t>
    </r>
    <r>
      <rPr>
        <sz val="11"/>
        <color theme="1"/>
        <rFont val="Arial"/>
        <family val="2"/>
      </rPr>
      <t>Predev with no more than 35% of total Project Management Fee to be disbursed prior to construction closing (see breakdown below)</t>
    </r>
  </si>
  <si>
    <t>This tab should be completed last. Input the developer fee amounts allowed under MOHCD's Developer Fee Policy in rows 1 through 7. If the project does not have a commercial component, clear contents in Cell D9 and rows 29-32.
In Cell D44, input the tax credit rate assumed in the proforma. Identify if the project is in a QCT/DDA in cell C45.</t>
  </si>
  <si>
    <t>Commercial Operating Budget - Amount Flowing to Residential</t>
  </si>
  <si>
    <t>Drop down menu to the right controls how much Net Commerical Revenue is contributed to the Residential Operating Budget. (100% is default, select another choice only if allowed by MOHCD policy.)</t>
  </si>
  <si>
    <t>(LOSP-specific expenses must be tracked at entry level in project's accounting)</t>
  </si>
  <si>
    <r>
      <rPr>
        <i/>
        <sz val="11"/>
        <rFont val="Calibri"/>
        <family val="2"/>
        <scheme val="minor"/>
      </rPr>
      <t>If the project does not have a commercial component, skip this worksheet.</t>
    </r>
    <r>
      <rPr>
        <sz val="11"/>
        <rFont val="Calibri"/>
        <family val="2"/>
        <scheme val="minor"/>
      </rPr>
      <t xml:space="preserve"> If the project has a commercial component, enter a full year of budget data, annual increase assumptions, comments, and 20-year cashflow in the worksheet. Use the drop-down menu in cell C2 to control how much Net Commerical Revenue is contributed to the Residential Operating Budget. (100% is default, select another choice only if allowed by MOHCD policy.)</t>
    </r>
  </si>
  <si>
    <r>
      <rPr>
        <i/>
        <sz val="11"/>
        <rFont val="Calibri"/>
        <family val="2"/>
        <scheme val="minor"/>
      </rPr>
      <t>If the project does not have a commercial component, skip this worksheet.</t>
    </r>
    <r>
      <rPr>
        <sz val="11"/>
        <rFont val="Calibri"/>
        <family val="2"/>
        <scheme val="minor"/>
      </rPr>
      <t xml:space="preserve"> Insert the number of commercial spaces on the top right of the "Sources &amp; Uses" worksheet. Then, insert the descriptions of each commercial space, the gross square footage, and the names of the commercial development srouces, in the yellow highlighted cells.</t>
    </r>
  </si>
  <si>
    <t>Haight Ashbury</t>
  </si>
  <si>
    <t>PASS</t>
  </si>
  <si>
    <t xml:space="preserve">Below </t>
  </si>
  <si>
    <t>Market Rate</t>
  </si>
  <si>
    <t>Appraised Value</t>
  </si>
  <si>
    <t>Loan</t>
  </si>
  <si>
    <t>Allocation %</t>
  </si>
  <si>
    <t>Minimum DSCR</t>
  </si>
  <si>
    <t>Term</t>
  </si>
  <si>
    <t>Maximum LTV</t>
  </si>
  <si>
    <t>Amort</t>
  </si>
  <si>
    <t>Maximum LTC</t>
  </si>
  <si>
    <t>Rate</t>
  </si>
  <si>
    <t>Payment</t>
  </si>
  <si>
    <t>Amortized</t>
  </si>
  <si>
    <t>Balloon</t>
  </si>
  <si>
    <t>CCSF TIC</t>
  </si>
  <si>
    <t>DSCR</t>
  </si>
  <si>
    <t>PASS Sizing TIC</t>
  </si>
  <si>
    <t>per unit</t>
  </si>
  <si>
    <t>Origination</t>
  </si>
  <si>
    <t>City Attorney</t>
  </si>
  <si>
    <t>Initial Compliance Monitoring</t>
  </si>
  <si>
    <t>First Year Loan Servicing</t>
  </si>
  <si>
    <t>per annum</t>
  </si>
  <si>
    <t>Compliance Monitoring</t>
  </si>
  <si>
    <t>Loan Servicing</t>
  </si>
  <si>
    <t>BondSeries</t>
  </si>
  <si>
    <t>Loan Term (years)</t>
  </si>
  <si>
    <t>Loan Amortization (years)</t>
  </si>
  <si>
    <t>TIC</t>
  </si>
  <si>
    <t>2019 Series A</t>
  </si>
  <si>
    <t>2020 Series C</t>
  </si>
  <si>
    <t>MR%</t>
  </si>
  <si>
    <t>BMR%</t>
  </si>
  <si>
    <t>D%</t>
  </si>
  <si>
    <t>2023 Series X</t>
  </si>
  <si>
    <t>Annual Payment</t>
  </si>
  <si>
    <t>Amortization</t>
  </si>
  <si>
    <t>MARKET RATE LOAN AMORTIZATION SCHEDULE</t>
  </si>
  <si>
    <t>Beginning</t>
  </si>
  <si>
    <t>Interest</t>
  </si>
  <si>
    <t>Ending</t>
  </si>
  <si>
    <t>Period</t>
  </si>
  <si>
    <t>Balance</t>
  </si>
  <si>
    <t>(Cost of Funds)</t>
  </si>
  <si>
    <t>(Admin Fees)</t>
  </si>
  <si>
    <t>Principal</t>
  </si>
  <si>
    <t>BELOW MARKET RATE LOAN AMORTIZATION SCHEDULE</t>
  </si>
  <si>
    <t>Date</t>
  </si>
  <si>
    <t>Monthly Payment</t>
  </si>
  <si>
    <t>Sponsor:</t>
  </si>
  <si>
    <t>Closing Date:</t>
  </si>
  <si>
    <t>First Payment Date:</t>
  </si>
  <si>
    <t>Maturity Date:</t>
  </si>
  <si>
    <t>Errors</t>
  </si>
  <si>
    <t>PROJECT INFO</t>
  </si>
  <si>
    <t>LOAN SIZING</t>
  </si>
  <si>
    <t>LOAN FEES AND FEE ALLOCATION</t>
  </si>
  <si>
    <t>Loan Amount</t>
  </si>
  <si>
    <r>
      <rPr>
        <b/>
        <u/>
        <sz val="11"/>
        <rFont val="Arial"/>
        <family val="2"/>
      </rPr>
      <t>Upfront Fees</t>
    </r>
    <r>
      <rPr>
        <b/>
        <sz val="11"/>
        <rFont val="Arial"/>
        <family val="2"/>
      </rPr>
      <t xml:space="preserve"> (capitalize in 4b.PermS&amp;U)</t>
    </r>
  </si>
  <si>
    <r>
      <t>Ongoing Fees</t>
    </r>
    <r>
      <rPr>
        <b/>
        <sz val="11"/>
        <rFont val="Arial"/>
        <family val="2"/>
      </rPr>
      <t xml:space="preserve"> (include in 6.1stYrOpBudget)</t>
    </r>
  </si>
  <si>
    <t>greater of a) or b)</t>
  </si>
  <si>
    <t>Rent
TCAC AMI</t>
  </si>
  <si>
    <t>Income
TCAC AMI</t>
  </si>
  <si>
    <t>PASS Program</t>
  </si>
  <si>
    <t>% Tenants</t>
  </si>
  <si>
    <t>&lt;= 80% AMI</t>
  </si>
  <si>
    <t>Payments and Equity Balance</t>
  </si>
  <si>
    <t>PASS Loan Amortization</t>
  </si>
  <si>
    <t>Market Rate Loan</t>
  </si>
  <si>
    <t>BMR Loan</t>
  </si>
  <si>
    <t>Deferred Loan</t>
  </si>
  <si>
    <t>Total PASS</t>
  </si>
  <si>
    <t>Refi</t>
  </si>
  <si>
    <t>RFR</t>
  </si>
  <si>
    <t>PASS LOAN</t>
  </si>
  <si>
    <t>Yr</t>
  </si>
  <si>
    <t>Prin Bal</t>
  </si>
  <si>
    <t>Equity</t>
  </si>
  <si>
    <t>Prin</t>
  </si>
  <si>
    <t>Costs</t>
  </si>
  <si>
    <t>Proceeds</t>
  </si>
  <si>
    <t>Balance/Unit</t>
  </si>
  <si>
    <t>Market Rate Interest Rate</t>
  </si>
  <si>
    <t>Below Market Rate Interest Rate</t>
  </si>
  <si>
    <t>Deferred Interest Rate</t>
  </si>
  <si>
    <t>True Interest Cost</t>
  </si>
  <si>
    <t>REFI ASSUMPTIONS</t>
  </si>
  <si>
    <t>Refi Year</t>
  </si>
  <si>
    <t>Refi Debt Service</t>
  </si>
  <si>
    <t>Refi Proceeds</t>
  </si>
  <si>
    <t>10-year inflated CNA total</t>
  </si>
  <si>
    <t>SMALL SITES PROGRAM</t>
  </si>
  <si>
    <t>SSP Loan</t>
  </si>
  <si>
    <t>Total Subsidy Loans</t>
  </si>
  <si>
    <t xml:space="preserve"> </t>
  </si>
  <si>
    <t>PASS REFI ANALYSIS</t>
  </si>
  <si>
    <t>ClosingDate</t>
  </si>
  <si>
    <t>Net Operating Income (NOI)</t>
  </si>
  <si>
    <t>Total Development Cost (TDC)</t>
  </si>
  <si>
    <t>Maximum Loan based on DSCR, LTV and LTC sizing Constraints:</t>
  </si>
  <si>
    <t>Maximum PASS Loan</t>
  </si>
  <si>
    <t>Note</t>
  </si>
  <si>
    <t>U/W PASS Loan ($1,000 denominations)</t>
  </si>
  <si>
    <t>Market Rate Note</t>
  </si>
  <si>
    <t>Below Market Rate Note</t>
  </si>
  <si>
    <t>Deferred Note</t>
  </si>
  <si>
    <t>Total PASS Loan</t>
  </si>
  <si>
    <t>Market Rate Note Payment</t>
  </si>
  <si>
    <t>Below Market Rate Note Payment</t>
  </si>
  <si>
    <t>Deferred Note Payment</t>
  </si>
  <si>
    <t>Total PASS Annual Payment</t>
  </si>
  <si>
    <t>PASS Market Rate Note and Below Market Rate Note amortization schedules.</t>
  </si>
  <si>
    <t>PASS Program ONLY - Worksheets: 9a.PASS/9d.Refi</t>
  </si>
  <si>
    <t>PASS Projects ONLY - Worksheets: 9b.MR_Amort/9c.BMR_Amort</t>
  </si>
  <si>
    <t>PASS LOAN SCHEDULE &amp; FEES</t>
  </si>
  <si>
    <r>
      <t xml:space="preserve">Worksheet </t>
    </r>
    <r>
      <rPr>
        <b/>
        <sz val="11"/>
        <rFont val="Calibri"/>
        <family val="2"/>
        <scheme val="minor"/>
      </rPr>
      <t>9a.PASS</t>
    </r>
    <r>
      <rPr>
        <sz val="11"/>
        <rFont val="Calibri"/>
        <family val="2"/>
        <scheme val="minor"/>
      </rPr>
      <t xml:space="preserve"> is used to size a PASS loan and the associated fees.  The resulting outputs (e.g. Loan Amount, Annual Payment Amount, Origination Fee, Compliance Montoring Fees, Loan Servicing Fees, etc.) should be subsequently input in </t>
    </r>
    <r>
      <rPr>
        <b/>
        <sz val="11"/>
        <rFont val="Calibri"/>
        <family val="2"/>
        <scheme val="minor"/>
      </rPr>
      <t>1.GeneralProjectInfo</t>
    </r>
    <r>
      <rPr>
        <sz val="11"/>
        <rFont val="Calibri"/>
        <family val="2"/>
        <scheme val="minor"/>
      </rPr>
      <t xml:space="preserve">, </t>
    </r>
    <r>
      <rPr>
        <b/>
        <sz val="11"/>
        <rFont val="Calibri"/>
        <family val="2"/>
        <scheme val="minor"/>
      </rPr>
      <t>4bPermS&amp;U</t>
    </r>
    <r>
      <rPr>
        <sz val="11"/>
        <rFont val="Calibri"/>
        <family val="2"/>
        <scheme val="minor"/>
      </rPr>
      <t xml:space="preserve">, and </t>
    </r>
    <r>
      <rPr>
        <b/>
        <sz val="11"/>
        <rFont val="Calibri"/>
        <family val="2"/>
        <scheme val="minor"/>
      </rPr>
      <t>6.1stYrOpBudget</t>
    </r>
    <r>
      <rPr>
        <sz val="11"/>
        <rFont val="Calibri"/>
        <family val="2"/>
        <scheme val="minor"/>
      </rPr>
      <t xml:space="preserve"> as necessary.</t>
    </r>
    <r>
      <rPr>
        <b/>
        <sz val="11"/>
        <rFont val="Calibri"/>
        <family val="2"/>
        <scheme val="minor"/>
      </rPr>
      <t xml:space="preserve"> 
</t>
    </r>
    <r>
      <rPr>
        <sz val="11"/>
        <rFont val="Calibri"/>
        <family val="2"/>
        <scheme val="minor"/>
      </rPr>
      <t xml:space="preserve">
Worksheet </t>
    </r>
    <r>
      <rPr>
        <b/>
        <sz val="11"/>
        <rFont val="Calibri"/>
        <family val="2"/>
        <scheme val="minor"/>
      </rPr>
      <t>9d.Refi</t>
    </r>
    <r>
      <rPr>
        <sz val="11"/>
        <rFont val="Calibri"/>
        <family val="2"/>
        <scheme val="minor"/>
      </rPr>
      <t xml:space="preserve"> is an analytical tool to evaluate a future refinancing and the capitalization of reserves over the next 20 years.</t>
    </r>
  </si>
  <si>
    <t xml:space="preserve">Project Neighborhood, Supervisorial District, and Real Estate Districts should be identified using the San Francisco Property Information Map here: </t>
  </si>
  <si>
    <t>State AMI - For Small Sites Program --- HUD Adjusted 80%!</t>
  </si>
  <si>
    <t>Start Date</t>
  </si>
  <si>
    <t>End Date</t>
  </si>
  <si>
    <t># Days Interest</t>
  </si>
  <si>
    <t>INTERIM INTEREST DUE AT CLOSING</t>
  </si>
  <si>
    <t>Pier Diem</t>
  </si>
  <si>
    <t>Amount Due</t>
  </si>
  <si>
    <t>Note Amount</t>
  </si>
  <si>
    <t>Totals</t>
  </si>
  <si>
    <t>from worksheet 4a</t>
  </si>
  <si>
    <t>Predevelopment Sources</t>
  </si>
  <si>
    <t>Terms</t>
  </si>
  <si>
    <t>Status</t>
  </si>
  <si>
    <t>col D</t>
  </si>
  <si>
    <t>XX yrs/mth @ XX% Def</t>
  </si>
  <si>
    <t>Committed/Not Com</t>
  </si>
  <si>
    <t>these are instructions, do not print or copy</t>
  </si>
  <si>
    <t>source 2, col E</t>
  </si>
  <si>
    <t>this data flows from ws4a</t>
  </si>
  <si>
    <t>source 3, col F</t>
  </si>
  <si>
    <t>delete any rows that do not show a source name and an amount</t>
  </si>
  <si>
    <t>source 4, col G</t>
  </si>
  <si>
    <t>if more columns were added to worksheet 4a</t>
  </si>
  <si>
    <t>source 4, col H</t>
  </si>
  <si>
    <t xml:space="preserve"> - insert one row for each additional column/source</t>
  </si>
  <si>
    <t>source 5, col I</t>
  </si>
  <si>
    <t xml:space="preserve"> - add formulas to pull the data from ws4a</t>
  </si>
  <si>
    <t>col J</t>
  </si>
  <si>
    <t xml:space="preserve"> - note: columns noted to the left of this chart may becomg inaccurate if any columns are added to ws4a</t>
  </si>
  <si>
    <t>from worksheet 4b</t>
  </si>
  <si>
    <t>Permanent Sources</t>
  </si>
  <si>
    <t>XX yrs @ XX% / Res Rec</t>
  </si>
  <si>
    <t>this data flows from ws4b</t>
  </si>
  <si>
    <t xml:space="preserve">For row showing TC Equity, Terms should = Price per credit </t>
  </si>
  <si>
    <t>if more columns were added to worksheet 4b</t>
  </si>
  <si>
    <t>TC Equity: Price per credit</t>
  </si>
  <si>
    <t xml:space="preserve"> - add formulas to pull the data from ws4b</t>
  </si>
  <si>
    <t xml:space="preserve"> - note: columns noted to the left of this chart may becomg inaccurate if any columns are added to ws4b</t>
  </si>
  <si>
    <t>Permanent Uses</t>
  </si>
  <si>
    <t>Per Unit</t>
  </si>
  <si>
    <t>Per SF</t>
  </si>
  <si>
    <t>row 16</t>
  </si>
  <si>
    <t>Acquisition</t>
  </si>
  <si>
    <t>row 37</t>
  </si>
  <si>
    <t>Hard Costs</t>
  </si>
  <si>
    <t>row 105</t>
  </si>
  <si>
    <t>Soft Costs</t>
  </si>
  <si>
    <t>row 124</t>
  </si>
  <si>
    <t>Developer Fee</t>
  </si>
  <si>
    <t>Title</t>
  </si>
  <si>
    <t>FTE allocated to Project</t>
  </si>
  <si>
    <t>Exp allocated to Project</t>
  </si>
  <si>
    <t>Janitorial</t>
  </si>
  <si>
    <t>Maintenance</t>
  </si>
  <si>
    <t>Total, Janitorial &amp; Maintenance:</t>
  </si>
  <si>
    <t>Do all units meet CTCAC minimum SF? </t>
  </si>
  <si>
    <t>Y/N [If N, describe the wavier being requested of CTCAC.]  </t>
  </si>
  <si>
    <t>Residential SF: </t>
  </si>
  <si>
    <t>Commercial SF: </t>
  </si>
  <si>
    <t>Building Total SF: </t>
  </si>
  <si>
    <t>from worksheet 1, c19</t>
  </si>
  <si>
    <t>from worksheet 1, j15</t>
  </si>
  <si>
    <t>UNIT TYPES</t>
  </si>
  <si>
    <t>Avg Unit SF - This Project</t>
  </si>
  <si>
    <t>Rows 39-45: data entry needed Col C if a Unit Type is shown in Col B</t>
  </si>
  <si>
    <t>calculated: Building Total SF minus Commercial SF</t>
  </si>
  <si>
    <t xml:space="preserve">Answer Yes in C46 if #s in D39-D45 are all &gt;= #s in C39-C45, or answer No and describe waiver requested </t>
  </si>
  <si>
    <t>https://www.treasurer.ca.gov/ctcac/programreg/regulations.asp</t>
  </si>
  <si>
    <t>Sources &amp; Uses Summary (page 3 of Eval)</t>
  </si>
  <si>
    <t>Square Footage Summary (Section 4.2 of Eval)</t>
  </si>
  <si>
    <t>CTCAC-Required Minimum SF</t>
  </si>
  <si>
    <t>CTCAC unit size minimums found here:</t>
  </si>
  <si>
    <t>To load LOSP RevenueFor AMRs:</t>
  </si>
  <si>
    <t>Projkey</t>
  </si>
  <si>
    <t>RAD - PBV</t>
  </si>
  <si>
    <t>TPV</t>
  </si>
  <si>
    <t>MHSA</t>
  </si>
  <si>
    <t>row 114</t>
  </si>
  <si>
    <t>Reserves</t>
  </si>
  <si>
    <t>annual %age increase (uses Full Year Funding Amount)</t>
  </si>
  <si>
    <t>Loan Date</t>
  </si>
  <si>
    <t>Outstanding Principal Balance</t>
  </si>
  <si>
    <t>Accrued Interest to Date</t>
  </si>
  <si>
    <t>Total:</t>
  </si>
  <si>
    <t>Loan Source</t>
  </si>
  <si>
    <t>started 4/14/22</t>
  </si>
  <si>
    <t>Add per unit to both sources charts on LC eval tab</t>
  </si>
  <si>
    <t>Add row for reserves to Perm Uses chart on LC Eval tab</t>
  </si>
  <si>
    <t>Exhib A: Add annual %age chage of LOSP funding by year, with avg at bottom</t>
  </si>
  <si>
    <t>Charts to add to Loan Eval tab in pro forma:</t>
  </si>
  <si>
    <t>-Prior funding chart (OCII/MOHCD funding) – 40% done (SPN also needs to make edits to Eval template)</t>
  </si>
  <si>
    <t>-Dev fee milestones chart – SPN to mock-up on LC Eval tab after MMc done with first batch of edits.</t>
  </si>
  <si>
    <t>-Income restrictions chart-- SPN to mock-up on LC Eval tab after MMc done with first batch of edits.</t>
  </si>
  <si>
    <t>-Staffing chart (is this still something we want to do? YES – but not ready yet, Mike to add after learning from the staffing data submitted for 3 LOSP increase requests)</t>
  </si>
  <si>
    <t>-Op ex budget comp tool chart (is this something we want to do?)</t>
  </si>
  <si>
    <t>-Public art calc chart – SPN to add to LC Eval tab</t>
  </si>
  <si>
    <t>Who</t>
  </si>
  <si>
    <t>What</t>
  </si>
  <si>
    <t>Mike</t>
  </si>
  <si>
    <t>SPN</t>
  </si>
  <si>
    <t>not yet</t>
  </si>
  <si>
    <t>??</t>
  </si>
  <si>
    <t>LoanKey (do not print this column)</t>
  </si>
  <si>
    <t>Accrual Method</t>
  </si>
  <si>
    <t>Sample (10th &amp; Mission)</t>
  </si>
  <si>
    <t>Loan_Key</t>
  </si>
  <si>
    <t>Loan_Source_ID</t>
  </si>
  <si>
    <t>Loan_Agreement Date</t>
  </si>
  <si>
    <t>CurrentLoanAmount</t>
  </si>
  <si>
    <t>intRate</t>
  </si>
  <si>
    <t>AccrualMethod</t>
  </si>
  <si>
    <t>Loan_Terms</t>
  </si>
  <si>
    <t>Loan_Due Date</t>
  </si>
  <si>
    <t>CurrentLoanBal</t>
  </si>
  <si>
    <t>1996 GO Bond - Tax exempt (old Prop A)</t>
  </si>
  <si>
    <t>Grant</t>
  </si>
  <si>
    <t>10th &amp; Mission Family Housing</t>
  </si>
  <si>
    <t>1996 GO Bond - Taxable (old Prop A)</t>
  </si>
  <si>
    <t>Deferred Pmt</t>
  </si>
  <si>
    <t>General Funds - LOSP - HSH</t>
  </si>
  <si>
    <t>Tax Increment</t>
  </si>
  <si>
    <t>contingent interest</t>
  </si>
  <si>
    <t>Residual Receipts</t>
  </si>
  <si>
    <t xml:space="preserve"> CITY FUNDING SUMMARY</t>
  </si>
  <si>
    <t>The table below is setup so that it can be populated and then copy/pasted into the Loan Eval. Please see suggested steps below:</t>
  </si>
  <si>
    <r>
      <t xml:space="preserve">1. Ask any of the Asset Managers to run this query in the AMdb: </t>
    </r>
    <r>
      <rPr>
        <b/>
        <sz val="10"/>
        <color rgb="FF00B0F0"/>
        <rFont val="Arial"/>
        <family val="2"/>
      </rPr>
      <t>q_CityFundingSummaryForLoanEval</t>
    </r>
    <r>
      <rPr>
        <sz val="10"/>
        <rFont val="Arial"/>
        <family val="2"/>
      </rPr>
      <t>. The data can be copied from the AMdb query into any other document - Excel, Word, Email, etc.</t>
    </r>
  </si>
  <si>
    <t>3. When you are doing pasting work, it will often be best to use the Excel option to "Paste Special - Values".</t>
  </si>
  <si>
    <t>8. In most cases, it will not be appropriate or necessary to include the columnn with the LoanKey#.</t>
  </si>
  <si>
    <t xml:space="preserve">4. If you need to show the total Accrued Interest for any loans, you should also request that data -- any Asset Manager can supply it, but it is best to request the Accrued Interest info from the AM assigned to the project. </t>
  </si>
  <si>
    <t>5. The AM Team currently uses Excel templates to calculate Accrued Interest. The AM may give you a simple tally, or provide you with one or more workbooks. Further instructions about use of the Accrued Interest Calculator Template workbooks will be provided as-needed.</t>
  </si>
  <si>
    <t>6. Once you have received the Accrued Interest tally/ies or workbook(s), copy &amp; paste the Accrued Interest tallies into the chart below.</t>
  </si>
  <si>
    <t>2. You may be able to paste the data that you receive from an AM directly into the chart. If that does not work on first try, paste the data below the chart, and then selectively paste the data from below into the chart.</t>
  </si>
  <si>
    <t>7. After populating the chart below, you can delete extra/blank rows and tinker with formatting as needed.</t>
  </si>
  <si>
    <t>Prior MOHCD/OCII Funding (Section 6.1 of Eval)</t>
  </si>
  <si>
    <t>Dates completed</t>
  </si>
  <si>
    <t>HUD Adjusted 80%</t>
  </si>
  <si>
    <t>year</t>
  </si>
  <si>
    <t>income</t>
  </si>
  <si>
    <t>rents</t>
  </si>
  <si>
    <t>footnote</t>
  </si>
  <si>
    <t>UAs</t>
  </si>
  <si>
    <t>Updated RentsUA with 2023 AMI data (MOHCD, HUD Adjusted 80%, SFHA &amp; TCAC)</t>
  </si>
  <si>
    <t>Updated L3 on ws1 to = 2023</t>
  </si>
  <si>
    <t>Annual Salary</t>
  </si>
  <si>
    <t>Supportive Services Staffing</t>
  </si>
  <si>
    <t>Paid by the Operating Budget</t>
  </si>
  <si>
    <t>Hourly Rate</t>
  </si>
  <si>
    <t>Average</t>
  </si>
  <si>
    <t>Subtotals</t>
  </si>
  <si>
    <t>SubTotals, J&amp;M</t>
  </si>
  <si>
    <t>Average, J&amp;M</t>
  </si>
  <si>
    <t>Total FTEs and Expenses, Services Staffing</t>
  </si>
  <si>
    <t>Total FTEs and Expenses, Non-Services Staffing</t>
  </si>
  <si>
    <t>Project Staffing (non-services)</t>
  </si>
  <si>
    <t>Links from 'Staffing' Worksheet</t>
  </si>
  <si>
    <t>Notes</t>
  </si>
  <si>
    <t>SOS</t>
  </si>
  <si>
    <t>Total Assistance Payment (Excluding UA)</t>
  </si>
  <si>
    <t>HOME TBRA</t>
  </si>
  <si>
    <t>Residential - SOS Payments</t>
  </si>
  <si>
    <t>EXHIBIT B - SOS Funding Schedule</t>
  </si>
  <si>
    <t>annual % increase</t>
  </si>
  <si>
    <t>Projected Start Date:</t>
  </si>
  <si>
    <t>Remaining Months to YE From TCO</t>
  </si>
  <si>
    <t># of Days TCO is before ProForma Start Date</t>
  </si>
  <si>
    <t>Estimated TCO</t>
  </si>
  <si>
    <t>3.2.1</t>
  </si>
  <si>
    <t>Income and Rent Levels restricted at up to 60% AMI</t>
  </si>
  <si>
    <t>Residential - Tenant Assistance Payments (SOS Payments)</t>
  </si>
  <si>
    <t>Residential - Tenant Assistance Payments (Other Non-LOSP)</t>
  </si>
  <si>
    <t>3.2.3</t>
  </si>
  <si>
    <t>Staff Ratio</t>
  </si>
  <si>
    <t>Number of Units</t>
  </si>
  <si>
    <t>Total SOS Units</t>
  </si>
  <si>
    <t>Ratio</t>
  </si>
  <si>
    <t>Required Ratio</t>
  </si>
  <si>
    <t>Policy Compliance</t>
  </si>
  <si>
    <t>Resident Service Coordinator ratio of 1 FTE to 75 SOS Units</t>
  </si>
  <si>
    <t>3.2.4</t>
  </si>
  <si>
    <t>SOS Subsidy increases at fixed rate of 4% annually.</t>
  </si>
  <si>
    <t>Min AMI</t>
  </si>
  <si>
    <t>Max AMI</t>
  </si>
  <si>
    <t>Minimum Ratio</t>
  </si>
  <si>
    <t>Current Ratio</t>
  </si>
  <si>
    <t>3.2.5</t>
  </si>
  <si>
    <t>Maximum of 40% of total units</t>
  </si>
  <si>
    <t>Number of SOS Units</t>
  </si>
  <si>
    <t>% SOS</t>
  </si>
  <si>
    <t>SOS Units are evenly Split between 15% and 25%</t>
  </si>
  <si>
    <t>AMI</t>
  </si>
  <si>
    <t>SOS?</t>
  </si>
  <si>
    <t>Count</t>
  </si>
  <si>
    <t>15%?</t>
  </si>
  <si>
    <t>20%?</t>
  </si>
  <si>
    <t>15% AMI Percentage</t>
  </si>
  <si>
    <t>25% AMI Percentage</t>
  </si>
  <si>
    <t>The tenant portion of rent is underwritten at 2.5% increase.</t>
  </si>
  <si>
    <t>Resident Rent Inflator</t>
  </si>
  <si>
    <t xml:space="preserve">Fill in the position title, annual salary, FTE and any notes for all personnel to be paid out of the project's operating budget. Also include any security or janitorial contracts. </t>
  </si>
  <si>
    <t>Note:</t>
  </si>
  <si>
    <t>Paid by a separate Services Budget
(Paid by HSH for LOSP)</t>
  </si>
  <si>
    <t>The below is to be used as a "gut check" for policy compliance, and should not be interpreted as confirmation of a Project's full compliance.  Please refer to the MOHCD SOS Policy guidelines to ensure your Project's full compliance. Please add a comment in the Note section below for any exception or clarification.</t>
  </si>
  <si>
    <t>Added the Staffing worksheet &amp; rewired ws6 so thar rows showing Staffing expenses will flow from the Staffing ws.</t>
  </si>
  <si>
    <t>Sep 2023</t>
  </si>
  <si>
    <t>Matt</t>
  </si>
  <si>
    <t>Added SOS as a drop down in tab 3a, added SOS lines to Tabs 6, 7a, and 7b. Added the SOS schedule tab.</t>
  </si>
  <si>
    <t>Tenant Asst. Payments (SOS)</t>
  </si>
  <si>
    <t>Monthly Income from Tenant Assistance Payments (SOS)</t>
  </si>
  <si>
    <t>Annual Income from Tenant Assistance Payments</t>
  </si>
  <si>
    <t>&lt;----If this cell is red, then the total here isn't matching the summary in Tab 3a. If green then it's ok</t>
  </si>
  <si>
    <t>Monthly Income from Tenant Assistance Payments (Non-SOS &amp; Non-LOSP)</t>
  </si>
  <si>
    <t>from Kim’s emails</t>
  </si>
  <si>
    <t xml:space="preserve">Tab 3a – Added summary (I133:K136) </t>
  </si>
  <si>
    <t xml:space="preserve">                Tab 3a – Added line to Rental income Summary (H154:O154) </t>
  </si>
  <si>
    <t xml:space="preserve">SOS Tab – Annualized cell F6 </t>
  </si>
  <si>
    <t xml:space="preserve">SOS Tab – Added the math check in cell L56 </t>
  </si>
  <si>
    <t xml:space="preserve">Tab 6.1stYrOpBudget - Changed cell F10 to reference E10. Changed E10 to reference SOS tab cell F6. </t>
  </si>
  <si>
    <t xml:space="preserve">Tab 6.1stYrOpBudget - unhid Columns J through M, and Line 11 </t>
  </si>
  <si>
    <t xml:space="preserve">Tab 6.1stYrOpBudget - Changed E11 and F11 </t>
  </si>
  <si>
    <t>from Jenny’s emails</t>
  </si>
  <si>
    <t>Tab 7a.20YrDetails – Unhid Column D &amp; E</t>
  </si>
  <si>
    <t>from Mara’s email</t>
  </si>
  <si>
    <t>Unhid Loan Eval Tab</t>
  </si>
  <si>
    <t xml:space="preserve">LOSP: fix shading of the LOSP rows on ws6/7a </t>
  </si>
  <si>
    <t>Fix LOSP Macros: needs to unhide/hide correct row, this change is needed because the SOS row was added; also make sure that shading for LOSP is not being changed.</t>
  </si>
  <si>
    <t>6a.Staffing tab – please fix error in the formulas in F46/G46 – currently includes F/G34 but should be F/G33 instead.</t>
  </si>
  <si>
    <t>Version</t>
  </si>
  <si>
    <t>Exhib A: fixed formulas in cells P8-P26: formula was not updated when we inserted the SOS row to ws6/ws7a; in the HLOOKUP formulas, needs to have ",6," instead of ",5'".</t>
  </si>
  <si>
    <t>1st Month Operations: (1-12)</t>
  </si>
  <si>
    <t>&lt;--enter a number for the month (1-12), not the month name</t>
  </si>
  <si>
    <t>ws7a: in v2.76, Col F needs to be unhidden so that escalation %ages can be seen and/or revised, not sure how it got hidden</t>
  </si>
  <si>
    <t>ws6: deleted test data in cells F22 &amp; F32 that I forgot to delete when working on the 2.77 fix.</t>
  </si>
  <si>
    <t>ws7a: row 161 was hidden in the base file but needs to be visible for all versions. Unhid it and tested macros to make sure that it would stay unhidden. Pretty sure it was hidden because the SOS row was added; that addition made the Small Site macro misfire by one row. Revised the macro in two spots to point one line lower.</t>
  </si>
  <si>
    <t>Mike and Ryan</t>
  </si>
  <si>
    <t>updated rents UA with 2024 AMI. Worksheet 6 fixed variance analysis row alignment.</t>
  </si>
  <si>
    <t>Utility Allowances approved for the San Francisco Housing Authority, effective 1/1/2024:</t>
  </si>
  <si>
    <t>See row above for entire amount of tenant assistance payments. If project has only LOSP, copy the entire amount in Col U to this row; if project has no LOSP, keep the entire amount in Col U in the above row; if project has LOSP and any another subsidy, find the amount of LOSP in the AMR, and enter it in Col U in this row, and the restof the subsidy amount should stay in the row above this one.</t>
  </si>
  <si>
    <t>Proposed Commercial Shell Build-Out</t>
  </si>
  <si>
    <t>Cold Shell Budget</t>
  </si>
  <si>
    <t>Warm Shell Budget</t>
  </si>
  <si>
    <t>Tenant Improvement Reserves</t>
  </si>
  <si>
    <t>Estimated Tenant-paid Improvements*</t>
  </si>
  <si>
    <t>*would not be included in the budget because is not a project cost. In most cases may be TBD until we know.</t>
  </si>
  <si>
    <t>Public Art</t>
  </si>
  <si>
    <t>MOHCD estimated commitment at Predev Loan</t>
  </si>
  <si>
    <t>TDC</t>
  </si>
  <si>
    <t>Hard Cost Total</t>
  </si>
  <si>
    <t>Public Art Requirement Calculation</t>
  </si>
  <si>
    <t>Construction Cost</t>
  </si>
  <si>
    <t>Percent funded by MOHCD (MOHCD Commitment / TDC)</t>
  </si>
  <si>
    <t>Public Art Allowed</t>
  </si>
  <si>
    <t>*Applies to most projects except those exempt. PMs check to verify if exempt or not.</t>
  </si>
  <si>
    <t>Ryan</t>
  </si>
  <si>
    <t>Added Commercial Budget and Public Art grids in LC Eval tab</t>
  </si>
  <si>
    <t>Use MOHCD estimated commitment from Predev Proforma/Evaluation only. Do not use from Preliminary or Final Gap Evaluation.</t>
  </si>
  <si>
    <t>Maximum Income Level</t>
  </si>
  <si>
    <t>MOHCD Income Restrictions</t>
  </si>
  <si>
    <t>Subsidy</t>
  </si>
  <si>
    <t>Sum of No. of Units</t>
  </si>
  <si>
    <t>Column Labels</t>
  </si>
  <si>
    <t>Row Labels</t>
  </si>
  <si>
    <t>Grand Total</t>
  </si>
  <si>
    <t>(blank)</t>
  </si>
  <si>
    <t>Jackie</t>
  </si>
  <si>
    <t>1% generally; 2% is in the zoning code and applies mostly downtown (C-3-G for example)</t>
  </si>
  <si>
    <t>Proj Mgt Fee portion 1 of 3: Predevelopment - Approval of entitlements</t>
  </si>
  <si>
    <t>Changed tab 8 DevFeeCalc line 16 from Predev Closing to Approval of Entitlements per SA.</t>
  </si>
  <si>
    <t>In tab 3a, for units with rental subsidy that are NOT LOSP, everything below line 113 was using the subsidy program from A108. This is updated so that subsidy programs for the last two grids in columns G and J refer to A118 and A128 respectively. Also tab 6 I96 supportable first mortgage now incorporates the 0.42% HCD payment and other costs before debt service F101-104. Per SA.</t>
  </si>
  <si>
    <t>Update LC Eval sheet to include AMI chart, updated references to this 2.79 proforma version. Also broke links to 3 other versions of the proforma template that did not appear to be in active use. Per SA and 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</si>
</sst>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quot;$&quot;#,##0"/>
    <numFmt numFmtId="166" formatCode="_(* #,##0_);_(* \(#,##0\);_(* &quot;-&quot;??_);_(@_)"/>
    <numFmt numFmtId="167" formatCode="0.0"/>
    <numFmt numFmtId="168" formatCode="&quot;$&quot;#,##0;[Red]&quot;$&quot;#,##0"/>
    <numFmt numFmtId="169" formatCode="&quot;Year &quot;##"/>
    <numFmt numFmtId="170" formatCode="0.000"/>
    <numFmt numFmtId="171" formatCode="&quot;$&quot;#,##0.00"/>
    <numFmt numFmtId="172" formatCode="[&lt;=9999999]###\-####;\(###\)\ ###\-####"/>
    <numFmt numFmtId="173" formatCode="m/d/yy"/>
    <numFmt numFmtId="174" formatCode="&quot;PUPA: &quot;###,###"/>
    <numFmt numFmtId="175" formatCode="_(\$* #,##0_);_(\$* \(#,##0\);_(\$* \-??_);_(@_)"/>
    <numFmt numFmtId="176" formatCode="_(* #,##0_);_(* \(#,##0\);_(* \-??_);_(@_)"/>
    <numFmt numFmtId="177" formatCode="_(* #,##0.0_);_(* \(#,##0.0\);_(* \-??_);_(@_)"/>
    <numFmt numFmtId="178" formatCode="\$#,##0_);&quot;($&quot;#,##0\)"/>
    <numFmt numFmtId="179" formatCode="_(&quot;$&quot;* #,##0_);_(&quot;$&quot;* \(#,##0\);_(&quot;$&quot;* &quot;-&quot;??_);_(@_)"/>
    <numFmt numFmtId="180" formatCode="0_);\(0\)"/>
    <numFmt numFmtId="181" formatCode="&quot;CY-&quot;##"/>
    <numFmt numFmtId="182" formatCode="#,##0\ &quot;months&quot;"/>
    <numFmt numFmtId="183" formatCode="#,##0.000"/>
    <numFmt numFmtId="184" formatCode="&quot;$&quot;#,##0.000"/>
    <numFmt numFmtId="185" formatCode="_(* #,##0.00_);_(* \(#,##0.00\);_(* &quot;-&quot;_);_(@_)"/>
    <numFmt numFmtId="186" formatCode="0.00000%"/>
    <numFmt numFmtId="187" formatCode="0.0000%"/>
    <numFmt numFmtId="188" formatCode="_(* #,##0.000_);_(* \(#,##0.000\);_(* &quot;-&quot;???_);_(@_)"/>
    <numFmt numFmtId="189" formatCode="_(&quot;b) &quot;* #,##0.00_);_(&quot;b) &quot;* \(#,##0.00\);_(* &quot;-&quot;??_);_(@_)"/>
    <numFmt numFmtId="190" formatCode="_(&quot;a) &quot;* 0.00%_)\ &quot;of PASS Loan&quot;;_(&quot;a) &quot;* \(0.00%\);_(* &quot;-&quot;??_);_(@_)"/>
    <numFmt numFmtId="191" formatCode="_(* #,##0.000_);_(* \(#,##0.000\);_(* &quot;-&quot;_);_(@_)"/>
    <numFmt numFmtId="192" formatCode="_(* #,##0.000_);_(* \(#,##0.000\);_(* &quot;-&quot;??_);_(@_)"/>
    <numFmt numFmtId="193" formatCode="dd\-mmm\-yy"/>
    <numFmt numFmtId="194" formatCode="&quot;$&quot;#,##0.00;\(&quot;$&quot;#,##0.00\)"/>
    <numFmt numFmtId="195" formatCode="mmm\ d\,\ yyyy"/>
    <numFmt numFmtId="196" formatCode="_(* #,##0.0000_);_(* \(#,##0.0000\);_(* &quot;-&quot;??_);_(@_)"/>
  </numFmts>
  <fonts count="16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10"/>
      <name val="Times New Roman"/>
      <family val="1"/>
    </font>
    <font>
      <sz val="10"/>
      <name val="Arial"/>
      <family val="2"/>
    </font>
    <font>
      <b/>
      <sz val="9"/>
      <color indexed="81"/>
      <name val="Tahoma"/>
      <family val="2"/>
    </font>
    <font>
      <sz val="9"/>
      <color indexed="81"/>
      <name val="Tahoma"/>
      <family val="2"/>
    </font>
    <font>
      <b/>
      <sz val="11"/>
      <name val="Calibri"/>
      <family val="2"/>
      <scheme val="minor"/>
    </font>
    <font>
      <sz val="11"/>
      <name val="Calibri"/>
      <family val="2"/>
      <scheme val="minor"/>
    </font>
    <font>
      <sz val="9"/>
      <name val="Geneva"/>
    </font>
    <font>
      <b/>
      <sz val="10"/>
      <name val="Arial"/>
      <family val="2"/>
    </font>
    <font>
      <b/>
      <sz val="9"/>
      <name val="Geneva"/>
    </font>
    <font>
      <b/>
      <i/>
      <sz val="10"/>
      <name val="Arial"/>
      <family val="2"/>
    </font>
    <font>
      <b/>
      <sz val="8"/>
      <color indexed="10"/>
      <name val="Arial"/>
      <family val="2"/>
    </font>
    <font>
      <sz val="9"/>
      <name val="Arial"/>
      <family val="2"/>
    </font>
    <font>
      <b/>
      <sz val="12"/>
      <name val="Arial"/>
      <family val="2"/>
    </font>
    <font>
      <sz val="12"/>
      <name val="Arial"/>
      <family val="2"/>
    </font>
    <font>
      <sz val="8"/>
      <name val="Arial"/>
      <family val="2"/>
    </font>
    <font>
      <b/>
      <sz val="8"/>
      <name val="Arial"/>
      <family val="2"/>
    </font>
    <font>
      <b/>
      <i/>
      <sz val="12"/>
      <name val="Arial"/>
      <family val="2"/>
    </font>
    <font>
      <i/>
      <sz val="10"/>
      <name val="Arial"/>
      <family val="2"/>
    </font>
    <font>
      <b/>
      <i/>
      <sz val="11"/>
      <name val="Arial"/>
      <family val="2"/>
    </font>
    <font>
      <u/>
      <sz val="10"/>
      <name val="Arial"/>
      <family val="2"/>
    </font>
    <font>
      <b/>
      <u/>
      <sz val="10"/>
      <name val="Arial"/>
      <family val="2"/>
    </font>
    <font>
      <b/>
      <sz val="11"/>
      <name val="Arial"/>
      <family val="2"/>
    </font>
    <font>
      <b/>
      <sz val="14"/>
      <name val="Arial"/>
      <family val="2"/>
    </font>
    <font>
      <sz val="11"/>
      <name val="Arial"/>
      <family val="2"/>
    </font>
    <font>
      <i/>
      <sz val="11"/>
      <name val="Arial"/>
      <family val="2"/>
    </font>
    <font>
      <u/>
      <sz val="11"/>
      <name val="Arial"/>
      <family val="2"/>
    </font>
    <font>
      <b/>
      <u/>
      <sz val="11"/>
      <name val="Arial"/>
      <family val="2"/>
    </font>
    <font>
      <b/>
      <sz val="9"/>
      <name val="Arial"/>
      <family val="2"/>
    </font>
    <font>
      <b/>
      <u val="singleAccounting"/>
      <sz val="10"/>
      <name val="Arial"/>
      <family val="2"/>
    </font>
    <font>
      <b/>
      <i/>
      <u/>
      <sz val="10"/>
      <name val="Arial"/>
      <family val="2"/>
    </font>
    <font>
      <i/>
      <sz val="10"/>
      <color rgb="FFFF0000"/>
      <name val="Arial"/>
      <family val="2"/>
    </font>
    <font>
      <i/>
      <sz val="8"/>
      <name val="Arial"/>
      <family val="2"/>
    </font>
    <font>
      <b/>
      <i/>
      <sz val="10"/>
      <color rgb="FFFF0000"/>
      <name val="Arial"/>
      <family val="2"/>
    </font>
    <font>
      <sz val="9"/>
      <color indexed="10"/>
      <name val="Arial"/>
      <family val="2"/>
    </font>
    <font>
      <b/>
      <sz val="10"/>
      <name val="Geneva"/>
    </font>
    <font>
      <strike/>
      <sz val="10"/>
      <name val="Arial"/>
      <family val="2"/>
    </font>
    <font>
      <b/>
      <strike/>
      <sz val="10"/>
      <name val="Arial"/>
      <family val="2"/>
    </font>
    <font>
      <b/>
      <i/>
      <strike/>
      <sz val="10"/>
      <name val="Arial"/>
      <family val="2"/>
    </font>
    <font>
      <b/>
      <i/>
      <strike/>
      <sz val="11"/>
      <name val="Arial"/>
      <family val="2"/>
    </font>
    <font>
      <b/>
      <sz val="11"/>
      <color theme="1"/>
      <name val="Calibri"/>
      <family val="2"/>
      <scheme val="minor"/>
    </font>
    <font>
      <i/>
      <sz val="9"/>
      <name val="Arial"/>
      <family val="2"/>
    </font>
    <font>
      <b/>
      <i/>
      <sz val="9"/>
      <name val="Arial"/>
      <family val="2"/>
    </font>
    <font>
      <i/>
      <sz val="11"/>
      <color rgb="FFFF0000"/>
      <name val="Arial"/>
      <family val="2"/>
    </font>
    <font>
      <i/>
      <sz val="9"/>
      <color rgb="FFFF0000"/>
      <name val="Arial"/>
      <family val="2"/>
    </font>
    <font>
      <b/>
      <sz val="10"/>
      <color rgb="FFFF0000"/>
      <name val="Arial"/>
      <family val="2"/>
    </font>
    <font>
      <i/>
      <sz val="7"/>
      <name val="Arial"/>
      <family val="2"/>
    </font>
    <font>
      <b/>
      <i/>
      <sz val="11"/>
      <color rgb="FFFF0000"/>
      <name val="Arial"/>
      <family val="2"/>
    </font>
    <font>
      <b/>
      <i/>
      <sz val="12"/>
      <color rgb="FFFF0000"/>
      <name val="Arial"/>
      <family val="2"/>
    </font>
    <font>
      <i/>
      <sz val="8"/>
      <color rgb="FFFF0000"/>
      <name val="Arial"/>
      <family val="2"/>
    </font>
    <font>
      <b/>
      <sz val="10"/>
      <color theme="4"/>
      <name val="Arial"/>
      <family val="2"/>
    </font>
    <font>
      <sz val="10"/>
      <color rgb="FF00B0F0"/>
      <name val="Arial"/>
      <family val="2"/>
    </font>
    <font>
      <i/>
      <sz val="10"/>
      <color rgb="FF0070C0"/>
      <name val="Arial"/>
      <family val="2"/>
    </font>
    <font>
      <b/>
      <i/>
      <sz val="10"/>
      <color rgb="FF0070C0"/>
      <name val="Arial"/>
      <family val="2"/>
    </font>
    <font>
      <b/>
      <sz val="10"/>
      <color rgb="FF0070C0"/>
      <name val="Arial"/>
      <family val="2"/>
    </font>
    <font>
      <sz val="10"/>
      <color rgb="FFFF0000"/>
      <name val="Arial"/>
      <family val="2"/>
    </font>
    <font>
      <b/>
      <i/>
      <sz val="9"/>
      <color rgb="FFFF0000"/>
      <name val="Arial"/>
      <family val="2"/>
    </font>
    <font>
      <b/>
      <i/>
      <sz val="10"/>
      <color theme="0"/>
      <name val="Arial"/>
      <family val="2"/>
    </font>
    <font>
      <b/>
      <i/>
      <sz val="8"/>
      <color rgb="FFFF0000"/>
      <name val="Geneva"/>
    </font>
    <font>
      <sz val="10"/>
      <color theme="1"/>
      <name val="Arial"/>
      <family val="2"/>
    </font>
    <font>
      <b/>
      <sz val="10"/>
      <color theme="1"/>
      <name val="Arial"/>
      <family val="2"/>
    </font>
    <font>
      <sz val="8"/>
      <color theme="1"/>
      <name val="Arial"/>
      <family val="2"/>
    </font>
    <font>
      <sz val="11"/>
      <color theme="1"/>
      <name val="Arial"/>
      <family val="2"/>
    </font>
    <font>
      <b/>
      <i/>
      <sz val="8"/>
      <color rgb="FFFF0000"/>
      <name val="Arial"/>
      <family val="2"/>
    </font>
    <font>
      <b/>
      <i/>
      <sz val="11"/>
      <color rgb="FFFF0000"/>
      <name val="Calibri"/>
      <family val="2"/>
      <scheme val="minor"/>
    </font>
    <font>
      <sz val="10"/>
      <color theme="0"/>
      <name val="Arial"/>
      <family val="2"/>
    </font>
    <font>
      <b/>
      <sz val="10"/>
      <color theme="0"/>
      <name val="Arial"/>
      <family val="2"/>
    </font>
    <font>
      <u/>
      <sz val="10"/>
      <color theme="10"/>
      <name val="Arial"/>
      <family val="2"/>
    </font>
    <font>
      <i/>
      <sz val="9"/>
      <color theme="3"/>
      <name val="Arial"/>
      <family val="2"/>
    </font>
    <font>
      <sz val="10"/>
      <color theme="3"/>
      <name val="Arial"/>
      <family val="2"/>
    </font>
    <font>
      <i/>
      <sz val="10"/>
      <color theme="3"/>
      <name val="Arial"/>
      <family val="2"/>
    </font>
    <font>
      <b/>
      <i/>
      <u/>
      <sz val="10"/>
      <color theme="0"/>
      <name val="Arial"/>
      <family val="2"/>
    </font>
    <font>
      <sz val="10"/>
      <color theme="0"/>
      <name val="Geneva"/>
    </font>
    <font>
      <b/>
      <sz val="10"/>
      <color theme="0"/>
      <name val="Geneva"/>
    </font>
    <font>
      <b/>
      <i/>
      <sz val="10"/>
      <color theme="0"/>
      <name val="Geneva"/>
    </font>
    <font>
      <i/>
      <sz val="9"/>
      <color rgb="FF0070C0"/>
      <name val="Arial"/>
      <family val="2"/>
    </font>
    <font>
      <u/>
      <sz val="9"/>
      <name val="Arial"/>
      <family val="2"/>
    </font>
    <font>
      <sz val="10"/>
      <name val="Arial"/>
      <family val="2"/>
    </font>
    <font>
      <sz val="10"/>
      <color indexed="60"/>
      <name val="Times New Roman"/>
      <family val="1"/>
    </font>
    <font>
      <b/>
      <i/>
      <sz val="8"/>
      <name val="Arial"/>
      <family val="2"/>
    </font>
    <font>
      <b/>
      <sz val="9"/>
      <color rgb="FFFF0000"/>
      <name val="Arial"/>
      <family val="2"/>
    </font>
    <font>
      <b/>
      <sz val="8"/>
      <color rgb="FFFF0000"/>
      <name val="Arial"/>
      <family val="2"/>
    </font>
    <font>
      <b/>
      <i/>
      <u val="singleAccounting"/>
      <sz val="10"/>
      <name val="Arial"/>
      <family val="2"/>
    </font>
    <font>
      <sz val="11"/>
      <color rgb="FFFF0000"/>
      <name val="Calibri"/>
      <family val="2"/>
      <scheme val="minor"/>
    </font>
    <font>
      <sz val="11"/>
      <color theme="0"/>
      <name val="Calibri"/>
      <family val="2"/>
      <scheme val="minor"/>
    </font>
    <font>
      <i/>
      <sz val="11"/>
      <name val="Calibri"/>
      <family val="2"/>
      <scheme val="minor"/>
    </font>
    <font>
      <i/>
      <strike/>
      <sz val="10"/>
      <name val="Arial"/>
      <family val="2"/>
    </font>
    <font>
      <sz val="10"/>
      <color rgb="FF000000"/>
      <name val="Arial"/>
      <family val="2"/>
    </font>
    <font>
      <sz val="10"/>
      <color theme="4" tint="-0.249977111117893"/>
      <name val="Arial"/>
      <family val="2"/>
    </font>
    <font>
      <i/>
      <sz val="11"/>
      <color rgb="FF7F7F7F"/>
      <name val="Calibri"/>
      <family val="2"/>
      <scheme val="minor"/>
    </font>
    <font>
      <sz val="11"/>
      <color rgb="FFFF0000"/>
      <name val="Arial"/>
      <family val="2"/>
      <charset val="1"/>
    </font>
    <font>
      <b/>
      <sz val="10"/>
      <name val="Arial"/>
      <family val="2"/>
      <charset val="1"/>
    </font>
    <font>
      <sz val="10"/>
      <color rgb="FFFF0000"/>
      <name val="Arial"/>
      <family val="2"/>
      <charset val="1"/>
    </font>
    <font>
      <sz val="16"/>
      <name val="Arial"/>
      <family val="2"/>
      <charset val="1"/>
    </font>
    <font>
      <sz val="11"/>
      <name val="Arial"/>
      <family val="2"/>
      <charset val="1"/>
    </font>
    <font>
      <sz val="12"/>
      <name val="Arial"/>
      <family val="2"/>
      <charset val="1"/>
    </font>
    <font>
      <sz val="12"/>
      <color rgb="FFFF0000"/>
      <name val="Arial"/>
      <family val="2"/>
      <charset val="1"/>
    </font>
    <font>
      <sz val="10"/>
      <name val="Arial"/>
      <family val="2"/>
      <charset val="1"/>
    </font>
    <font>
      <b/>
      <sz val="11"/>
      <name val="Arial"/>
      <family val="2"/>
      <charset val="1"/>
    </font>
    <font>
      <b/>
      <sz val="10"/>
      <color rgb="FF002060"/>
      <name val="Arial"/>
      <family val="2"/>
    </font>
    <font>
      <b/>
      <sz val="10"/>
      <color rgb="FFFF0000"/>
      <name val="Arial"/>
      <family val="2"/>
      <charset val="1"/>
    </font>
    <font>
      <b/>
      <sz val="10"/>
      <color indexed="10"/>
      <name val="Arial"/>
      <family val="2"/>
    </font>
    <font>
      <u/>
      <sz val="11"/>
      <name val="Arial"/>
      <family val="2"/>
      <charset val="1"/>
    </font>
    <font>
      <u/>
      <sz val="10"/>
      <name val="Arial"/>
      <family val="2"/>
      <charset val="1"/>
    </font>
    <font>
      <b/>
      <i/>
      <sz val="11"/>
      <color theme="0"/>
      <name val="Arial"/>
      <family val="2"/>
    </font>
    <font>
      <b/>
      <i/>
      <sz val="12"/>
      <color theme="0"/>
      <name val="Arial"/>
      <family val="2"/>
    </font>
    <font>
      <b/>
      <i/>
      <sz val="11"/>
      <name val="Calibri"/>
      <family val="2"/>
      <scheme val="minor"/>
    </font>
    <font>
      <b/>
      <sz val="11"/>
      <color theme="1"/>
      <name val="Arial"/>
      <family val="2"/>
    </font>
    <font>
      <b/>
      <sz val="12"/>
      <color theme="1"/>
      <name val="Arial"/>
      <family val="2"/>
    </font>
    <font>
      <b/>
      <sz val="12"/>
      <name val="Calibri"/>
      <family val="2"/>
      <scheme val="minor"/>
    </font>
    <font>
      <b/>
      <sz val="14"/>
      <name val="Calibri"/>
      <family val="2"/>
      <scheme val="minor"/>
    </font>
    <font>
      <b/>
      <i/>
      <sz val="11"/>
      <color rgb="FF00B0F0"/>
      <name val="Calibri"/>
      <family val="2"/>
      <scheme val="minor"/>
    </font>
    <font>
      <b/>
      <i/>
      <sz val="11"/>
      <color rgb="FF92D050"/>
      <name val="Calibri"/>
      <family val="2"/>
      <scheme val="minor"/>
    </font>
    <font>
      <b/>
      <i/>
      <sz val="11"/>
      <name val="Calibri"/>
      <family val="2"/>
    </font>
    <font>
      <b/>
      <sz val="11"/>
      <color rgb="FFFF0000"/>
      <name val="Arial"/>
      <family val="2"/>
    </font>
    <font>
      <i/>
      <u/>
      <sz val="10"/>
      <name val="Arial"/>
      <family val="2"/>
    </font>
    <font>
      <sz val="9"/>
      <color theme="3"/>
      <name val="Arial"/>
      <family val="2"/>
    </font>
    <font>
      <sz val="10"/>
      <color rgb="FF0070C0"/>
      <name val="Arial"/>
      <family val="2"/>
    </font>
    <font>
      <u/>
      <sz val="10"/>
      <color rgb="FF0070C0"/>
      <name val="Arial"/>
      <family val="2"/>
    </font>
    <font>
      <b/>
      <u/>
      <sz val="10"/>
      <color rgb="FF0070C0"/>
      <name val="Arial"/>
      <family val="2"/>
    </font>
    <font>
      <sz val="9"/>
      <color rgb="FF0070C0"/>
      <name val="Arial"/>
      <family val="2"/>
    </font>
    <font>
      <sz val="8"/>
      <color rgb="FF0070C0"/>
      <name val="Arial"/>
      <family val="2"/>
    </font>
    <font>
      <b/>
      <sz val="11"/>
      <color rgb="FFFFFF00"/>
      <name val="Calibri"/>
      <family val="2"/>
      <scheme val="minor"/>
    </font>
    <font>
      <sz val="11"/>
      <color rgb="FFFF0000"/>
      <name val="Arial"/>
      <family val="2"/>
    </font>
    <font>
      <b/>
      <sz val="11"/>
      <color theme="0"/>
      <name val="Arial"/>
      <family val="2"/>
    </font>
    <font>
      <b/>
      <i/>
      <sz val="11"/>
      <color theme="1"/>
      <name val="Arial"/>
      <family val="2"/>
    </font>
    <font>
      <sz val="10"/>
      <name val="Arial"/>
      <family val="2"/>
    </font>
    <font>
      <sz val="11"/>
      <color theme="0"/>
      <name val="Arial"/>
      <family val="2"/>
    </font>
    <font>
      <u val="singleAccounting"/>
      <sz val="11"/>
      <color theme="1"/>
      <name val="Arial"/>
      <family val="2"/>
    </font>
    <font>
      <u/>
      <sz val="11"/>
      <color theme="1"/>
      <name val="Arial"/>
      <family val="2"/>
    </font>
    <font>
      <b/>
      <u/>
      <sz val="11"/>
      <color theme="0"/>
      <name val="Arial"/>
      <family val="2"/>
    </font>
    <font>
      <u val="singleAccounting"/>
      <sz val="11"/>
      <color theme="0"/>
      <name val="Arial"/>
      <family val="2"/>
    </font>
    <font>
      <u/>
      <sz val="11"/>
      <color theme="0"/>
      <name val="Arial"/>
      <family val="2"/>
    </font>
    <font>
      <i/>
      <u/>
      <sz val="11"/>
      <color theme="1"/>
      <name val="Calibri"/>
      <family val="2"/>
      <scheme val="minor"/>
    </font>
    <font>
      <b/>
      <sz val="11"/>
      <color theme="0"/>
      <name val="Calibri"/>
      <family val="2"/>
      <scheme val="minor"/>
    </font>
    <font>
      <u val="singleAccounting"/>
      <sz val="11"/>
      <name val="Arial"/>
      <family val="2"/>
    </font>
    <font>
      <sz val="10"/>
      <color rgb="FF0000FF"/>
      <name val="Arial"/>
      <family val="2"/>
    </font>
    <font>
      <b/>
      <sz val="10"/>
      <color rgb="FFCC3300"/>
      <name val="Arial"/>
      <family val="2"/>
    </font>
    <font>
      <b/>
      <sz val="9"/>
      <color theme="1"/>
      <name val="Arial"/>
      <family val="2"/>
    </font>
    <font>
      <b/>
      <i/>
      <sz val="9"/>
      <color theme="1"/>
      <name val="Arial"/>
      <family val="2"/>
    </font>
    <font>
      <i/>
      <sz val="12"/>
      <color rgb="FF000000"/>
      <name val="Calibri"/>
      <family val="2"/>
    </font>
    <font>
      <i/>
      <u/>
      <sz val="10"/>
      <color theme="10"/>
      <name val="Arial"/>
      <family val="2"/>
    </font>
    <font>
      <sz val="9"/>
      <color rgb="FF0000FF"/>
      <name val="Arial"/>
      <family val="2"/>
    </font>
    <font>
      <b/>
      <sz val="9"/>
      <color rgb="FF0000FF"/>
      <name val="Arial"/>
      <family val="2"/>
    </font>
    <font>
      <sz val="9"/>
      <color theme="1"/>
      <name val="Arial"/>
      <family val="2"/>
    </font>
    <font>
      <b/>
      <sz val="10"/>
      <color rgb="FF000000"/>
      <name val="Arial"/>
      <family val="2"/>
    </font>
    <font>
      <sz val="11"/>
      <color indexed="8"/>
      <name val="Calibri"/>
      <family val="2"/>
    </font>
    <font>
      <sz val="10"/>
      <color indexed="8"/>
      <name val="Arial"/>
      <family val="2"/>
    </font>
    <font>
      <b/>
      <sz val="10"/>
      <color rgb="FF00B0F0"/>
      <name val="Arial"/>
      <family val="2"/>
    </font>
    <font>
      <sz val="11"/>
      <color rgb="FFFF66FF"/>
      <name val="Calibri"/>
      <family val="2"/>
    </font>
    <font>
      <sz val="9"/>
      <color rgb="FF000000"/>
      <name val="Arial"/>
      <family val="2"/>
    </font>
    <font>
      <b/>
      <sz val="9"/>
      <color rgb="FF000000"/>
      <name val="Arial"/>
      <family val="2"/>
    </font>
    <font>
      <sz val="10"/>
      <color rgb="FFFF66FF"/>
      <name val="Arial"/>
      <family val="2"/>
    </font>
    <font>
      <sz val="14"/>
      <name val="Arial"/>
      <family val="2"/>
    </font>
  </fonts>
  <fills count="42">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3"/>
        <bgColor indexed="64"/>
      </patternFill>
    </fill>
    <fill>
      <patternFill patternType="solid">
        <fgColor rgb="FFFFFF99"/>
        <bgColor indexed="64"/>
      </patternFill>
    </fill>
    <fill>
      <patternFill patternType="solid">
        <fgColor theme="3" tint="0.59999389629810485"/>
        <bgColor indexed="64"/>
      </patternFill>
    </fill>
    <fill>
      <patternFill patternType="solid">
        <fgColor indexed="51"/>
        <bgColor indexed="64"/>
      </patternFill>
    </fill>
    <fill>
      <patternFill patternType="solid">
        <fgColor indexed="9"/>
        <bgColor indexed="64"/>
      </patternFill>
    </fill>
    <fill>
      <patternFill patternType="solid">
        <fgColor theme="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E6B8B7"/>
        <bgColor rgb="FF000000"/>
      </patternFill>
    </fill>
    <fill>
      <patternFill patternType="solid">
        <fgColor theme="3" tint="0.79995117038483843"/>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9" tint="-0.249977111117893"/>
        <bgColor indexed="64"/>
      </patternFill>
    </fill>
    <fill>
      <patternFill patternType="solid">
        <fgColor theme="1" tint="4.9989318521683403E-2"/>
        <bgColor indexed="64"/>
      </patternFill>
    </fill>
    <fill>
      <patternFill patternType="solid">
        <fgColor theme="2" tint="-0.249977111117893"/>
        <bgColor indexed="64"/>
      </patternFill>
    </fill>
    <fill>
      <patternFill patternType="solid">
        <fgColor rgb="FF92D050"/>
        <bgColor indexed="64"/>
      </patternFill>
    </fill>
    <fill>
      <patternFill patternType="solid">
        <fgColor theme="9" tint="0.39997558519241921"/>
        <bgColor indexed="64"/>
      </patternFill>
    </fill>
    <fill>
      <patternFill patternType="solid">
        <fgColor rgb="FFE3E3E3"/>
        <bgColor rgb="FFD9D9D9"/>
      </patternFill>
    </fill>
    <fill>
      <patternFill patternType="solid">
        <fgColor rgb="FFD9D9D9"/>
        <bgColor rgb="FFE3E3E3"/>
      </patternFill>
    </fill>
    <fill>
      <patternFill patternType="solid">
        <fgColor theme="4" tint="0.59999389629810485"/>
        <bgColor indexed="64"/>
      </patternFill>
    </fill>
    <fill>
      <patternFill patternType="solid">
        <fgColor theme="9" tint="0.59996337778862885"/>
        <bgColor indexed="64"/>
      </patternFill>
    </fill>
    <fill>
      <patternFill patternType="solid">
        <fgColor theme="5"/>
        <bgColor indexed="64"/>
      </patternFill>
    </fill>
    <fill>
      <patternFill patternType="solid">
        <fgColor rgb="FF7030A0"/>
        <bgColor indexed="64"/>
      </patternFill>
    </fill>
    <fill>
      <patternFill patternType="solid">
        <fgColor theme="5"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indexed="22"/>
        <bgColor indexed="0"/>
      </patternFill>
    </fill>
    <fill>
      <patternFill patternType="solid">
        <fgColor rgb="FFFF66FF"/>
        <bgColor indexed="0"/>
      </patternFill>
    </fill>
    <fill>
      <patternFill patternType="solid">
        <fgColor rgb="FF99FF99"/>
        <bgColor indexed="64"/>
      </patternFill>
    </fill>
  </fills>
  <borders count="1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double">
        <color indexed="64"/>
      </top>
      <bottom style="thin">
        <color indexed="64"/>
      </bottom>
      <diagonal/>
    </border>
    <border>
      <left style="thin">
        <color indexed="64"/>
      </left>
      <right style="hair">
        <color indexed="64"/>
      </right>
      <top style="thin">
        <color indexed="64"/>
      </top>
      <bottom style="double">
        <color indexed="64"/>
      </bottom>
      <diagonal/>
    </border>
    <border>
      <left style="thin">
        <color indexed="64"/>
      </left>
      <right style="hair">
        <color indexed="64"/>
      </right>
      <top style="double">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double">
        <color indexed="64"/>
      </bottom>
      <diagonal/>
    </border>
    <border>
      <left/>
      <right style="hair">
        <color indexed="64"/>
      </right>
      <top style="double">
        <color indexed="64"/>
      </top>
      <bottom style="thin">
        <color indexed="64"/>
      </bottom>
      <diagonal/>
    </border>
    <border>
      <left/>
      <right/>
      <top style="medium">
        <color indexed="64"/>
      </top>
      <bottom style="thin">
        <color indexed="64"/>
      </bottom>
      <diagonal/>
    </border>
    <border>
      <left style="thin">
        <color auto="1"/>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auto="1"/>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auto="1"/>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auto="1"/>
      </bottom>
      <diagonal/>
    </border>
    <border>
      <left style="medium">
        <color rgb="FF000000"/>
      </left>
      <right style="medium">
        <color auto="1"/>
      </right>
      <top style="medium">
        <color auto="1"/>
      </top>
      <bottom style="medium">
        <color auto="1"/>
      </bottom>
      <diagonal/>
    </border>
    <border>
      <left style="medium">
        <color indexed="64"/>
      </left>
      <right/>
      <top style="medium">
        <color indexed="64"/>
      </top>
      <bottom style="thin">
        <color auto="1"/>
      </bottom>
      <diagonal/>
    </border>
    <border>
      <left style="thin">
        <color auto="1"/>
      </left>
      <right style="medium">
        <color indexed="64"/>
      </right>
      <top style="medium">
        <color auto="1"/>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bottom/>
      <diagonal/>
    </border>
    <border>
      <left/>
      <right style="thin">
        <color auto="1"/>
      </right>
      <top style="medium">
        <color auto="1"/>
      </top>
      <bottom style="medium">
        <color auto="1"/>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auto="1"/>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rgb="FF000000"/>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dotted">
        <color indexed="64"/>
      </top>
      <bottom/>
      <diagonal/>
    </border>
    <border>
      <left style="thin">
        <color auto="1"/>
      </left>
      <right/>
      <top style="medium">
        <color auto="1"/>
      </top>
      <bottom style="medium">
        <color auto="1"/>
      </bottom>
      <diagonal/>
    </border>
    <border>
      <left/>
      <right style="thin">
        <color indexed="64"/>
      </right>
      <top/>
      <bottom style="double">
        <color indexed="64"/>
      </bottom>
      <diagonal/>
    </border>
  </borders>
  <cellStyleXfs count="26">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14" fillId="0" borderId="0"/>
    <xf numFmtId="0" fontId="6" fillId="0" borderId="0"/>
    <xf numFmtId="44" fontId="6" fillId="0" borderId="0" applyFont="0" applyFill="0" applyBorder="0" applyAlignment="0" applyProtection="0"/>
    <xf numFmtId="0" fontId="5" fillId="0" borderId="0"/>
    <xf numFmtId="9" fontId="6" fillId="0" borderId="0" applyFont="0" applyFill="0" applyBorder="0" applyAlignment="0" applyProtection="0"/>
    <xf numFmtId="0" fontId="4" fillId="0" borderId="0"/>
    <xf numFmtId="0" fontId="74" fillId="0" borderId="0" applyNumberFormat="0" applyFill="0" applyBorder="0" applyAlignment="0" applyProtection="0"/>
    <xf numFmtId="43" fontId="84" fillId="0" borderId="0" applyFont="0" applyFill="0" applyBorder="0" applyAlignment="0" applyProtection="0"/>
    <xf numFmtId="9" fontId="6" fillId="0" borderId="0" applyFont="0" applyFill="0" applyBorder="0" applyAlignment="0" applyProtection="0"/>
    <xf numFmtId="0" fontId="96" fillId="0" borderId="0" applyNumberForma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6" fillId="0" borderId="0" applyFont="0" applyFill="0" applyBorder="0" applyAlignment="0" applyProtection="0"/>
    <xf numFmtId="0" fontId="6" fillId="0" borderId="0"/>
    <xf numFmtId="44" fontId="133" fillId="0" borderId="0" applyFont="0" applyFill="0" applyBorder="0" applyAlignment="0" applyProtection="0"/>
    <xf numFmtId="0" fontId="2" fillId="0" borderId="0"/>
    <xf numFmtId="0" fontId="154" fillId="0" borderId="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2454">
    <xf numFmtId="0" fontId="0" fillId="0" borderId="0" xfId="0"/>
    <xf numFmtId="9" fontId="6" fillId="0" borderId="1" xfId="3" applyFont="1" applyBorder="1" applyAlignment="1" applyProtection="1">
      <alignment horizontal="center"/>
    </xf>
    <xf numFmtId="0" fontId="6" fillId="0" borderId="1" xfId="4" applyFont="1" applyBorder="1" applyAlignment="1">
      <alignment horizontal="center"/>
    </xf>
    <xf numFmtId="9" fontId="19" fillId="0" borderId="0" xfId="3" applyFont="1" applyBorder="1" applyAlignment="1" applyProtection="1">
      <alignment horizontal="center"/>
    </xf>
    <xf numFmtId="0" fontId="14" fillId="0" borderId="0" xfId="4"/>
    <xf numFmtId="0" fontId="6" fillId="0" borderId="0" xfId="0" applyFont="1"/>
    <xf numFmtId="0" fontId="15" fillId="0" borderId="0" xfId="0" applyFont="1"/>
    <xf numFmtId="0" fontId="15" fillId="0" borderId="0" xfId="5" applyFont="1"/>
    <xf numFmtId="0" fontId="6" fillId="0" borderId="0" xfId="0" applyFont="1" applyAlignment="1">
      <alignment horizontal="center"/>
    </xf>
    <xf numFmtId="0" fontId="15" fillId="0" borderId="0" xfId="0" applyFont="1" applyAlignment="1">
      <alignment horizontal="center"/>
    </xf>
    <xf numFmtId="0" fontId="6" fillId="0" borderId="1" xfId="0" applyFont="1" applyBorder="1"/>
    <xf numFmtId="0" fontId="17" fillId="0" borderId="0" xfId="0" applyFont="1" applyAlignment="1">
      <alignment horizontal="right"/>
    </xf>
    <xf numFmtId="0" fontId="25" fillId="0" borderId="0" xfId="0" applyFont="1" applyAlignment="1">
      <alignment horizontal="center"/>
    </xf>
    <xf numFmtId="0" fontId="6" fillId="0" borderId="1" xfId="0" applyFont="1" applyBorder="1" applyAlignment="1">
      <alignment wrapText="1"/>
    </xf>
    <xf numFmtId="0" fontId="27" fillId="0" borderId="0" xfId="0" applyFont="1" applyAlignment="1">
      <alignment horizontal="center"/>
    </xf>
    <xf numFmtId="0" fontId="6" fillId="0" borderId="1" xfId="0" applyFont="1" applyBorder="1" applyAlignment="1">
      <alignment horizontal="center"/>
    </xf>
    <xf numFmtId="3" fontId="6" fillId="0" borderId="0" xfId="0" applyNumberFormat="1" applyFont="1" applyAlignment="1">
      <alignment horizontal="right"/>
    </xf>
    <xf numFmtId="0" fontId="6" fillId="3" borderId="1" xfId="0" applyFont="1" applyFill="1" applyBorder="1"/>
    <xf numFmtId="166" fontId="6" fillId="4" borderId="1" xfId="1" applyNumberFormat="1" applyFont="1" applyFill="1" applyBorder="1" applyProtection="1">
      <protection locked="0"/>
    </xf>
    <xf numFmtId="166" fontId="15" fillId="0" borderId="0" xfId="1" applyNumberFormat="1" applyFont="1"/>
    <xf numFmtId="164" fontId="6" fillId="3" borderId="1" xfId="3" applyNumberFormat="1" applyFont="1" applyFill="1" applyBorder="1" applyAlignment="1">
      <alignment horizontal="center"/>
    </xf>
    <xf numFmtId="0" fontId="19" fillId="0" borderId="0" xfId="0" applyFont="1" applyAlignment="1">
      <alignment wrapText="1"/>
    </xf>
    <xf numFmtId="0" fontId="6" fillId="0" borderId="6" xfId="0" applyFont="1" applyBorder="1" applyAlignment="1">
      <alignment horizontal="center"/>
    </xf>
    <xf numFmtId="166" fontId="15" fillId="0" borderId="14" xfId="1" applyNumberFormat="1" applyFont="1" applyBorder="1"/>
    <xf numFmtId="9" fontId="0" fillId="0" borderId="0" xfId="0" applyNumberFormat="1"/>
    <xf numFmtId="166" fontId="6" fillId="0" borderId="0" xfId="1" applyNumberFormat="1" applyFont="1" applyBorder="1"/>
    <xf numFmtId="0" fontId="17" fillId="0" borderId="0" xfId="0" applyFont="1"/>
    <xf numFmtId="0" fontId="15" fillId="0" borderId="0" xfId="0" applyFont="1" applyAlignment="1">
      <alignment horizontal="right"/>
    </xf>
    <xf numFmtId="166" fontId="15" fillId="0" borderId="0" xfId="1" applyNumberFormat="1" applyFont="1" applyBorder="1"/>
    <xf numFmtId="166" fontId="15" fillId="4" borderId="1" xfId="1" applyNumberFormat="1" applyFont="1" applyFill="1" applyBorder="1" applyProtection="1">
      <protection locked="0"/>
    </xf>
    <xf numFmtId="166" fontId="6" fillId="3" borderId="1" xfId="1" applyNumberFormat="1" applyFont="1" applyFill="1" applyBorder="1" applyProtection="1"/>
    <xf numFmtId="0" fontId="19" fillId="0" borderId="6" xfId="0" applyFont="1" applyBorder="1" applyAlignment="1">
      <alignment wrapText="1"/>
    </xf>
    <xf numFmtId="0" fontId="0" fillId="5" borderId="0" xfId="0" applyFill="1"/>
    <xf numFmtId="166" fontId="0" fillId="0" borderId="0" xfId="0" applyNumberFormat="1"/>
    <xf numFmtId="6" fontId="0" fillId="0" borderId="0" xfId="0" applyNumberFormat="1"/>
    <xf numFmtId="10" fontId="18" fillId="0" borderId="16" xfId="1" applyNumberFormat="1" applyFont="1" applyFill="1" applyBorder="1" applyAlignment="1" applyProtection="1">
      <alignment horizontal="center" vertical="center" wrapText="1"/>
    </xf>
    <xf numFmtId="6" fontId="19" fillId="0" borderId="0" xfId="0" applyNumberFormat="1" applyFont="1" applyAlignment="1">
      <alignment vertical="center"/>
    </xf>
    <xf numFmtId="0" fontId="19" fillId="0" borderId="0" xfId="0" applyFont="1" applyAlignment="1">
      <alignment vertical="center"/>
    </xf>
    <xf numFmtId="9" fontId="19" fillId="0" borderId="0" xfId="0" applyNumberFormat="1" applyFont="1" applyAlignment="1">
      <alignment vertical="center"/>
    </xf>
    <xf numFmtId="170" fontId="0" fillId="0" borderId="0" xfId="0" applyNumberFormat="1"/>
    <xf numFmtId="0" fontId="19" fillId="0" borderId="0" xfId="4" applyFont="1"/>
    <xf numFmtId="9" fontId="6" fillId="7" borderId="1" xfId="3" applyFont="1" applyFill="1" applyBorder="1" applyAlignment="1" applyProtection="1">
      <alignment horizontal="center" shrinkToFit="1"/>
      <protection locked="0"/>
    </xf>
    <xf numFmtId="0" fontId="6" fillId="7" borderId="1" xfId="4" applyFont="1" applyFill="1" applyBorder="1" applyAlignment="1" applyProtection="1">
      <alignment horizontal="center" shrinkToFit="1"/>
      <protection locked="0"/>
    </xf>
    <xf numFmtId="166" fontId="41" fillId="0" borderId="0" xfId="1" applyNumberFormat="1" applyFont="1" applyBorder="1" applyProtection="1"/>
    <xf numFmtId="0" fontId="15" fillId="0" borderId="1" xfId="0" applyFont="1" applyBorder="1" applyAlignment="1">
      <alignment wrapText="1"/>
    </xf>
    <xf numFmtId="3" fontId="15" fillId="0" borderId="0" xfId="2" applyNumberFormat="1" applyFont="1" applyAlignment="1">
      <alignment horizontal="right"/>
    </xf>
    <xf numFmtId="0" fontId="19" fillId="3" borderId="6" xfId="0" applyFont="1" applyFill="1" applyBorder="1" applyAlignment="1">
      <alignment wrapText="1"/>
    </xf>
    <xf numFmtId="0" fontId="19" fillId="3" borderId="1" xfId="0" applyFont="1" applyFill="1" applyBorder="1" applyAlignment="1">
      <alignment wrapText="1"/>
    </xf>
    <xf numFmtId="0" fontId="25" fillId="3" borderId="0" xfId="0" applyFont="1" applyFill="1" applyAlignment="1">
      <alignment horizontal="center"/>
    </xf>
    <xf numFmtId="0" fontId="19" fillId="3" borderId="0" xfId="0" applyFont="1" applyFill="1" applyAlignment="1">
      <alignment wrapText="1"/>
    </xf>
    <xf numFmtId="0" fontId="6" fillId="3" borderId="0" xfId="0" applyFont="1" applyFill="1" applyAlignment="1">
      <alignment horizontal="center"/>
    </xf>
    <xf numFmtId="0" fontId="19" fillId="3" borderId="5" xfId="0" applyFont="1" applyFill="1" applyBorder="1" applyAlignment="1">
      <alignment wrapText="1"/>
    </xf>
    <xf numFmtId="0" fontId="15" fillId="3" borderId="0" xfId="0" applyFont="1" applyFill="1" applyAlignment="1">
      <alignment horizontal="center"/>
    </xf>
    <xf numFmtId="0" fontId="6" fillId="3" borderId="0" xfId="0" applyFont="1" applyFill="1"/>
    <xf numFmtId="0" fontId="6" fillId="0" borderId="0" xfId="0" applyFont="1" applyAlignment="1">
      <alignment horizontal="right"/>
    </xf>
    <xf numFmtId="0" fontId="6" fillId="0" borderId="0" xfId="0" applyFont="1" applyAlignment="1">
      <alignment horizontal="left"/>
    </xf>
    <xf numFmtId="0" fontId="19" fillId="3" borderId="2" xfId="0" applyFont="1" applyFill="1" applyBorder="1" applyAlignment="1">
      <alignment wrapText="1"/>
    </xf>
    <xf numFmtId="3" fontId="15" fillId="3" borderId="0" xfId="0" applyNumberFormat="1" applyFont="1" applyFill="1"/>
    <xf numFmtId="3" fontId="26" fillId="0" borderId="2" xfId="0" applyNumberFormat="1" applyFont="1" applyBorder="1" applyAlignment="1">
      <alignment horizontal="center" wrapText="1"/>
    </xf>
    <xf numFmtId="0" fontId="19" fillId="3" borderId="6" xfId="0" applyFont="1" applyFill="1" applyBorder="1" applyAlignment="1">
      <alignment horizontal="center" wrapText="1"/>
    </xf>
    <xf numFmtId="0" fontId="27" fillId="0" borderId="1" xfId="0" applyFont="1" applyBorder="1" applyAlignment="1">
      <alignment horizontal="center"/>
    </xf>
    <xf numFmtId="0" fontId="15" fillId="0" borderId="1" xfId="0" applyFont="1" applyBorder="1" applyAlignment="1">
      <alignment horizontal="left"/>
    </xf>
    <xf numFmtId="164" fontId="6" fillId="8" borderId="1" xfId="3" applyNumberFormat="1" applyFont="1" applyFill="1" applyBorder="1" applyAlignment="1" applyProtection="1">
      <alignment horizontal="center"/>
      <protection locked="0"/>
    </xf>
    <xf numFmtId="0" fontId="19" fillId="8" borderId="6" xfId="0" applyFont="1" applyFill="1" applyBorder="1" applyAlignment="1" applyProtection="1">
      <alignment wrapText="1"/>
      <protection locked="0"/>
    </xf>
    <xf numFmtId="0" fontId="19" fillId="8" borderId="1" xfId="0" applyFont="1" applyFill="1" applyBorder="1" applyAlignment="1" applyProtection="1">
      <alignment wrapText="1"/>
      <protection locked="0"/>
    </xf>
    <xf numFmtId="0" fontId="19" fillId="8" borderId="1" xfId="0" applyFont="1" applyFill="1" applyBorder="1" applyAlignment="1" applyProtection="1">
      <alignment vertical="center" wrapText="1"/>
      <protection locked="0"/>
    </xf>
    <xf numFmtId="166" fontId="6" fillId="8" borderId="1" xfId="1" applyNumberFormat="1" applyFont="1" applyFill="1" applyBorder="1" applyProtection="1">
      <protection locked="0"/>
    </xf>
    <xf numFmtId="0" fontId="35" fillId="8" borderId="1" xfId="0" applyFont="1" applyFill="1" applyBorder="1" applyAlignment="1" applyProtection="1">
      <alignment wrapText="1"/>
      <protection locked="0"/>
    </xf>
    <xf numFmtId="166" fontId="15" fillId="8" borderId="1" xfId="1" applyNumberFormat="1" applyFont="1" applyFill="1" applyBorder="1" applyProtection="1">
      <protection locked="0"/>
    </xf>
    <xf numFmtId="0" fontId="19" fillId="8" borderId="9" xfId="0" applyFont="1" applyFill="1" applyBorder="1" applyAlignment="1" applyProtection="1">
      <alignment wrapText="1"/>
      <protection locked="0"/>
    </xf>
    <xf numFmtId="0" fontId="19" fillId="8" borderId="6" xfId="0" applyFont="1" applyFill="1" applyBorder="1" applyAlignment="1" applyProtection="1">
      <alignment horizontal="center" wrapText="1"/>
      <protection locked="0"/>
    </xf>
    <xf numFmtId="164" fontId="6" fillId="4" borderId="1" xfId="3" applyNumberFormat="1" applyFont="1" applyFill="1" applyBorder="1" applyAlignment="1">
      <alignment horizontal="center"/>
    </xf>
    <xf numFmtId="164" fontId="6" fillId="0" borderId="1" xfId="1" applyNumberFormat="1" applyFont="1" applyFill="1" applyBorder="1" applyAlignment="1">
      <alignment horizontal="center"/>
    </xf>
    <xf numFmtId="164" fontId="6" fillId="0" borderId="1" xfId="3" applyNumberFormat="1" applyFont="1" applyFill="1" applyBorder="1" applyAlignment="1">
      <alignment horizontal="center"/>
    </xf>
    <xf numFmtId="0" fontId="15" fillId="0" borderId="0" xfId="0" applyFont="1" applyAlignment="1">
      <alignment horizontal="left"/>
    </xf>
    <xf numFmtId="164" fontId="6" fillId="0" borderId="0" xfId="3" applyNumberFormat="1" applyFont="1" applyFill="1" applyBorder="1" applyAlignment="1">
      <alignment horizontal="center"/>
    </xf>
    <xf numFmtId="164" fontId="15" fillId="3" borderId="0" xfId="3" applyNumberFormat="1" applyFont="1" applyFill="1" applyBorder="1" applyAlignment="1">
      <alignment horizontal="center"/>
    </xf>
    <xf numFmtId="0" fontId="35" fillId="3" borderId="0" xfId="0" applyFont="1" applyFill="1" applyAlignment="1">
      <alignment wrapText="1"/>
    </xf>
    <xf numFmtId="0" fontId="6" fillId="0" borderId="0" xfId="0" applyFont="1" applyAlignment="1">
      <alignment horizontal="left" indent="2"/>
    </xf>
    <xf numFmtId="164" fontId="25" fillId="3" borderId="0" xfId="3" applyNumberFormat="1" applyFont="1" applyFill="1" applyBorder="1" applyAlignment="1">
      <alignment horizontal="center"/>
    </xf>
    <xf numFmtId="0" fontId="48" fillId="3" borderId="0" xfId="0" applyFont="1" applyFill="1" applyAlignment="1">
      <alignment wrapText="1"/>
    </xf>
    <xf numFmtId="166" fontId="25" fillId="0" borderId="0" xfId="1" applyNumberFormat="1" applyFont="1" applyBorder="1"/>
    <xf numFmtId="0" fontId="25" fillId="0" borderId="0" xfId="0" applyFont="1"/>
    <xf numFmtId="6" fontId="19" fillId="5" borderId="0" xfId="0" applyNumberFormat="1" applyFont="1" applyFill="1" applyAlignment="1">
      <alignment vertical="center"/>
    </xf>
    <xf numFmtId="8" fontId="0" fillId="0" borderId="0" xfId="0" applyNumberFormat="1"/>
    <xf numFmtId="0" fontId="6" fillId="8" borderId="1" xfId="1" applyNumberFormat="1" applyFont="1" applyFill="1" applyBorder="1" applyAlignment="1" applyProtection="1">
      <alignment horizontal="center" vertical="center" shrinkToFit="1"/>
      <protection locked="0"/>
    </xf>
    <xf numFmtId="0" fontId="6" fillId="7" borderId="4" xfId="4" applyFont="1" applyFill="1" applyBorder="1" applyAlignment="1" applyProtection="1">
      <alignment horizontal="center" shrinkToFit="1"/>
      <protection locked="0"/>
    </xf>
    <xf numFmtId="0" fontId="19" fillId="8" borderId="15" xfId="0" applyFont="1" applyFill="1" applyBorder="1" applyAlignment="1" applyProtection="1">
      <alignment wrapText="1"/>
      <protection locked="0"/>
    </xf>
    <xf numFmtId="0" fontId="19" fillId="0" borderId="12" xfId="4" applyFont="1" applyBorder="1"/>
    <xf numFmtId="0" fontId="14" fillId="0" borderId="15" xfId="4" applyBorder="1"/>
    <xf numFmtId="0" fontId="14" fillId="0" borderId="2" xfId="4" applyBorder="1"/>
    <xf numFmtId="10" fontId="6" fillId="0" borderId="12" xfId="1" applyNumberFormat="1" applyFont="1" applyFill="1" applyBorder="1" applyAlignment="1" applyProtection="1">
      <alignment horizontal="center"/>
    </xf>
    <xf numFmtId="0" fontId="14" fillId="0" borderId="12" xfId="4" applyBorder="1"/>
    <xf numFmtId="0" fontId="15" fillId="0" borderId="2" xfId="1" applyNumberFormat="1" applyFont="1" applyBorder="1" applyAlignment="1" applyProtection="1">
      <alignment horizontal="center" vertical="center"/>
    </xf>
    <xf numFmtId="0" fontId="16" fillId="0" borderId="2" xfId="4" applyFont="1" applyBorder="1"/>
    <xf numFmtId="168" fontId="15" fillId="0" borderId="2" xfId="4" applyNumberFormat="1" applyFont="1" applyBorder="1"/>
    <xf numFmtId="37" fontId="6" fillId="0" borderId="0" xfId="1" applyNumberFormat="1" applyFont="1" applyBorder="1"/>
    <xf numFmtId="0" fontId="19" fillId="3" borderId="13" xfId="0" applyFont="1" applyFill="1" applyBorder="1" applyAlignment="1">
      <alignment wrapText="1"/>
    </xf>
    <xf numFmtId="0" fontId="35" fillId="3" borderId="13" xfId="0" applyFont="1" applyFill="1" applyBorder="1" applyAlignment="1">
      <alignment wrapText="1"/>
    </xf>
    <xf numFmtId="10" fontId="6" fillId="0" borderId="17" xfId="0" applyNumberFormat="1" applyFont="1" applyBorder="1" applyAlignment="1">
      <alignment horizontal="center"/>
    </xf>
    <xf numFmtId="10" fontId="6" fillId="0" borderId="18" xfId="0" applyNumberFormat="1" applyFont="1" applyBorder="1" applyAlignment="1">
      <alignment horizontal="center"/>
    </xf>
    <xf numFmtId="0" fontId="6" fillId="3" borderId="18" xfId="0" applyFont="1" applyFill="1" applyBorder="1" applyAlignment="1">
      <alignment horizontal="center"/>
    </xf>
    <xf numFmtId="0" fontId="15" fillId="3" borderId="18" xfId="0" applyFont="1" applyFill="1" applyBorder="1" applyAlignment="1">
      <alignment horizontal="center"/>
    </xf>
    <xf numFmtId="10" fontId="6" fillId="0" borderId="19" xfId="0" applyNumberFormat="1" applyFont="1" applyBorder="1" applyAlignment="1">
      <alignment horizontal="center"/>
    </xf>
    <xf numFmtId="0" fontId="6" fillId="0" borderId="1" xfId="0" applyFont="1" applyBorder="1" applyAlignment="1">
      <alignment horizontal="left" indent="1"/>
    </xf>
    <xf numFmtId="0" fontId="19" fillId="8" borderId="6" xfId="0" applyFont="1" applyFill="1" applyBorder="1" applyAlignment="1" applyProtection="1">
      <alignment horizontal="left" wrapText="1"/>
      <protection locked="0"/>
    </xf>
    <xf numFmtId="0" fontId="19" fillId="8" borderId="1" xfId="0" applyFont="1" applyFill="1" applyBorder="1" applyAlignment="1" applyProtection="1">
      <alignment horizontal="left" wrapText="1"/>
      <protection locked="0"/>
    </xf>
    <xf numFmtId="10" fontId="15" fillId="0" borderId="0" xfId="0" applyNumberFormat="1" applyFont="1"/>
    <xf numFmtId="166" fontId="15" fillId="0" borderId="5" xfId="1" applyNumberFormat="1" applyFont="1" applyBorder="1"/>
    <xf numFmtId="166" fontId="6" fillId="0" borderId="13" xfId="1" applyNumberFormat="1" applyFont="1" applyBorder="1"/>
    <xf numFmtId="166" fontId="36" fillId="0" borderId="0" xfId="1" applyNumberFormat="1" applyFont="1" applyBorder="1"/>
    <xf numFmtId="0" fontId="15" fillId="0" borderId="13" xfId="0" applyFont="1" applyBorder="1" applyAlignment="1">
      <alignment horizontal="center"/>
    </xf>
    <xf numFmtId="3" fontId="35" fillId="0" borderId="2" xfId="0" applyNumberFormat="1" applyFont="1" applyBorder="1" applyAlignment="1">
      <alignment horizontal="center" wrapText="1"/>
    </xf>
    <xf numFmtId="37" fontId="6" fillId="0" borderId="13" xfId="1" applyNumberFormat="1" applyFont="1" applyBorder="1"/>
    <xf numFmtId="37" fontId="15" fillId="0" borderId="0" xfId="1" applyNumberFormat="1" applyFont="1" applyBorder="1"/>
    <xf numFmtId="37" fontId="17" fillId="0" borderId="0" xfId="1" applyNumberFormat="1" applyFont="1" applyBorder="1"/>
    <xf numFmtId="37" fontId="25" fillId="0" borderId="0" xfId="1" applyNumberFormat="1" applyFont="1" applyBorder="1"/>
    <xf numFmtId="3" fontId="30" fillId="0" borderId="0" xfId="0" applyNumberFormat="1" applyFont="1" applyAlignment="1">
      <alignment horizontal="left"/>
    </xf>
    <xf numFmtId="0" fontId="15" fillId="0" borderId="0" xfId="2" applyFont="1" applyAlignment="1">
      <alignment horizontal="center"/>
    </xf>
    <xf numFmtId="0" fontId="15" fillId="0" borderId="2" xfId="0" applyFont="1" applyBorder="1" applyAlignment="1">
      <alignment horizontal="center"/>
    </xf>
    <xf numFmtId="0" fontId="29" fillId="0" borderId="0" xfId="0" applyFont="1" applyAlignment="1">
      <alignment horizontal="center"/>
    </xf>
    <xf numFmtId="3" fontId="29" fillId="0" borderId="2" xfId="0" applyNumberFormat="1" applyFont="1" applyBorder="1" applyAlignment="1">
      <alignment horizontal="center"/>
    </xf>
    <xf numFmtId="0" fontId="29" fillId="0" borderId="0" xfId="0" applyFont="1" applyAlignment="1">
      <alignment horizontal="centerContinuous"/>
    </xf>
    <xf numFmtId="0" fontId="6" fillId="0" borderId="0" xfId="0" applyFont="1" applyAlignment="1">
      <alignment horizontal="centerContinuous"/>
    </xf>
    <xf numFmtId="0" fontId="31" fillId="0" borderId="0" xfId="0" applyFont="1" applyAlignment="1">
      <alignment horizontal="center"/>
    </xf>
    <xf numFmtId="166" fontId="6" fillId="0" borderId="0" xfId="1" applyNumberFormat="1" applyFont="1" applyProtection="1"/>
    <xf numFmtId="0" fontId="32" fillId="0" borderId="0" xfId="0" applyFont="1" applyAlignment="1">
      <alignment horizontal="center"/>
    </xf>
    <xf numFmtId="0" fontId="31" fillId="0" borderId="13" xfId="0" applyFont="1" applyBorder="1"/>
    <xf numFmtId="0" fontId="31" fillId="0" borderId="0" xfId="0" applyFont="1"/>
    <xf numFmtId="0" fontId="26" fillId="0" borderId="0" xfId="0" applyFont="1" applyAlignment="1">
      <alignment horizontal="right"/>
    </xf>
    <xf numFmtId="3" fontId="26" fillId="0" borderId="0" xfId="0" applyNumberFormat="1" applyFont="1" applyAlignment="1">
      <alignment horizontal="left"/>
    </xf>
    <xf numFmtId="3" fontId="31" fillId="0" borderId="0" xfId="0" applyNumberFormat="1" applyFont="1" applyAlignment="1">
      <alignment horizontal="right"/>
    </xf>
    <xf numFmtId="3" fontId="29" fillId="0" borderId="0" xfId="0" applyNumberFormat="1" applyFont="1" applyAlignment="1">
      <alignment horizontal="center"/>
    </xf>
    <xf numFmtId="0" fontId="33" fillId="0" borderId="0" xfId="0" applyFont="1" applyAlignment="1">
      <alignment horizontal="center"/>
    </xf>
    <xf numFmtId="0" fontId="29" fillId="0" borderId="2" xfId="0" applyFont="1" applyBorder="1" applyAlignment="1">
      <alignment horizontal="centerContinuous"/>
    </xf>
    <xf numFmtId="0" fontId="6" fillId="0" borderId="2" xfId="0" applyFont="1" applyBorder="1" applyAlignment="1">
      <alignment horizontal="centerContinuous"/>
    </xf>
    <xf numFmtId="0" fontId="31" fillId="0" borderId="1" xfId="0" applyFont="1" applyBorder="1" applyAlignment="1">
      <alignment horizontal="center"/>
    </xf>
    <xf numFmtId="0" fontId="31" fillId="0" borderId="2" xfId="0" applyFont="1" applyBorder="1"/>
    <xf numFmtId="0" fontId="26" fillId="0" borderId="0" xfId="0" applyFont="1" applyAlignment="1">
      <alignment horizontal="left"/>
    </xf>
    <xf numFmtId="0" fontId="29" fillId="0" borderId="0" xfId="0" applyFont="1" applyAlignment="1">
      <alignment horizontal="left"/>
    </xf>
    <xf numFmtId="0" fontId="31" fillId="0" borderId="5" xfId="0" applyFont="1" applyBorder="1"/>
    <xf numFmtId="166" fontId="6" fillId="0" borderId="0" xfId="1" applyNumberFormat="1" applyFont="1" applyFill="1" applyBorder="1" applyProtection="1"/>
    <xf numFmtId="0" fontId="33" fillId="5" borderId="0" xfId="0" applyFont="1" applyFill="1" applyAlignment="1">
      <alignment horizontal="center"/>
    </xf>
    <xf numFmtId="0" fontId="33" fillId="0" borderId="13" xfId="0" applyFont="1" applyBorder="1" applyAlignment="1">
      <alignment horizontal="center"/>
    </xf>
    <xf numFmtId="0" fontId="31" fillId="0" borderId="1" xfId="0" applyFont="1" applyBorder="1"/>
    <xf numFmtId="0" fontId="40" fillId="0" borderId="0" xfId="0" applyFont="1"/>
    <xf numFmtId="3" fontId="29" fillId="0" borderId="0" xfId="0" applyNumberFormat="1" applyFont="1" applyAlignment="1">
      <alignment horizontal="right"/>
    </xf>
    <xf numFmtId="0" fontId="31" fillId="5" borderId="0" xfId="0" applyFont="1" applyFill="1" applyAlignment="1">
      <alignment horizontal="center"/>
    </xf>
    <xf numFmtId="0" fontId="29" fillId="0" borderId="1" xfId="0" applyFont="1" applyBorder="1" applyAlignment="1">
      <alignment horizontal="center"/>
    </xf>
    <xf numFmtId="9" fontId="31" fillId="0" borderId="0" xfId="0" applyNumberFormat="1" applyFont="1" applyAlignment="1">
      <alignment horizontal="center"/>
    </xf>
    <xf numFmtId="8" fontId="31" fillId="0" borderId="0" xfId="0" applyNumberFormat="1" applyFont="1" applyAlignment="1">
      <alignment horizontal="right"/>
    </xf>
    <xf numFmtId="0" fontId="31" fillId="0" borderId="0" xfId="0" applyFont="1" applyAlignment="1">
      <alignment horizontal="center" vertical="center"/>
    </xf>
    <xf numFmtId="0" fontId="31" fillId="0" borderId="0" xfId="0" applyFont="1" applyAlignment="1">
      <alignment horizontal="center" vertical="center" wrapText="1"/>
    </xf>
    <xf numFmtId="0" fontId="31" fillId="0" borderId="13" xfId="0" applyFont="1" applyBorder="1" applyAlignment="1">
      <alignment horizontal="center"/>
    </xf>
    <xf numFmtId="0" fontId="31" fillId="0" borderId="2" xfId="0" applyFont="1" applyBorder="1" applyAlignment="1">
      <alignment horizontal="center"/>
    </xf>
    <xf numFmtId="0" fontId="50" fillId="0" borderId="0" xfId="0" applyFont="1"/>
    <xf numFmtId="0" fontId="46" fillId="2" borderId="0" xfId="0" applyFont="1" applyFill="1" applyAlignment="1">
      <alignment horizontal="left" wrapText="1"/>
    </xf>
    <xf numFmtId="0" fontId="6" fillId="0" borderId="0" xfId="0" applyFont="1" applyAlignment="1">
      <alignment wrapText="1"/>
    </xf>
    <xf numFmtId="3" fontId="15" fillId="3" borderId="0" xfId="0" applyNumberFormat="1" applyFont="1" applyFill="1" applyAlignment="1">
      <alignment horizontal="center"/>
    </xf>
    <xf numFmtId="169" fontId="30" fillId="0" borderId="9" xfId="0" applyNumberFormat="1" applyFont="1" applyBorder="1" applyAlignment="1">
      <alignment horizontal="center" wrapText="1"/>
    </xf>
    <xf numFmtId="169" fontId="30" fillId="3" borderId="3" xfId="0" applyNumberFormat="1" applyFont="1" applyFill="1" applyBorder="1" applyAlignment="1">
      <alignment horizontal="center"/>
    </xf>
    <xf numFmtId="0" fontId="21" fillId="0" borderId="0" xfId="0" applyFont="1"/>
    <xf numFmtId="3" fontId="20" fillId="3" borderId="0" xfId="0" applyNumberFormat="1" applyFont="1" applyFill="1" applyAlignment="1">
      <alignment horizontal="center"/>
    </xf>
    <xf numFmtId="3" fontId="20" fillId="0" borderId="0" xfId="2" applyNumberFormat="1" applyFont="1" applyAlignment="1">
      <alignment horizontal="right"/>
    </xf>
    <xf numFmtId="0" fontId="30" fillId="0" borderId="12" xfId="0" applyFont="1" applyBorder="1" applyAlignment="1">
      <alignment horizontal="center" wrapText="1"/>
    </xf>
    <xf numFmtId="0" fontId="30" fillId="0" borderId="7" xfId="0" applyFont="1" applyBorder="1" applyAlignment="1">
      <alignment horizontal="center" wrapText="1"/>
    </xf>
    <xf numFmtId="0" fontId="30" fillId="0" borderId="15" xfId="0" applyFont="1" applyBorder="1" applyAlignment="1">
      <alignment horizontal="center" wrapText="1"/>
    </xf>
    <xf numFmtId="10" fontId="25" fillId="3" borderId="0" xfId="0" applyNumberFormat="1" applyFont="1" applyFill="1"/>
    <xf numFmtId="169" fontId="30" fillId="3" borderId="7" xfId="0" applyNumberFormat="1" applyFont="1" applyFill="1" applyBorder="1" applyAlignment="1">
      <alignment horizontal="center"/>
    </xf>
    <xf numFmtId="3" fontId="15" fillId="0" borderId="1" xfId="0" applyNumberFormat="1" applyFont="1" applyBorder="1" applyAlignment="1">
      <alignment horizontal="center" wrapText="1"/>
    </xf>
    <xf numFmtId="0" fontId="15" fillId="0" borderId="6" xfId="0" applyFont="1" applyBorder="1" applyAlignment="1">
      <alignment horizontal="center"/>
    </xf>
    <xf numFmtId="0" fontId="30" fillId="0" borderId="4" xfId="0" applyFont="1" applyBorder="1" applyAlignment="1">
      <alignment horizontal="center" wrapText="1"/>
    </xf>
    <xf numFmtId="0" fontId="19" fillId="8" borderId="6" xfId="0" applyFont="1" applyFill="1" applyBorder="1" applyAlignment="1">
      <alignment wrapText="1"/>
    </xf>
    <xf numFmtId="166" fontId="6" fillId="8" borderId="1" xfId="1" applyNumberFormat="1" applyFont="1" applyFill="1" applyBorder="1" applyProtection="1"/>
    <xf numFmtId="166" fontId="6" fillId="0" borderId="13" xfId="1" applyNumberFormat="1" applyFont="1" applyFill="1" applyBorder="1" applyProtection="1"/>
    <xf numFmtId="166" fontId="15" fillId="0" borderId="0" xfId="1" applyNumberFormat="1" applyFont="1" applyProtection="1"/>
    <xf numFmtId="0" fontId="43" fillId="0" borderId="1" xfId="0" applyFont="1" applyBorder="1" applyAlignment="1">
      <alignment wrapText="1"/>
    </xf>
    <xf numFmtId="164" fontId="6" fillId="3" borderId="1" xfId="3" applyNumberFormat="1" applyFont="1" applyFill="1" applyBorder="1" applyAlignment="1" applyProtection="1">
      <alignment horizontal="center"/>
    </xf>
    <xf numFmtId="166" fontId="6" fillId="0" borderId="1" xfId="1" applyNumberFormat="1" applyFont="1" applyBorder="1" applyProtection="1"/>
    <xf numFmtId="166" fontId="6" fillId="4" borderId="1" xfId="1" applyNumberFormat="1" applyFont="1" applyFill="1" applyBorder="1" applyProtection="1"/>
    <xf numFmtId="0" fontId="6" fillId="3" borderId="1" xfId="0" applyFont="1" applyFill="1" applyBorder="1" applyAlignment="1">
      <alignment wrapText="1"/>
    </xf>
    <xf numFmtId="0" fontId="44" fillId="0" borderId="0" xfId="0" applyFont="1"/>
    <xf numFmtId="0" fontId="19" fillId="0" borderId="0" xfId="0" applyFont="1"/>
    <xf numFmtId="166" fontId="6" fillId="0" borderId="0" xfId="1" applyNumberFormat="1" applyFont="1" applyAlignment="1" applyProtection="1"/>
    <xf numFmtId="0" fontId="43" fillId="0" borderId="1" xfId="0" applyFont="1" applyBorder="1"/>
    <xf numFmtId="164" fontId="6" fillId="4" borderId="1" xfId="3" applyNumberFormat="1" applyFont="1" applyFill="1" applyBorder="1" applyAlignment="1" applyProtection="1">
      <alignment horizontal="center"/>
    </xf>
    <xf numFmtId="0" fontId="19" fillId="2" borderId="1" xfId="0" applyFont="1" applyFill="1" applyBorder="1"/>
    <xf numFmtId="166" fontId="6" fillId="0" borderId="1" xfId="1" applyNumberFormat="1" applyFont="1" applyBorder="1" applyAlignment="1" applyProtection="1"/>
    <xf numFmtId="0" fontId="19" fillId="2" borderId="1" xfId="0" applyFont="1" applyFill="1" applyBorder="1" applyAlignment="1">
      <alignment horizontal="center"/>
    </xf>
    <xf numFmtId="0" fontId="45" fillId="0" borderId="0" xfId="0" applyFont="1" applyAlignment="1">
      <alignment horizontal="right"/>
    </xf>
    <xf numFmtId="166" fontId="15" fillId="0" borderId="0" xfId="1" applyNumberFormat="1" applyFont="1" applyAlignment="1" applyProtection="1"/>
    <xf numFmtId="0" fontId="6" fillId="0" borderId="1" xfId="0" applyFont="1" applyBorder="1" applyAlignment="1">
      <alignment horizontal="left"/>
    </xf>
    <xf numFmtId="0" fontId="44" fillId="0" borderId="0" xfId="0" applyFont="1" applyAlignment="1">
      <alignment horizontal="left"/>
    </xf>
    <xf numFmtId="0" fontId="35" fillId="2" borderId="1" xfId="0" applyFont="1" applyFill="1" applyBorder="1" applyAlignment="1">
      <alignment wrapText="1"/>
    </xf>
    <xf numFmtId="0" fontId="44" fillId="5" borderId="0" xfId="0" applyFont="1" applyFill="1" applyAlignment="1">
      <alignment horizontal="left"/>
    </xf>
    <xf numFmtId="0" fontId="6" fillId="5" borderId="0" xfId="0" applyFont="1" applyFill="1" applyAlignment="1">
      <alignment horizontal="center"/>
    </xf>
    <xf numFmtId="164" fontId="6" fillId="5" borderId="1" xfId="3" applyNumberFormat="1" applyFont="1" applyFill="1" applyBorder="1" applyAlignment="1" applyProtection="1">
      <alignment horizontal="center"/>
    </xf>
    <xf numFmtId="0" fontId="35" fillId="2" borderId="5" xfId="0" applyFont="1" applyFill="1" applyBorder="1" applyAlignment="1">
      <alignment wrapText="1"/>
    </xf>
    <xf numFmtId="0" fontId="43" fillId="0" borderId="1" xfId="0" applyFont="1" applyBorder="1" applyAlignment="1">
      <alignment horizontal="left"/>
    </xf>
    <xf numFmtId="0" fontId="19" fillId="2" borderId="1" xfId="0" applyFont="1" applyFill="1" applyBorder="1" applyAlignment="1">
      <alignment wrapText="1"/>
    </xf>
    <xf numFmtId="0" fontId="15" fillId="0" borderId="0" xfId="2" applyFont="1"/>
    <xf numFmtId="0" fontId="43" fillId="3" borderId="1" xfId="0" applyFont="1" applyFill="1" applyBorder="1"/>
    <xf numFmtId="0" fontId="19" fillId="6" borderId="1" xfId="0" applyFont="1" applyFill="1" applyBorder="1" applyAlignment="1">
      <alignment wrapText="1"/>
    </xf>
    <xf numFmtId="166" fontId="6" fillId="6" borderId="1" xfId="1" applyNumberFormat="1" applyFont="1" applyFill="1" applyBorder="1" applyProtection="1"/>
    <xf numFmtId="0" fontId="19" fillId="0" borderId="5" xfId="0" applyFont="1" applyBorder="1" applyAlignment="1">
      <alignment wrapText="1"/>
    </xf>
    <xf numFmtId="166" fontId="15" fillId="5" borderId="1" xfId="1" applyNumberFormat="1" applyFont="1" applyFill="1" applyBorder="1" applyProtection="1"/>
    <xf numFmtId="0" fontId="17" fillId="5" borderId="0" xfId="0" applyFont="1" applyFill="1" applyAlignment="1">
      <alignment horizontal="right"/>
    </xf>
    <xf numFmtId="0" fontId="45" fillId="2" borderId="0" xfId="0" applyFont="1" applyFill="1" applyAlignment="1">
      <alignment horizontal="center"/>
    </xf>
    <xf numFmtId="0" fontId="19" fillId="2" borderId="6" xfId="0" applyFont="1" applyFill="1" applyBorder="1" applyAlignment="1">
      <alignment wrapText="1"/>
    </xf>
    <xf numFmtId="166" fontId="36" fillId="0" borderId="0" xfId="1" applyNumberFormat="1" applyFont="1" applyProtection="1"/>
    <xf numFmtId="0" fontId="43" fillId="0" borderId="1" xfId="0" applyFont="1" applyBorder="1" applyAlignment="1">
      <alignment horizontal="right" wrapText="1"/>
    </xf>
    <xf numFmtId="166" fontId="6" fillId="4" borderId="3" xfId="1" applyNumberFormat="1" applyFont="1" applyFill="1" applyBorder="1" applyProtection="1"/>
    <xf numFmtId="166" fontId="6" fillId="0" borderId="0" xfId="1" applyNumberFormat="1" applyFont="1" applyBorder="1" applyProtection="1"/>
    <xf numFmtId="166" fontId="6" fillId="4" borderId="4" xfId="1" applyNumberFormat="1" applyFont="1" applyFill="1" applyBorder="1" applyProtection="1"/>
    <xf numFmtId="0" fontId="44" fillId="0" borderId="0" xfId="0" applyFont="1" applyAlignment="1">
      <alignment wrapText="1"/>
    </xf>
    <xf numFmtId="0" fontId="45" fillId="0" borderId="1" xfId="0" applyFont="1" applyBorder="1" applyAlignment="1">
      <alignment horizontal="right"/>
    </xf>
    <xf numFmtId="0" fontId="25" fillId="3" borderId="1" xfId="0" applyFont="1" applyFill="1" applyBorder="1" applyAlignment="1">
      <alignment horizontal="right"/>
    </xf>
    <xf numFmtId="166" fontId="25" fillId="0" borderId="1" xfId="1" applyNumberFormat="1" applyFont="1" applyBorder="1" applyAlignment="1" applyProtection="1">
      <alignment horizontal="right"/>
    </xf>
    <xf numFmtId="0" fontId="43" fillId="0" borderId="1" xfId="0" applyFont="1" applyBorder="1" applyAlignment="1">
      <alignment horizontal="right"/>
    </xf>
    <xf numFmtId="9" fontId="25" fillId="3" borderId="1" xfId="0" applyNumberFormat="1" applyFont="1" applyFill="1" applyBorder="1"/>
    <xf numFmtId="165" fontId="25" fillId="3" borderId="1" xfId="0" applyNumberFormat="1" applyFont="1" applyFill="1" applyBorder="1"/>
    <xf numFmtId="166" fontId="15" fillId="4" borderId="1" xfId="1" applyNumberFormat="1" applyFont="1" applyFill="1" applyBorder="1" applyProtection="1"/>
    <xf numFmtId="166" fontId="15" fillId="0" borderId="0" xfId="1" applyNumberFormat="1" applyFont="1" applyBorder="1" applyProtection="1"/>
    <xf numFmtId="0" fontId="6" fillId="0" borderId="0" xfId="0" applyFont="1" applyProtection="1">
      <protection locked="0"/>
    </xf>
    <xf numFmtId="166" fontId="15" fillId="0" borderId="1" xfId="1" applyNumberFormat="1" applyFont="1" applyFill="1" applyBorder="1" applyProtection="1"/>
    <xf numFmtId="166" fontId="15" fillId="5" borderId="8" xfId="1" applyNumberFormat="1" applyFont="1" applyFill="1" applyBorder="1" applyProtection="1"/>
    <xf numFmtId="166" fontId="15" fillId="0" borderId="0" xfId="1" applyNumberFormat="1" applyFont="1" applyFill="1" applyBorder="1" applyProtection="1"/>
    <xf numFmtId="166" fontId="6" fillId="0" borderId="1" xfId="1" applyNumberFormat="1" applyFont="1" applyFill="1" applyBorder="1" applyProtection="1"/>
    <xf numFmtId="166" fontId="15" fillId="0" borderId="0" xfId="1" applyNumberFormat="1" applyFont="1" applyFill="1" applyProtection="1"/>
    <xf numFmtId="0" fontId="15" fillId="0" borderId="6" xfId="0" applyFont="1" applyBorder="1" applyAlignment="1">
      <alignment horizontal="center" wrapText="1"/>
    </xf>
    <xf numFmtId="166" fontId="6" fillId="0" borderId="3" xfId="1" applyNumberFormat="1" applyFont="1" applyBorder="1" applyProtection="1"/>
    <xf numFmtId="0" fontId="19" fillId="0" borderId="15" xfId="0" applyFont="1" applyBorder="1" applyAlignment="1">
      <alignment wrapText="1"/>
    </xf>
    <xf numFmtId="166" fontId="15" fillId="0" borderId="2" xfId="1" applyNumberFormat="1" applyFont="1" applyBorder="1" applyProtection="1"/>
    <xf numFmtId="0" fontId="35" fillId="0" borderId="0" xfId="0" applyFont="1" applyAlignment="1">
      <alignment wrapText="1"/>
    </xf>
    <xf numFmtId="0" fontId="49" fillId="0" borderId="0" xfId="0" applyFont="1" applyAlignment="1">
      <alignment wrapText="1"/>
    </xf>
    <xf numFmtId="166" fontId="17" fillId="0" borderId="0" xfId="1" applyNumberFormat="1" applyFont="1" applyProtection="1"/>
    <xf numFmtId="166" fontId="25" fillId="0" borderId="0" xfId="1" applyNumberFormat="1" applyFont="1" applyProtection="1"/>
    <xf numFmtId="166" fontId="6" fillId="0" borderId="0" xfId="1" applyNumberFormat="1" applyFont="1" applyFill="1" applyProtection="1"/>
    <xf numFmtId="0" fontId="38" fillId="0" borderId="0" xfId="0" applyFont="1"/>
    <xf numFmtId="0" fontId="17" fillId="2" borderId="0" xfId="0" applyFont="1" applyFill="1" applyAlignment="1">
      <alignment horizontal="center"/>
    </xf>
    <xf numFmtId="0" fontId="19" fillId="0" borderId="8" xfId="0" applyFont="1" applyBorder="1" applyAlignment="1">
      <alignment wrapText="1"/>
    </xf>
    <xf numFmtId="37" fontId="6" fillId="0" borderId="1" xfId="1" applyNumberFormat="1" applyFont="1" applyBorder="1" applyProtection="1"/>
    <xf numFmtId="37" fontId="6" fillId="0" borderId="0" xfId="1" applyNumberFormat="1" applyFont="1" applyBorder="1" applyProtection="1"/>
    <xf numFmtId="0" fontId="19" fillId="0" borderId="20" xfId="0" applyFont="1" applyBorder="1" applyAlignment="1">
      <alignment wrapText="1"/>
    </xf>
    <xf numFmtId="0" fontId="15" fillId="0" borderId="9" xfId="0" applyFont="1" applyBorder="1"/>
    <xf numFmtId="0" fontId="15" fillId="0" borderId="5" xfId="0" applyFont="1" applyBorder="1"/>
    <xf numFmtId="0" fontId="15" fillId="0" borderId="15" xfId="0" applyFont="1" applyBorder="1"/>
    <xf numFmtId="0" fontId="15" fillId="0" borderId="2" xfId="0" applyFont="1" applyBorder="1"/>
    <xf numFmtId="0" fontId="0" fillId="0" borderId="5" xfId="0" applyBorder="1"/>
    <xf numFmtId="0" fontId="0" fillId="0" borderId="12" xfId="0" applyBorder="1"/>
    <xf numFmtId="0" fontId="0" fillId="0" borderId="2" xfId="0" applyBorder="1"/>
    <xf numFmtId="6" fontId="15" fillId="0" borderId="0" xfId="0" applyNumberFormat="1" applyFont="1"/>
    <xf numFmtId="0" fontId="28" fillId="0" borderId="0" xfId="0" applyFont="1"/>
    <xf numFmtId="0" fontId="0" fillId="0" borderId="0" xfId="0" applyAlignment="1">
      <alignment horizontal="center"/>
    </xf>
    <xf numFmtId="0" fontId="0" fillId="0" borderId="13" xfId="0" applyBorder="1"/>
    <xf numFmtId="0" fontId="0" fillId="0" borderId="8" xfId="0" applyBorder="1"/>
    <xf numFmtId="0" fontId="0" fillId="0" borderId="0" xfId="0" applyAlignment="1">
      <alignment horizontal="left"/>
    </xf>
    <xf numFmtId="0" fontId="17" fillId="0" borderId="10" xfId="4" applyFont="1" applyBorder="1" applyAlignment="1">
      <alignment vertical="center" wrapText="1"/>
    </xf>
    <xf numFmtId="0" fontId="17" fillId="0" borderId="12" xfId="4" applyFont="1" applyBorder="1" applyAlignment="1">
      <alignment vertical="center"/>
    </xf>
    <xf numFmtId="0" fontId="17" fillId="0" borderId="2" xfId="4" applyFont="1" applyBorder="1" applyAlignment="1">
      <alignment horizontal="left"/>
    </xf>
    <xf numFmtId="168" fontId="15" fillId="0" borderId="0" xfId="1" applyNumberFormat="1" applyFont="1" applyBorder="1" applyProtection="1"/>
    <xf numFmtId="0" fontId="52" fillId="0" borderId="0" xfId="0" applyFont="1"/>
    <xf numFmtId="0" fontId="6" fillId="8" borderId="1" xfId="0" applyFont="1" applyFill="1" applyBorder="1" applyProtection="1">
      <protection locked="0"/>
    </xf>
    <xf numFmtId="0" fontId="15" fillId="0" borderId="21" xfId="0" applyFont="1" applyBorder="1"/>
    <xf numFmtId="0" fontId="15" fillId="0" borderId="22" xfId="0" applyFont="1" applyBorder="1"/>
    <xf numFmtId="0" fontId="0" fillId="0" borderId="22" xfId="0" applyBorder="1"/>
    <xf numFmtId="0" fontId="14" fillId="0" borderId="5" xfId="4" applyBorder="1"/>
    <xf numFmtId="0" fontId="15" fillId="0" borderId="0" xfId="1" applyNumberFormat="1" applyFont="1" applyBorder="1" applyAlignment="1" applyProtection="1">
      <alignment horizontal="center" vertical="center"/>
    </xf>
    <xf numFmtId="0" fontId="17" fillId="0" borderId="0" xfId="4" applyFont="1" applyAlignment="1">
      <alignment horizontal="left"/>
    </xf>
    <xf numFmtId="0" fontId="16" fillId="0" borderId="0" xfId="4" applyFont="1"/>
    <xf numFmtId="168" fontId="15" fillId="0" borderId="0" xfId="4" applyNumberFormat="1" applyFont="1"/>
    <xf numFmtId="0" fontId="42" fillId="0" borderId="0" xfId="4" applyFont="1" applyAlignment="1">
      <alignment horizontal="center"/>
    </xf>
    <xf numFmtId="0" fontId="49" fillId="0" borderId="2" xfId="4" applyFont="1" applyBorder="1" applyAlignment="1">
      <alignment horizontal="left"/>
    </xf>
    <xf numFmtId="168" fontId="15" fillId="0" borderId="2" xfId="1" applyNumberFormat="1" applyFont="1" applyBorder="1" applyProtection="1"/>
    <xf numFmtId="0" fontId="17" fillId="0" borderId="0" xfId="4" applyFont="1" applyAlignment="1">
      <alignment vertical="center"/>
    </xf>
    <xf numFmtId="10" fontId="6" fillId="0" borderId="0" xfId="1" applyNumberFormat="1" applyFont="1" applyFill="1" applyBorder="1" applyAlignment="1" applyProtection="1">
      <alignment horizontal="center"/>
    </xf>
    <xf numFmtId="0" fontId="14" fillId="0" borderId="10" xfId="4" applyBorder="1"/>
    <xf numFmtId="0" fontId="17" fillId="0" borderId="10" xfId="4" applyFont="1" applyBorder="1" applyAlignment="1">
      <alignment horizontal="left"/>
    </xf>
    <xf numFmtId="0" fontId="19" fillId="0" borderId="10" xfId="4" applyFont="1" applyBorder="1"/>
    <xf numFmtId="9" fontId="51" fillId="0" borderId="0" xfId="0" applyNumberFormat="1" applyFont="1" applyAlignment="1">
      <alignment vertical="center"/>
    </xf>
    <xf numFmtId="6" fontId="38" fillId="0" borderId="0" xfId="0" applyNumberFormat="1" applyFont="1"/>
    <xf numFmtId="37" fontId="6" fillId="0" borderId="1" xfId="1" applyNumberFormat="1" applyFont="1" applyFill="1" applyBorder="1" applyProtection="1"/>
    <xf numFmtId="37" fontId="6" fillId="8" borderId="1" xfId="1" applyNumberFormat="1" applyFont="1" applyFill="1" applyBorder="1" applyAlignment="1" applyProtection="1">
      <alignment shrinkToFit="1"/>
      <protection locked="0"/>
    </xf>
    <xf numFmtId="37" fontId="6" fillId="0" borderId="1" xfId="0" applyNumberFormat="1" applyFont="1" applyBorder="1"/>
    <xf numFmtId="37" fontId="15" fillId="0" borderId="5" xfId="1" applyNumberFormat="1" applyFont="1" applyBorder="1" applyProtection="1"/>
    <xf numFmtId="37" fontId="15" fillId="0" borderId="0" xfId="1" applyNumberFormat="1" applyFont="1" applyBorder="1" applyProtection="1"/>
    <xf numFmtId="37" fontId="0" fillId="8" borderId="1" xfId="0" applyNumberFormat="1" applyFill="1" applyBorder="1" applyProtection="1">
      <protection locked="0"/>
    </xf>
    <xf numFmtId="37" fontId="0" fillId="7" borderId="3" xfId="0" applyNumberFormat="1" applyFill="1" applyBorder="1" applyAlignment="1" applyProtection="1">
      <alignment shrinkToFit="1"/>
      <protection locked="0"/>
    </xf>
    <xf numFmtId="37" fontId="0" fillId="0" borderId="14" xfId="0" applyNumberFormat="1" applyBorder="1"/>
    <xf numFmtId="37" fontId="0" fillId="0" borderId="0" xfId="0" applyNumberFormat="1"/>
    <xf numFmtId="37" fontId="15" fillId="0" borderId="0" xfId="0" applyNumberFormat="1" applyFont="1"/>
    <xf numFmtId="37" fontId="31" fillId="0" borderId="1" xfId="0" applyNumberFormat="1" applyFont="1" applyBorder="1" applyAlignment="1">
      <alignment horizontal="right"/>
    </xf>
    <xf numFmtId="37" fontId="31" fillId="8" borderId="1" xfId="0" applyNumberFormat="1" applyFont="1" applyFill="1" applyBorder="1" applyAlignment="1" applyProtection="1">
      <alignment horizontal="right"/>
      <protection locked="0"/>
    </xf>
    <xf numFmtId="37" fontId="31" fillId="0" borderId="13" xfId="0" applyNumberFormat="1" applyFont="1" applyBorder="1" applyAlignment="1">
      <alignment horizontal="right"/>
    </xf>
    <xf numFmtId="37" fontId="29" fillId="0" borderId="13" xfId="0" applyNumberFormat="1" applyFont="1" applyBorder="1" applyAlignment="1">
      <alignment horizontal="right"/>
    </xf>
    <xf numFmtId="37" fontId="29" fillId="0" borderId="5" xfId="0" applyNumberFormat="1" applyFont="1" applyBorder="1" applyAlignment="1">
      <alignment horizontal="right"/>
    </xf>
    <xf numFmtId="37" fontId="31" fillId="0" borderId="2" xfId="0" applyNumberFormat="1" applyFont="1" applyBorder="1" applyAlignment="1">
      <alignment horizontal="right"/>
    </xf>
    <xf numFmtId="37" fontId="29" fillId="0" borderId="2" xfId="0" applyNumberFormat="1" applyFont="1" applyBorder="1" applyAlignment="1">
      <alignment horizontal="right"/>
    </xf>
    <xf numFmtId="37" fontId="32" fillId="0" borderId="5" xfId="0" applyNumberFormat="1" applyFont="1" applyBorder="1" applyAlignment="1">
      <alignment horizontal="right"/>
    </xf>
    <xf numFmtId="37" fontId="26" fillId="0" borderId="0" xfId="0" applyNumberFormat="1" applyFont="1" applyAlignment="1">
      <alignment horizontal="right"/>
    </xf>
    <xf numFmtId="37" fontId="32" fillId="0" borderId="0" xfId="0" applyNumberFormat="1" applyFont="1" applyAlignment="1">
      <alignment horizontal="right"/>
    </xf>
    <xf numFmtId="37" fontId="31" fillId="8" borderId="4" xfId="0" applyNumberFormat="1" applyFont="1" applyFill="1" applyBorder="1" applyAlignment="1" applyProtection="1">
      <alignment horizontal="right"/>
      <protection locked="0"/>
    </xf>
    <xf numFmtId="37" fontId="31" fillId="0" borderId="8" xfId="0" applyNumberFormat="1" applyFont="1" applyBorder="1" applyAlignment="1">
      <alignment horizontal="right"/>
    </xf>
    <xf numFmtId="37" fontId="31" fillId="0" borderId="0" xfId="0" applyNumberFormat="1" applyFont="1" applyAlignment="1">
      <alignment horizontal="right"/>
    </xf>
    <xf numFmtId="37" fontId="29" fillId="0" borderId="0" xfId="0" applyNumberFormat="1" applyFont="1" applyAlignment="1">
      <alignment horizontal="right"/>
    </xf>
    <xf numFmtId="37" fontId="31" fillId="0" borderId="5" xfId="0" applyNumberFormat="1" applyFont="1" applyBorder="1" applyAlignment="1">
      <alignment horizontal="right"/>
    </xf>
    <xf numFmtId="37" fontId="34" fillId="0" borderId="0" xfId="0" applyNumberFormat="1" applyFont="1" applyAlignment="1">
      <alignment horizontal="right"/>
    </xf>
    <xf numFmtId="5" fontId="31" fillId="8" borderId="1" xfId="0" applyNumberFormat="1" applyFont="1" applyFill="1" applyBorder="1" applyAlignment="1" applyProtection="1">
      <alignment horizontal="right"/>
      <protection locked="0"/>
    </xf>
    <xf numFmtId="0" fontId="15" fillId="0" borderId="23" xfId="0" applyFont="1" applyBorder="1"/>
    <xf numFmtId="0" fontId="53" fillId="0" borderId="12" xfId="0" applyFont="1" applyBorder="1"/>
    <xf numFmtId="0" fontId="53" fillId="0" borderId="0" xfId="0" applyFont="1"/>
    <xf numFmtId="0" fontId="19" fillId="0" borderId="15" xfId="4" applyFont="1" applyBorder="1"/>
    <xf numFmtId="0" fontId="19" fillId="0" borderId="2" xfId="4" applyFont="1" applyBorder="1"/>
    <xf numFmtId="9" fontId="19" fillId="0" borderId="2" xfId="3" applyFont="1" applyBorder="1" applyAlignment="1" applyProtection="1">
      <alignment horizontal="center"/>
    </xf>
    <xf numFmtId="0" fontId="43" fillId="8" borderId="1" xfId="0" applyFont="1" applyFill="1" applyBorder="1"/>
    <xf numFmtId="0" fontId="43" fillId="8" borderId="1" xfId="0" applyFont="1" applyFill="1" applyBorder="1" applyAlignment="1">
      <alignment wrapText="1"/>
    </xf>
    <xf numFmtId="0" fontId="19" fillId="8" borderId="6" xfId="0" applyFont="1" applyFill="1" applyBorder="1" applyAlignment="1">
      <alignment horizontal="center" wrapText="1"/>
    </xf>
    <xf numFmtId="3" fontId="54" fillId="0" borderId="0" xfId="0" applyNumberFormat="1" applyFont="1" applyAlignment="1">
      <alignment horizontal="right"/>
    </xf>
    <xf numFmtId="0" fontId="19" fillId="0" borderId="6" xfId="0" applyFont="1" applyBorder="1" applyAlignment="1" applyProtection="1">
      <alignment horizontal="left" wrapText="1"/>
      <protection locked="0"/>
    </xf>
    <xf numFmtId="0" fontId="29" fillId="0" borderId="0" xfId="0" applyFont="1"/>
    <xf numFmtId="0" fontId="31" fillId="0" borderId="0" xfId="0" applyFont="1" applyAlignment="1">
      <alignment horizontal="left"/>
    </xf>
    <xf numFmtId="10" fontId="31" fillId="0" borderId="25" xfId="0" applyNumberFormat="1" applyFont="1" applyBorder="1"/>
    <xf numFmtId="10" fontId="31" fillId="0" borderId="26" xfId="0" applyNumberFormat="1" applyFont="1" applyBorder="1"/>
    <xf numFmtId="10" fontId="31" fillId="0" borderId="27" xfId="0" applyNumberFormat="1" applyFont="1" applyBorder="1"/>
    <xf numFmtId="0" fontId="17" fillId="0" borderId="0" xfId="1" applyNumberFormat="1" applyFont="1" applyProtection="1"/>
    <xf numFmtId="0" fontId="17" fillId="0" borderId="0" xfId="4" applyFont="1" applyAlignment="1">
      <alignment horizontal="center" vertical="center" wrapText="1"/>
    </xf>
    <xf numFmtId="164" fontId="0" fillId="0" borderId="0" xfId="0" applyNumberFormat="1"/>
    <xf numFmtId="10" fontId="6" fillId="0" borderId="0" xfId="0" applyNumberFormat="1" applyFont="1"/>
    <xf numFmtId="0" fontId="26" fillId="0" borderId="0" xfId="0" applyFont="1" applyAlignment="1">
      <alignment horizontal="center"/>
    </xf>
    <xf numFmtId="0" fontId="6" fillId="0" borderId="0" xfId="0" applyFont="1" applyAlignment="1">
      <alignment horizontal="left" indent="1"/>
    </xf>
    <xf numFmtId="0" fontId="31" fillId="0" borderId="8" xfId="0" applyFont="1" applyBorder="1"/>
    <xf numFmtId="37" fontId="31" fillId="0" borderId="3" xfId="0" applyNumberFormat="1" applyFont="1" applyBorder="1" applyAlignment="1">
      <alignment horizontal="right"/>
    </xf>
    <xf numFmtId="0" fontId="55" fillId="0" borderId="0" xfId="0" applyFont="1" applyAlignment="1">
      <alignment horizontal="right"/>
    </xf>
    <xf numFmtId="0" fontId="6" fillId="0" borderId="6" xfId="0" applyFont="1" applyBorder="1"/>
    <xf numFmtId="166" fontId="15" fillId="0" borderId="13" xfId="1" applyNumberFormat="1" applyFont="1" applyBorder="1"/>
    <xf numFmtId="166" fontId="6" fillId="0" borderId="5" xfId="1" applyNumberFormat="1" applyFont="1" applyBorder="1"/>
    <xf numFmtId="37" fontId="6" fillId="0" borderId="0" xfId="0" applyNumberFormat="1" applyFont="1"/>
    <xf numFmtId="37" fontId="15" fillId="0" borderId="0" xfId="1" applyNumberFormat="1" applyFont="1" applyFill="1" applyBorder="1" applyProtection="1"/>
    <xf numFmtId="0" fontId="17" fillId="0" borderId="0" xfId="4" applyFont="1" applyAlignment="1">
      <alignment vertical="center" wrapText="1"/>
    </xf>
    <xf numFmtId="0" fontId="17" fillId="0" borderId="1" xfId="4" applyFont="1" applyBorder="1" applyAlignment="1">
      <alignment horizontal="center" wrapText="1"/>
    </xf>
    <xf numFmtId="0" fontId="15" fillId="0" borderId="5" xfId="0" applyFont="1" applyBorder="1" applyAlignment="1">
      <alignment horizontal="right"/>
    </xf>
    <xf numFmtId="0" fontId="17" fillId="0" borderId="0" xfId="4" applyFont="1" applyAlignment="1">
      <alignment horizontal="right"/>
    </xf>
    <xf numFmtId="3" fontId="38" fillId="0" borderId="0" xfId="0" applyNumberFormat="1" applyFont="1"/>
    <xf numFmtId="166" fontId="6" fillId="0" borderId="12" xfId="1" applyNumberFormat="1" applyFont="1" applyBorder="1" applyProtection="1"/>
    <xf numFmtId="0" fontId="49" fillId="0" borderId="0" xfId="4" applyFont="1" applyAlignment="1">
      <alignment horizontal="left"/>
    </xf>
    <xf numFmtId="0" fontId="58" fillId="0" borderId="0" xfId="0" applyFont="1"/>
    <xf numFmtId="0" fontId="57" fillId="0" borderId="9" xfId="0" applyFont="1" applyBorder="1" applyAlignment="1">
      <alignment horizontal="left" wrapText="1"/>
    </xf>
    <xf numFmtId="0" fontId="57" fillId="0" borderId="5" xfId="0" applyFont="1" applyBorder="1" applyAlignment="1">
      <alignment horizontal="left" wrapText="1"/>
    </xf>
    <xf numFmtId="0" fontId="15" fillId="0" borderId="30" xfId="0" applyFont="1" applyBorder="1"/>
    <xf numFmtId="5" fontId="31" fillId="0" borderId="8" xfId="0" applyNumberFormat="1" applyFont="1" applyBorder="1" applyAlignment="1">
      <alignment horizontal="right"/>
    </xf>
    <xf numFmtId="0" fontId="31" fillId="8" borderId="1" xfId="0" applyFont="1" applyFill="1" applyBorder="1" applyAlignment="1" applyProtection="1">
      <alignment horizontal="center"/>
      <protection locked="0"/>
    </xf>
    <xf numFmtId="3" fontId="59" fillId="0" borderId="0" xfId="0" applyNumberFormat="1" applyFont="1" applyAlignment="1">
      <alignment horizontal="left"/>
    </xf>
    <xf numFmtId="0" fontId="0" fillId="0" borderId="1" xfId="0" applyBorder="1"/>
    <xf numFmtId="0" fontId="35" fillId="0" borderId="5" xfId="4" applyFont="1" applyBorder="1" applyAlignment="1">
      <alignment horizontal="left"/>
    </xf>
    <xf numFmtId="0" fontId="16" fillId="0" borderId="0" xfId="4" applyFont="1" applyAlignment="1">
      <alignment horizontal="right"/>
    </xf>
    <xf numFmtId="0" fontId="16" fillId="0" borderId="0" xfId="4" applyFont="1" applyAlignment="1">
      <alignment horizontal="left"/>
    </xf>
    <xf numFmtId="0" fontId="14" fillId="0" borderId="6" xfId="4" applyBorder="1"/>
    <xf numFmtId="0" fontId="14" fillId="0" borderId="13" xfId="4" applyBorder="1"/>
    <xf numFmtId="0" fontId="62" fillId="0" borderId="0" xfId="0" applyFont="1"/>
    <xf numFmtId="0" fontId="25" fillId="8" borderId="34" xfId="0" applyFont="1" applyFill="1" applyBorder="1" applyAlignment="1" applyProtection="1">
      <alignment horizontal="left"/>
      <protection locked="0"/>
    </xf>
    <xf numFmtId="0" fontId="25" fillId="8" borderId="35" xfId="0" applyFont="1" applyFill="1" applyBorder="1" applyAlignment="1" applyProtection="1">
      <alignment horizontal="left"/>
      <protection locked="0"/>
    </xf>
    <xf numFmtId="0" fontId="15" fillId="0" borderId="1" xfId="4" applyFont="1" applyBorder="1" applyAlignment="1">
      <alignment horizontal="center" wrapText="1"/>
    </xf>
    <xf numFmtId="0" fontId="15" fillId="0" borderId="0" xfId="4" applyFont="1" applyAlignment="1">
      <alignment horizontal="center" vertical="center" wrapText="1"/>
    </xf>
    <xf numFmtId="0" fontId="15" fillId="0" borderId="0" xfId="4" applyFont="1" applyAlignment="1">
      <alignment horizontal="center" wrapText="1"/>
    </xf>
    <xf numFmtId="37" fontId="31" fillId="8" borderId="8" xfId="0" applyNumberFormat="1" applyFont="1" applyFill="1" applyBorder="1" applyAlignment="1" applyProtection="1">
      <alignment horizontal="right"/>
      <protection locked="0"/>
    </xf>
    <xf numFmtId="37" fontId="40" fillId="0" borderId="0" xfId="1" applyNumberFormat="1" applyFont="1" applyBorder="1" applyAlignment="1" applyProtection="1">
      <alignment horizontal="right"/>
    </xf>
    <xf numFmtId="0" fontId="63" fillId="0" borderId="0" xfId="0" applyFont="1" applyAlignment="1">
      <alignment horizontal="left" indent="2"/>
    </xf>
    <xf numFmtId="9" fontId="35" fillId="0" borderId="2" xfId="0" applyNumberFormat="1" applyFont="1" applyBorder="1" applyAlignment="1">
      <alignment horizontal="center" wrapText="1"/>
    </xf>
    <xf numFmtId="0" fontId="35" fillId="0" borderId="2" xfId="0" applyFont="1" applyBorder="1" applyAlignment="1">
      <alignment horizontal="center" wrapText="1"/>
    </xf>
    <xf numFmtId="0" fontId="0" fillId="0" borderId="0" xfId="0" applyAlignment="1">
      <alignment wrapText="1"/>
    </xf>
    <xf numFmtId="0" fontId="15" fillId="0" borderId="12" xfId="4" applyFont="1" applyBorder="1" applyAlignment="1">
      <alignment vertical="center"/>
    </xf>
    <xf numFmtId="0" fontId="60" fillId="0" borderId="0" xfId="4" applyFont="1" applyAlignment="1">
      <alignment wrapText="1"/>
    </xf>
    <xf numFmtId="4" fontId="15" fillId="0" borderId="1" xfId="4" applyNumberFormat="1" applyFont="1" applyBorder="1" applyAlignment="1">
      <alignment horizontal="center" wrapText="1"/>
    </xf>
    <xf numFmtId="167" fontId="6" fillId="0" borderId="6" xfId="3" applyNumberFormat="1" applyFont="1" applyFill="1" applyBorder="1" applyAlignment="1" applyProtection="1">
      <alignment horizontal="center" shrinkToFit="1"/>
    </xf>
    <xf numFmtId="0" fontId="15" fillId="0" borderId="5" xfId="1" applyNumberFormat="1" applyFont="1" applyBorder="1" applyAlignment="1" applyProtection="1">
      <alignment horizontal="center"/>
    </xf>
    <xf numFmtId="3" fontId="0" fillId="0" borderId="1" xfId="0" applyNumberFormat="1" applyBorder="1"/>
    <xf numFmtId="0" fontId="65" fillId="0" borderId="2" xfId="4" applyFont="1" applyBorder="1" applyAlignment="1">
      <alignment wrapText="1"/>
    </xf>
    <xf numFmtId="0" fontId="6" fillId="0" borderId="13" xfId="0" applyFont="1" applyBorder="1"/>
    <xf numFmtId="0" fontId="6" fillId="0" borderId="34" xfId="0" applyFont="1" applyBorder="1"/>
    <xf numFmtId="0" fontId="6" fillId="0" borderId="29" xfId="0" applyFont="1" applyBorder="1"/>
    <xf numFmtId="0" fontId="35" fillId="0" borderId="4" xfId="0" applyFont="1" applyBorder="1" applyAlignment="1">
      <alignment horizontal="center" wrapText="1"/>
    </xf>
    <xf numFmtId="0" fontId="0" fillId="0" borderId="29" xfId="0" applyBorder="1"/>
    <xf numFmtId="3" fontId="15" fillId="0" borderId="30" xfId="0" applyNumberFormat="1" applyFont="1" applyBorder="1"/>
    <xf numFmtId="3" fontId="63" fillId="0" borderId="0" xfId="0" applyNumberFormat="1" applyFont="1"/>
    <xf numFmtId="164" fontId="6" fillId="0" borderId="0" xfId="0" applyNumberFormat="1" applyFont="1"/>
    <xf numFmtId="0" fontId="0" fillId="0" borderId="1" xfId="0" applyBorder="1" applyAlignment="1">
      <alignment horizontal="center"/>
    </xf>
    <xf numFmtId="10" fontId="0" fillId="8" borderId="1" xfId="0" applyNumberFormat="1" applyFill="1" applyBorder="1" applyAlignment="1" applyProtection="1">
      <alignment horizontal="right"/>
      <protection locked="0"/>
    </xf>
    <xf numFmtId="14" fontId="0" fillId="8" borderId="1" xfId="0" applyNumberFormat="1" applyFill="1" applyBorder="1" applyAlignment="1" applyProtection="1">
      <alignment horizontal="right"/>
      <protection locked="0"/>
    </xf>
    <xf numFmtId="0" fontId="0" fillId="8" borderId="1" xfId="0" applyFill="1" applyBorder="1" applyAlignment="1" applyProtection="1">
      <alignment horizontal="right"/>
      <protection locked="0"/>
    </xf>
    <xf numFmtId="0" fontId="54" fillId="0" borderId="0" xfId="0" applyFont="1" applyAlignment="1">
      <alignment horizontal="right"/>
    </xf>
    <xf numFmtId="9" fontId="31" fillId="0" borderId="1" xfId="0" applyNumberFormat="1" applyFont="1" applyBorder="1" applyAlignment="1">
      <alignment horizontal="center"/>
    </xf>
    <xf numFmtId="0" fontId="39" fillId="0" borderId="12" xfId="0" applyFont="1" applyBorder="1"/>
    <xf numFmtId="3" fontId="59" fillId="0" borderId="2" xfId="0" applyNumberFormat="1" applyFont="1" applyBorder="1" applyAlignment="1">
      <alignment horizontal="left"/>
    </xf>
    <xf numFmtId="0" fontId="49" fillId="0" borderId="0" xfId="0" applyFont="1" applyAlignment="1">
      <alignment horizontal="right" wrapText="1"/>
    </xf>
    <xf numFmtId="166" fontId="6" fillId="0" borderId="0" xfId="1" applyNumberFormat="1" applyFont="1" applyAlignment="1" applyProtection="1">
      <alignment horizontal="right"/>
    </xf>
    <xf numFmtId="166" fontId="6" fillId="0" borderId="0" xfId="1" applyNumberFormat="1" applyFont="1" applyFill="1" applyBorder="1" applyAlignment="1" applyProtection="1">
      <alignment horizontal="right"/>
    </xf>
    <xf numFmtId="37" fontId="0" fillId="7" borderId="1" xfId="0" applyNumberFormat="1" applyFill="1" applyBorder="1" applyAlignment="1" applyProtection="1">
      <alignment shrinkToFit="1"/>
      <protection locked="0"/>
    </xf>
    <xf numFmtId="0" fontId="51" fillId="0" borderId="0" xfId="0" applyFont="1"/>
    <xf numFmtId="0" fontId="19" fillId="0" borderId="15" xfId="0" applyFont="1" applyBorder="1" applyAlignment="1" applyProtection="1">
      <alignment wrapText="1"/>
      <protection locked="0"/>
    </xf>
    <xf numFmtId="166" fontId="6" fillId="0" borderId="2" xfId="1" applyNumberFormat="1" applyFont="1" applyFill="1" applyBorder="1" applyProtection="1"/>
    <xf numFmtId="166" fontId="6" fillId="0" borderId="0" xfId="1" applyNumberFormat="1" applyFont="1" applyFill="1" applyBorder="1" applyProtection="1">
      <protection locked="0"/>
    </xf>
    <xf numFmtId="0" fontId="31" fillId="0" borderId="13" xfId="0" applyFont="1" applyBorder="1" applyAlignment="1" applyProtection="1">
      <alignment horizontal="left"/>
      <protection locked="0"/>
    </xf>
    <xf numFmtId="0" fontId="31" fillId="0" borderId="0" xfId="0" applyFont="1" applyAlignment="1" applyProtection="1">
      <alignment horizontal="left"/>
      <protection locked="0"/>
    </xf>
    <xf numFmtId="37" fontId="50" fillId="0" borderId="13" xfId="0" applyNumberFormat="1" applyFont="1" applyBorder="1" applyAlignment="1" applyProtection="1">
      <alignment horizontal="left"/>
      <protection locked="0"/>
    </xf>
    <xf numFmtId="0" fontId="66" fillId="0" borderId="0" xfId="9" applyFont="1"/>
    <xf numFmtId="0" fontId="69" fillId="0" borderId="0" xfId="9" applyFont="1" applyAlignment="1">
      <alignment horizontal="center"/>
    </xf>
    <xf numFmtId="0" fontId="6" fillId="0" borderId="1" xfId="9" applyFont="1" applyBorder="1" applyAlignment="1">
      <alignment horizontal="center" vertical="center"/>
    </xf>
    <xf numFmtId="0" fontId="6" fillId="8" borderId="1" xfId="9" applyFont="1" applyFill="1" applyBorder="1" applyAlignment="1" applyProtection="1">
      <alignment horizontal="center" vertical="center"/>
      <protection locked="0"/>
    </xf>
    <xf numFmtId="14" fontId="6" fillId="8" borderId="1" xfId="9" applyNumberFormat="1" applyFont="1" applyFill="1" applyBorder="1" applyAlignment="1" applyProtection="1">
      <alignment horizontal="center" vertical="center"/>
      <protection locked="0"/>
    </xf>
    <xf numFmtId="165" fontId="6" fillId="8" borderId="1" xfId="9" applyNumberFormat="1" applyFont="1" applyFill="1" applyBorder="1" applyAlignment="1" applyProtection="1">
      <alignment horizontal="center" vertical="center"/>
      <protection locked="0"/>
    </xf>
    <xf numFmtId="165" fontId="66" fillId="0" borderId="1" xfId="9" applyNumberFormat="1" applyFont="1" applyBorder="1"/>
    <xf numFmtId="9" fontId="6" fillId="8" borderId="1" xfId="9" applyNumberFormat="1" applyFont="1" applyFill="1" applyBorder="1" applyAlignment="1" applyProtection="1">
      <alignment horizontal="center" vertical="center"/>
      <protection locked="0"/>
    </xf>
    <xf numFmtId="165" fontId="6" fillId="0" borderId="1" xfId="9" applyNumberFormat="1" applyFont="1" applyBorder="1" applyAlignment="1" applyProtection="1">
      <alignment horizontal="center" vertical="center"/>
      <protection locked="0"/>
    </xf>
    <xf numFmtId="0" fontId="13" fillId="0" borderId="0" xfId="0" applyFont="1" applyAlignment="1">
      <alignment vertical="top" wrapText="1"/>
    </xf>
    <xf numFmtId="0" fontId="13" fillId="0" borderId="0" xfId="0" applyFont="1" applyAlignment="1">
      <alignment horizontal="left" vertical="top" wrapText="1"/>
    </xf>
    <xf numFmtId="0" fontId="13" fillId="5" borderId="0" xfId="0" applyFont="1" applyFill="1" applyAlignment="1">
      <alignment vertical="top"/>
    </xf>
    <xf numFmtId="0" fontId="6" fillId="5" borderId="0" xfId="0" applyFont="1" applyFill="1"/>
    <xf numFmtId="0" fontId="31" fillId="9" borderId="1" xfId="0" applyFont="1" applyFill="1" applyBorder="1" applyAlignment="1">
      <alignment vertical="center"/>
    </xf>
    <xf numFmtId="0" fontId="31" fillId="9" borderId="1" xfId="0" applyFont="1" applyFill="1" applyBorder="1" applyAlignment="1">
      <alignment horizontal="right" vertical="center" wrapText="1"/>
    </xf>
    <xf numFmtId="0" fontId="31" fillId="0" borderId="1" xfId="0" applyFont="1" applyBorder="1" applyAlignment="1">
      <alignment wrapText="1"/>
    </xf>
    <xf numFmtId="0" fontId="31" fillId="10" borderId="1" xfId="0" applyFont="1" applyFill="1" applyBorder="1" applyAlignment="1">
      <alignment wrapText="1"/>
    </xf>
    <xf numFmtId="0" fontId="31" fillId="11" borderId="1" xfId="0" applyFont="1" applyFill="1" applyBorder="1" applyAlignment="1">
      <alignment wrapText="1"/>
    </xf>
    <xf numFmtId="0" fontId="31" fillId="0" borderId="12" xfId="0" applyFont="1" applyBorder="1" applyAlignment="1">
      <alignment wrapText="1"/>
    </xf>
    <xf numFmtId="0" fontId="22" fillId="9" borderId="4" xfId="0" applyFont="1" applyFill="1" applyBorder="1" applyAlignment="1">
      <alignment vertical="center"/>
    </xf>
    <xf numFmtId="171" fontId="0" fillId="0" borderId="1" xfId="0" applyNumberFormat="1" applyBorder="1"/>
    <xf numFmtId="49" fontId="0" fillId="0" borderId="1" xfId="0" applyNumberFormat="1" applyBorder="1" applyAlignment="1">
      <alignment horizontal="right"/>
    </xf>
    <xf numFmtId="49" fontId="0" fillId="0" borderId="1" xfId="0" applyNumberFormat="1" applyBorder="1"/>
    <xf numFmtId="171" fontId="0" fillId="0" borderId="1" xfId="0" applyNumberFormat="1" applyBorder="1" applyAlignment="1">
      <alignment horizontal="right"/>
    </xf>
    <xf numFmtId="0" fontId="0" fillId="10" borderId="1" xfId="0" applyFill="1" applyBorder="1"/>
    <xf numFmtId="0" fontId="0" fillId="11" borderId="1" xfId="0" applyFill="1" applyBorder="1"/>
    <xf numFmtId="171" fontId="6" fillId="11" borderId="1" xfId="0" applyNumberFormat="1" applyFont="1" applyFill="1" applyBorder="1"/>
    <xf numFmtId="10" fontId="0" fillId="0" borderId="1" xfId="0" applyNumberFormat="1" applyBorder="1"/>
    <xf numFmtId="14" fontId="0" fillId="0" borderId="1" xfId="0" applyNumberFormat="1" applyBorder="1"/>
    <xf numFmtId="171" fontId="6" fillId="0" borderId="11" xfId="0" applyNumberFormat="1" applyFont="1" applyBorder="1"/>
    <xf numFmtId="171" fontId="0" fillId="0" borderId="12" xfId="0" applyNumberFormat="1" applyBorder="1"/>
    <xf numFmtId="0" fontId="22" fillId="9" borderId="7" xfId="0" applyFont="1" applyFill="1" applyBorder="1" applyAlignment="1">
      <alignment vertical="center"/>
    </xf>
    <xf numFmtId="0" fontId="70" fillId="0" borderId="37" xfId="0" applyFont="1" applyBorder="1" applyAlignment="1">
      <alignment horizontal="centerContinuous" vertical="center"/>
    </xf>
    <xf numFmtId="0" fontId="56" fillId="0" borderId="38" xfId="0" applyFont="1" applyBorder="1" applyAlignment="1">
      <alignment horizontal="centerContinuous" vertical="center"/>
    </xf>
    <xf numFmtId="171" fontId="6" fillId="0" borderId="0" xfId="0" applyNumberFormat="1" applyFont="1"/>
    <xf numFmtId="171" fontId="0" fillId="0" borderId="0" xfId="0" applyNumberFormat="1"/>
    <xf numFmtId="1" fontId="31" fillId="0" borderId="0" xfId="0" applyNumberFormat="1" applyFont="1" applyAlignment="1" applyProtection="1">
      <alignment horizontal="center"/>
      <protection locked="0"/>
    </xf>
    <xf numFmtId="1" fontId="32" fillId="0" borderId="0" xfId="0" applyNumberFormat="1" applyFont="1" applyAlignment="1">
      <alignment horizontal="center"/>
    </xf>
    <xf numFmtId="9" fontId="32" fillId="0" borderId="0" xfId="0" applyNumberFormat="1" applyFont="1" applyAlignment="1" applyProtection="1">
      <alignment horizontal="center"/>
      <protection locked="0"/>
    </xf>
    <xf numFmtId="9" fontId="26" fillId="0" borderId="0" xfId="0" applyNumberFormat="1" applyFont="1" applyAlignment="1">
      <alignment horizontal="center"/>
    </xf>
    <xf numFmtId="171" fontId="31" fillId="0" borderId="0" xfId="0" applyNumberFormat="1" applyFont="1" applyProtection="1">
      <protection locked="0"/>
    </xf>
    <xf numFmtId="171" fontId="32" fillId="0" borderId="0" xfId="0" applyNumberFormat="1" applyFont="1"/>
    <xf numFmtId="171" fontId="31" fillId="0" borderId="0" xfId="0" applyNumberFormat="1" applyFont="1" applyAlignment="1" applyProtection="1">
      <alignment horizontal="right"/>
      <protection locked="0"/>
    </xf>
    <xf numFmtId="0" fontId="47" fillId="0" borderId="28" xfId="0" applyFont="1" applyBorder="1"/>
    <xf numFmtId="8" fontId="47" fillId="0" borderId="39" xfId="0" applyNumberFormat="1" applyFont="1" applyBorder="1"/>
    <xf numFmtId="0" fontId="0" fillId="0" borderId="28" xfId="0" applyBorder="1"/>
    <xf numFmtId="8" fontId="0" fillId="0" borderId="39" xfId="0" applyNumberFormat="1" applyBorder="1"/>
    <xf numFmtId="0" fontId="31" fillId="0" borderId="20" xfId="0" applyFont="1" applyBorder="1"/>
    <xf numFmtId="0" fontId="47" fillId="0" borderId="40" xfId="0" applyFont="1" applyBorder="1"/>
    <xf numFmtId="8" fontId="47" fillId="0" borderId="41" xfId="0" applyNumberFormat="1" applyFont="1" applyBorder="1"/>
    <xf numFmtId="0" fontId="13" fillId="5" borderId="0" xfId="0" applyFont="1" applyFill="1" applyAlignment="1">
      <alignment vertical="top" wrapText="1"/>
    </xf>
    <xf numFmtId="166" fontId="15" fillId="0" borderId="0" xfId="0" applyNumberFormat="1" applyFont="1"/>
    <xf numFmtId="0" fontId="15" fillId="0" borderId="0" xfId="0" applyFont="1" applyAlignment="1">
      <alignment horizontal="center" wrapText="1"/>
    </xf>
    <xf numFmtId="9" fontId="6" fillId="0" borderId="0" xfId="1" applyNumberFormat="1" applyFont="1" applyProtection="1"/>
    <xf numFmtId="0" fontId="15" fillId="0" borderId="37" xfId="0" applyFont="1" applyBorder="1"/>
    <xf numFmtId="166" fontId="6" fillId="0" borderId="42" xfId="0" applyNumberFormat="1" applyFont="1" applyBorder="1"/>
    <xf numFmtId="0" fontId="6" fillId="0" borderId="38" xfId="0" applyFont="1" applyBorder="1"/>
    <xf numFmtId="0" fontId="15" fillId="0" borderId="40" xfId="0" applyFont="1" applyBorder="1"/>
    <xf numFmtId="166" fontId="6" fillId="0" borderId="43" xfId="0" applyNumberFormat="1" applyFont="1" applyBorder="1"/>
    <xf numFmtId="0" fontId="6" fillId="0" borderId="41" xfId="0" applyFont="1" applyBorder="1"/>
    <xf numFmtId="0" fontId="52" fillId="0" borderId="42" xfId="0" applyFont="1" applyBorder="1"/>
    <xf numFmtId="0" fontId="52" fillId="0" borderId="43" xfId="0" applyFont="1" applyBorder="1"/>
    <xf numFmtId="0" fontId="6" fillId="0" borderId="42" xfId="0" applyFont="1" applyBorder="1"/>
    <xf numFmtId="0" fontId="6" fillId="0" borderId="43" xfId="0" applyFont="1" applyBorder="1"/>
    <xf numFmtId="167" fontId="6" fillId="8" borderId="6" xfId="3" applyNumberFormat="1" applyFont="1" applyFill="1" applyBorder="1" applyAlignment="1" applyProtection="1">
      <alignment horizontal="center" shrinkToFit="1"/>
      <protection locked="0"/>
    </xf>
    <xf numFmtId="164" fontId="66" fillId="0" borderId="1" xfId="9" applyNumberFormat="1" applyFont="1" applyBorder="1"/>
    <xf numFmtId="49" fontId="6" fillId="8" borderId="1" xfId="9" applyNumberFormat="1" applyFont="1" applyFill="1" applyBorder="1" applyAlignment="1" applyProtection="1">
      <alignment horizontal="left" vertical="center"/>
      <protection locked="0"/>
    </xf>
    <xf numFmtId="14" fontId="6" fillId="8" borderId="1" xfId="9" applyNumberFormat="1" applyFont="1" applyFill="1" applyBorder="1" applyAlignment="1" applyProtection="1">
      <alignment horizontal="right" vertical="center"/>
      <protection locked="0"/>
    </xf>
    <xf numFmtId="1" fontId="6" fillId="8" borderId="1" xfId="9" applyNumberFormat="1" applyFont="1" applyFill="1" applyBorder="1" applyAlignment="1" applyProtection="1">
      <alignment horizontal="center" vertical="center"/>
      <protection locked="0"/>
    </xf>
    <xf numFmtId="0" fontId="69" fillId="0" borderId="0" xfId="9" applyFont="1" applyAlignment="1">
      <alignment horizontal="center" wrapText="1"/>
    </xf>
    <xf numFmtId="9" fontId="35" fillId="0" borderId="11" xfId="0" applyNumberFormat="1" applyFont="1" applyBorder="1" applyAlignment="1">
      <alignment horizontal="center" wrapText="1"/>
    </xf>
    <xf numFmtId="0" fontId="66" fillId="0" borderId="0" xfId="9" applyFont="1" applyAlignment="1">
      <alignment horizontal="right"/>
    </xf>
    <xf numFmtId="0" fontId="0" fillId="0" borderId="0" xfId="0" applyAlignment="1">
      <alignment horizontal="centerContinuous"/>
    </xf>
    <xf numFmtId="0" fontId="72" fillId="12" borderId="0" xfId="0" applyFont="1" applyFill="1"/>
    <xf numFmtId="0" fontId="6" fillId="0" borderId="5" xfId="0" applyFont="1" applyBorder="1"/>
    <xf numFmtId="0" fontId="0" fillId="0" borderId="16" xfId="0" applyBorder="1"/>
    <xf numFmtId="0" fontId="0" fillId="0" borderId="15" xfId="0" applyBorder="1"/>
    <xf numFmtId="0" fontId="6" fillId="0" borderId="8" xfId="0" applyFont="1" applyBorder="1"/>
    <xf numFmtId="0" fontId="6" fillId="0" borderId="31" xfId="0" applyFont="1" applyBorder="1"/>
    <xf numFmtId="0" fontId="6" fillId="0" borderId="32" xfId="0" applyFont="1" applyBorder="1"/>
    <xf numFmtId="0" fontId="0" fillId="0" borderId="10" xfId="0" applyBorder="1"/>
    <xf numFmtId="0" fontId="72" fillId="12" borderId="10" xfId="0" applyFont="1" applyFill="1" applyBorder="1"/>
    <xf numFmtId="0" fontId="73" fillId="12" borderId="0" xfId="0" applyFont="1" applyFill="1"/>
    <xf numFmtId="0" fontId="72" fillId="0" borderId="0" xfId="0" applyFont="1"/>
    <xf numFmtId="0" fontId="6" fillId="0" borderId="9" xfId="0" applyFont="1" applyBorder="1" applyAlignment="1">
      <alignment horizontal="left"/>
    </xf>
    <xf numFmtId="0" fontId="72" fillId="0" borderId="5" xfId="0" applyFont="1" applyBorder="1"/>
    <xf numFmtId="0" fontId="73" fillId="0" borderId="5" xfId="0" applyFont="1" applyBorder="1"/>
    <xf numFmtId="0" fontId="59" fillId="0" borderId="2" xfId="5" applyFont="1" applyBorder="1" applyAlignment="1">
      <alignment wrapText="1"/>
    </xf>
    <xf numFmtId="0" fontId="15" fillId="0" borderId="12" xfId="0" applyFont="1" applyBorder="1"/>
    <xf numFmtId="3" fontId="0" fillId="8" borderId="6" xfId="0" applyNumberFormat="1" applyFill="1" applyBorder="1" applyProtection="1">
      <protection locked="0"/>
    </xf>
    <xf numFmtId="0" fontId="59" fillId="0" borderId="0" xfId="5" applyFont="1" applyAlignment="1">
      <alignment wrapText="1"/>
    </xf>
    <xf numFmtId="0" fontId="59" fillId="0" borderId="5" xfId="5" applyFont="1" applyBorder="1" applyAlignment="1">
      <alignment wrapText="1"/>
    </xf>
    <xf numFmtId="0" fontId="59" fillId="0" borderId="16" xfId="5" applyFont="1" applyBorder="1" applyAlignment="1">
      <alignment wrapText="1"/>
    </xf>
    <xf numFmtId="0" fontId="59" fillId="0" borderId="10" xfId="5" applyFont="1" applyBorder="1" applyAlignment="1">
      <alignment wrapText="1"/>
    </xf>
    <xf numFmtId="0" fontId="59" fillId="0" borderId="11" xfId="5" applyFont="1" applyBorder="1" applyAlignment="1">
      <alignment wrapText="1"/>
    </xf>
    <xf numFmtId="0" fontId="0" fillId="0" borderId="10" xfId="0" applyBorder="1" applyAlignment="1">
      <alignment horizontal="centerContinuous"/>
    </xf>
    <xf numFmtId="0" fontId="37" fillId="0" borderId="0" xfId="0" applyFont="1" applyAlignment="1">
      <alignment horizontal="centerContinuous"/>
    </xf>
    <xf numFmtId="0" fontId="6" fillId="0" borderId="12" xfId="0" applyFont="1" applyBorder="1"/>
    <xf numFmtId="0" fontId="73" fillId="12" borderId="6" xfId="0" applyFont="1" applyFill="1" applyBorder="1"/>
    <xf numFmtId="0" fontId="72" fillId="12" borderId="13" xfId="0" applyFont="1" applyFill="1" applyBorder="1"/>
    <xf numFmtId="0" fontId="72" fillId="12" borderId="8" xfId="0" applyFont="1" applyFill="1" applyBorder="1"/>
    <xf numFmtId="0" fontId="0" fillId="0" borderId="5" xfId="0" applyBorder="1" applyAlignment="1">
      <alignment horizontal="centerContinuous"/>
    </xf>
    <xf numFmtId="0" fontId="0" fillId="0" borderId="16" xfId="0" applyBorder="1" applyAlignment="1">
      <alignment horizontal="centerContinuous"/>
    </xf>
    <xf numFmtId="0" fontId="0" fillId="0" borderId="2" xfId="0" applyBorder="1" applyAlignment="1">
      <alignment horizontal="centerContinuous"/>
    </xf>
    <xf numFmtId="0" fontId="0" fillId="0" borderId="11" xfId="0" applyBorder="1" applyAlignment="1">
      <alignment horizontal="centerContinuous"/>
    </xf>
    <xf numFmtId="164" fontId="67" fillId="0" borderId="0" xfId="9" applyNumberFormat="1" applyFont="1"/>
    <xf numFmtId="0" fontId="59" fillId="0" borderId="0" xfId="0" applyFont="1" applyAlignment="1">
      <alignment horizontal="left" wrapText="1"/>
    </xf>
    <xf numFmtId="0" fontId="59" fillId="0" borderId="2" xfId="0" applyFont="1" applyBorder="1" applyAlignment="1">
      <alignment horizontal="left" wrapText="1"/>
    </xf>
    <xf numFmtId="0" fontId="73" fillId="12" borderId="9" xfId="0" applyFont="1" applyFill="1" applyBorder="1"/>
    <xf numFmtId="0" fontId="0" fillId="12" borderId="5" xfId="0" applyFill="1" applyBorder="1"/>
    <xf numFmtId="0" fontId="0" fillId="12" borderId="16" xfId="0" applyFill="1" applyBorder="1"/>
    <xf numFmtId="0" fontId="25" fillId="0" borderId="10" xfId="0" applyFont="1" applyBorder="1" applyAlignment="1">
      <alignment horizontal="center"/>
    </xf>
    <xf numFmtId="9" fontId="25" fillId="0" borderId="10" xfId="0" applyNumberFormat="1" applyFont="1" applyBorder="1"/>
    <xf numFmtId="0" fontId="0" fillId="0" borderId="16" xfId="0" applyBorder="1" applyAlignment="1">
      <alignment horizontal="left"/>
    </xf>
    <xf numFmtId="0" fontId="59" fillId="0" borderId="9" xfId="0" applyFont="1" applyBorder="1"/>
    <xf numFmtId="0" fontId="15" fillId="0" borderId="16" xfId="0" applyFont="1" applyBorder="1"/>
    <xf numFmtId="0" fontId="15" fillId="0" borderId="0" xfId="0" applyFont="1" applyAlignment="1">
      <alignment horizontal="centerContinuous"/>
    </xf>
    <xf numFmtId="0" fontId="72" fillId="12" borderId="5" xfId="0" applyFont="1" applyFill="1" applyBorder="1"/>
    <xf numFmtId="0" fontId="72" fillId="12" borderId="16" xfId="0" applyFont="1" applyFill="1" applyBorder="1"/>
    <xf numFmtId="0" fontId="28" fillId="0" borderId="12" xfId="0" applyFont="1" applyBorder="1"/>
    <xf numFmtId="0" fontId="78" fillId="12" borderId="5" xfId="0" applyFont="1" applyFill="1" applyBorder="1"/>
    <xf numFmtId="0" fontId="19" fillId="0" borderId="12" xfId="0" applyFont="1" applyBorder="1"/>
    <xf numFmtId="37" fontId="15" fillId="0" borderId="10" xfId="0" applyNumberFormat="1" applyFont="1" applyBorder="1"/>
    <xf numFmtId="6" fontId="15" fillId="0" borderId="2" xfId="0" applyNumberFormat="1" applyFont="1" applyBorder="1"/>
    <xf numFmtId="6" fontId="15" fillId="0" borderId="11" xfId="0" applyNumberFormat="1" applyFont="1" applyBorder="1"/>
    <xf numFmtId="14" fontId="0" fillId="0" borderId="0" xfId="0" applyNumberFormat="1"/>
    <xf numFmtId="0" fontId="28" fillId="13" borderId="0" xfId="0" applyFont="1" applyFill="1" applyAlignment="1">
      <alignment horizontal="centerContinuous"/>
    </xf>
    <xf numFmtId="0" fontId="28" fillId="14" borderId="0" xfId="0" applyFont="1" applyFill="1" applyAlignment="1">
      <alignment horizontal="centerContinuous"/>
    </xf>
    <xf numFmtId="0" fontId="35" fillId="0" borderId="0" xfId="4" applyFont="1" applyAlignment="1">
      <alignment horizontal="left"/>
    </xf>
    <xf numFmtId="0" fontId="15" fillId="0" borderId="0" xfId="1" applyNumberFormat="1" applyFont="1" applyBorder="1" applyAlignment="1" applyProtection="1">
      <alignment horizontal="center"/>
    </xf>
    <xf numFmtId="0" fontId="14" fillId="0" borderId="44" xfId="4" applyBorder="1"/>
    <xf numFmtId="0" fontId="14" fillId="0" borderId="45" xfId="4" applyBorder="1"/>
    <xf numFmtId="0" fontId="6" fillId="8" borderId="29" xfId="1" applyNumberFormat="1" applyFont="1" applyFill="1" applyBorder="1" applyAlignment="1" applyProtection="1">
      <alignment horizontal="center" vertical="center" shrinkToFit="1"/>
      <protection locked="0"/>
    </xf>
    <xf numFmtId="37" fontId="6" fillId="0" borderId="29" xfId="1" applyNumberFormat="1" applyFont="1" applyFill="1" applyBorder="1" applyProtection="1"/>
    <xf numFmtId="37" fontId="6" fillId="0" borderId="29" xfId="1" applyNumberFormat="1" applyFont="1" applyBorder="1" applyProtection="1"/>
    <xf numFmtId="37" fontId="6" fillId="8" borderId="29" xfId="1" applyNumberFormat="1" applyFont="1" applyFill="1" applyBorder="1" applyAlignment="1" applyProtection="1">
      <alignment shrinkToFit="1"/>
      <protection locked="0"/>
    </xf>
    <xf numFmtId="0" fontId="14" fillId="0" borderId="22" xfId="4" applyBorder="1"/>
    <xf numFmtId="0" fontId="16" fillId="0" borderId="22" xfId="4" applyFont="1" applyBorder="1"/>
    <xf numFmtId="37" fontId="15" fillId="0" borderId="22" xfId="1" applyNumberFormat="1" applyFont="1" applyBorder="1" applyProtection="1"/>
    <xf numFmtId="0" fontId="35" fillId="0" borderId="21" xfId="4" applyFont="1" applyBorder="1" applyAlignment="1">
      <alignment horizontal="left"/>
    </xf>
    <xf numFmtId="37" fontId="15" fillId="0" borderId="23" xfId="1" applyNumberFormat="1" applyFont="1" applyBorder="1" applyProtection="1"/>
    <xf numFmtId="0" fontId="15" fillId="0" borderId="30" xfId="1" applyNumberFormat="1" applyFont="1" applyBorder="1" applyAlignment="1" applyProtection="1">
      <alignment horizontal="center"/>
    </xf>
    <xf numFmtId="37" fontId="15" fillId="0" borderId="30" xfId="1" applyNumberFormat="1" applyFont="1" applyBorder="1" applyProtection="1"/>
    <xf numFmtId="0" fontId="15" fillId="0" borderId="9" xfId="0" applyFont="1" applyBorder="1" applyAlignment="1">
      <alignment wrapText="1"/>
    </xf>
    <xf numFmtId="0" fontId="39" fillId="0" borderId="15" xfId="0" applyFont="1" applyBorder="1" applyAlignment="1">
      <alignment horizontal="centerContinuous"/>
    </xf>
    <xf numFmtId="0" fontId="39" fillId="0" borderId="2" xfId="0" applyFont="1" applyBorder="1" applyAlignment="1">
      <alignment horizontal="centerContinuous"/>
    </xf>
    <xf numFmtId="0" fontId="15" fillId="0" borderId="2" xfId="0" applyFont="1" applyBorder="1" applyAlignment="1">
      <alignment horizontal="right"/>
    </xf>
    <xf numFmtId="0" fontId="15" fillId="0" borderId="11" xfId="0" applyFont="1" applyBorder="1" applyAlignment="1">
      <alignment horizontal="right"/>
    </xf>
    <xf numFmtId="37" fontId="6" fillId="0" borderId="3" xfId="0" applyNumberFormat="1" applyFont="1" applyBorder="1"/>
    <xf numFmtId="37" fontId="6" fillId="0" borderId="7" xfId="0" applyNumberFormat="1" applyFont="1" applyBorder="1"/>
    <xf numFmtId="37" fontId="6" fillId="8" borderId="29" xfId="0" applyNumberFormat="1" applyFont="1" applyFill="1" applyBorder="1" applyProtection="1">
      <protection locked="0"/>
    </xf>
    <xf numFmtId="37" fontId="15" fillId="0" borderId="30" xfId="0" applyNumberFormat="1" applyFont="1" applyBorder="1"/>
    <xf numFmtId="0" fontId="0" fillId="15" borderId="0" xfId="0" applyFill="1"/>
    <xf numFmtId="0" fontId="17" fillId="0" borderId="0" xfId="0" applyFont="1" applyAlignment="1">
      <alignment horizontal="centerContinuous"/>
    </xf>
    <xf numFmtId="9" fontId="25" fillId="0" borderId="0" xfId="0" applyNumberFormat="1" applyFont="1" applyAlignment="1">
      <alignment horizontal="centerContinuous"/>
    </xf>
    <xf numFmtId="0" fontId="25" fillId="0" borderId="0" xfId="0" applyFont="1" applyAlignment="1">
      <alignment horizontal="centerContinuous"/>
    </xf>
    <xf numFmtId="3" fontId="29" fillId="0" borderId="0" xfId="0" applyNumberFormat="1" applyFont="1" applyAlignment="1">
      <alignment horizontal="left"/>
    </xf>
    <xf numFmtId="6" fontId="73" fillId="12" borderId="0" xfId="0" applyNumberFormat="1" applyFont="1" applyFill="1"/>
    <xf numFmtId="0" fontId="65" fillId="0" borderId="0" xfId="4" applyFont="1" applyAlignment="1">
      <alignment horizontal="center" wrapText="1"/>
    </xf>
    <xf numFmtId="0" fontId="73" fillId="12" borderId="0" xfId="1" applyNumberFormat="1" applyFont="1" applyFill="1" applyBorder="1" applyAlignment="1" applyProtection="1">
      <alignment horizontal="center"/>
    </xf>
    <xf numFmtId="37" fontId="73" fillId="12" borderId="0" xfId="1" applyNumberFormat="1" applyFont="1" applyFill="1" applyBorder="1" applyProtection="1"/>
    <xf numFmtId="0" fontId="73" fillId="12" borderId="0" xfId="4" applyFont="1" applyFill="1" applyAlignment="1">
      <alignment horizontal="left"/>
    </xf>
    <xf numFmtId="0" fontId="79" fillId="12" borderId="0" xfId="4" applyFont="1" applyFill="1"/>
    <xf numFmtId="0" fontId="80" fillId="12" borderId="0" xfId="4" applyFont="1" applyFill="1"/>
    <xf numFmtId="0" fontId="81" fillId="12" borderId="0" xfId="4" applyFont="1" applyFill="1" applyAlignment="1">
      <alignment horizontal="center" wrapText="1"/>
    </xf>
    <xf numFmtId="37" fontId="6" fillId="0" borderId="29" xfId="0" applyNumberFormat="1" applyFont="1" applyBorder="1"/>
    <xf numFmtId="0" fontId="0" fillId="0" borderId="23" xfId="0" applyBorder="1"/>
    <xf numFmtId="37" fontId="15" fillId="0" borderId="30" xfId="1" applyNumberFormat="1" applyFont="1" applyBorder="1" applyAlignment="1" applyProtection="1"/>
    <xf numFmtId="0" fontId="65" fillId="0" borderId="0" xfId="4" applyFont="1" applyAlignment="1">
      <alignment horizontal="left"/>
    </xf>
    <xf numFmtId="0" fontId="64" fillId="0" borderId="0" xfId="4" applyFont="1" applyAlignment="1">
      <alignment horizontal="left"/>
    </xf>
    <xf numFmtId="0" fontId="64" fillId="12" borderId="5" xfId="4" applyFont="1" applyFill="1" applyBorder="1" applyAlignment="1">
      <alignment horizontal="left"/>
    </xf>
    <xf numFmtId="0" fontId="73" fillId="12" borderId="16" xfId="0" applyFont="1" applyFill="1" applyBorder="1"/>
    <xf numFmtId="0" fontId="77" fillId="0" borderId="12" xfId="0" applyFont="1" applyBorder="1"/>
    <xf numFmtId="0" fontId="73" fillId="0" borderId="10" xfId="0" applyFont="1" applyBorder="1"/>
    <xf numFmtId="0" fontId="77" fillId="0" borderId="12" xfId="0" applyFont="1" applyBorder="1" applyAlignment="1">
      <alignment horizontal="left" wrapText="1"/>
    </xf>
    <xf numFmtId="0" fontId="77" fillId="0" borderId="0" xfId="0" applyFont="1" applyAlignment="1">
      <alignment horizontal="left" wrapText="1"/>
    </xf>
    <xf numFmtId="0" fontId="77" fillId="0" borderId="5" xfId="0" applyFont="1" applyBorder="1" applyAlignment="1">
      <alignment horizontal="left" wrapText="1"/>
    </xf>
    <xf numFmtId="0" fontId="15" fillId="0" borderId="4" xfId="4" applyFont="1" applyBorder="1" applyAlignment="1">
      <alignment horizontal="center" wrapText="1"/>
    </xf>
    <xf numFmtId="0" fontId="77" fillId="0" borderId="9" xfId="0" applyFont="1" applyBorder="1" applyAlignment="1">
      <alignment horizontal="left" wrapText="1"/>
    </xf>
    <xf numFmtId="0" fontId="77" fillId="0" borderId="3" xfId="0" applyFont="1" applyBorder="1" applyAlignment="1">
      <alignment horizontal="left" wrapText="1"/>
    </xf>
    <xf numFmtId="0" fontId="15" fillId="0" borderId="3" xfId="0" applyFont="1" applyBorder="1" applyAlignment="1">
      <alignment horizontal="center" wrapText="1"/>
    </xf>
    <xf numFmtId="0" fontId="77" fillId="0" borderId="7" xfId="0" applyFont="1" applyBorder="1" applyAlignment="1">
      <alignment horizontal="left" wrapText="1"/>
    </xf>
    <xf numFmtId="0" fontId="15" fillId="0" borderId="7" xfId="0" applyFont="1" applyBorder="1" applyAlignment="1">
      <alignment horizontal="center" wrapText="1"/>
    </xf>
    <xf numFmtId="0" fontId="15" fillId="0" borderId="13" xfId="4" applyFont="1" applyBorder="1" applyAlignment="1">
      <alignment horizontal="right"/>
    </xf>
    <xf numFmtId="0" fontId="15" fillId="0" borderId="8" xfId="4" applyFont="1" applyBorder="1" applyAlignment="1">
      <alignment horizontal="right"/>
    </xf>
    <xf numFmtId="37" fontId="19" fillId="0" borderId="10" xfId="0" applyNumberFormat="1" applyFont="1" applyBorder="1" applyAlignment="1">
      <alignment horizontal="right"/>
    </xf>
    <xf numFmtId="0" fontId="19" fillId="0" borderId="10" xfId="0" applyFont="1" applyBorder="1"/>
    <xf numFmtId="0" fontId="35" fillId="0" borderId="0" xfId="0" applyFont="1"/>
    <xf numFmtId="0" fontId="58" fillId="0" borderId="0" xfId="0" applyFont="1" applyAlignment="1">
      <alignment horizontal="left" wrapText="1"/>
    </xf>
    <xf numFmtId="0" fontId="42" fillId="0" borderId="2" xfId="4" applyFont="1" applyBorder="1" applyAlignment="1">
      <alignment horizontal="center"/>
    </xf>
    <xf numFmtId="0" fontId="16" fillId="4" borderId="4" xfId="4" applyFont="1" applyFill="1" applyBorder="1"/>
    <xf numFmtId="37" fontId="15" fillId="0" borderId="11" xfId="1" applyNumberFormat="1" applyFont="1" applyBorder="1" applyProtection="1"/>
    <xf numFmtId="0" fontId="6" fillId="7" borderId="29" xfId="4" applyFont="1" applyFill="1" applyBorder="1" applyAlignment="1" applyProtection="1">
      <alignment horizontal="center" shrinkToFit="1"/>
      <protection locked="0"/>
    </xf>
    <xf numFmtId="0" fontId="15" fillId="0" borderId="0" xfId="1" applyNumberFormat="1" applyFont="1" applyBorder="1" applyAlignment="1" applyProtection="1">
      <alignment vertical="center" wrapText="1"/>
    </xf>
    <xf numFmtId="37" fontId="15" fillId="0" borderId="9" xfId="0" applyNumberFormat="1" applyFont="1" applyBorder="1"/>
    <xf numFmtId="0" fontId="35" fillId="0" borderId="5" xfId="0" applyFont="1" applyBorder="1"/>
    <xf numFmtId="0" fontId="6" fillId="0" borderId="5" xfId="0" applyFont="1" applyBorder="1" applyAlignment="1">
      <alignment horizontal="left" wrapText="1"/>
    </xf>
    <xf numFmtId="0" fontId="6" fillId="0" borderId="16" xfId="0" applyFont="1" applyBorder="1" applyAlignment="1">
      <alignment horizontal="left" wrapText="1"/>
    </xf>
    <xf numFmtId="0" fontId="64" fillId="12" borderId="5" xfId="4" applyFont="1" applyFill="1" applyBorder="1" applyAlignment="1">
      <alignment horizontal="right"/>
    </xf>
    <xf numFmtId="0" fontId="67" fillId="0" borderId="0" xfId="9" applyFont="1" applyAlignment="1">
      <alignment horizontal="left"/>
    </xf>
    <xf numFmtId="9" fontId="35" fillId="0" borderId="13" xfId="0" applyNumberFormat="1" applyFont="1" applyBorder="1" applyAlignment="1">
      <alignment horizontal="centerContinuous"/>
    </xf>
    <xf numFmtId="0" fontId="35" fillId="0" borderId="46" xfId="0" applyFont="1" applyBorder="1" applyAlignment="1">
      <alignment horizontal="center" wrapText="1"/>
    </xf>
    <xf numFmtId="0" fontId="15" fillId="0" borderId="36" xfId="0" applyFont="1" applyBorder="1"/>
    <xf numFmtId="0" fontId="15" fillId="0" borderId="48" xfId="0" applyFont="1" applyBorder="1" applyAlignment="1">
      <alignment horizontal="left" wrapText="1"/>
    </xf>
    <xf numFmtId="0" fontId="19" fillId="0" borderId="50" xfId="0" applyFont="1" applyBorder="1" applyAlignment="1">
      <alignment wrapText="1"/>
    </xf>
    <xf numFmtId="0" fontId="6" fillId="0" borderId="47" xfId="0" applyFont="1" applyBorder="1"/>
    <xf numFmtId="0" fontId="6" fillId="0" borderId="51" xfId="0" applyFont="1" applyBorder="1"/>
    <xf numFmtId="0" fontId="15" fillId="0" borderId="52" xfId="0" applyFont="1" applyBorder="1"/>
    <xf numFmtId="0" fontId="38" fillId="0" borderId="10" xfId="0" applyFont="1" applyBorder="1" applyAlignment="1">
      <alignment horizontal="right"/>
    </xf>
    <xf numFmtId="0" fontId="75" fillId="0" borderId="0" xfId="0" applyFont="1"/>
    <xf numFmtId="166" fontId="0" fillId="8" borderId="1" xfId="1" applyNumberFormat="1" applyFont="1" applyFill="1" applyBorder="1" applyProtection="1">
      <protection locked="0"/>
    </xf>
    <xf numFmtId="0" fontId="6" fillId="0" borderId="16" xfId="0" applyFont="1" applyBorder="1" applyAlignment="1">
      <alignment horizontal="left"/>
    </xf>
    <xf numFmtId="0" fontId="15" fillId="0" borderId="9" xfId="0" applyFont="1" applyBorder="1" applyAlignment="1">
      <alignment horizontal="left"/>
    </xf>
    <xf numFmtId="0" fontId="6" fillId="0" borderId="5" xfId="0" applyFont="1" applyBorder="1" applyAlignment="1">
      <alignment horizontal="left"/>
    </xf>
    <xf numFmtId="0" fontId="35" fillId="0" borderId="0" xfId="0" applyFont="1" applyAlignment="1">
      <alignment horizontal="right"/>
    </xf>
    <xf numFmtId="37" fontId="15" fillId="0" borderId="1" xfId="1" applyNumberFormat="1" applyFont="1" applyBorder="1" applyAlignment="1" applyProtection="1">
      <alignment horizontal="center"/>
    </xf>
    <xf numFmtId="0" fontId="6" fillId="0" borderId="0" xfId="0" applyFont="1" applyAlignment="1" applyProtection="1">
      <alignment horizontal="left" indent="2"/>
      <protection locked="0"/>
    </xf>
    <xf numFmtId="0" fontId="0" fillId="0" borderId="0" xfId="0" applyProtection="1">
      <protection locked="0"/>
    </xf>
    <xf numFmtId="0" fontId="66" fillId="8" borderId="1" xfId="9" applyFont="1" applyFill="1" applyBorder="1" applyProtection="1">
      <protection locked="0"/>
    </xf>
    <xf numFmtId="0" fontId="31" fillId="8" borderId="1" xfId="0" applyFont="1" applyFill="1" applyBorder="1" applyProtection="1">
      <protection locked="0"/>
    </xf>
    <xf numFmtId="0" fontId="15" fillId="0" borderId="5" xfId="0" applyFont="1" applyBorder="1" applyAlignment="1">
      <alignment horizontal="left"/>
    </xf>
    <xf numFmtId="0" fontId="73" fillId="12" borderId="5" xfId="0" applyFont="1" applyFill="1" applyBorder="1"/>
    <xf numFmtId="0" fontId="72" fillId="12" borderId="5" xfId="0" applyFont="1" applyFill="1" applyBorder="1" applyAlignment="1">
      <alignment horizontal="left"/>
    </xf>
    <xf numFmtId="0" fontId="72" fillId="12" borderId="16" xfId="0" applyFont="1" applyFill="1" applyBorder="1" applyAlignment="1">
      <alignment horizontal="left"/>
    </xf>
    <xf numFmtId="0" fontId="35" fillId="0" borderId="12" xfId="0" applyFont="1" applyBorder="1"/>
    <xf numFmtId="0" fontId="49" fillId="0" borderId="0" xfId="4" applyFont="1" applyAlignment="1">
      <alignment horizontal="right"/>
    </xf>
    <xf numFmtId="0" fontId="19" fillId="0" borderId="12" xfId="0" applyFont="1" applyBorder="1" applyAlignment="1">
      <alignment horizontal="left" indent="1"/>
    </xf>
    <xf numFmtId="0" fontId="82" fillId="0" borderId="0" xfId="0" applyFont="1" applyAlignment="1">
      <alignment wrapText="1"/>
    </xf>
    <xf numFmtId="37" fontId="35" fillId="0" borderId="0" xfId="1" applyNumberFormat="1" applyFont="1" applyBorder="1" applyProtection="1"/>
    <xf numFmtId="0" fontId="83" fillId="0" borderId="12" xfId="0" applyFont="1" applyBorder="1" applyAlignment="1">
      <alignment horizontal="left" indent="1"/>
    </xf>
    <xf numFmtId="0" fontId="83" fillId="0" borderId="0" xfId="0" applyFont="1"/>
    <xf numFmtId="37" fontId="83" fillId="0" borderId="10" xfId="0" applyNumberFormat="1" applyFont="1" applyBorder="1"/>
    <xf numFmtId="0" fontId="48" fillId="0" borderId="12" xfId="1" applyNumberFormat="1" applyFont="1" applyFill="1" applyBorder="1" applyAlignment="1" applyProtection="1">
      <alignment horizontal="left" vertical="center" indent="1"/>
    </xf>
    <xf numFmtId="0" fontId="48" fillId="0" borderId="0" xfId="0" applyFont="1"/>
    <xf numFmtId="37" fontId="48" fillId="0" borderId="10" xfId="0" applyNumberFormat="1" applyFont="1" applyBorder="1"/>
    <xf numFmtId="0" fontId="35" fillId="0" borderId="12" xfId="1" applyNumberFormat="1" applyFont="1" applyFill="1" applyBorder="1" applyAlignment="1" applyProtection="1">
      <alignment horizontal="left" vertical="center"/>
    </xf>
    <xf numFmtId="37" fontId="19" fillId="0" borderId="10" xfId="0" applyNumberFormat="1" applyFont="1" applyBorder="1"/>
    <xf numFmtId="37" fontId="35" fillId="0" borderId="10" xfId="0" applyNumberFormat="1" applyFont="1" applyBorder="1"/>
    <xf numFmtId="0" fontId="19" fillId="0" borderId="2" xfId="0" applyFont="1" applyBorder="1"/>
    <xf numFmtId="0" fontId="48" fillId="0" borderId="2" xfId="0" applyFont="1" applyBorder="1" applyAlignment="1">
      <alignment wrapText="1"/>
    </xf>
    <xf numFmtId="0" fontId="48" fillId="0" borderId="11" xfId="0" applyFont="1" applyBorder="1" applyAlignment="1">
      <alignment wrapText="1"/>
    </xf>
    <xf numFmtId="37" fontId="35" fillId="0" borderId="14" xfId="0" applyNumberFormat="1" applyFont="1" applyBorder="1"/>
    <xf numFmtId="0" fontId="48" fillId="0" borderId="53" xfId="0" applyFont="1" applyBorder="1" applyAlignment="1">
      <alignment horizontal="right"/>
    </xf>
    <xf numFmtId="0" fontId="35" fillId="0" borderId="15" xfId="1" applyNumberFormat="1" applyFont="1" applyBorder="1" applyAlignment="1" applyProtection="1">
      <alignment horizontal="center" vertical="center"/>
    </xf>
    <xf numFmtId="0" fontId="48" fillId="0" borderId="54" xfId="0" applyFont="1" applyBorder="1" applyAlignment="1">
      <alignment horizontal="right"/>
    </xf>
    <xf numFmtId="0" fontId="28" fillId="16" borderId="0" xfId="0" applyFont="1" applyFill="1"/>
    <xf numFmtId="0" fontId="28" fillId="17" borderId="0" xfId="0" applyFont="1" applyFill="1"/>
    <xf numFmtId="0" fontId="6" fillId="17" borderId="0" xfId="0" applyFont="1" applyFill="1"/>
    <xf numFmtId="0" fontId="15" fillId="0" borderId="3" xfId="4" applyFont="1" applyBorder="1" applyAlignment="1">
      <alignment horizontal="center" wrapText="1"/>
    </xf>
    <xf numFmtId="0" fontId="15" fillId="0" borderId="6" xfId="0" applyFont="1" applyBorder="1" applyAlignment="1">
      <alignment wrapText="1"/>
    </xf>
    <xf numFmtId="0" fontId="15" fillId="0" borderId="8" xfId="0" applyFont="1" applyBorder="1" applyAlignment="1">
      <alignment wrapText="1"/>
    </xf>
    <xf numFmtId="166" fontId="15" fillId="0" borderId="55" xfId="1" applyNumberFormat="1" applyFont="1" applyBorder="1"/>
    <xf numFmtId="3" fontId="30" fillId="0" borderId="0" xfId="0" applyNumberFormat="1" applyFont="1"/>
    <xf numFmtId="3" fontId="15" fillId="0" borderId="0" xfId="0" applyNumberFormat="1" applyFont="1"/>
    <xf numFmtId="0" fontId="20" fillId="0" borderId="0" xfId="0" applyFont="1" applyAlignment="1">
      <alignment horizontal="centerContinuous" wrapText="1"/>
    </xf>
    <xf numFmtId="0" fontId="15" fillId="19" borderId="1" xfId="9" applyFont="1" applyFill="1" applyBorder="1" applyAlignment="1">
      <alignment horizontal="center" vertical="center" wrapText="1"/>
    </xf>
    <xf numFmtId="0" fontId="6" fillId="8" borderId="15" xfId="0" applyFont="1" applyFill="1" applyBorder="1" applyProtection="1">
      <protection locked="0"/>
    </xf>
    <xf numFmtId="0" fontId="15" fillId="0" borderId="6" xfId="0" applyFont="1" applyBorder="1"/>
    <xf numFmtId="0" fontId="15" fillId="0" borderId="13" xfId="0" applyFont="1" applyBorder="1"/>
    <xf numFmtId="0" fontId="76" fillId="0" borderId="5" xfId="0" applyFont="1" applyBorder="1"/>
    <xf numFmtId="0" fontId="76" fillId="0" borderId="16" xfId="0" applyFont="1" applyBorder="1"/>
    <xf numFmtId="0" fontId="0" fillId="0" borderId="11" xfId="0" applyBorder="1"/>
    <xf numFmtId="0" fontId="77" fillId="0" borderId="0" xfId="0" applyFont="1"/>
    <xf numFmtId="0" fontId="15" fillId="0" borderId="8" xfId="0" applyFont="1" applyBorder="1" applyAlignment="1">
      <alignment horizontal="center" wrapText="1"/>
    </xf>
    <xf numFmtId="0" fontId="15" fillId="0" borderId="1" xfId="0" applyFont="1" applyBorder="1" applyAlignment="1">
      <alignment horizontal="center" wrapText="1"/>
    </xf>
    <xf numFmtId="37" fontId="0" fillId="0" borderId="56" xfId="0" applyNumberFormat="1" applyBorder="1"/>
    <xf numFmtId="37" fontId="0" fillId="0" borderId="57" xfId="0" applyNumberFormat="1" applyBorder="1"/>
    <xf numFmtId="165" fontId="6" fillId="8" borderId="1" xfId="9" applyNumberFormat="1" applyFont="1" applyFill="1" applyBorder="1" applyAlignment="1" applyProtection="1">
      <alignment horizontal="right" vertical="center"/>
      <protection locked="0"/>
    </xf>
    <xf numFmtId="165" fontId="6" fillId="0" borderId="1" xfId="9" applyNumberFormat="1" applyFont="1" applyBorder="1" applyAlignment="1" applyProtection="1">
      <alignment horizontal="right" vertical="center"/>
      <protection locked="0"/>
    </xf>
    <xf numFmtId="165" fontId="6" fillId="0" borderId="1" xfId="9" applyNumberFormat="1" applyFont="1" applyBorder="1" applyAlignment="1">
      <alignment horizontal="right" vertical="center"/>
    </xf>
    <xf numFmtId="9" fontId="6" fillId="0" borderId="1" xfId="9" applyNumberFormat="1" applyFont="1" applyBorder="1" applyAlignment="1" applyProtection="1">
      <alignment horizontal="center" vertical="center"/>
      <protection locked="0"/>
    </xf>
    <xf numFmtId="0" fontId="15" fillId="19" borderId="1" xfId="9" applyFont="1" applyFill="1" applyBorder="1" applyAlignment="1">
      <alignment horizontal="center" wrapText="1"/>
    </xf>
    <xf numFmtId="14" fontId="6" fillId="0" borderId="0" xfId="9" applyNumberFormat="1" applyFont="1" applyAlignment="1">
      <alignment horizontal="right" vertical="center"/>
    </xf>
    <xf numFmtId="3" fontId="29" fillId="0" borderId="4" xfId="11" applyNumberFormat="1" applyFont="1" applyBorder="1"/>
    <xf numFmtId="3" fontId="29" fillId="0" borderId="2" xfId="11" applyNumberFormat="1" applyFont="1" applyBorder="1"/>
    <xf numFmtId="3" fontId="31" fillId="0" borderId="2" xfId="0" applyNumberFormat="1" applyFont="1" applyBorder="1"/>
    <xf numFmtId="3" fontId="31" fillId="0" borderId="2" xfId="11" applyNumberFormat="1" applyFont="1" applyFill="1" applyBorder="1"/>
    <xf numFmtId="3" fontId="29" fillId="0" borderId="0" xfId="11" applyNumberFormat="1" applyFont="1" applyBorder="1"/>
    <xf numFmtId="3" fontId="29" fillId="0" borderId="5" xfId="11" applyNumberFormat="1" applyFont="1" applyBorder="1"/>
    <xf numFmtId="3" fontId="31" fillId="0" borderId="2" xfId="11" applyNumberFormat="1" applyFont="1" applyBorder="1"/>
    <xf numFmtId="164" fontId="19" fillId="0" borderId="0" xfId="0" applyNumberFormat="1" applyFont="1" applyAlignment="1">
      <alignment horizontal="left"/>
    </xf>
    <xf numFmtId="164" fontId="19" fillId="0" borderId="12" xfId="0" applyNumberFormat="1" applyFont="1" applyBorder="1" applyAlignment="1">
      <alignment horizontal="left"/>
    </xf>
    <xf numFmtId="3" fontId="29" fillId="0" borderId="4" xfId="11" applyNumberFormat="1" applyFont="1" applyFill="1" applyBorder="1"/>
    <xf numFmtId="3" fontId="29" fillId="0" borderId="3" xfId="11" applyNumberFormat="1" applyFont="1" applyBorder="1"/>
    <xf numFmtId="3" fontId="31" fillId="0" borderId="4" xfId="11" applyNumberFormat="1" applyFont="1" applyBorder="1"/>
    <xf numFmtId="3" fontId="31" fillId="0" borderId="0" xfId="11" applyNumberFormat="1" applyFont="1" applyBorder="1"/>
    <xf numFmtId="166" fontId="29" fillId="0" borderId="2" xfId="11" applyNumberFormat="1" applyFont="1" applyBorder="1"/>
    <xf numFmtId="166" fontId="31" fillId="0" borderId="2" xfId="11" applyNumberFormat="1" applyFont="1" applyBorder="1"/>
    <xf numFmtId="166" fontId="29" fillId="0" borderId="0" xfId="11" applyNumberFormat="1" applyFont="1" applyBorder="1"/>
    <xf numFmtId="166" fontId="31" fillId="0" borderId="0" xfId="11" applyNumberFormat="1" applyFont="1" applyBorder="1"/>
    <xf numFmtId="166" fontId="31" fillId="0" borderId="5" xfId="11" applyNumberFormat="1" applyFont="1" applyBorder="1"/>
    <xf numFmtId="173" fontId="31" fillId="0" borderId="0" xfId="11" applyNumberFormat="1" applyFont="1" applyFill="1" applyBorder="1" applyAlignment="1"/>
    <xf numFmtId="3" fontId="31" fillId="0" borderId="0" xfId="0" applyNumberFormat="1" applyFont="1"/>
    <xf numFmtId="49" fontId="31" fillId="0" borderId="0" xfId="11" applyNumberFormat="1" applyFont="1" applyFill="1" applyBorder="1" applyAlignment="1"/>
    <xf numFmtId="0" fontId="32" fillId="0" borderId="10" xfId="0" applyFont="1" applyBorder="1"/>
    <xf numFmtId="0" fontId="32" fillId="0" borderId="0" xfId="0" applyFont="1"/>
    <xf numFmtId="0" fontId="29" fillId="0" borderId="10" xfId="0" applyFont="1" applyBorder="1"/>
    <xf numFmtId="173" fontId="31" fillId="0" borderId="0" xfId="11" applyNumberFormat="1" applyFont="1" applyFill="1" applyBorder="1" applyAlignment="1">
      <alignment horizontal="left"/>
    </xf>
    <xf numFmtId="37" fontId="29" fillId="0" borderId="0" xfId="0" applyNumberFormat="1" applyFont="1" applyAlignment="1">
      <alignment horizontal="left"/>
    </xf>
    <xf numFmtId="166" fontId="29" fillId="0" borderId="2" xfId="11" applyNumberFormat="1" applyFont="1" applyBorder="1" applyAlignment="1">
      <alignment horizontal="center"/>
    </xf>
    <xf numFmtId="0" fontId="32" fillId="0" borderId="0" xfId="0" applyFont="1" applyAlignment="1">
      <alignment horizontal="right"/>
    </xf>
    <xf numFmtId="0" fontId="34" fillId="0" borderId="0" xfId="0" applyFont="1"/>
    <xf numFmtId="166" fontId="29" fillId="0" borderId="1" xfId="11" applyNumberFormat="1" applyFont="1" applyBorder="1" applyAlignment="1">
      <alignment horizontal="center"/>
    </xf>
    <xf numFmtId="0" fontId="34" fillId="0" borderId="0" xfId="0" applyFont="1" applyAlignment="1">
      <alignment horizontal="right"/>
    </xf>
    <xf numFmtId="0" fontId="34" fillId="0" borderId="2" xfId="0" applyFont="1" applyBorder="1"/>
    <xf numFmtId="0" fontId="31" fillId="0" borderId="10" xfId="0" applyFont="1" applyBorder="1"/>
    <xf numFmtId="0" fontId="26" fillId="0" borderId="0" xfId="0" applyFont="1"/>
    <xf numFmtId="0" fontId="29" fillId="0" borderId="2" xfId="0" applyFont="1" applyBorder="1"/>
    <xf numFmtId="0" fontId="31" fillId="0" borderId="11" xfId="0" applyFont="1" applyBorder="1"/>
    <xf numFmtId="0" fontId="32" fillId="0" borderId="2" xfId="0" applyFont="1" applyBorder="1" applyAlignment="1">
      <alignment horizontal="right"/>
    </xf>
    <xf numFmtId="0" fontId="29" fillId="0" borderId="10" xfId="0" applyFont="1" applyBorder="1" applyAlignment="1">
      <alignment horizontal="right"/>
    </xf>
    <xf numFmtId="3" fontId="31" fillId="8" borderId="1" xfId="11" applyNumberFormat="1" applyFont="1" applyFill="1" applyBorder="1" applyProtection="1">
      <protection locked="0"/>
    </xf>
    <xf numFmtId="3" fontId="31" fillId="8" borderId="1" xfId="0" applyNumberFormat="1" applyFont="1" applyFill="1" applyBorder="1" applyProtection="1">
      <protection locked="0"/>
    </xf>
    <xf numFmtId="3" fontId="32" fillId="8" borderId="1" xfId="11" applyNumberFormat="1" applyFont="1" applyFill="1" applyBorder="1" applyProtection="1">
      <protection locked="0"/>
    </xf>
    <xf numFmtId="3" fontId="32" fillId="8" borderId="1" xfId="0" applyNumberFormat="1" applyFont="1" applyFill="1" applyBorder="1" applyProtection="1">
      <protection locked="0"/>
    </xf>
    <xf numFmtId="166" fontId="31" fillId="8" borderId="1" xfId="11" applyNumberFormat="1" applyFont="1" applyFill="1" applyBorder="1" applyAlignment="1" applyProtection="1">
      <alignment wrapText="1"/>
      <protection locked="0"/>
    </xf>
    <xf numFmtId="0" fontId="29" fillId="8" borderId="1" xfId="0" applyFont="1" applyFill="1" applyBorder="1" applyAlignment="1" applyProtection="1">
      <alignment horizontal="left"/>
      <protection locked="0"/>
    </xf>
    <xf numFmtId="3" fontId="6" fillId="0" borderId="5" xfId="0" applyNumberFormat="1" applyFont="1" applyBorder="1" applyAlignment="1">
      <alignment horizontal="right"/>
    </xf>
    <xf numFmtId="0" fontId="6" fillId="8" borderId="5" xfId="0" applyFont="1" applyFill="1" applyBorder="1" applyProtection="1">
      <protection locked="0"/>
    </xf>
    <xf numFmtId="0" fontId="6" fillId="8" borderId="0" xfId="0" applyFont="1" applyFill="1" applyProtection="1">
      <protection locked="0"/>
    </xf>
    <xf numFmtId="6" fontId="6" fillId="0" borderId="0" xfId="0" applyNumberFormat="1" applyFont="1"/>
    <xf numFmtId="0" fontId="70" fillId="0" borderId="0" xfId="0" applyFont="1"/>
    <xf numFmtId="0" fontId="85" fillId="0" borderId="0" xfId="0" applyFont="1"/>
    <xf numFmtId="0" fontId="85" fillId="0" borderId="0" xfId="0" applyFont="1" applyProtection="1">
      <protection locked="0"/>
    </xf>
    <xf numFmtId="0" fontId="85" fillId="0" borderId="0" xfId="0" applyFont="1" applyAlignment="1">
      <alignment vertical="top" wrapText="1"/>
    </xf>
    <xf numFmtId="10" fontId="25" fillId="18" borderId="1" xfId="0" applyNumberFormat="1" applyFont="1" applyFill="1" applyBorder="1"/>
    <xf numFmtId="10" fontId="25" fillId="0" borderId="0" xfId="0" applyNumberFormat="1" applyFont="1" applyProtection="1">
      <protection locked="0"/>
    </xf>
    <xf numFmtId="10" fontId="25" fillId="0" borderId="0" xfId="0" applyNumberFormat="1" applyFont="1"/>
    <xf numFmtId="10" fontId="25" fillId="20" borderId="1" xfId="0" applyNumberFormat="1" applyFont="1" applyFill="1" applyBorder="1"/>
    <xf numFmtId="10" fontId="25" fillId="21" borderId="1" xfId="0" applyNumberFormat="1" applyFont="1" applyFill="1" applyBorder="1"/>
    <xf numFmtId="0" fontId="15" fillId="18" borderId="1" xfId="0" applyFont="1" applyFill="1" applyBorder="1"/>
    <xf numFmtId="0" fontId="6" fillId="18" borderId="1" xfId="0" applyFont="1" applyFill="1" applyBorder="1"/>
    <xf numFmtId="0" fontId="6" fillId="18" borderId="1" xfId="0" applyFont="1" applyFill="1" applyBorder="1" applyProtection="1">
      <protection locked="0"/>
    </xf>
    <xf numFmtId="0" fontId="15" fillId="20" borderId="1" xfId="0" applyFont="1" applyFill="1" applyBorder="1"/>
    <xf numFmtId="0" fontId="15" fillId="20" borderId="6" xfId="0" applyFont="1" applyFill="1" applyBorder="1"/>
    <xf numFmtId="0" fontId="6" fillId="20" borderId="1" xfId="0" applyFont="1" applyFill="1" applyBorder="1"/>
    <xf numFmtId="0" fontId="15" fillId="21" borderId="1" xfId="0" applyFont="1" applyFill="1" applyBorder="1"/>
    <xf numFmtId="0" fontId="6" fillId="21" borderId="1" xfId="0" applyFont="1" applyFill="1" applyBorder="1"/>
    <xf numFmtId="0" fontId="6" fillId="21" borderId="1" xfId="0" applyFont="1" applyFill="1" applyBorder="1" applyProtection="1">
      <protection locked="0"/>
    </xf>
    <xf numFmtId="0" fontId="49" fillId="0" borderId="0" xfId="0" applyFont="1" applyAlignment="1">
      <alignment horizontal="left" indent="2"/>
    </xf>
    <xf numFmtId="0" fontId="6" fillId="21" borderId="4" xfId="0" applyFont="1" applyFill="1" applyBorder="1"/>
    <xf numFmtId="0" fontId="86" fillId="0" borderId="0" xfId="0" applyFont="1"/>
    <xf numFmtId="0" fontId="29" fillId="0" borderId="0" xfId="0" applyFont="1" applyAlignment="1">
      <alignment horizontal="left" wrapText="1"/>
    </xf>
    <xf numFmtId="0" fontId="15" fillId="0" borderId="1" xfId="2" applyFont="1" applyBorder="1" applyAlignment="1">
      <alignment horizontal="center"/>
    </xf>
    <xf numFmtId="3" fontId="15" fillId="0" borderId="1" xfId="2" applyNumberFormat="1" applyFont="1" applyBorder="1" applyAlignment="1">
      <alignment horizontal="center"/>
    </xf>
    <xf numFmtId="9" fontId="6" fillId="0" borderId="8" xfId="0" applyNumberFormat="1" applyFont="1" applyBorder="1"/>
    <xf numFmtId="9" fontId="6" fillId="0" borderId="1" xfId="0" applyNumberFormat="1" applyFont="1" applyBorder="1"/>
    <xf numFmtId="0" fontId="31" fillId="15" borderId="1" xfId="0" applyFont="1" applyFill="1" applyBorder="1" applyAlignment="1">
      <alignment horizontal="center"/>
    </xf>
    <xf numFmtId="0" fontId="35" fillId="0" borderId="0" xfId="0" applyFont="1" applyAlignment="1">
      <alignment horizontal="left" indent="2"/>
    </xf>
    <xf numFmtId="0" fontId="23" fillId="0" borderId="0" xfId="0" applyFont="1"/>
    <xf numFmtId="166" fontId="6" fillId="0" borderId="0" xfId="1" applyNumberFormat="1" applyFont="1" applyFill="1" applyAlignment="1" applyProtection="1">
      <alignment horizontal="right"/>
    </xf>
    <xf numFmtId="0" fontId="0" fillId="8" borderId="11" xfId="0" applyFill="1" applyBorder="1" applyProtection="1">
      <protection locked="0"/>
    </xf>
    <xf numFmtId="169" fontId="20" fillId="0" borderId="3" xfId="0" applyNumberFormat="1" applyFont="1" applyBorder="1" applyAlignment="1">
      <alignment horizontal="centerContinuous" wrapText="1"/>
    </xf>
    <xf numFmtId="169" fontId="20" fillId="3" borderId="1" xfId="0" applyNumberFormat="1" applyFont="1" applyFill="1" applyBorder="1" applyAlignment="1">
      <alignment horizontal="center"/>
    </xf>
    <xf numFmtId="0" fontId="29" fillId="0" borderId="0" xfId="0" applyFont="1" applyAlignment="1">
      <alignment wrapText="1"/>
    </xf>
    <xf numFmtId="0" fontId="31" fillId="0" borderId="0" xfId="0" applyFont="1" applyAlignment="1">
      <alignment horizontal="right"/>
    </xf>
    <xf numFmtId="10" fontId="25" fillId="8" borderId="1" xfId="0" applyNumberFormat="1" applyFont="1" applyFill="1" applyBorder="1" applyProtection="1">
      <protection locked="0"/>
    </xf>
    <xf numFmtId="0" fontId="23" fillId="0" borderId="1" xfId="0" applyFont="1" applyBorder="1"/>
    <xf numFmtId="0" fontId="15" fillId="0" borderId="16" xfId="0" applyFont="1" applyBorder="1" applyAlignment="1">
      <alignment horizontal="left"/>
    </xf>
    <xf numFmtId="169" fontId="20" fillId="0" borderId="0" xfId="0" applyNumberFormat="1" applyFont="1" applyAlignment="1">
      <alignment horizontal="centerContinuous" wrapText="1"/>
    </xf>
    <xf numFmtId="3" fontId="20" fillId="0" borderId="0" xfId="2" applyNumberFormat="1" applyFont="1" applyAlignment="1">
      <alignment horizontal="centerContinuous"/>
    </xf>
    <xf numFmtId="169" fontId="20" fillId="3" borderId="2" xfId="0" applyNumberFormat="1" applyFont="1" applyFill="1" applyBorder="1" applyAlignment="1">
      <alignment horizontal="center"/>
    </xf>
    <xf numFmtId="169" fontId="20" fillId="3" borderId="2" xfId="0" applyNumberFormat="1" applyFont="1" applyFill="1" applyBorder="1" applyAlignment="1">
      <alignment horizontal="center" wrapText="1"/>
    </xf>
    <xf numFmtId="0" fontId="20" fillId="0" borderId="0" xfId="0" applyFont="1" applyAlignment="1">
      <alignment wrapText="1"/>
    </xf>
    <xf numFmtId="0" fontId="48" fillId="0" borderId="2" xfId="0" applyFont="1" applyBorder="1" applyAlignment="1">
      <alignment horizontal="right"/>
    </xf>
    <xf numFmtId="0" fontId="6" fillId="0" borderId="16" xfId="0" applyFont="1" applyBorder="1"/>
    <xf numFmtId="0" fontId="6" fillId="0" borderId="33" xfId="0" applyFont="1" applyBorder="1"/>
    <xf numFmtId="0" fontId="87" fillId="0" borderId="0" xfId="0" applyFont="1" applyAlignment="1">
      <alignment horizontal="left" indent="2"/>
    </xf>
    <xf numFmtId="0" fontId="88" fillId="0" borderId="0" xfId="0" applyFont="1"/>
    <xf numFmtId="3" fontId="30" fillId="0" borderId="0" xfId="0" applyNumberFormat="1" applyFont="1" applyAlignment="1">
      <alignment horizontal="left" vertical="center"/>
    </xf>
    <xf numFmtId="166" fontId="24" fillId="3" borderId="0" xfId="1" applyNumberFormat="1" applyFont="1" applyFill="1" applyBorder="1" applyProtection="1"/>
    <xf numFmtId="0" fontId="31" fillId="15" borderId="1" xfId="0" applyFont="1" applyFill="1" applyBorder="1" applyAlignment="1">
      <alignment horizontal="right"/>
    </xf>
    <xf numFmtId="166" fontId="25" fillId="0" borderId="1" xfId="1" applyNumberFormat="1" applyFont="1" applyBorder="1" applyProtection="1"/>
    <xf numFmtId="166" fontId="25" fillId="15" borderId="1" xfId="1" applyNumberFormat="1" applyFont="1" applyFill="1" applyBorder="1" applyProtection="1"/>
    <xf numFmtId="166" fontId="25" fillId="0" borderId="2" xfId="1" applyNumberFormat="1" applyFont="1" applyFill="1" applyBorder="1" applyProtection="1"/>
    <xf numFmtId="166" fontId="17" fillId="0" borderId="2" xfId="1" applyNumberFormat="1" applyFont="1" applyBorder="1" applyProtection="1"/>
    <xf numFmtId="169" fontId="24" fillId="3" borderId="1" xfId="0" applyNumberFormat="1" applyFont="1" applyFill="1" applyBorder="1" applyAlignment="1">
      <alignment horizontal="center"/>
    </xf>
    <xf numFmtId="169" fontId="24" fillId="3" borderId="1" xfId="0" applyNumberFormat="1" applyFont="1" applyFill="1" applyBorder="1" applyAlignment="1">
      <alignment horizontal="center" wrapText="1"/>
    </xf>
    <xf numFmtId="166" fontId="25" fillId="4" borderId="1" xfId="1" applyNumberFormat="1" applyFont="1" applyFill="1" applyBorder="1" applyProtection="1"/>
    <xf numFmtId="166" fontId="25" fillId="0" borderId="0" xfId="1" applyNumberFormat="1" applyFont="1" applyFill="1" applyBorder="1" applyProtection="1"/>
    <xf numFmtId="166" fontId="17" fillId="0" borderId="0" xfId="1" applyNumberFormat="1" applyFont="1" applyBorder="1" applyProtection="1"/>
    <xf numFmtId="166" fontId="17" fillId="0" borderId="0" xfId="1" applyNumberFormat="1" applyFont="1" applyFill="1" applyBorder="1" applyProtection="1"/>
    <xf numFmtId="166" fontId="25" fillId="0" borderId="0" xfId="1" applyNumberFormat="1" applyFont="1" applyFill="1" applyProtection="1"/>
    <xf numFmtId="166" fontId="89" fillId="0" borderId="0" xfId="1" applyNumberFormat="1" applyFont="1" applyProtection="1"/>
    <xf numFmtId="0" fontId="48" fillId="0" borderId="0" xfId="0" applyFont="1" applyAlignment="1">
      <alignment wrapText="1"/>
    </xf>
    <xf numFmtId="0" fontId="25" fillId="0" borderId="0" xfId="0" applyFont="1" applyAlignment="1">
      <alignment wrapText="1"/>
    </xf>
    <xf numFmtId="169" fontId="24" fillId="0" borderId="0" xfId="0" applyNumberFormat="1" applyFont="1" applyAlignment="1">
      <alignment horizontal="centerContinuous" wrapText="1"/>
    </xf>
    <xf numFmtId="3" fontId="24" fillId="0" borderId="0" xfId="2" applyNumberFormat="1" applyFont="1" applyAlignment="1">
      <alignment horizontal="centerContinuous"/>
    </xf>
    <xf numFmtId="166" fontId="25" fillId="0" borderId="3" xfId="1" applyNumberFormat="1" applyFont="1" applyBorder="1" applyProtection="1"/>
    <xf numFmtId="166" fontId="25" fillId="0" borderId="1" xfId="1" applyNumberFormat="1" applyFont="1" applyFill="1" applyBorder="1" applyProtection="1"/>
    <xf numFmtId="0" fontId="24" fillId="0" borderId="0" xfId="0" applyFont="1" applyAlignment="1">
      <alignment wrapText="1"/>
    </xf>
    <xf numFmtId="0" fontId="17" fillId="0" borderId="1" xfId="2" applyFont="1" applyBorder="1" applyAlignment="1">
      <alignment horizontal="center"/>
    </xf>
    <xf numFmtId="3" fontId="17" fillId="0" borderId="1" xfId="2" applyNumberFormat="1" applyFont="1" applyBorder="1" applyAlignment="1">
      <alignment horizontal="center"/>
    </xf>
    <xf numFmtId="10" fontId="25" fillId="0" borderId="1" xfId="0" applyNumberFormat="1" applyFont="1" applyBorder="1"/>
    <xf numFmtId="166" fontId="15" fillId="3" borderId="0" xfId="1" applyNumberFormat="1" applyFont="1" applyFill="1" applyBorder="1" applyProtection="1"/>
    <xf numFmtId="10" fontId="25" fillId="18" borderId="6" xfId="0" applyNumberFormat="1" applyFont="1" applyFill="1" applyBorder="1"/>
    <xf numFmtId="166" fontId="25" fillId="8" borderId="1" xfId="1" applyNumberFormat="1" applyFont="1" applyFill="1" applyBorder="1" applyProtection="1">
      <protection locked="0"/>
    </xf>
    <xf numFmtId="166" fontId="25" fillId="13" borderId="1" xfId="1" applyNumberFormat="1" applyFont="1" applyFill="1" applyBorder="1" applyProtection="1"/>
    <xf numFmtId="3" fontId="6" fillId="8" borderId="1" xfId="0" applyNumberFormat="1" applyFont="1" applyFill="1" applyBorder="1" applyProtection="1">
      <protection locked="0"/>
    </xf>
    <xf numFmtId="0" fontId="6" fillId="0" borderId="2" xfId="0" applyFont="1" applyBorder="1" applyAlignment="1">
      <alignment wrapText="1"/>
    </xf>
    <xf numFmtId="0" fontId="6" fillId="0" borderId="13" xfId="0" applyFont="1" applyBorder="1" applyAlignment="1">
      <alignment wrapText="1"/>
    </xf>
    <xf numFmtId="0" fontId="15" fillId="0" borderId="13" xfId="0" applyFont="1" applyBorder="1" applyAlignment="1">
      <alignment wrapText="1"/>
    </xf>
    <xf numFmtId="166" fontId="15" fillId="0" borderId="13" xfId="1" applyNumberFormat="1" applyFont="1" applyFill="1" applyBorder="1" applyProtection="1"/>
    <xf numFmtId="165" fontId="66" fillId="0" borderId="1" xfId="9" applyNumberFormat="1" applyFont="1" applyBorder="1" applyAlignment="1">
      <alignment horizontal="right"/>
    </xf>
    <xf numFmtId="0" fontId="31" fillId="0" borderId="0" xfId="11" applyNumberFormat="1" applyFont="1" applyFill="1" applyBorder="1" applyAlignment="1"/>
    <xf numFmtId="37" fontId="0" fillId="0" borderId="3" xfId="0" applyNumberFormat="1" applyBorder="1" applyAlignment="1">
      <alignment shrinkToFit="1"/>
    </xf>
    <xf numFmtId="39" fontId="0" fillId="7" borderId="1" xfId="0" applyNumberFormat="1" applyFill="1" applyBorder="1" applyAlignment="1" applyProtection="1">
      <alignment shrinkToFit="1"/>
      <protection locked="0"/>
    </xf>
    <xf numFmtId="0" fontId="31" fillId="22" borderId="0" xfId="0" applyFont="1" applyFill="1" applyAlignment="1">
      <alignment horizontal="center"/>
    </xf>
    <xf numFmtId="164" fontId="6" fillId="4" borderId="10" xfId="3" applyNumberFormat="1" applyFont="1" applyFill="1" applyBorder="1" applyAlignment="1">
      <alignment horizontal="center"/>
    </xf>
    <xf numFmtId="0" fontId="6" fillId="4" borderId="0" xfId="0" applyFont="1" applyFill="1" applyAlignment="1">
      <alignment horizontal="center"/>
    </xf>
    <xf numFmtId="6" fontId="0" fillId="5" borderId="0" xfId="0" applyNumberFormat="1" applyFill="1"/>
    <xf numFmtId="0" fontId="31" fillId="8" borderId="13" xfId="0" applyFont="1" applyFill="1" applyBorder="1" applyProtection="1">
      <protection locked="0"/>
    </xf>
    <xf numFmtId="0" fontId="20" fillId="0" borderId="0" xfId="0" applyFont="1" applyAlignment="1">
      <alignment horizontal="left"/>
    </xf>
    <xf numFmtId="3" fontId="20" fillId="0" borderId="0" xfId="0" applyNumberFormat="1" applyFont="1" applyAlignment="1">
      <alignment horizontal="left"/>
    </xf>
    <xf numFmtId="14" fontId="20" fillId="0" borderId="0" xfId="0" applyNumberFormat="1" applyFont="1" applyAlignment="1">
      <alignment horizontal="left" wrapText="1"/>
    </xf>
    <xf numFmtId="9" fontId="6" fillId="0" borderId="0" xfId="1" applyNumberFormat="1" applyFont="1" applyBorder="1" applyProtection="1"/>
    <xf numFmtId="0" fontId="23" fillId="0" borderId="1" xfId="0" applyFont="1" applyBorder="1" applyAlignment="1">
      <alignment horizontal="centerContinuous"/>
    </xf>
    <xf numFmtId="0" fontId="6" fillId="0" borderId="12" xfId="0" applyFont="1" applyBorder="1" applyAlignment="1">
      <alignment horizontal="left" indent="1"/>
    </xf>
    <xf numFmtId="0" fontId="31" fillId="0" borderId="0" xfId="0" applyFont="1" applyAlignment="1">
      <alignment vertical="top" wrapText="1"/>
    </xf>
    <xf numFmtId="3" fontId="6" fillId="8" borderId="1" xfId="0" applyNumberFormat="1" applyFont="1" applyFill="1" applyBorder="1" applyAlignment="1" applyProtection="1">
      <alignment vertical="center"/>
      <protection locked="0"/>
    </xf>
    <xf numFmtId="166" fontId="6" fillId="0" borderId="10" xfId="1" applyNumberFormat="1" applyFont="1" applyFill="1" applyBorder="1" applyProtection="1">
      <protection locked="0"/>
    </xf>
    <xf numFmtId="0" fontId="48" fillId="0" borderId="1" xfId="0" applyFont="1" applyBorder="1" applyAlignment="1">
      <alignment wrapText="1"/>
    </xf>
    <xf numFmtId="166" fontId="6" fillId="0" borderId="1" xfId="1" applyNumberFormat="1" applyFont="1" applyFill="1" applyBorder="1" applyProtection="1">
      <protection locked="0"/>
    </xf>
    <xf numFmtId="166" fontId="15" fillId="0" borderId="17" xfId="1" applyNumberFormat="1" applyFont="1" applyBorder="1"/>
    <xf numFmtId="166" fontId="15" fillId="0" borderId="37" xfId="1" applyNumberFormat="1" applyFont="1" applyBorder="1"/>
    <xf numFmtId="37" fontId="0" fillId="0" borderId="0" xfId="0" applyNumberFormat="1" applyAlignment="1" applyProtection="1">
      <alignment shrinkToFit="1"/>
      <protection locked="0"/>
    </xf>
    <xf numFmtId="3" fontId="6" fillId="8" borderId="6" xfId="0" applyNumberFormat="1" applyFont="1" applyFill="1" applyBorder="1" applyAlignment="1" applyProtection="1">
      <alignment horizontal="right"/>
      <protection locked="0"/>
    </xf>
    <xf numFmtId="3" fontId="0" fillId="8" borderId="6" xfId="0" applyNumberFormat="1" applyFill="1" applyBorder="1" applyAlignment="1" applyProtection="1">
      <alignment horizontal="right"/>
      <protection locked="0"/>
    </xf>
    <xf numFmtId="166" fontId="6" fillId="0" borderId="0" xfId="0" applyNumberFormat="1" applyFont="1"/>
    <xf numFmtId="0" fontId="19" fillId="0" borderId="3" xfId="0" applyFont="1" applyBorder="1" applyAlignment="1">
      <alignment horizontal="left" wrapText="1"/>
    </xf>
    <xf numFmtId="0" fontId="19" fillId="0" borderId="4" xfId="0" applyFont="1" applyBorder="1" applyAlignment="1">
      <alignment horizontal="left" wrapText="1" indent="1"/>
    </xf>
    <xf numFmtId="0" fontId="6" fillId="0" borderId="3" xfId="0" applyFont="1" applyBorder="1" applyAlignment="1">
      <alignment horizontal="left"/>
    </xf>
    <xf numFmtId="0" fontId="6" fillId="8" borderId="6" xfId="0" applyFont="1" applyFill="1" applyBorder="1" applyProtection="1">
      <protection locked="0"/>
    </xf>
    <xf numFmtId="0" fontId="6" fillId="0" borderId="0" xfId="5"/>
    <xf numFmtId="0" fontId="91" fillId="23" borderId="16" xfId="5" applyFont="1" applyFill="1" applyBorder="1"/>
    <xf numFmtId="0" fontId="6" fillId="6" borderId="1" xfId="5" applyFill="1" applyBorder="1"/>
    <xf numFmtId="0" fontId="6" fillId="6" borderId="1" xfId="5" applyFill="1" applyBorder="1" applyAlignment="1">
      <alignment horizontal="right"/>
    </xf>
    <xf numFmtId="0" fontId="91" fillId="23" borderId="10" xfId="5" applyFont="1" applyFill="1" applyBorder="1"/>
    <xf numFmtId="0" fontId="6" fillId="3" borderId="0" xfId="5" applyFill="1"/>
    <xf numFmtId="0" fontId="6" fillId="24" borderId="0" xfId="5" applyFill="1" applyAlignment="1">
      <alignment horizontal="left"/>
    </xf>
    <xf numFmtId="0" fontId="6" fillId="24" borderId="0" xfId="5" applyFill="1" applyAlignment="1">
      <alignment horizontal="center"/>
    </xf>
    <xf numFmtId="0" fontId="47" fillId="0" borderId="0" xfId="5" applyFont="1" applyAlignment="1">
      <alignment horizontal="left"/>
    </xf>
    <xf numFmtId="0" fontId="47" fillId="0" borderId="0" xfId="5" applyFont="1" applyAlignment="1">
      <alignment horizontal="center"/>
    </xf>
    <xf numFmtId="10" fontId="91" fillId="23" borderId="11" xfId="5" applyNumberFormat="1" applyFont="1" applyFill="1" applyBorder="1"/>
    <xf numFmtId="0" fontId="47" fillId="0" borderId="0" xfId="5" applyFont="1"/>
    <xf numFmtId="0" fontId="6" fillId="23" borderId="1" xfId="5" applyFill="1" applyBorder="1" applyAlignment="1">
      <alignment horizontal="center" wrapText="1"/>
    </xf>
    <xf numFmtId="0" fontId="6" fillId="23" borderId="1" xfId="5" applyFill="1" applyBorder="1" applyAlignment="1">
      <alignment horizontal="center"/>
    </xf>
    <xf numFmtId="0" fontId="6" fillId="23" borderId="1" xfId="5" applyFill="1" applyBorder="1" applyAlignment="1">
      <alignment wrapText="1"/>
    </xf>
    <xf numFmtId="0" fontId="6" fillId="3" borderId="1" xfId="5" applyFill="1" applyBorder="1"/>
    <xf numFmtId="0" fontId="6" fillId="0" borderId="1" xfId="5" applyBorder="1"/>
    <xf numFmtId="0" fontId="6" fillId="0" borderId="1" xfId="5" applyBorder="1" applyAlignment="1">
      <alignment horizontal="center"/>
    </xf>
    <xf numFmtId="1" fontId="6" fillId="0" borderId="1" xfId="5" applyNumberFormat="1" applyBorder="1" applyAlignment="1">
      <alignment wrapText="1"/>
    </xf>
    <xf numFmtId="0" fontId="6" fillId="0" borderId="0" xfId="5" applyAlignment="1">
      <alignment horizontal="center"/>
    </xf>
    <xf numFmtId="0" fontId="6" fillId="23" borderId="3" xfId="5" applyFill="1" applyBorder="1" applyAlignment="1">
      <alignment horizontal="center"/>
    </xf>
    <xf numFmtId="0" fontId="6" fillId="23" borderId="3" xfId="5" applyFill="1" applyBorder="1" applyAlignment="1">
      <alignment wrapText="1"/>
    </xf>
    <xf numFmtId="0" fontId="6" fillId="0" borderId="1" xfId="5" quotePrefix="1" applyBorder="1" applyAlignment="1">
      <alignment horizontal="center"/>
    </xf>
    <xf numFmtId="0" fontId="6" fillId="0" borderId="1" xfId="5" applyBorder="1" applyAlignment="1">
      <alignment wrapText="1"/>
    </xf>
    <xf numFmtId="0" fontId="6" fillId="12" borderId="1" xfId="5" applyFill="1" applyBorder="1" applyAlignment="1">
      <alignment horizontal="center"/>
    </xf>
    <xf numFmtId="171" fontId="13" fillId="23" borderId="1" xfId="5" applyNumberFormat="1" applyFont="1" applyFill="1" applyBorder="1" applyAlignment="1">
      <alignment horizontal="center"/>
    </xf>
    <xf numFmtId="0" fontId="6" fillId="12" borderId="1" xfId="5" quotePrefix="1" applyFill="1" applyBorder="1" applyAlignment="1">
      <alignment horizontal="center"/>
    </xf>
    <xf numFmtId="0" fontId="6" fillId="12" borderId="1" xfId="5" applyFill="1" applyBorder="1" applyAlignment="1">
      <alignment wrapText="1"/>
    </xf>
    <xf numFmtId="0" fontId="13" fillId="23" borderId="1" xfId="5" applyFont="1" applyFill="1" applyBorder="1" applyAlignment="1">
      <alignment horizontal="center"/>
    </xf>
    <xf numFmtId="171" fontId="6" fillId="23" borderId="1" xfId="5" applyNumberFormat="1" applyFill="1" applyBorder="1" applyAlignment="1">
      <alignment horizontal="center"/>
    </xf>
    <xf numFmtId="171" fontId="6" fillId="12" borderId="1" xfId="5" applyNumberFormat="1" applyFill="1" applyBorder="1"/>
    <xf numFmtId="1" fontId="6" fillId="3" borderId="1" xfId="5" applyNumberFormat="1" applyFill="1" applyBorder="1" applyAlignment="1">
      <alignment wrapText="1"/>
    </xf>
    <xf numFmtId="0" fontId="90" fillId="0" borderId="5" xfId="5" applyFont="1" applyBorder="1" applyAlignment="1">
      <alignment horizontal="left" vertical="top" wrapText="1"/>
    </xf>
    <xf numFmtId="0" fontId="6" fillId="0" borderId="0" xfId="5" applyAlignment="1">
      <alignment wrapText="1"/>
    </xf>
    <xf numFmtId="0" fontId="90" fillId="0" borderId="0" xfId="5" applyFont="1" applyAlignment="1">
      <alignment horizontal="left" vertical="top" wrapText="1"/>
    </xf>
    <xf numFmtId="0" fontId="6" fillId="3" borderId="1" xfId="5" applyFill="1" applyBorder="1" applyAlignment="1">
      <alignment horizontal="center"/>
    </xf>
    <xf numFmtId="0" fontId="6" fillId="12" borderId="1" xfId="5" applyFill="1" applyBorder="1"/>
    <xf numFmtId="0" fontId="6" fillId="3" borderId="1" xfId="5" quotePrefix="1" applyFill="1" applyBorder="1"/>
    <xf numFmtId="0" fontId="6" fillId="26" borderId="1" xfId="5" quotePrefix="1" applyFill="1" applyBorder="1"/>
    <xf numFmtId="0" fontId="91" fillId="0" borderId="0" xfId="5" applyFont="1" applyAlignment="1">
      <alignment horizontal="center"/>
    </xf>
    <xf numFmtId="0" fontId="47" fillId="5" borderId="0" xfId="5" applyFont="1" applyFill="1" applyAlignment="1">
      <alignment wrapText="1"/>
    </xf>
    <xf numFmtId="0" fontId="6" fillId="3" borderId="3" xfId="5" applyFill="1" applyBorder="1" applyAlignment="1">
      <alignment horizontal="center"/>
    </xf>
    <xf numFmtId="0" fontId="6" fillId="3" borderId="1" xfId="5" applyFill="1" applyBorder="1" applyAlignment="1">
      <alignment wrapText="1"/>
    </xf>
    <xf numFmtId="1" fontId="6" fillId="23" borderId="1" xfId="5" applyNumberFormat="1" applyFill="1" applyBorder="1" applyAlignment="1">
      <alignment wrapText="1"/>
    </xf>
    <xf numFmtId="171" fontId="6" fillId="0" borderId="1" xfId="5" applyNumberFormat="1" applyBorder="1" applyAlignment="1">
      <alignment horizontal="center"/>
    </xf>
    <xf numFmtId="171" fontId="6" fillId="0" borderId="0" xfId="5" applyNumberFormat="1"/>
    <xf numFmtId="0" fontId="23" fillId="18" borderId="1" xfId="0" applyFont="1" applyFill="1" applyBorder="1" applyAlignment="1">
      <alignment horizontal="centerContinuous" wrapText="1"/>
    </xf>
    <xf numFmtId="0" fontId="56" fillId="0" borderId="2" xfId="0" applyFont="1" applyBorder="1"/>
    <xf numFmtId="37" fontId="19" fillId="8" borderId="1" xfId="0" applyNumberFormat="1" applyFont="1" applyFill="1" applyBorder="1" applyAlignment="1" applyProtection="1">
      <alignment horizontal="right"/>
      <protection locked="0"/>
    </xf>
    <xf numFmtId="3" fontId="0" fillId="8" borderId="4" xfId="0" applyNumberFormat="1" applyFill="1" applyBorder="1" applyProtection="1">
      <protection locked="0"/>
    </xf>
    <xf numFmtId="0" fontId="19" fillId="0" borderId="9" xfId="0" applyFont="1" applyBorder="1" applyAlignment="1">
      <alignment wrapText="1"/>
    </xf>
    <xf numFmtId="166" fontId="15" fillId="0" borderId="5" xfId="1" applyNumberFormat="1" applyFont="1" applyBorder="1" applyProtection="1"/>
    <xf numFmtId="0" fontId="48" fillId="0" borderId="2" xfId="0" applyFont="1" applyBorder="1" applyAlignment="1">
      <alignment horizontal="right" vertical="center" wrapText="1"/>
    </xf>
    <xf numFmtId="0" fontId="93" fillId="0" borderId="2" xfId="0" applyFont="1" applyBorder="1" applyAlignment="1">
      <alignment wrapText="1"/>
    </xf>
    <xf numFmtId="164" fontId="25" fillId="0" borderId="2" xfId="3" applyNumberFormat="1" applyFont="1" applyFill="1" applyBorder="1" applyAlignment="1" applyProtection="1">
      <alignment horizontal="center"/>
    </xf>
    <xf numFmtId="8" fontId="25" fillId="0" borderId="2" xfId="1" applyNumberFormat="1" applyFont="1" applyFill="1" applyBorder="1" applyAlignment="1" applyProtection="1">
      <alignment vertical="center"/>
    </xf>
    <xf numFmtId="3" fontId="6" fillId="0" borderId="1" xfId="0" applyNumberFormat="1" applyFont="1" applyBorder="1"/>
    <xf numFmtId="0" fontId="0" fillId="0" borderId="0" xfId="0" applyAlignment="1">
      <alignment vertical="center"/>
    </xf>
    <xf numFmtId="0" fontId="31" fillId="8" borderId="1" xfId="0" applyFont="1" applyFill="1" applyBorder="1" applyAlignment="1" applyProtection="1">
      <alignment horizontal="center" vertical="center"/>
      <protection locked="0"/>
    </xf>
    <xf numFmtId="174" fontId="26" fillId="0" borderId="0" xfId="0" applyNumberFormat="1" applyFont="1" applyAlignment="1">
      <alignment horizontal="left"/>
    </xf>
    <xf numFmtId="0" fontId="31" fillId="8" borderId="6" xfId="0" applyFont="1" applyFill="1" applyBorder="1" applyProtection="1">
      <protection locked="0"/>
    </xf>
    <xf numFmtId="0" fontId="72" fillId="23" borderId="10" xfId="5" applyFont="1" applyFill="1" applyBorder="1"/>
    <xf numFmtId="0" fontId="31" fillId="0" borderId="0" xfId="0" applyFont="1" applyProtection="1">
      <protection locked="0"/>
    </xf>
    <xf numFmtId="37" fontId="38" fillId="0" borderId="0" xfId="0" applyNumberFormat="1" applyFont="1" applyAlignment="1" applyProtection="1">
      <alignment horizontal="left"/>
      <protection locked="0"/>
    </xf>
    <xf numFmtId="3" fontId="40" fillId="0" borderId="0" xfId="0" applyNumberFormat="1" applyFont="1" applyAlignment="1">
      <alignment horizontal="right"/>
    </xf>
    <xf numFmtId="3" fontId="35" fillId="0" borderId="0" xfId="0" applyNumberFormat="1" applyFont="1" applyAlignment="1">
      <alignment horizontal="right"/>
    </xf>
    <xf numFmtId="10" fontId="17" fillId="0" borderId="0" xfId="0" applyNumberFormat="1" applyFont="1"/>
    <xf numFmtId="0" fontId="48" fillId="3" borderId="2" xfId="0" applyFont="1" applyFill="1" applyBorder="1" applyAlignment="1">
      <alignment wrapText="1"/>
    </xf>
    <xf numFmtId="0" fontId="6" fillId="18" borderId="1" xfId="0" applyFont="1" applyFill="1" applyBorder="1" applyAlignment="1">
      <alignment wrapText="1"/>
    </xf>
    <xf numFmtId="0" fontId="15" fillId="0" borderId="0" xfId="0" applyFont="1" applyAlignment="1">
      <alignment wrapText="1"/>
    </xf>
    <xf numFmtId="3" fontId="24" fillId="0" borderId="0" xfId="0" applyNumberFormat="1" applyFont="1" applyAlignment="1">
      <alignment horizontal="left" wrapText="1"/>
    </xf>
    <xf numFmtId="169" fontId="26" fillId="3" borderId="6" xfId="0" applyNumberFormat="1" applyFont="1" applyFill="1" applyBorder="1" applyAlignment="1">
      <alignment horizontal="center"/>
    </xf>
    <xf numFmtId="169" fontId="26" fillId="3" borderId="13" xfId="0" applyNumberFormat="1" applyFont="1" applyFill="1" applyBorder="1" applyAlignment="1">
      <alignment horizontal="center" wrapText="1"/>
    </xf>
    <xf numFmtId="169" fontId="29" fillId="3" borderId="8" xfId="0" applyNumberFormat="1" applyFont="1" applyFill="1" applyBorder="1" applyAlignment="1">
      <alignment horizontal="center"/>
    </xf>
    <xf numFmtId="169" fontId="20" fillId="0" borderId="0" xfId="0" applyNumberFormat="1" applyFont="1" applyAlignment="1">
      <alignment horizontal="center"/>
    </xf>
    <xf numFmtId="0" fontId="20" fillId="0" borderId="0" xfId="0" applyFont="1" applyAlignment="1">
      <alignment horizontal="center"/>
    </xf>
    <xf numFmtId="3" fontId="30" fillId="0" borderId="0" xfId="0" applyNumberFormat="1" applyFont="1" applyAlignment="1">
      <alignment horizontal="center"/>
    </xf>
    <xf numFmtId="166" fontId="25" fillId="4" borderId="0" xfId="1" applyNumberFormat="1" applyFont="1" applyFill="1" applyBorder="1" applyProtection="1"/>
    <xf numFmtId="0" fontId="6" fillId="8" borderId="1" xfId="0" applyFont="1" applyFill="1" applyBorder="1" applyAlignment="1" applyProtection="1">
      <alignment vertical="center" wrapText="1"/>
      <protection locked="0"/>
    </xf>
    <xf numFmtId="0" fontId="25" fillId="0" borderId="0" xfId="5" applyFont="1"/>
    <xf numFmtId="3" fontId="32" fillId="0" borderId="0" xfId="11" applyNumberFormat="1" applyFont="1" applyBorder="1"/>
    <xf numFmtId="0" fontId="32" fillId="0" borderId="10" xfId="0" applyFont="1" applyBorder="1" applyAlignment="1">
      <alignment horizontal="right"/>
    </xf>
    <xf numFmtId="0" fontId="29" fillId="0" borderId="11" xfId="0" applyFont="1" applyBorder="1" applyAlignment="1">
      <alignment horizontal="left"/>
    </xf>
    <xf numFmtId="3" fontId="31" fillId="0" borderId="7" xfId="11" applyNumberFormat="1" applyFont="1" applyBorder="1"/>
    <xf numFmtId="3" fontId="29" fillId="0" borderId="7" xfId="11" applyNumberFormat="1" applyFont="1" applyBorder="1"/>
    <xf numFmtId="0" fontId="32" fillId="0" borderId="16" xfId="0" applyFont="1" applyBorder="1" applyAlignment="1">
      <alignment horizontal="right"/>
    </xf>
    <xf numFmtId="3" fontId="32" fillId="0" borderId="3" xfId="11" applyNumberFormat="1" applyFont="1" applyBorder="1"/>
    <xf numFmtId="0" fontId="29" fillId="0" borderId="5" xfId="0" applyFont="1" applyBorder="1" applyAlignment="1">
      <alignment horizontal="right"/>
    </xf>
    <xf numFmtId="166" fontId="31" fillId="0" borderId="0" xfId="11" applyNumberFormat="1" applyFont="1" applyFill="1" applyBorder="1"/>
    <xf numFmtId="3" fontId="31" fillId="0" borderId="0" xfId="11" applyNumberFormat="1" applyFont="1" applyFill="1" applyBorder="1"/>
    <xf numFmtId="3" fontId="29" fillId="0" borderId="0" xfId="11" applyNumberFormat="1" applyFont="1" applyFill="1" applyBorder="1"/>
    <xf numFmtId="3" fontId="29" fillId="0" borderId="4" xfId="11" applyNumberFormat="1" applyFont="1" applyBorder="1" applyProtection="1"/>
    <xf numFmtId="3" fontId="29" fillId="0" borderId="1" xfId="11" applyNumberFormat="1" applyFont="1" applyBorder="1" applyProtection="1"/>
    <xf numFmtId="3" fontId="31" fillId="0" borderId="4" xfId="11" applyNumberFormat="1" applyFont="1" applyBorder="1" applyProtection="1"/>
    <xf numFmtId="3" fontId="31" fillId="0" borderId="1" xfId="11" applyNumberFormat="1" applyFont="1" applyBorder="1" applyProtection="1"/>
    <xf numFmtId="166" fontId="29" fillId="0" borderId="1" xfId="11" applyNumberFormat="1" applyFont="1" applyBorder="1" applyAlignment="1" applyProtection="1">
      <alignment horizontal="center"/>
    </xf>
    <xf numFmtId="166" fontId="31" fillId="0" borderId="0" xfId="11" applyNumberFormat="1" applyFont="1" applyBorder="1" applyProtection="1"/>
    <xf numFmtId="166" fontId="31" fillId="0" borderId="2" xfId="11" applyNumberFormat="1" applyFont="1" applyBorder="1" applyProtection="1"/>
    <xf numFmtId="3" fontId="29" fillId="0" borderId="5" xfId="11" applyNumberFormat="1" applyFont="1" applyBorder="1" applyProtection="1"/>
    <xf numFmtId="3" fontId="29" fillId="0" borderId="0" xfId="11" applyNumberFormat="1" applyFont="1" applyBorder="1" applyProtection="1"/>
    <xf numFmtId="3" fontId="32" fillId="0" borderId="0" xfId="11" applyNumberFormat="1" applyFont="1" applyBorder="1" applyProtection="1"/>
    <xf numFmtId="3" fontId="31" fillId="0" borderId="0" xfId="11" applyNumberFormat="1" applyFont="1" applyFill="1" applyBorder="1" applyProtection="1"/>
    <xf numFmtId="3" fontId="31" fillId="0" borderId="0" xfId="11" applyNumberFormat="1" applyFont="1" applyBorder="1" applyProtection="1"/>
    <xf numFmtId="3" fontId="31" fillId="0" borderId="2" xfId="11" applyNumberFormat="1" applyFont="1" applyBorder="1" applyProtection="1"/>
    <xf numFmtId="3" fontId="29" fillId="0" borderId="3" xfId="11" applyNumberFormat="1" applyFont="1" applyBorder="1" applyProtection="1"/>
    <xf numFmtId="3" fontId="31" fillId="0" borderId="7" xfId="11" applyNumberFormat="1" applyFont="1" applyBorder="1" applyProtection="1"/>
    <xf numFmtId="3" fontId="32" fillId="0" borderId="3" xfId="11" applyNumberFormat="1" applyFont="1" applyBorder="1" applyProtection="1"/>
    <xf numFmtId="3" fontId="29" fillId="0" borderId="4" xfId="11" applyNumberFormat="1" applyFont="1" applyFill="1" applyBorder="1" applyProtection="1"/>
    <xf numFmtId="0" fontId="0" fillId="6" borderId="0" xfId="0" applyFill="1"/>
    <xf numFmtId="0" fontId="15" fillId="6" borderId="0" xfId="0" applyFont="1" applyFill="1"/>
    <xf numFmtId="0" fontId="6" fillId="6" borderId="0" xfId="0" applyFont="1" applyFill="1" applyAlignment="1">
      <alignment wrapText="1"/>
    </xf>
    <xf numFmtId="0" fontId="6" fillId="6" borderId="1" xfId="0" applyFont="1" applyFill="1" applyBorder="1" applyAlignment="1">
      <alignment wrapText="1"/>
    </xf>
    <xf numFmtId="0" fontId="0" fillId="6" borderId="1" xfId="0" applyFill="1" applyBorder="1"/>
    <xf numFmtId="0" fontId="0" fillId="6" borderId="1" xfId="0" applyFill="1" applyBorder="1" applyAlignment="1">
      <alignment wrapText="1"/>
    </xf>
    <xf numFmtId="14" fontId="0" fillId="6" borderId="1" xfId="0" applyNumberFormat="1" applyFill="1" applyBorder="1"/>
    <xf numFmtId="166" fontId="0" fillId="6" borderId="1" xfId="0" applyNumberFormat="1" applyFill="1" applyBorder="1" applyAlignment="1">
      <alignment wrapText="1"/>
    </xf>
    <xf numFmtId="37" fontId="0" fillId="6" borderId="1" xfId="0" applyNumberFormat="1" applyFill="1" applyBorder="1" applyAlignment="1">
      <alignment wrapText="1"/>
    </xf>
    <xf numFmtId="3" fontId="0" fillId="6" borderId="1" xfId="0" applyNumberFormat="1" applyFill="1" applyBorder="1" applyAlignment="1">
      <alignment wrapText="1"/>
    </xf>
    <xf numFmtId="172" fontId="0" fillId="6" borderId="1" xfId="0" applyNumberFormat="1" applyFill="1" applyBorder="1" applyAlignment="1">
      <alignment wrapText="1"/>
    </xf>
    <xf numFmtId="9" fontId="0" fillId="6" borderId="1" xfId="0" applyNumberFormat="1" applyFill="1" applyBorder="1" applyAlignment="1">
      <alignment wrapText="1"/>
    </xf>
    <xf numFmtId="0" fontId="62" fillId="6" borderId="1" xfId="0" applyFont="1" applyFill="1" applyBorder="1" applyAlignment="1">
      <alignment wrapText="1"/>
    </xf>
    <xf numFmtId="0" fontId="0" fillId="5" borderId="1" xfId="0" applyFill="1" applyBorder="1"/>
    <xf numFmtId="0" fontId="15" fillId="5" borderId="1" xfId="0" applyFont="1" applyFill="1" applyBorder="1" applyAlignment="1">
      <alignment wrapText="1"/>
    </xf>
    <xf numFmtId="0" fontId="62" fillId="28" borderId="1" xfId="0" applyFont="1" applyFill="1" applyBorder="1" applyAlignment="1">
      <alignment wrapText="1"/>
    </xf>
    <xf numFmtId="0" fontId="95" fillId="27" borderId="1" xfId="0" applyFont="1" applyFill="1" applyBorder="1" applyAlignment="1">
      <alignment wrapText="1"/>
    </xf>
    <xf numFmtId="0" fontId="95" fillId="29" borderId="1" xfId="0" applyFont="1" applyFill="1" applyBorder="1" applyAlignment="1">
      <alignment wrapText="1"/>
    </xf>
    <xf numFmtId="0" fontId="62" fillId="29" borderId="1" xfId="0" applyFont="1" applyFill="1" applyBorder="1" applyAlignment="1">
      <alignment wrapText="1"/>
    </xf>
    <xf numFmtId="0" fontId="15" fillId="6" borderId="1" xfId="0" applyFont="1" applyFill="1" applyBorder="1" applyAlignment="1">
      <alignment wrapText="1"/>
    </xf>
    <xf numFmtId="0" fontId="27" fillId="0" borderId="0" xfId="0" applyFont="1"/>
    <xf numFmtId="0" fontId="6" fillId="0" borderId="11" xfId="0" applyFont="1" applyBorder="1" applyAlignment="1">
      <alignment horizontal="left" wrapText="1"/>
    </xf>
    <xf numFmtId="0" fontId="6" fillId="0" borderId="15" xfId="0" applyFont="1" applyBorder="1" applyAlignment="1">
      <alignment horizontal="left" wrapText="1"/>
    </xf>
    <xf numFmtId="9" fontId="6" fillId="0" borderId="0" xfId="3" applyFont="1" applyBorder="1" applyAlignment="1" applyProtection="1">
      <alignment horizontal="left"/>
    </xf>
    <xf numFmtId="0" fontId="6" fillId="0" borderId="0" xfId="4" applyFont="1" applyAlignment="1">
      <alignment horizontal="left"/>
    </xf>
    <xf numFmtId="0" fontId="15" fillId="0" borderId="2" xfId="0" applyFont="1" applyBorder="1" applyAlignment="1">
      <alignment horizontal="centerContinuous"/>
    </xf>
    <xf numFmtId="0" fontId="73" fillId="12" borderId="12" xfId="0" applyFont="1" applyFill="1" applyBorder="1" applyAlignment="1">
      <alignment horizontal="left"/>
    </xf>
    <xf numFmtId="0" fontId="72" fillId="12" borderId="0" xfId="0" applyFont="1" applyFill="1" applyAlignment="1">
      <alignment horizontal="left"/>
    </xf>
    <xf numFmtId="0" fontId="76" fillId="0" borderId="5" xfId="0" applyFont="1" applyBorder="1" applyAlignment="1">
      <alignment horizontal="left"/>
    </xf>
    <xf numFmtId="0" fontId="0" fillId="8" borderId="1" xfId="0" applyFill="1" applyBorder="1" applyProtection="1">
      <protection locked="0"/>
    </xf>
    <xf numFmtId="3" fontId="6" fillId="0" borderId="8" xfId="0" applyNumberFormat="1" applyFont="1" applyBorder="1"/>
    <xf numFmtId="9" fontId="6" fillId="0" borderId="6" xfId="0" applyNumberFormat="1" applyFont="1" applyBorder="1"/>
    <xf numFmtId="0" fontId="3" fillId="0" borderId="0" xfId="14"/>
    <xf numFmtId="0" fontId="99" fillId="0" borderId="0" xfId="14" applyFont="1"/>
    <xf numFmtId="0" fontId="3" fillId="0" borderId="0" xfId="14" applyAlignment="1">
      <alignment horizontal="left"/>
    </xf>
    <xf numFmtId="0" fontId="3" fillId="0" borderId="0" xfId="14" applyAlignment="1">
      <alignment horizontal="center"/>
    </xf>
    <xf numFmtId="175" fontId="0" fillId="0" borderId="0" xfId="15" applyNumberFormat="1" applyFont="1" applyBorder="1" applyAlignment="1" applyProtection="1">
      <alignment horizontal="center"/>
    </xf>
    <xf numFmtId="176" fontId="0" fillId="0" borderId="0" xfId="16" applyNumberFormat="1" applyFont="1" applyBorder="1" applyAlignment="1" applyProtection="1"/>
    <xf numFmtId="0" fontId="98" fillId="0" borderId="0" xfId="14" applyFont="1"/>
    <xf numFmtId="0" fontId="100" fillId="0" borderId="0" xfId="14" applyFont="1" applyAlignment="1">
      <alignment horizontal="center"/>
    </xf>
    <xf numFmtId="0" fontId="100" fillId="0" borderId="28" xfId="14" applyFont="1" applyBorder="1" applyAlignment="1">
      <alignment horizontal="center"/>
    </xf>
    <xf numFmtId="0" fontId="101" fillId="0" borderId="0" xfId="14" applyFont="1" applyAlignment="1">
      <alignment horizontal="center"/>
    </xf>
    <xf numFmtId="0" fontId="102" fillId="0" borderId="0" xfId="14" applyFont="1" applyAlignment="1">
      <alignment horizontal="left"/>
    </xf>
    <xf numFmtId="175" fontId="103" fillId="0" borderId="0" xfId="15" applyNumberFormat="1" applyFont="1" applyBorder="1" applyAlignment="1" applyProtection="1">
      <alignment horizontal="left"/>
    </xf>
    <xf numFmtId="0" fontId="102" fillId="0" borderId="0" xfId="14" applyFont="1" applyAlignment="1">
      <alignment horizontal="center"/>
    </xf>
    <xf numFmtId="0" fontId="102" fillId="0" borderId="0" xfId="14" applyFont="1"/>
    <xf numFmtId="175" fontId="102" fillId="0" borderId="0" xfId="15" applyNumberFormat="1" applyFont="1" applyBorder="1" applyAlignment="1" applyProtection="1">
      <alignment horizontal="center"/>
    </xf>
    <xf numFmtId="0" fontId="3" fillId="0" borderId="43" xfId="14" applyBorder="1"/>
    <xf numFmtId="0" fontId="3" fillId="0" borderId="43" xfId="14" applyBorder="1" applyAlignment="1">
      <alignment horizontal="center"/>
    </xf>
    <xf numFmtId="175" fontId="0" fillId="0" borderId="43" xfId="15" applyNumberFormat="1" applyFont="1" applyBorder="1" applyAlignment="1" applyProtection="1">
      <alignment horizontal="center"/>
    </xf>
    <xf numFmtId="176" fontId="0" fillId="0" borderId="43" xfId="16" applyNumberFormat="1" applyFont="1" applyBorder="1" applyAlignment="1" applyProtection="1"/>
    <xf numFmtId="0" fontId="98" fillId="0" borderId="43" xfId="14" applyFont="1" applyBorder="1"/>
    <xf numFmtId="175" fontId="105" fillId="0" borderId="47" xfId="15" applyNumberFormat="1" applyFont="1" applyBorder="1" applyAlignment="1" applyProtection="1">
      <alignment horizontal="center"/>
    </xf>
    <xf numFmtId="0" fontId="101" fillId="0" borderId="0" xfId="14" applyFont="1"/>
    <xf numFmtId="0" fontId="101" fillId="0" borderId="0" xfId="15" applyNumberFormat="1" applyFont="1" applyBorder="1" applyAlignment="1" applyProtection="1">
      <alignment horizontal="center"/>
    </xf>
    <xf numFmtId="175" fontId="101" fillId="0" borderId="0" xfId="15" applyNumberFormat="1" applyFont="1" applyBorder="1" applyAlignment="1" applyProtection="1">
      <alignment horizontal="center"/>
    </xf>
    <xf numFmtId="175" fontId="105" fillId="0" borderId="0" xfId="15" applyNumberFormat="1" applyFont="1" applyBorder="1" applyAlignment="1" applyProtection="1">
      <alignment horizontal="center"/>
    </xf>
    <xf numFmtId="0" fontId="52" fillId="0" borderId="28" xfId="14" applyFont="1" applyBorder="1"/>
    <xf numFmtId="0" fontId="99" fillId="0" borderId="0" xfId="14" applyFont="1" applyAlignment="1">
      <alignment horizontal="center"/>
    </xf>
    <xf numFmtId="175" fontId="99" fillId="0" borderId="0" xfId="15" applyNumberFormat="1" applyFont="1" applyBorder="1" applyAlignment="1" applyProtection="1">
      <alignment horizontal="center"/>
    </xf>
    <xf numFmtId="175" fontId="52" fillId="0" borderId="14" xfId="15" applyNumberFormat="1" applyFont="1" applyBorder="1" applyAlignment="1" applyProtection="1">
      <alignment horizontal="center"/>
    </xf>
    <xf numFmtId="0" fontId="106" fillId="0" borderId="28" xfId="14" applyFont="1" applyBorder="1"/>
    <xf numFmtId="0" fontId="107" fillId="0" borderId="0" xfId="14" applyFont="1"/>
    <xf numFmtId="0" fontId="107" fillId="0" borderId="0" xfId="14" applyFont="1" applyAlignment="1">
      <alignment horizontal="center"/>
    </xf>
    <xf numFmtId="175" fontId="107" fillId="0" borderId="0" xfId="15" applyNumberFormat="1" applyFont="1" applyBorder="1" applyAlignment="1" applyProtection="1">
      <alignment horizontal="center"/>
    </xf>
    <xf numFmtId="179" fontId="108" fillId="0" borderId="0" xfId="15" applyNumberFormat="1" applyFont="1" applyBorder="1" applyAlignment="1">
      <alignment horizontal="center"/>
    </xf>
    <xf numFmtId="0" fontId="62" fillId="0" borderId="0" xfId="14" applyFont="1"/>
    <xf numFmtId="0" fontId="109" fillId="0" borderId="0" xfId="14" applyFont="1" applyAlignment="1">
      <alignment horizontal="center"/>
    </xf>
    <xf numFmtId="0" fontId="110" fillId="0" borderId="0" xfId="14" applyFont="1" applyAlignment="1">
      <alignment horizontal="center"/>
    </xf>
    <xf numFmtId="10" fontId="102" fillId="0" borderId="0" xfId="17" applyNumberFormat="1" applyFont="1" applyBorder="1" applyAlignment="1" applyProtection="1">
      <alignment horizontal="left"/>
    </xf>
    <xf numFmtId="9" fontId="3" fillId="0" borderId="0" xfId="14" applyNumberFormat="1" applyAlignment="1">
      <alignment horizontal="center"/>
    </xf>
    <xf numFmtId="164" fontId="102" fillId="0" borderId="0" xfId="14" applyNumberFormat="1" applyFont="1" applyAlignment="1">
      <alignment horizontal="center"/>
    </xf>
    <xf numFmtId="164" fontId="102" fillId="0" borderId="0" xfId="14" applyNumberFormat="1" applyFont="1"/>
    <xf numFmtId="0" fontId="3" fillId="0" borderId="0" xfId="14" applyAlignment="1">
      <alignment horizontal="right"/>
    </xf>
    <xf numFmtId="0" fontId="102" fillId="0" borderId="0" xfId="14" applyFont="1" applyAlignment="1">
      <alignment horizontal="right"/>
    </xf>
    <xf numFmtId="0" fontId="102" fillId="0" borderId="0" xfId="15" applyNumberFormat="1" applyFont="1" applyBorder="1" applyAlignment="1" applyProtection="1">
      <alignment horizontal="center"/>
    </xf>
    <xf numFmtId="0" fontId="47" fillId="0" borderId="0" xfId="14" applyFont="1" applyAlignment="1">
      <alignment horizontal="center"/>
    </xf>
    <xf numFmtId="0" fontId="47" fillId="0" borderId="0" xfId="14" applyFont="1" applyAlignment="1">
      <alignment horizontal="right"/>
    </xf>
    <xf numFmtId="179" fontId="47" fillId="0" borderId="0" xfId="14" applyNumberFormat="1" applyFont="1" applyAlignment="1">
      <alignment horizontal="left"/>
    </xf>
    <xf numFmtId="164" fontId="31" fillId="0" borderId="0" xfId="11" applyNumberFormat="1" applyFont="1" applyBorder="1"/>
    <xf numFmtId="164" fontId="31" fillId="0" borderId="1" xfId="11" applyNumberFormat="1" applyFont="1" applyBorder="1"/>
    <xf numFmtId="9" fontId="31" fillId="0" borderId="0" xfId="3" applyFont="1" applyBorder="1"/>
    <xf numFmtId="3" fontId="0" fillId="0" borderId="0" xfId="0" applyNumberFormat="1"/>
    <xf numFmtId="166" fontId="0" fillId="0" borderId="0" xfId="1" applyNumberFormat="1" applyFont="1"/>
    <xf numFmtId="9" fontId="6" fillId="0" borderId="1" xfId="9" applyNumberFormat="1" applyFont="1" applyBorder="1" applyAlignment="1">
      <alignment horizontal="center" vertical="center"/>
    </xf>
    <xf numFmtId="0" fontId="54" fillId="0" borderId="0" xfId="0" applyFont="1"/>
    <xf numFmtId="0" fontId="57" fillId="0" borderId="13" xfId="0" applyFont="1" applyBorder="1" applyAlignment="1">
      <alignment horizontal="centerContinuous"/>
    </xf>
    <xf numFmtId="9" fontId="35" fillId="0" borderId="8" xfId="0" applyNumberFormat="1" applyFont="1" applyBorder="1" applyAlignment="1">
      <alignment horizontal="centerContinuous" wrapText="1"/>
    </xf>
    <xf numFmtId="0" fontId="15" fillId="0" borderId="58" xfId="0" applyFont="1" applyBorder="1" applyAlignment="1">
      <alignment horizontal="centerContinuous" wrapText="1"/>
    </xf>
    <xf numFmtId="0" fontId="57" fillId="0" borderId="49" xfId="0" applyFont="1" applyBorder="1" applyAlignment="1">
      <alignment horizontal="centerContinuous" wrapText="1"/>
    </xf>
    <xf numFmtId="0" fontId="6" fillId="0" borderId="35" xfId="0" applyFont="1" applyBorder="1"/>
    <xf numFmtId="0" fontId="35" fillId="0" borderId="20" xfId="0" applyFont="1" applyBorder="1" applyAlignment="1">
      <alignment horizontal="center" wrapText="1"/>
    </xf>
    <xf numFmtId="0" fontId="6" fillId="0" borderId="20" xfId="0" applyFont="1" applyBorder="1"/>
    <xf numFmtId="0" fontId="15" fillId="0" borderId="59" xfId="0" applyFont="1" applyBorder="1"/>
    <xf numFmtId="0" fontId="35" fillId="0" borderId="61" xfId="0" applyFont="1" applyBorder="1" applyAlignment="1">
      <alignment horizontal="center" wrapText="1"/>
    </xf>
    <xf numFmtId="0" fontId="6" fillId="0" borderId="62" xfId="0" applyFont="1" applyBorder="1"/>
    <xf numFmtId="0" fontId="15" fillId="0" borderId="63" xfId="0" applyFont="1" applyBorder="1"/>
    <xf numFmtId="0" fontId="35" fillId="0" borderId="60" xfId="0" applyFont="1" applyBorder="1" applyAlignment="1">
      <alignment horizontal="center" wrapText="1"/>
    </xf>
    <xf numFmtId="3" fontId="15" fillId="0" borderId="65" xfId="0" applyNumberFormat="1" applyFont="1" applyBorder="1"/>
    <xf numFmtId="0" fontId="35" fillId="0" borderId="1" xfId="0" applyFont="1" applyBorder="1" applyAlignment="1">
      <alignment horizontal="center" wrapText="1"/>
    </xf>
    <xf numFmtId="0" fontId="35" fillId="0" borderId="66" xfId="0" applyFont="1" applyBorder="1" applyAlignment="1">
      <alignment horizontal="center" wrapText="1"/>
    </xf>
    <xf numFmtId="3" fontId="15" fillId="0" borderId="68" xfId="0" applyNumberFormat="1" applyFont="1" applyBorder="1"/>
    <xf numFmtId="0" fontId="0" fillId="0" borderId="0" xfId="0" applyAlignment="1" applyProtection="1">
      <alignment horizontal="center"/>
      <protection locked="0"/>
    </xf>
    <xf numFmtId="0" fontId="19" fillId="0" borderId="0" xfId="0" applyFont="1" applyAlignment="1" applyProtection="1">
      <alignment horizontal="center" wrapText="1"/>
      <protection locked="0"/>
    </xf>
    <xf numFmtId="166" fontId="15" fillId="0" borderId="10" xfId="1" applyNumberFormat="1" applyFont="1" applyBorder="1" applyProtection="1"/>
    <xf numFmtId="4" fontId="31" fillId="0" borderId="1" xfId="11" applyNumberFormat="1" applyFont="1" applyBorder="1" applyProtection="1"/>
    <xf numFmtId="175" fontId="104" fillId="0" borderId="0" xfId="15" applyNumberFormat="1" applyFont="1" applyFill="1" applyBorder="1" applyAlignment="1" applyProtection="1">
      <alignment horizontal="center"/>
    </xf>
    <xf numFmtId="179" fontId="98" fillId="0" borderId="0" xfId="15" applyNumberFormat="1" applyFont="1" applyBorder="1" applyAlignment="1">
      <alignment horizontal="center"/>
    </xf>
    <xf numFmtId="164" fontId="3" fillId="8" borderId="0" xfId="14" applyNumberFormat="1" applyFill="1" applyProtection="1">
      <protection locked="0"/>
    </xf>
    <xf numFmtId="175" fontId="101" fillId="8" borderId="8" xfId="15" applyNumberFormat="1" applyFont="1" applyFill="1" applyBorder="1" applyAlignment="1" applyProtection="1">
      <alignment horizontal="center"/>
      <protection locked="0"/>
    </xf>
    <xf numFmtId="3" fontId="29" fillId="0" borderId="1" xfId="0" applyNumberFormat="1" applyFont="1" applyBorder="1" applyAlignment="1">
      <alignment horizontal="center" wrapText="1"/>
    </xf>
    <xf numFmtId="164" fontId="31" fillId="8" borderId="1" xfId="3" applyNumberFormat="1" applyFont="1" applyFill="1" applyBorder="1" applyAlignment="1" applyProtection="1">
      <alignment horizontal="center"/>
      <protection locked="0"/>
    </xf>
    <xf numFmtId="0" fontId="31" fillId="18" borderId="0" xfId="0" applyFont="1" applyFill="1" applyAlignment="1">
      <alignment horizontal="center"/>
    </xf>
    <xf numFmtId="164" fontId="31" fillId="3" borderId="1" xfId="3" applyNumberFormat="1" applyFont="1" applyFill="1" applyBorder="1" applyAlignment="1" applyProtection="1">
      <alignment horizontal="center"/>
    </xf>
    <xf numFmtId="164" fontId="31" fillId="8" borderId="8" xfId="3" applyNumberFormat="1" applyFont="1" applyFill="1" applyBorder="1" applyAlignment="1" applyProtection="1">
      <alignment horizontal="center"/>
      <protection locked="0"/>
    </xf>
    <xf numFmtId="164" fontId="31" fillId="0" borderId="1" xfId="3" applyNumberFormat="1" applyFont="1" applyFill="1" applyBorder="1" applyAlignment="1" applyProtection="1">
      <alignment horizontal="center"/>
    </xf>
    <xf numFmtId="0" fontId="31" fillId="20" borderId="0" xfId="0" applyFont="1" applyFill="1" applyAlignment="1">
      <alignment horizontal="center"/>
    </xf>
    <xf numFmtId="164" fontId="31" fillId="8" borderId="3" xfId="3" applyNumberFormat="1" applyFont="1" applyFill="1" applyBorder="1" applyAlignment="1" applyProtection="1">
      <alignment horizontal="center"/>
      <protection locked="0"/>
    </xf>
    <xf numFmtId="164" fontId="31" fillId="3" borderId="0" xfId="3" applyNumberFormat="1" applyFont="1" applyFill="1" applyBorder="1" applyAlignment="1" applyProtection="1">
      <alignment horizontal="center"/>
    </xf>
    <xf numFmtId="0" fontId="31" fillId="18" borderId="6" xfId="0" applyFont="1" applyFill="1" applyBorder="1" applyAlignment="1">
      <alignment horizontal="center"/>
    </xf>
    <xf numFmtId="0" fontId="31" fillId="18" borderId="1" xfId="0" applyFont="1" applyFill="1" applyBorder="1" applyAlignment="1">
      <alignment horizontal="center"/>
    </xf>
    <xf numFmtId="0" fontId="31" fillId="0" borderId="6" xfId="0" applyFont="1" applyBorder="1" applyAlignment="1">
      <alignment horizontal="center"/>
    </xf>
    <xf numFmtId="0" fontId="31" fillId="20" borderId="6" xfId="0" applyFont="1" applyFill="1" applyBorder="1" applyAlignment="1">
      <alignment horizontal="center"/>
    </xf>
    <xf numFmtId="0" fontId="31" fillId="20" borderId="1" xfId="0" applyFont="1" applyFill="1" applyBorder="1" applyAlignment="1">
      <alignment horizontal="center"/>
    </xf>
    <xf numFmtId="164" fontId="31" fillId="4" borderId="1" xfId="3" applyNumberFormat="1" applyFont="1" applyFill="1" applyBorder="1" applyAlignment="1" applyProtection="1">
      <alignment horizontal="center"/>
    </xf>
    <xf numFmtId="164" fontId="31" fillId="0" borderId="0" xfId="3" applyNumberFormat="1" applyFont="1" applyFill="1" applyBorder="1" applyAlignment="1" applyProtection="1">
      <alignment horizontal="center"/>
    </xf>
    <xf numFmtId="0" fontId="32" fillId="18" borderId="0" xfId="0" applyFont="1" applyFill="1" applyAlignment="1">
      <alignment horizontal="center"/>
    </xf>
    <xf numFmtId="166" fontId="26" fillId="0" borderId="0" xfId="1" applyNumberFormat="1" applyFont="1" applyAlignment="1" applyProtection="1">
      <alignment horizontal="right"/>
    </xf>
    <xf numFmtId="9" fontId="32" fillId="0" borderId="0" xfId="1" applyNumberFormat="1" applyFont="1" applyAlignment="1" applyProtection="1">
      <alignment horizontal="right"/>
    </xf>
    <xf numFmtId="9" fontId="31" fillId="0" borderId="0" xfId="0" applyNumberFormat="1" applyFont="1" applyAlignment="1">
      <alignment horizontal="right"/>
    </xf>
    <xf numFmtId="10" fontId="32" fillId="0" borderId="0" xfId="1" applyNumberFormat="1" applyFont="1" applyAlignment="1" applyProtection="1">
      <alignment horizontal="right"/>
    </xf>
    <xf numFmtId="10" fontId="32" fillId="0" borderId="0" xfId="0" applyNumberFormat="1" applyFont="1" applyAlignment="1">
      <alignment horizontal="center"/>
    </xf>
    <xf numFmtId="0" fontId="32" fillId="0" borderId="17" xfId="0" applyFont="1" applyBorder="1" applyAlignment="1">
      <alignment horizontal="center"/>
    </xf>
    <xf numFmtId="0" fontId="32" fillId="0" borderId="18" xfId="0" applyFont="1" applyBorder="1" applyAlignment="1">
      <alignment horizontal="center"/>
    </xf>
    <xf numFmtId="10" fontId="32" fillId="0" borderId="18" xfId="0" applyNumberFormat="1" applyFont="1" applyBorder="1" applyAlignment="1">
      <alignment horizontal="right"/>
    </xf>
    <xf numFmtId="10" fontId="32" fillId="0" borderId="19" xfId="0" applyNumberFormat="1" applyFont="1" applyBorder="1" applyAlignment="1">
      <alignment horizontal="right"/>
    </xf>
    <xf numFmtId="10" fontId="111" fillId="0" borderId="0" xfId="0" applyNumberFormat="1" applyFont="1"/>
    <xf numFmtId="0" fontId="29" fillId="0" borderId="0" xfId="0" applyFont="1" applyAlignment="1">
      <alignment horizontal="right"/>
    </xf>
    <xf numFmtId="0" fontId="29" fillId="0" borderId="13" xfId="0" applyFont="1" applyBorder="1"/>
    <xf numFmtId="175" fontId="101" fillId="0" borderId="13" xfId="15" applyNumberFormat="1" applyFont="1" applyFill="1" applyBorder="1" applyAlignment="1" applyProtection="1">
      <alignment horizontal="center"/>
    </xf>
    <xf numFmtId="175" fontId="0" fillId="0" borderId="2" xfId="15" applyNumberFormat="1" applyFont="1" applyFill="1" applyBorder="1" applyAlignment="1" applyProtection="1">
      <alignment horizontal="center"/>
    </xf>
    <xf numFmtId="0" fontId="17" fillId="0" borderId="0" xfId="2" applyFont="1" applyAlignment="1">
      <alignment horizontal="center"/>
    </xf>
    <xf numFmtId="3" fontId="17" fillId="0" borderId="0" xfId="2" applyNumberFormat="1" applyFont="1" applyAlignment="1">
      <alignment horizontal="center"/>
    </xf>
    <xf numFmtId="10" fontId="25" fillId="0" borderId="2" xfId="0" applyNumberFormat="1" applyFont="1" applyBorder="1"/>
    <xf numFmtId="169" fontId="20" fillId="3" borderId="0" xfId="0" applyNumberFormat="1" applyFont="1" applyFill="1" applyAlignment="1">
      <alignment horizontal="center"/>
    </xf>
    <xf numFmtId="3" fontId="35" fillId="0" borderId="1" xfId="0" applyNumberFormat="1" applyFont="1" applyBorder="1" applyAlignment="1">
      <alignment horizontal="center" wrapText="1"/>
    </xf>
    <xf numFmtId="169" fontId="24" fillId="3" borderId="6" xfId="0" applyNumberFormat="1" applyFont="1" applyFill="1" applyBorder="1" applyAlignment="1">
      <alignment horizontal="center" wrapText="1"/>
    </xf>
    <xf numFmtId="169" fontId="24" fillId="3" borderId="8" xfId="0" applyNumberFormat="1" applyFont="1" applyFill="1" applyBorder="1" applyAlignment="1">
      <alignment horizontal="center"/>
    </xf>
    <xf numFmtId="166" fontId="6" fillId="0" borderId="4" xfId="1" applyNumberFormat="1" applyFont="1" applyBorder="1" applyProtection="1"/>
    <xf numFmtId="169" fontId="26" fillId="3" borderId="13" xfId="0" applyNumberFormat="1" applyFont="1" applyFill="1" applyBorder="1" applyAlignment="1">
      <alignment horizontal="center"/>
    </xf>
    <xf numFmtId="166" fontId="6" fillId="0" borderId="2" xfId="1" applyNumberFormat="1" applyFont="1" applyBorder="1"/>
    <xf numFmtId="0" fontId="0" fillId="0" borderId="0" xfId="0" applyAlignment="1">
      <alignment horizontal="right"/>
    </xf>
    <xf numFmtId="0" fontId="49" fillId="0" borderId="12" xfId="0" applyFont="1" applyBorder="1" applyAlignment="1">
      <alignment horizontal="left" vertical="center" wrapText="1"/>
    </xf>
    <xf numFmtId="0" fontId="49" fillId="0" borderId="0" xfId="0" applyFont="1" applyAlignment="1">
      <alignment horizontal="left" vertical="center" wrapText="1"/>
    </xf>
    <xf numFmtId="0" fontId="6" fillId="0" borderId="15" xfId="0" applyFont="1" applyBorder="1"/>
    <xf numFmtId="0" fontId="6" fillId="0" borderId="2" xfId="0" applyFont="1" applyBorder="1"/>
    <xf numFmtId="0" fontId="6" fillId="0" borderId="0" xfId="0" applyFont="1" applyAlignment="1">
      <alignment horizontal="left" vertical="center"/>
    </xf>
    <xf numFmtId="0" fontId="49" fillId="0" borderId="10" xfId="0" applyFont="1" applyBorder="1" applyAlignment="1">
      <alignment horizontal="left" vertical="center" wrapText="1"/>
    </xf>
    <xf numFmtId="0" fontId="6" fillId="0" borderId="10" xfId="0" applyFont="1" applyBorder="1"/>
    <xf numFmtId="0" fontId="6" fillId="0" borderId="11" xfId="0" applyFont="1" applyBorder="1"/>
    <xf numFmtId="0" fontId="31" fillId="8" borderId="8" xfId="0" applyFont="1" applyFill="1" applyBorder="1" applyProtection="1">
      <protection locked="0"/>
    </xf>
    <xf numFmtId="165" fontId="66" fillId="8" borderId="1" xfId="9" applyNumberFormat="1" applyFont="1" applyFill="1" applyBorder="1" applyProtection="1">
      <protection locked="0"/>
    </xf>
    <xf numFmtId="0" fontId="48" fillId="0" borderId="0" xfId="0" applyFont="1" applyAlignment="1">
      <alignment horizontal="centerContinuous"/>
    </xf>
    <xf numFmtId="0" fontId="67" fillId="20" borderId="1" xfId="9" applyFont="1" applyFill="1" applyBorder="1" applyAlignment="1">
      <alignment horizontal="center" vertical="center" wrapText="1"/>
    </xf>
    <xf numFmtId="0" fontId="67" fillId="20" borderId="4" xfId="9" applyFont="1" applyFill="1" applyBorder="1" applyAlignment="1">
      <alignment horizontal="centerContinuous" vertical="center" wrapText="1"/>
    </xf>
    <xf numFmtId="0" fontId="31" fillId="0" borderId="0" xfId="0" applyFont="1" applyAlignment="1">
      <alignment wrapText="1"/>
    </xf>
    <xf numFmtId="0" fontId="31" fillId="0" borderId="2" xfId="0" applyFont="1" applyBorder="1" applyAlignment="1">
      <alignment wrapText="1"/>
    </xf>
    <xf numFmtId="0" fontId="31" fillId="8" borderId="1" xfId="0" applyFont="1" applyFill="1" applyBorder="1" applyAlignment="1" applyProtection="1">
      <alignment horizontal="left" wrapText="1"/>
      <protection locked="0"/>
    </xf>
    <xf numFmtId="0" fontId="32" fillId="8" borderId="1" xfId="0" applyFont="1" applyFill="1" applyBorder="1" applyAlignment="1" applyProtection="1">
      <alignment horizontal="left" wrapText="1"/>
      <protection locked="0"/>
    </xf>
    <xf numFmtId="0" fontId="32" fillId="0" borderId="0" xfId="0" applyFont="1" applyAlignment="1">
      <alignment horizontal="left" wrapText="1"/>
    </xf>
    <xf numFmtId="0" fontId="31" fillId="0" borderId="15" xfId="0" applyFont="1" applyBorder="1" applyAlignment="1">
      <alignment horizontal="left" wrapText="1"/>
    </xf>
    <xf numFmtId="0" fontId="31" fillId="0" borderId="12" xfId="0" applyFont="1" applyBorder="1" applyAlignment="1">
      <alignment horizontal="left" wrapText="1"/>
    </xf>
    <xf numFmtId="0" fontId="31" fillId="0" borderId="2" xfId="0" applyFont="1" applyBorder="1" applyAlignment="1">
      <alignment horizontal="left" wrapText="1"/>
    </xf>
    <xf numFmtId="0" fontId="22" fillId="8" borderId="1" xfId="0" applyFont="1" applyFill="1" applyBorder="1" applyAlignment="1" applyProtection="1">
      <alignment horizontal="left" wrapText="1"/>
      <protection locked="0"/>
    </xf>
    <xf numFmtId="0" fontId="31" fillId="0" borderId="1" xfId="0" applyFont="1" applyBorder="1" applyAlignment="1">
      <alignment horizontal="left" wrapText="1"/>
    </xf>
    <xf numFmtId="0" fontId="31" fillId="0" borderId="5" xfId="0" applyFont="1" applyBorder="1" applyAlignment="1">
      <alignment horizontal="left" wrapText="1"/>
    </xf>
    <xf numFmtId="0" fontId="31" fillId="0" borderId="0" xfId="0" applyFont="1" applyAlignment="1">
      <alignment horizontal="left" wrapText="1"/>
    </xf>
    <xf numFmtId="0" fontId="31" fillId="0" borderId="9" xfId="0" applyFont="1" applyBorder="1" applyAlignment="1" applyProtection="1">
      <alignment horizontal="left" wrapText="1"/>
      <protection locked="0"/>
    </xf>
    <xf numFmtId="0" fontId="31" fillId="0" borderId="0" xfId="0" applyFont="1" applyAlignment="1" applyProtection="1">
      <alignment horizontal="left" wrapText="1"/>
      <protection locked="0"/>
    </xf>
    <xf numFmtId="3" fontId="31" fillId="0" borderId="0" xfId="11" applyNumberFormat="1" applyFont="1" applyBorder="1" applyAlignment="1" applyProtection="1">
      <alignment wrapText="1"/>
      <protection locked="0"/>
    </xf>
    <xf numFmtId="0" fontId="104" fillId="0" borderId="0" xfId="14" applyFont="1" applyAlignment="1">
      <alignment horizontal="left"/>
    </xf>
    <xf numFmtId="0" fontId="15" fillId="0" borderId="0" xfId="14" applyFont="1" applyAlignment="1">
      <alignment horizontal="right"/>
    </xf>
    <xf numFmtId="0" fontId="100" fillId="0" borderId="0" xfId="14" applyFont="1" applyAlignment="1">
      <alignment horizontal="left"/>
    </xf>
    <xf numFmtId="0" fontId="67" fillId="18" borderId="3" xfId="9" applyFont="1" applyFill="1" applyBorder="1" applyAlignment="1">
      <alignment horizontal="center" vertical="center" wrapText="1"/>
    </xf>
    <xf numFmtId="0" fontId="67" fillId="18" borderId="4" xfId="9" applyFont="1" applyFill="1" applyBorder="1" applyAlignment="1">
      <alignment horizontal="center" vertical="center" wrapText="1"/>
    </xf>
    <xf numFmtId="14" fontId="69" fillId="0" borderId="0" xfId="9" applyNumberFormat="1" applyFont="1"/>
    <xf numFmtId="0" fontId="69" fillId="0" borderId="0" xfId="9" applyFont="1"/>
    <xf numFmtId="14" fontId="66" fillId="0" borderId="0" xfId="9" applyNumberFormat="1" applyFont="1"/>
    <xf numFmtId="0" fontId="69" fillId="0" borderId="0" xfId="9" applyFont="1" applyAlignment="1">
      <alignment horizontal="centerContinuous"/>
    </xf>
    <xf numFmtId="0" fontId="54" fillId="0" borderId="0" xfId="9" applyFont="1" applyAlignment="1">
      <alignment horizontal="right"/>
    </xf>
    <xf numFmtId="3" fontId="114" fillId="0" borderId="0" xfId="9" applyNumberFormat="1" applyFont="1" applyAlignment="1">
      <alignment horizontal="right"/>
    </xf>
    <xf numFmtId="0" fontId="114" fillId="0" borderId="0" xfId="9" applyFont="1" applyAlignment="1">
      <alignment horizontal="right"/>
    </xf>
    <xf numFmtId="9" fontId="69" fillId="0" borderId="0" xfId="9" applyNumberFormat="1" applyFont="1" applyAlignment="1">
      <alignment horizontal="center"/>
    </xf>
    <xf numFmtId="165" fontId="69" fillId="0" borderId="0" xfId="9" applyNumberFormat="1" applyFont="1"/>
    <xf numFmtId="165" fontId="69" fillId="0" borderId="0" xfId="9" applyNumberFormat="1" applyFont="1" applyAlignment="1">
      <alignment horizontal="right"/>
    </xf>
    <xf numFmtId="9" fontId="69" fillId="0" borderId="0" xfId="9" applyNumberFormat="1" applyFont="1" applyAlignment="1" applyProtection="1">
      <alignment horizontal="center"/>
      <protection locked="0"/>
    </xf>
    <xf numFmtId="3" fontId="115" fillId="0" borderId="0" xfId="9" applyNumberFormat="1" applyFont="1"/>
    <xf numFmtId="0" fontId="114" fillId="0" borderId="0" xfId="9" applyFont="1"/>
    <xf numFmtId="0" fontId="31" fillId="0" borderId="0" xfId="9" applyFont="1"/>
    <xf numFmtId="0" fontId="114" fillId="19" borderId="6" xfId="9" applyFont="1" applyFill="1" applyBorder="1" applyAlignment="1">
      <alignment horizontal="centerContinuous" wrapText="1"/>
    </xf>
    <xf numFmtId="0" fontId="69" fillId="19" borderId="13" xfId="9" applyFont="1" applyFill="1" applyBorder="1" applyAlignment="1">
      <alignment horizontal="centerContinuous" wrapText="1"/>
    </xf>
    <xf numFmtId="0" fontId="69" fillId="19" borderId="13" xfId="9" applyFont="1" applyFill="1" applyBorder="1" applyAlignment="1">
      <alignment horizontal="centerContinuous"/>
    </xf>
    <xf numFmtId="0" fontId="69" fillId="19" borderId="8" xfId="9" applyFont="1" applyFill="1" applyBorder="1" applyAlignment="1">
      <alignment horizontal="centerContinuous"/>
    </xf>
    <xf numFmtId="0" fontId="114" fillId="18" borderId="6" xfId="9" applyFont="1" applyFill="1" applyBorder="1" applyAlignment="1">
      <alignment horizontal="centerContinuous"/>
    </xf>
    <xf numFmtId="0" fontId="114" fillId="18" borderId="13" xfId="9" applyFont="1" applyFill="1" applyBorder="1" applyAlignment="1">
      <alignment horizontal="centerContinuous"/>
    </xf>
    <xf numFmtId="0" fontId="114" fillId="18" borderId="8" xfId="9" applyFont="1" applyFill="1" applyBorder="1" applyAlignment="1">
      <alignment horizontal="centerContinuous"/>
    </xf>
    <xf numFmtId="0" fontId="69" fillId="18" borderId="13" xfId="9" applyFont="1" applyFill="1" applyBorder="1" applyAlignment="1">
      <alignment horizontal="centerContinuous"/>
    </xf>
    <xf numFmtId="165" fontId="69" fillId="18" borderId="13" xfId="9" applyNumberFormat="1" applyFont="1" applyFill="1" applyBorder="1" applyAlignment="1">
      <alignment horizontal="centerContinuous"/>
    </xf>
    <xf numFmtId="0" fontId="69" fillId="18" borderId="8" xfId="9" applyFont="1" applyFill="1" applyBorder="1" applyAlignment="1">
      <alignment horizontal="centerContinuous"/>
    </xf>
    <xf numFmtId="0" fontId="69" fillId="18" borderId="6" xfId="9" applyFont="1" applyFill="1" applyBorder="1" applyAlignment="1">
      <alignment horizontal="centerContinuous"/>
    </xf>
    <xf numFmtId="0" fontId="114" fillId="19" borderId="6" xfId="9" applyFont="1" applyFill="1" applyBorder="1" applyAlignment="1">
      <alignment horizontal="centerContinuous"/>
    </xf>
    <xf numFmtId="0" fontId="6" fillId="0" borderId="33" xfId="0" applyFont="1" applyBorder="1" applyAlignment="1">
      <alignment horizontal="centerContinuous" wrapText="1"/>
    </xf>
    <xf numFmtId="0" fontId="6" fillId="0" borderId="13" xfId="0" applyFont="1" applyBorder="1" applyAlignment="1">
      <alignment horizontal="centerContinuous"/>
    </xf>
    <xf numFmtId="3" fontId="6" fillId="0" borderId="60" xfId="0" applyNumberFormat="1" applyFont="1" applyBorder="1"/>
    <xf numFmtId="3" fontId="6" fillId="0" borderId="13" xfId="0" applyNumberFormat="1" applyFont="1" applyBorder="1"/>
    <xf numFmtId="3" fontId="6" fillId="0" borderId="33" xfId="0" applyNumberFormat="1" applyFont="1" applyBorder="1"/>
    <xf numFmtId="3" fontId="6" fillId="0" borderId="66" xfId="0" applyNumberFormat="1" applyFont="1" applyBorder="1"/>
    <xf numFmtId="0" fontId="6" fillId="0" borderId="60" xfId="0" applyFont="1" applyBorder="1"/>
    <xf numFmtId="0" fontId="6" fillId="0" borderId="66" xfId="0" applyFont="1" applyBorder="1"/>
    <xf numFmtId="0" fontId="6" fillId="0" borderId="64" xfId="0" applyFont="1" applyBorder="1"/>
    <xf numFmtId="3" fontId="6" fillId="0" borderId="34" xfId="0" applyNumberFormat="1" applyFont="1" applyBorder="1"/>
    <xf numFmtId="3" fontId="6" fillId="0" borderId="35" xfId="0" applyNumberFormat="1" applyFont="1" applyBorder="1"/>
    <xf numFmtId="0" fontId="6" fillId="0" borderId="67" xfId="0" applyFont="1" applyBorder="1"/>
    <xf numFmtId="0" fontId="67" fillId="0" borderId="0" xfId="9" applyFont="1" applyAlignment="1">
      <alignment horizontal="right"/>
    </xf>
    <xf numFmtId="165" fontId="66" fillId="0" borderId="0" xfId="9" applyNumberFormat="1" applyFont="1"/>
    <xf numFmtId="0" fontId="69" fillId="0" borderId="0" xfId="9" applyFont="1" applyAlignment="1">
      <alignment horizontal="right"/>
    </xf>
    <xf numFmtId="0" fontId="29" fillId="0" borderId="0" xfId="9" applyFont="1" applyAlignment="1">
      <alignment horizontal="right"/>
    </xf>
    <xf numFmtId="0" fontId="29" fillId="0" borderId="24" xfId="0" applyFont="1" applyBorder="1" applyAlignment="1">
      <alignment horizontal="right" wrapText="1"/>
    </xf>
    <xf numFmtId="166" fontId="51" fillId="0" borderId="0" xfId="1" applyNumberFormat="1" applyFont="1" applyAlignment="1" applyProtection="1">
      <alignment wrapText="1"/>
    </xf>
    <xf numFmtId="0" fontId="48" fillId="0" borderId="0" xfId="0" applyFont="1" applyAlignment="1">
      <alignment horizontal="left"/>
    </xf>
    <xf numFmtId="0" fontId="48" fillId="0" borderId="0" xfId="0" applyFont="1" applyAlignment="1">
      <alignment horizontal="right"/>
    </xf>
    <xf numFmtId="0" fontId="0" fillId="8" borderId="1" xfId="13" applyNumberFormat="1" applyFont="1" applyFill="1" applyBorder="1" applyAlignment="1" applyProtection="1">
      <protection locked="0"/>
    </xf>
    <xf numFmtId="0" fontId="104" fillId="8" borderId="1" xfId="13" applyNumberFormat="1" applyFont="1" applyFill="1" applyBorder="1" applyAlignment="1" applyProtection="1">
      <protection locked="0"/>
    </xf>
    <xf numFmtId="178" fontId="104" fillId="8" borderId="1" xfId="13" applyNumberFormat="1" applyFont="1" applyFill="1" applyBorder="1" applyAlignment="1" applyProtection="1">
      <protection locked="0"/>
    </xf>
    <xf numFmtId="175" fontId="0" fillId="8" borderId="1" xfId="15" applyNumberFormat="1" applyFont="1" applyFill="1" applyBorder="1" applyAlignment="1" applyProtection="1">
      <alignment horizontal="center"/>
      <protection locked="0"/>
    </xf>
    <xf numFmtId="0" fontId="0" fillId="8" borderId="1" xfId="13" applyNumberFormat="1" applyFont="1" applyFill="1" applyBorder="1" applyAlignment="1" applyProtection="1">
      <alignment horizontal="center"/>
      <protection locked="0"/>
    </xf>
    <xf numFmtId="178" fontId="0" fillId="8" borderId="1" xfId="13" applyNumberFormat="1" applyFont="1" applyFill="1" applyBorder="1" applyAlignment="1" applyProtection="1">
      <protection locked="0"/>
    </xf>
    <xf numFmtId="177" fontId="0" fillId="8" borderId="6" xfId="16" applyNumberFormat="1" applyFont="1" applyFill="1" applyBorder="1" applyAlignment="1" applyProtection="1">
      <alignment horizontal="center"/>
      <protection locked="0"/>
    </xf>
    <xf numFmtId="175" fontId="15" fillId="8" borderId="26" xfId="15" applyNumberFormat="1" applyFont="1" applyFill="1" applyBorder="1" applyAlignment="1" applyProtection="1">
      <alignment horizontal="center"/>
      <protection locked="0"/>
    </xf>
    <xf numFmtId="0" fontId="98" fillId="0" borderId="69" xfId="13" applyNumberFormat="1" applyFont="1" applyFill="1" applyBorder="1" applyAlignment="1" applyProtection="1">
      <protection locked="0"/>
    </xf>
    <xf numFmtId="0" fontId="104" fillId="0" borderId="69" xfId="13" applyNumberFormat="1" applyFont="1" applyFill="1" applyBorder="1" applyAlignment="1" applyProtection="1">
      <protection locked="0"/>
    </xf>
    <xf numFmtId="175" fontId="98" fillId="0" borderId="69" xfId="15" applyNumberFormat="1" applyFont="1" applyBorder="1" applyAlignment="1" applyProtection="1">
      <alignment horizontal="center"/>
    </xf>
    <xf numFmtId="0" fontId="104" fillId="0" borderId="2" xfId="13" applyNumberFormat="1" applyFont="1" applyFill="1" applyBorder="1" applyAlignment="1" applyProtection="1">
      <protection locked="0"/>
    </xf>
    <xf numFmtId="0" fontId="98" fillId="0" borderId="70" xfId="13" applyNumberFormat="1" applyFont="1" applyFill="1" applyBorder="1" applyAlignment="1" applyProtection="1">
      <protection locked="0"/>
    </xf>
    <xf numFmtId="177" fontId="98" fillId="0" borderId="71" xfId="16" applyNumberFormat="1" applyFont="1" applyBorder="1" applyAlignment="1" applyProtection="1">
      <alignment horizontal="center"/>
    </xf>
    <xf numFmtId="0" fontId="98" fillId="0" borderId="24" xfId="14" applyFont="1" applyBorder="1"/>
    <xf numFmtId="0" fontId="98" fillId="0" borderId="69" xfId="16" applyNumberFormat="1" applyFont="1" applyBorder="1" applyAlignment="1" applyProtection="1">
      <alignment horizontal="center"/>
    </xf>
    <xf numFmtId="0" fontId="98" fillId="0" borderId="69" xfId="14" applyFont="1" applyBorder="1" applyAlignment="1">
      <alignment horizontal="center"/>
    </xf>
    <xf numFmtId="43" fontId="98" fillId="0" borderId="72" xfId="16" applyFont="1" applyBorder="1" applyAlignment="1" applyProtection="1">
      <alignment horizontal="center"/>
    </xf>
    <xf numFmtId="14" fontId="21" fillId="0" borderId="0" xfId="14" applyNumberFormat="1" applyFont="1" applyAlignment="1">
      <alignment horizontal="left"/>
    </xf>
    <xf numFmtId="14" fontId="97" fillId="0" borderId="0" xfId="14" applyNumberFormat="1" applyFont="1"/>
    <xf numFmtId="0" fontId="24" fillId="0" borderId="0" xfId="14" applyFont="1" applyAlignment="1">
      <alignment horizontal="left"/>
    </xf>
    <xf numFmtId="0" fontId="98" fillId="0" borderId="15" xfId="13" applyNumberFormat="1" applyFont="1" applyFill="1" applyBorder="1" applyAlignment="1" applyProtection="1">
      <protection locked="0"/>
    </xf>
    <xf numFmtId="175" fontId="101" fillId="0" borderId="2" xfId="15" applyNumberFormat="1" applyFont="1" applyBorder="1" applyAlignment="1" applyProtection="1">
      <alignment horizontal="center"/>
      <protection locked="0"/>
    </xf>
    <xf numFmtId="0" fontId="0" fillId="0" borderId="73" xfId="13" applyNumberFormat="1" applyFont="1" applyFill="1" applyBorder="1" applyAlignment="1" applyProtection="1">
      <protection locked="0"/>
    </xf>
    <xf numFmtId="0" fontId="0" fillId="0" borderId="74" xfId="13" applyNumberFormat="1" applyFont="1" applyFill="1" applyBorder="1" applyAlignment="1" applyProtection="1">
      <alignment horizontal="center"/>
      <protection locked="0"/>
    </xf>
    <xf numFmtId="0" fontId="104" fillId="0" borderId="74" xfId="13" applyNumberFormat="1" applyFont="1" applyFill="1" applyBorder="1" applyAlignment="1" applyProtection="1">
      <protection locked="0"/>
    </xf>
    <xf numFmtId="178" fontId="104" fillId="0" borderId="74" xfId="13" applyNumberFormat="1" applyFont="1" applyFill="1" applyBorder="1" applyAlignment="1" applyProtection="1">
      <protection locked="0"/>
    </xf>
    <xf numFmtId="175" fontId="0" fillId="0" borderId="74" xfId="15" applyNumberFormat="1" applyFont="1" applyFill="1" applyBorder="1" applyAlignment="1" applyProtection="1">
      <alignment horizontal="center"/>
      <protection locked="0"/>
    </xf>
    <xf numFmtId="177" fontId="0" fillId="0" borderId="74" xfId="16" applyNumberFormat="1" applyFont="1" applyFill="1" applyBorder="1" applyAlignment="1" applyProtection="1">
      <alignment horizontal="center"/>
      <protection locked="0"/>
    </xf>
    <xf numFmtId="175" fontId="15" fillId="0" borderId="74" xfId="15" applyNumberFormat="1" applyFont="1" applyFill="1" applyBorder="1" applyAlignment="1" applyProtection="1">
      <alignment horizontal="center"/>
      <protection locked="0"/>
    </xf>
    <xf numFmtId="175" fontId="101" fillId="0" borderId="74" xfId="15" applyNumberFormat="1" applyFont="1" applyFill="1" applyBorder="1" applyAlignment="1" applyProtection="1">
      <alignment horizontal="center"/>
      <protection locked="0"/>
    </xf>
    <xf numFmtId="175" fontId="105" fillId="0" borderId="75" xfId="15" applyNumberFormat="1" applyFont="1" applyFill="1" applyBorder="1" applyAlignment="1" applyProtection="1">
      <alignment horizontal="center"/>
    </xf>
    <xf numFmtId="175" fontId="105" fillId="0" borderId="72" xfId="15" applyNumberFormat="1" applyFont="1" applyBorder="1" applyAlignment="1" applyProtection="1">
      <alignment horizontal="center"/>
    </xf>
    <xf numFmtId="0" fontId="0" fillId="0" borderId="5" xfId="13" applyNumberFormat="1" applyFont="1" applyFill="1" applyBorder="1" applyAlignment="1" applyProtection="1">
      <protection locked="0"/>
    </xf>
    <xf numFmtId="0" fontId="104" fillId="0" borderId="5" xfId="13" applyNumberFormat="1" applyFont="1" applyFill="1" applyBorder="1" applyAlignment="1" applyProtection="1">
      <protection locked="0"/>
    </xf>
    <xf numFmtId="178" fontId="104" fillId="0" borderId="5" xfId="13" applyNumberFormat="1" applyFont="1" applyFill="1" applyBorder="1" applyAlignment="1" applyProtection="1">
      <protection locked="0"/>
    </xf>
    <xf numFmtId="0" fontId="0" fillId="0" borderId="6" xfId="13" applyNumberFormat="1" applyFont="1" applyFill="1" applyBorder="1" applyAlignment="1" applyProtection="1"/>
    <xf numFmtId="0" fontId="104" fillId="0" borderId="13" xfId="13" applyNumberFormat="1" applyFont="1" applyFill="1" applyBorder="1" applyAlignment="1" applyProtection="1"/>
    <xf numFmtId="178" fontId="104" fillId="0" borderId="13" xfId="13" applyNumberFormat="1" applyFont="1" applyFill="1" applyBorder="1" applyAlignment="1" applyProtection="1"/>
    <xf numFmtId="0" fontId="101" fillId="0" borderId="13" xfId="15" applyNumberFormat="1" applyFont="1" applyFill="1" applyBorder="1" applyAlignment="1" applyProtection="1">
      <alignment horizontal="center"/>
    </xf>
    <xf numFmtId="175" fontId="105" fillId="0" borderId="8" xfId="15" applyNumberFormat="1" applyFont="1" applyFill="1" applyBorder="1" applyAlignment="1" applyProtection="1">
      <alignment horizontal="center"/>
    </xf>
    <xf numFmtId="175" fontId="15" fillId="0" borderId="69" xfId="15" applyNumberFormat="1" applyFont="1" applyFill="1" applyBorder="1" applyAlignment="1" applyProtection="1">
      <alignment horizontal="center"/>
    </xf>
    <xf numFmtId="0" fontId="25" fillId="0" borderId="69" xfId="13" applyNumberFormat="1" applyFont="1" applyFill="1" applyBorder="1" applyAlignment="1" applyProtection="1">
      <alignment vertical="center"/>
      <protection locked="0"/>
    </xf>
    <xf numFmtId="9" fontId="29" fillId="0" borderId="0" xfId="0" applyNumberFormat="1" applyFont="1"/>
    <xf numFmtId="0" fontId="97" fillId="8" borderId="0" xfId="14" applyFont="1" applyFill="1" applyProtection="1">
      <protection locked="0"/>
    </xf>
    <xf numFmtId="0" fontId="3" fillId="30" borderId="76" xfId="14" applyFill="1" applyBorder="1" applyAlignment="1">
      <alignment horizontal="center"/>
    </xf>
    <xf numFmtId="0" fontId="3" fillId="30" borderId="53" xfId="14" applyFill="1" applyBorder="1" applyAlignment="1">
      <alignment horizontal="center"/>
    </xf>
    <xf numFmtId="0" fontId="2" fillId="30" borderId="53" xfId="14" applyFont="1" applyFill="1" applyBorder="1" applyAlignment="1">
      <alignment horizontal="center"/>
    </xf>
    <xf numFmtId="175" fontId="0" fillId="30" borderId="53" xfId="15" applyNumberFormat="1" applyFont="1" applyFill="1" applyBorder="1" applyAlignment="1" applyProtection="1">
      <alignment horizontal="center"/>
    </xf>
    <xf numFmtId="175" fontId="6" fillId="30" borderId="53" xfId="15" applyNumberFormat="1" applyFont="1" applyFill="1" applyBorder="1" applyAlignment="1" applyProtection="1">
      <alignment horizontal="center"/>
    </xf>
    <xf numFmtId="0" fontId="15" fillId="31" borderId="53" xfId="14" applyFont="1" applyFill="1" applyBorder="1" applyAlignment="1">
      <alignment horizontal="center"/>
    </xf>
    <xf numFmtId="180" fontId="0" fillId="30" borderId="53" xfId="15" applyNumberFormat="1" applyFont="1" applyFill="1" applyBorder="1" applyAlignment="1" applyProtection="1">
      <alignment horizontal="center"/>
    </xf>
    <xf numFmtId="180" fontId="0" fillId="30" borderId="53" xfId="16" applyNumberFormat="1" applyFont="1" applyFill="1" applyBorder="1" applyAlignment="1" applyProtection="1">
      <alignment horizontal="center"/>
    </xf>
    <xf numFmtId="0" fontId="98" fillId="30" borderId="77" xfId="14" applyFont="1" applyFill="1" applyBorder="1" applyAlignment="1">
      <alignment horizontal="center"/>
    </xf>
    <xf numFmtId="0" fontId="3" fillId="30" borderId="78" xfId="14" applyFill="1" applyBorder="1" applyAlignment="1">
      <alignment horizontal="center"/>
    </xf>
    <xf numFmtId="0" fontId="3" fillId="30" borderId="79" xfId="14" applyFill="1" applyBorder="1" applyAlignment="1">
      <alignment horizontal="center"/>
    </xf>
    <xf numFmtId="0" fontId="2" fillId="30" borderId="79" xfId="14" applyFont="1" applyFill="1" applyBorder="1" applyAlignment="1">
      <alignment horizontal="center"/>
    </xf>
    <xf numFmtId="175" fontId="0" fillId="30" borderId="79" xfId="15" applyNumberFormat="1" applyFont="1" applyFill="1" applyBorder="1" applyAlignment="1" applyProtection="1">
      <alignment horizontal="center"/>
    </xf>
    <xf numFmtId="177" fontId="0" fillId="30" borderId="79" xfId="16" applyNumberFormat="1" applyFont="1" applyFill="1" applyBorder="1" applyAlignment="1" applyProtection="1">
      <alignment horizontal="center"/>
    </xf>
    <xf numFmtId="0" fontId="15" fillId="31" borderId="79" xfId="14" applyFont="1" applyFill="1" applyBorder="1" applyAlignment="1">
      <alignment horizontal="center"/>
    </xf>
    <xf numFmtId="0" fontId="0" fillId="30" borderId="79" xfId="16" applyNumberFormat="1" applyFont="1" applyFill="1" applyBorder="1" applyAlignment="1" applyProtection="1">
      <alignment horizontal="center"/>
    </xf>
    <xf numFmtId="43" fontId="98" fillId="30" borderId="80" xfId="16" applyFont="1" applyFill="1" applyBorder="1" applyAlignment="1" applyProtection="1">
      <alignment horizontal="center"/>
    </xf>
    <xf numFmtId="0" fontId="3" fillId="30" borderId="53" xfId="14" applyFill="1" applyBorder="1" applyAlignment="1">
      <alignment horizontal="centerContinuous"/>
    </xf>
    <xf numFmtId="0" fontId="15" fillId="8" borderId="1" xfId="13" applyNumberFormat="1" applyFont="1" applyFill="1" applyBorder="1" applyAlignment="1" applyProtection="1">
      <protection locked="0"/>
    </xf>
    <xf numFmtId="164" fontId="69" fillId="0" borderId="0" xfId="9" applyNumberFormat="1" applyFont="1"/>
    <xf numFmtId="0" fontId="6" fillId="0" borderId="0" xfId="0" applyFont="1" applyAlignment="1">
      <alignment horizontal="center" wrapText="1"/>
    </xf>
    <xf numFmtId="165" fontId="114" fillId="0" borderId="0" xfId="9" applyNumberFormat="1" applyFont="1" applyAlignment="1">
      <alignment horizontal="right"/>
    </xf>
    <xf numFmtId="10" fontId="6" fillId="8" borderId="0" xfId="0" applyNumberFormat="1" applyFont="1" applyFill="1" applyProtection="1">
      <protection locked="0"/>
    </xf>
    <xf numFmtId="0" fontId="15" fillId="0" borderId="3" xfId="9" applyFont="1" applyBorder="1" applyAlignment="1">
      <alignment horizontal="center" vertical="center" wrapText="1"/>
    </xf>
    <xf numFmtId="0" fontId="15" fillId="0" borderId="7" xfId="9" applyFont="1" applyBorder="1" applyAlignment="1">
      <alignment horizontal="center" vertical="center" wrapText="1"/>
    </xf>
    <xf numFmtId="0" fontId="15" fillId="0" borderId="4" xfId="9" applyFont="1" applyBorder="1" applyAlignment="1">
      <alignment horizontal="center" vertical="center" wrapText="1"/>
    </xf>
    <xf numFmtId="3" fontId="6" fillId="33" borderId="6" xfId="5" applyNumberFormat="1" applyFill="1" applyBorder="1"/>
    <xf numFmtId="0" fontId="6" fillId="33" borderId="13" xfId="5" applyFill="1" applyBorder="1"/>
    <xf numFmtId="0" fontId="6" fillId="33" borderId="8" xfId="5" applyFill="1" applyBorder="1"/>
    <xf numFmtId="14" fontId="6" fillId="33" borderId="1" xfId="5" applyNumberFormat="1" applyFill="1" applyBorder="1"/>
    <xf numFmtId="0" fontId="6" fillId="0" borderId="6" xfId="0" applyFont="1" applyBorder="1" applyAlignment="1">
      <alignment horizontal="left"/>
    </xf>
    <xf numFmtId="0" fontId="6" fillId="0" borderId="8" xfId="0" applyFont="1" applyBorder="1" applyAlignment="1">
      <alignment wrapText="1"/>
    </xf>
    <xf numFmtId="0" fontId="6" fillId="0" borderId="1" xfId="0" applyFont="1" applyBorder="1" applyAlignment="1">
      <alignment horizontal="center" wrapText="1"/>
    </xf>
    <xf numFmtId="181" fontId="0" fillId="0" borderId="6" xfId="0" applyNumberFormat="1" applyBorder="1" applyAlignment="1">
      <alignment horizontal="left"/>
    </xf>
    <xf numFmtId="0" fontId="0" fillId="0" borderId="8" xfId="0" applyBorder="1" applyAlignment="1">
      <alignment horizontal="left"/>
    </xf>
    <xf numFmtId="1" fontId="0" fillId="0" borderId="1" xfId="0" applyNumberFormat="1" applyBorder="1"/>
    <xf numFmtId="0" fontId="0" fillId="0" borderId="1" xfId="0" applyBorder="1" applyAlignment="1">
      <alignment horizontal="right"/>
    </xf>
    <xf numFmtId="0" fontId="6" fillId="0" borderId="6" xfId="5" applyBorder="1" applyAlignment="1">
      <alignment wrapText="1"/>
    </xf>
    <xf numFmtId="0" fontId="6" fillId="0" borderId="13" xfId="5" applyBorder="1"/>
    <xf numFmtId="0" fontId="15" fillId="0" borderId="13" xfId="5" applyFont="1" applyBorder="1" applyAlignment="1">
      <alignment horizontal="right"/>
    </xf>
    <xf numFmtId="0" fontId="71" fillId="0" borderId="0" xfId="5" quotePrefix="1" applyFont="1" applyAlignment="1">
      <alignment horizontal="center" vertical="top" wrapText="1"/>
    </xf>
    <xf numFmtId="14" fontId="91" fillId="23" borderId="5" xfId="5" applyNumberFormat="1" applyFont="1" applyFill="1" applyBorder="1"/>
    <xf numFmtId="0" fontId="91" fillId="23" borderId="0" xfId="5" applyFont="1" applyFill="1"/>
    <xf numFmtId="171" fontId="91" fillId="23" borderId="2" xfId="5" applyNumberFormat="1" applyFont="1" applyFill="1" applyBorder="1"/>
    <xf numFmtId="165" fontId="0" fillId="0" borderId="1" xfId="0" applyNumberFormat="1" applyBorder="1"/>
    <xf numFmtId="6" fontId="0" fillId="0" borderId="1" xfId="0" applyNumberFormat="1" applyBorder="1"/>
    <xf numFmtId="6" fontId="15" fillId="0" borderId="8" xfId="5" applyNumberFormat="1" applyFont="1" applyBorder="1" applyAlignment="1">
      <alignment wrapText="1"/>
    </xf>
    <xf numFmtId="0" fontId="32" fillId="0" borderId="8" xfId="0" applyFont="1" applyBorder="1" applyAlignment="1">
      <alignment horizontal="right"/>
    </xf>
    <xf numFmtId="3" fontId="32" fillId="0" borderId="1" xfId="11" applyNumberFormat="1" applyFont="1" applyBorder="1"/>
    <xf numFmtId="3" fontId="32" fillId="0" borderId="1" xfId="11" applyNumberFormat="1" applyFont="1" applyBorder="1" applyProtection="1"/>
    <xf numFmtId="3" fontId="31" fillId="8" borderId="3" xfId="11" applyNumberFormat="1" applyFont="1" applyFill="1" applyBorder="1" applyProtection="1">
      <protection locked="0"/>
    </xf>
    <xf numFmtId="0" fontId="31" fillId="8" borderId="3" xfId="0" applyFont="1" applyFill="1" applyBorder="1" applyAlignment="1" applyProtection="1">
      <alignment horizontal="left" wrapText="1"/>
      <protection locked="0"/>
    </xf>
    <xf numFmtId="0" fontId="29" fillId="0" borderId="2" xfId="0" applyFont="1" applyBorder="1" applyAlignment="1">
      <alignment horizontal="right"/>
    </xf>
    <xf numFmtId="3" fontId="29" fillId="0" borderId="2" xfId="11" applyNumberFormat="1" applyFont="1" applyBorder="1" applyProtection="1"/>
    <xf numFmtId="0" fontId="31" fillId="8" borderId="6" xfId="0" applyFont="1" applyFill="1" applyBorder="1" applyAlignment="1" applyProtection="1">
      <alignment horizontal="left" wrapText="1"/>
      <protection locked="0"/>
    </xf>
    <xf numFmtId="0" fontId="29" fillId="4" borderId="5" xfId="0" applyFont="1" applyFill="1" applyBorder="1" applyAlignment="1">
      <alignment horizontal="right"/>
    </xf>
    <xf numFmtId="3" fontId="29" fillId="4" borderId="5" xfId="11" applyNumberFormat="1" applyFont="1" applyFill="1" applyBorder="1"/>
    <xf numFmtId="3" fontId="29" fillId="4" borderId="5" xfId="11" applyNumberFormat="1" applyFont="1" applyFill="1" applyBorder="1" applyProtection="1"/>
    <xf numFmtId="0" fontId="32" fillId="4" borderId="5" xfId="0" applyFont="1" applyFill="1" applyBorder="1" applyAlignment="1">
      <alignment horizontal="left" wrapText="1"/>
    </xf>
    <xf numFmtId="0" fontId="31" fillId="4" borderId="5" xfId="0" applyFont="1" applyFill="1" applyBorder="1" applyAlignment="1">
      <alignment horizontal="left" wrapText="1"/>
    </xf>
    <xf numFmtId="0" fontId="31" fillId="0" borderId="1" xfId="0" applyFont="1" applyBorder="1" applyAlignment="1">
      <alignment vertical="top" wrapText="1"/>
    </xf>
    <xf numFmtId="4" fontId="31" fillId="8" borderId="1" xfId="11" applyNumberFormat="1" applyFont="1" applyFill="1" applyBorder="1" applyAlignment="1" applyProtection="1">
      <alignment horizontal="right"/>
      <protection locked="0"/>
    </xf>
    <xf numFmtId="3" fontId="31" fillId="8" borderId="1" xfId="11" applyNumberFormat="1" applyFont="1" applyFill="1" applyBorder="1" applyAlignment="1" applyProtection="1">
      <alignment horizontal="right"/>
      <protection locked="0"/>
    </xf>
    <xf numFmtId="10" fontId="31" fillId="8" borderId="1" xfId="11" applyNumberFormat="1" applyFont="1" applyFill="1" applyBorder="1" applyAlignment="1" applyProtection="1">
      <alignment horizontal="right"/>
      <protection locked="0"/>
    </xf>
    <xf numFmtId="0" fontId="121" fillId="0" borderId="0" xfId="0" applyFont="1"/>
    <xf numFmtId="0" fontId="6" fillId="8" borderId="1" xfId="0" applyFont="1" applyFill="1" applyBorder="1" applyAlignment="1">
      <alignment wrapText="1"/>
    </xf>
    <xf numFmtId="164" fontId="29" fillId="0" borderId="7" xfId="3" applyNumberFormat="1" applyFont="1" applyFill="1" applyBorder="1" applyAlignment="1" applyProtection="1">
      <alignment horizontal="left" wrapText="1"/>
      <protection locked="0"/>
    </xf>
    <xf numFmtId="164" fontId="19" fillId="0" borderId="7" xfId="0" applyNumberFormat="1" applyFont="1" applyBorder="1"/>
    <xf numFmtId="164" fontId="29" fillId="0" borderId="4" xfId="3" applyNumberFormat="1" applyFont="1" applyFill="1" applyBorder="1" applyAlignment="1" applyProtection="1">
      <alignment horizontal="left" wrapText="1"/>
      <protection locked="0"/>
    </xf>
    <xf numFmtId="164" fontId="35" fillId="0" borderId="4" xfId="0" applyNumberFormat="1" applyFont="1" applyBorder="1"/>
    <xf numFmtId="0" fontId="25" fillId="0" borderId="0" xfId="0" applyFont="1" applyAlignment="1">
      <alignment horizontal="right"/>
    </xf>
    <xf numFmtId="0" fontId="25" fillId="0" borderId="0" xfId="0" applyFont="1" applyAlignment="1">
      <alignment horizontal="right" wrapText="1"/>
    </xf>
    <xf numFmtId="164" fontId="25" fillId="0" borderId="0" xfId="0" applyNumberFormat="1" applyFont="1"/>
    <xf numFmtId="6" fontId="25" fillId="0" borderId="0" xfId="1" applyNumberFormat="1" applyFont="1" applyBorder="1" applyProtection="1"/>
    <xf numFmtId="0" fontId="0" fillId="8" borderId="1" xfId="9" applyFont="1" applyFill="1" applyBorder="1" applyAlignment="1" applyProtection="1">
      <alignment horizontal="center" vertical="center"/>
      <protection locked="0"/>
    </xf>
    <xf numFmtId="14" fontId="0" fillId="8" borderId="1" xfId="9" applyNumberFormat="1" applyFont="1" applyFill="1" applyBorder="1" applyAlignment="1" applyProtection="1">
      <alignment horizontal="center" vertical="center"/>
      <protection locked="0"/>
    </xf>
    <xf numFmtId="165" fontId="66" fillId="0" borderId="1" xfId="9" applyNumberFormat="1" applyFont="1" applyBorder="1" applyAlignment="1">
      <alignment horizontal="center"/>
    </xf>
    <xf numFmtId="0" fontId="6" fillId="0" borderId="5" xfId="0" applyFont="1" applyBorder="1" applyProtection="1">
      <protection locked="0"/>
    </xf>
    <xf numFmtId="10" fontId="0" fillId="0" borderId="5" xfId="0" applyNumberFormat="1" applyBorder="1" applyAlignment="1" applyProtection="1">
      <alignment horizontal="right"/>
      <protection locked="0"/>
    </xf>
    <xf numFmtId="14" fontId="0" fillId="0" borderId="5" xfId="0" applyNumberFormat="1" applyBorder="1" applyAlignment="1" applyProtection="1">
      <alignment horizontal="right"/>
      <protection locked="0"/>
    </xf>
    <xf numFmtId="0" fontId="0" fillId="0" borderId="5" xfId="0" applyBorder="1" applyAlignment="1" applyProtection="1">
      <alignment horizontal="right"/>
      <protection locked="0"/>
    </xf>
    <xf numFmtId="3" fontId="6" fillId="0" borderId="5" xfId="0" applyNumberFormat="1" applyFont="1" applyBorder="1" applyAlignment="1" applyProtection="1">
      <alignment horizontal="right"/>
      <protection locked="0"/>
    </xf>
    <xf numFmtId="0" fontId="15" fillId="0" borderId="5" xfId="0" applyFont="1" applyBorder="1" applyAlignment="1" applyProtection="1">
      <alignment horizontal="right"/>
      <protection locked="0"/>
    </xf>
    <xf numFmtId="0" fontId="63" fillId="0" borderId="0" xfId="0" applyFont="1" applyAlignment="1">
      <alignment wrapText="1"/>
    </xf>
    <xf numFmtId="0" fontId="63" fillId="0" borderId="0" xfId="0" applyFont="1" applyAlignment="1">
      <alignment horizontal="center" wrapText="1"/>
    </xf>
    <xf numFmtId="0" fontId="0" fillId="0" borderId="10" xfId="0" applyBorder="1" applyAlignment="1">
      <alignment wrapText="1"/>
    </xf>
    <xf numFmtId="5" fontId="15" fillId="0" borderId="5" xfId="0" applyNumberFormat="1" applyFont="1" applyBorder="1" applyProtection="1">
      <protection locked="0"/>
    </xf>
    <xf numFmtId="182" fontId="31" fillId="8" borderId="1" xfId="11" applyNumberFormat="1" applyFont="1" applyFill="1" applyBorder="1" applyAlignment="1" applyProtection="1">
      <alignment horizontal="right"/>
      <protection locked="0"/>
    </xf>
    <xf numFmtId="0" fontId="0" fillId="0" borderId="16" xfId="0" applyBorder="1" applyProtection="1">
      <protection locked="0"/>
    </xf>
    <xf numFmtId="0" fontId="0" fillId="0" borderId="9" xfId="0" applyBorder="1" applyAlignment="1">
      <alignment horizontal="center"/>
    </xf>
    <xf numFmtId="0" fontId="20" fillId="0" borderId="9" xfId="0" applyFont="1" applyBorder="1" applyAlignment="1">
      <alignment horizontal="centerContinuous"/>
    </xf>
    <xf numFmtId="0" fontId="20" fillId="0" borderId="0" xfId="0" applyFont="1" applyAlignment="1">
      <alignment horizontal="centerContinuous"/>
    </xf>
    <xf numFmtId="0" fontId="123" fillId="0" borderId="0" xfId="0" applyFont="1" applyAlignment="1">
      <alignment horizontal="left"/>
    </xf>
    <xf numFmtId="0" fontId="123" fillId="0" borderId="10" xfId="0" applyFont="1" applyBorder="1" applyAlignment="1">
      <alignment horizontal="left"/>
    </xf>
    <xf numFmtId="0" fontId="124" fillId="0" borderId="12" xfId="0" applyFont="1" applyBorder="1"/>
    <xf numFmtId="0" fontId="124" fillId="0" borderId="15" xfId="0" applyFont="1" applyBorder="1" applyAlignment="1">
      <alignment horizontal="left"/>
    </xf>
    <xf numFmtId="0" fontId="124" fillId="0" borderId="0" xfId="0" applyFont="1"/>
    <xf numFmtId="0" fontId="127" fillId="0" borderId="9" xfId="0" applyFont="1" applyBorder="1" applyAlignment="1">
      <alignment horizontal="left"/>
    </xf>
    <xf numFmtId="0" fontId="127" fillId="0" borderId="12" xfId="0" applyFont="1" applyBorder="1" applyAlignment="1">
      <alignment horizontal="left"/>
    </xf>
    <xf numFmtId="0" fontId="127" fillId="0" borderId="0" xfId="0" applyFont="1"/>
    <xf numFmtId="0" fontId="127" fillId="0" borderId="12" xfId="0" applyFont="1" applyBorder="1"/>
    <xf numFmtId="0" fontId="87" fillId="0" borderId="15" xfId="5" applyFont="1" applyBorder="1"/>
    <xf numFmtId="0" fontId="127" fillId="0" borderId="9" xfId="5" applyFont="1" applyBorder="1"/>
    <xf numFmtId="0" fontId="127" fillId="0" borderId="12" xfId="5" applyFont="1" applyBorder="1"/>
    <xf numFmtId="0" fontId="128" fillId="0" borderId="9" xfId="0" applyFont="1" applyBorder="1"/>
    <xf numFmtId="3" fontId="20" fillId="0" borderId="0" xfId="0" applyNumberFormat="1" applyFont="1" applyAlignment="1">
      <alignment horizontal="right" wrapText="1"/>
    </xf>
    <xf numFmtId="0" fontId="15" fillId="0" borderId="13" xfId="0" applyFont="1" applyBorder="1" applyAlignment="1">
      <alignment horizontal="right"/>
    </xf>
    <xf numFmtId="0" fontId="15" fillId="2" borderId="0" xfId="0" applyFont="1" applyFill="1" applyAlignment="1">
      <alignment horizontal="left"/>
    </xf>
    <xf numFmtId="0" fontId="15" fillId="3" borderId="0" xfId="0" applyFont="1" applyFill="1" applyAlignment="1">
      <alignment horizontal="right"/>
    </xf>
    <xf numFmtId="0" fontId="15" fillId="2" borderId="0" xfId="0" applyFont="1" applyFill="1" applyAlignment="1">
      <alignment horizontal="center"/>
    </xf>
    <xf numFmtId="2" fontId="17" fillId="0" borderId="0" xfId="0" applyNumberFormat="1" applyFont="1" applyAlignment="1">
      <alignment horizontal="right" wrapText="1"/>
    </xf>
    <xf numFmtId="0" fontId="104" fillId="8" borderId="1" xfId="13" applyNumberFormat="1" applyFont="1" applyFill="1" applyBorder="1" applyAlignment="1" applyProtection="1">
      <alignment wrapText="1"/>
      <protection locked="0"/>
    </xf>
    <xf numFmtId="0" fontId="0" fillId="8" borderId="1" xfId="13" applyNumberFormat="1" applyFont="1" applyFill="1" applyBorder="1" applyAlignment="1" applyProtection="1">
      <alignment horizontal="center" wrapText="1"/>
      <protection locked="0"/>
    </xf>
    <xf numFmtId="0" fontId="0" fillId="8" borderId="1" xfId="13" applyNumberFormat="1" applyFont="1" applyFill="1" applyBorder="1" applyAlignment="1" applyProtection="1">
      <alignment wrapText="1"/>
      <protection locked="0"/>
    </xf>
    <xf numFmtId="165" fontId="6" fillId="3" borderId="1" xfId="5" applyNumberFormat="1" applyFill="1" applyBorder="1"/>
    <xf numFmtId="165" fontId="6" fillId="16" borderId="1" xfId="5" applyNumberFormat="1" applyFill="1" applyBorder="1"/>
    <xf numFmtId="165" fontId="6" fillId="0" borderId="1" xfId="5" applyNumberFormat="1" applyBorder="1"/>
    <xf numFmtId="165" fontId="6" fillId="3" borderId="1" xfId="5" applyNumberFormat="1" applyFill="1" applyBorder="1" applyAlignment="1">
      <alignment horizontal="right"/>
    </xf>
    <xf numFmtId="165" fontId="6" fillId="25" borderId="1" xfId="5" applyNumberFormat="1" applyFill="1" applyBorder="1"/>
    <xf numFmtId="165" fontId="6" fillId="6" borderId="1" xfId="5" applyNumberFormat="1" applyFill="1" applyBorder="1" applyAlignment="1">
      <alignment wrapText="1"/>
    </xf>
    <xf numFmtId="165" fontId="6" fillId="3" borderId="1" xfId="5" quotePrefix="1" applyNumberFormat="1" applyFill="1" applyBorder="1"/>
    <xf numFmtId="165" fontId="6" fillId="19" borderId="1" xfId="5" applyNumberFormat="1" applyFill="1" applyBorder="1"/>
    <xf numFmtId="165" fontId="6" fillId="0" borderId="1" xfId="5" applyNumberFormat="1" applyBorder="1" applyAlignment="1">
      <alignment horizontal="right"/>
    </xf>
    <xf numFmtId="165" fontId="6" fillId="19" borderId="1" xfId="5" applyNumberFormat="1" applyFill="1" applyBorder="1" applyAlignment="1">
      <alignment horizontal="right"/>
    </xf>
    <xf numFmtId="0" fontId="15" fillId="23" borderId="6" xfId="5" applyFont="1" applyFill="1" applyBorder="1" applyAlignment="1">
      <alignment horizontal="centerContinuous"/>
    </xf>
    <xf numFmtId="0" fontId="15" fillId="23" borderId="13" xfId="5" applyFont="1" applyFill="1" applyBorder="1" applyAlignment="1">
      <alignment horizontal="centerContinuous"/>
    </xf>
    <xf numFmtId="0" fontId="15" fillId="23" borderId="8" xfId="5" applyFont="1" applyFill="1" applyBorder="1" applyAlignment="1">
      <alignment horizontal="centerContinuous"/>
    </xf>
    <xf numFmtId="0" fontId="6" fillId="23" borderId="8" xfId="5" applyFill="1" applyBorder="1" applyAlignment="1">
      <alignment horizontal="centerContinuous"/>
    </xf>
    <xf numFmtId="0" fontId="6" fillId="0" borderId="8" xfId="0" applyFont="1" applyBorder="1" applyAlignment="1">
      <alignment horizontal="center" wrapText="1"/>
    </xf>
    <xf numFmtId="0" fontId="0" fillId="0" borderId="8" xfId="0" applyBorder="1" applyAlignment="1">
      <alignment horizontal="right"/>
    </xf>
    <xf numFmtId="0" fontId="35" fillId="0" borderId="15" xfId="4" applyFont="1" applyBorder="1" applyAlignment="1">
      <alignment horizontal="left"/>
    </xf>
    <xf numFmtId="0" fontId="15" fillId="0" borderId="4" xfId="1" applyNumberFormat="1" applyFont="1" applyBorder="1" applyAlignment="1" applyProtection="1">
      <alignment horizontal="center"/>
    </xf>
    <xf numFmtId="0" fontId="65" fillId="0" borderId="2" xfId="4" applyFont="1" applyBorder="1" applyAlignment="1">
      <alignment horizontal="center" wrapText="1"/>
    </xf>
    <xf numFmtId="37" fontId="15" fillId="0" borderId="4" xfId="1" applyNumberFormat="1" applyFont="1" applyBorder="1" applyProtection="1"/>
    <xf numFmtId="37" fontId="15" fillId="0" borderId="10" xfId="1" applyNumberFormat="1" applyFont="1" applyBorder="1" applyProtection="1"/>
    <xf numFmtId="166" fontId="31" fillId="0" borderId="0" xfId="11" applyNumberFormat="1" applyFont="1" applyBorder="1" applyAlignment="1" applyProtection="1">
      <alignment horizontal="center"/>
      <protection locked="0"/>
    </xf>
    <xf numFmtId="0" fontId="6" fillId="34" borderId="54" xfId="0" applyFont="1" applyFill="1" applyBorder="1" applyAlignment="1">
      <alignment horizontal="right"/>
    </xf>
    <xf numFmtId="0" fontId="129" fillId="35" borderId="54" xfId="0" applyFont="1" applyFill="1" applyBorder="1" applyAlignment="1">
      <alignment horizontal="center" vertical="center" wrapText="1"/>
    </xf>
    <xf numFmtId="179" fontId="129" fillId="36" borderId="1" xfId="6" applyNumberFormat="1" applyFont="1" applyFill="1" applyBorder="1" applyAlignment="1">
      <alignment horizontal="center" vertical="center" wrapText="1"/>
    </xf>
    <xf numFmtId="179" fontId="129" fillId="35" borderId="1" xfId="6" applyNumberFormat="1" applyFont="1" applyFill="1" applyBorder="1" applyAlignment="1">
      <alignment horizontal="center" vertical="center" wrapText="1"/>
    </xf>
    <xf numFmtId="0" fontId="6" fillId="26" borderId="1" xfId="5" applyFill="1" applyBorder="1"/>
    <xf numFmtId="0" fontId="6" fillId="5" borderId="1" xfId="5" applyFill="1" applyBorder="1"/>
    <xf numFmtId="6" fontId="6" fillId="0" borderId="1" xfId="5" applyNumberFormat="1" applyBorder="1"/>
    <xf numFmtId="6" fontId="6" fillId="28" borderId="1" xfId="5" applyNumberFormat="1" applyFill="1" applyBorder="1"/>
    <xf numFmtId="0" fontId="6" fillId="37" borderId="1" xfId="5" applyFill="1" applyBorder="1"/>
    <xf numFmtId="0" fontId="0" fillId="6" borderId="3" xfId="0" applyFill="1" applyBorder="1"/>
    <xf numFmtId="0" fontId="6" fillId="0" borderId="3" xfId="5" applyBorder="1"/>
    <xf numFmtId="0" fontId="6" fillId="26" borderId="3" xfId="5" applyFill="1" applyBorder="1"/>
    <xf numFmtId="0" fontId="54" fillId="0" borderId="0" xfId="0" applyFont="1" applyAlignment="1">
      <alignment horizontal="left"/>
    </xf>
    <xf numFmtId="6" fontId="6" fillId="5" borderId="0" xfId="0" applyNumberFormat="1" applyFont="1" applyFill="1"/>
    <xf numFmtId="37" fontId="15" fillId="0" borderId="0" xfId="1" applyNumberFormat="1" applyFont="1" applyBorder="1" applyAlignment="1" applyProtection="1"/>
    <xf numFmtId="0" fontId="15" fillId="0" borderId="83" xfId="0" applyFont="1" applyBorder="1"/>
    <xf numFmtId="0" fontId="15" fillId="0" borderId="84" xfId="0" applyFont="1" applyBorder="1"/>
    <xf numFmtId="3" fontId="15" fillId="0" borderId="85" xfId="0" applyNumberFormat="1" applyFont="1" applyBorder="1"/>
    <xf numFmtId="9" fontId="35" fillId="0" borderId="2" xfId="0" applyNumberFormat="1" applyFont="1" applyBorder="1" applyAlignment="1">
      <alignment horizontal="right" wrapText="1"/>
    </xf>
    <xf numFmtId="0" fontId="35" fillId="0" borderId="2" xfId="0" applyFont="1" applyBorder="1" applyAlignment="1">
      <alignment horizontal="right" wrapText="1"/>
    </xf>
    <xf numFmtId="0" fontId="35" fillId="0" borderId="8" xfId="0" applyFont="1" applyBorder="1" applyAlignment="1">
      <alignment horizontal="right" wrapText="1"/>
    </xf>
    <xf numFmtId="3" fontId="0" fillId="0" borderId="13" xfId="0" applyNumberFormat="1" applyBorder="1" applyAlignment="1">
      <alignment horizontal="right"/>
    </xf>
    <xf numFmtId="3" fontId="0" fillId="0" borderId="8" xfId="0" applyNumberFormat="1" applyBorder="1" applyAlignment="1">
      <alignment horizontal="right"/>
    </xf>
    <xf numFmtId="3" fontId="0" fillId="0" borderId="34" xfId="0" applyNumberFormat="1" applyBorder="1" applyAlignment="1">
      <alignment horizontal="right"/>
    </xf>
    <xf numFmtId="3" fontId="0" fillId="0" borderId="32" xfId="0" applyNumberFormat="1" applyBorder="1" applyAlignment="1">
      <alignment horizontal="right"/>
    </xf>
    <xf numFmtId="0" fontId="15" fillId="0" borderId="84" xfId="0" applyFont="1" applyBorder="1" applyAlignment="1">
      <alignment horizontal="right"/>
    </xf>
    <xf numFmtId="0" fontId="15" fillId="0" borderId="86" xfId="0" applyFont="1" applyBorder="1" applyAlignment="1">
      <alignment horizontal="right"/>
    </xf>
    <xf numFmtId="0" fontId="35" fillId="0" borderId="11" xfId="0" applyFont="1" applyBorder="1" applyAlignment="1">
      <alignment horizontal="right" wrapText="1"/>
    </xf>
    <xf numFmtId="0" fontId="0" fillId="0" borderId="32" xfId="0" applyBorder="1" applyAlignment="1">
      <alignment horizontal="right"/>
    </xf>
    <xf numFmtId="0" fontId="35" fillId="0" borderId="4" xfId="0" applyFont="1" applyBorder="1" applyAlignment="1">
      <alignment horizontal="right" wrapText="1"/>
    </xf>
    <xf numFmtId="0" fontId="19" fillId="5" borderId="12" xfId="0" applyFont="1" applyFill="1" applyBorder="1"/>
    <xf numFmtId="164" fontId="15" fillId="0" borderId="1" xfId="0" applyNumberFormat="1" applyFont="1" applyBorder="1"/>
    <xf numFmtId="0" fontId="31" fillId="0" borderId="10" xfId="0" applyFont="1" applyBorder="1" applyAlignment="1">
      <alignment horizontal="center"/>
    </xf>
    <xf numFmtId="3" fontId="32" fillId="0" borderId="8" xfId="11" applyNumberFormat="1" applyFont="1" applyFill="1" applyBorder="1" applyProtection="1"/>
    <xf numFmtId="3" fontId="26" fillId="0" borderId="0" xfId="11" applyNumberFormat="1" applyFont="1" applyBorder="1" applyProtection="1"/>
    <xf numFmtId="166" fontId="29" fillId="0" borderId="2" xfId="11" applyNumberFormat="1" applyFont="1" applyBorder="1" applyProtection="1"/>
    <xf numFmtId="3" fontId="29" fillId="0" borderId="0" xfId="11" applyNumberFormat="1" applyFont="1" applyFill="1" applyBorder="1" applyProtection="1"/>
    <xf numFmtId="3" fontId="31" fillId="0" borderId="3" xfId="11" applyNumberFormat="1" applyFont="1" applyBorder="1" applyProtection="1"/>
    <xf numFmtId="3" fontId="29" fillId="0" borderId="7" xfId="11" applyNumberFormat="1" applyFont="1" applyBorder="1" applyProtection="1"/>
    <xf numFmtId="0" fontId="29" fillId="0" borderId="0" xfId="5" applyFont="1" applyAlignment="1">
      <alignment horizontal="left"/>
    </xf>
    <xf numFmtId="0" fontId="31" fillId="0" borderId="0" xfId="5" applyFont="1"/>
    <xf numFmtId="0" fontId="26" fillId="0" borderId="0" xfId="5" applyFont="1" applyAlignment="1">
      <alignment horizontal="right"/>
    </xf>
    <xf numFmtId="49" fontId="31" fillId="0" borderId="0" xfId="18" applyNumberFormat="1" applyFont="1" applyFill="1" applyBorder="1" applyAlignment="1"/>
    <xf numFmtId="14" fontId="31" fillId="0" borderId="0" xfId="18" applyNumberFormat="1" applyFont="1" applyFill="1" applyBorder="1" applyAlignment="1"/>
    <xf numFmtId="0" fontId="29" fillId="0" borderId="0" xfId="5" applyFont="1" applyAlignment="1">
      <alignment horizontal="right"/>
    </xf>
    <xf numFmtId="0" fontId="29" fillId="0" borderId="0" xfId="5" applyFont="1"/>
    <xf numFmtId="0" fontId="15" fillId="0" borderId="0" xfId="5" applyFont="1" applyAlignment="1">
      <alignment horizontal="right"/>
    </xf>
    <xf numFmtId="0" fontId="19" fillId="0" borderId="0" xfId="5" applyFont="1"/>
    <xf numFmtId="3" fontId="31" fillId="0" borderId="0" xfId="5" applyNumberFormat="1" applyFont="1"/>
    <xf numFmtId="0" fontId="26" fillId="0" borderId="0" xfId="5" applyFont="1"/>
    <xf numFmtId="37" fontId="29" fillId="0" borderId="0" xfId="5" applyNumberFormat="1" applyFont="1" applyAlignment="1">
      <alignment horizontal="left"/>
    </xf>
    <xf numFmtId="0" fontId="26" fillId="0" borderId="0" xfId="5" applyFont="1" applyAlignment="1">
      <alignment horizontal="left"/>
    </xf>
    <xf numFmtId="0" fontId="121" fillId="0" borderId="0" xfId="5" applyFont="1"/>
    <xf numFmtId="0" fontId="34" fillId="0" borderId="10" xfId="5" applyFont="1" applyBorder="1"/>
    <xf numFmtId="0" fontId="34" fillId="0" borderId="0" xfId="5" applyFont="1" applyAlignment="1">
      <alignment horizontal="right"/>
    </xf>
    <xf numFmtId="49" fontId="29" fillId="0" borderId="0" xfId="18" applyNumberFormat="1" applyFont="1" applyFill="1" applyBorder="1" applyAlignment="1">
      <alignment horizontal="center"/>
    </xf>
    <xf numFmtId="0" fontId="34" fillId="0" borderId="0" xfId="5" applyFont="1"/>
    <xf numFmtId="166" fontId="29" fillId="0" borderId="1" xfId="18" applyNumberFormat="1" applyFont="1" applyBorder="1" applyAlignment="1" applyProtection="1">
      <alignment horizontal="center"/>
    </xf>
    <xf numFmtId="166" fontId="31" fillId="0" borderId="0" xfId="18" applyNumberFormat="1" applyFont="1" applyBorder="1"/>
    <xf numFmtId="0" fontId="32" fillId="0" borderId="0" xfId="5" applyFont="1" applyAlignment="1">
      <alignment horizontal="right"/>
    </xf>
    <xf numFmtId="0" fontId="29" fillId="0" borderId="0" xfId="5" applyFont="1" applyAlignment="1">
      <alignment horizontal="center"/>
    </xf>
    <xf numFmtId="166" fontId="29" fillId="0" borderId="1" xfId="18" applyNumberFormat="1" applyFont="1" applyBorder="1" applyAlignment="1">
      <alignment horizontal="center"/>
    </xf>
    <xf numFmtId="0" fontId="22" fillId="8" borderId="1" xfId="5" applyFont="1" applyFill="1" applyBorder="1" applyAlignment="1" applyProtection="1">
      <alignment horizontal="left" wrapText="1"/>
      <protection locked="0"/>
    </xf>
    <xf numFmtId="166" fontId="31" fillId="8" borderId="1" xfId="18" applyNumberFormat="1" applyFont="1" applyFill="1" applyBorder="1" applyAlignment="1" applyProtection="1">
      <alignment wrapText="1"/>
      <protection locked="0"/>
    </xf>
    <xf numFmtId="166" fontId="29" fillId="0" borderId="0" xfId="18" applyNumberFormat="1" applyFont="1" applyBorder="1"/>
    <xf numFmtId="0" fontId="31" fillId="0" borderId="0" xfId="5" applyFont="1" applyAlignment="1">
      <alignment wrapText="1"/>
    </xf>
    <xf numFmtId="0" fontId="31" fillId="0" borderId="0" xfId="5" applyFont="1" applyAlignment="1">
      <alignment horizontal="right"/>
    </xf>
    <xf numFmtId="0" fontId="34" fillId="0" borderId="2" xfId="5" applyFont="1" applyBorder="1"/>
    <xf numFmtId="166" fontId="31" fillId="0" borderId="2" xfId="18" applyNumberFormat="1" applyFont="1" applyBorder="1"/>
    <xf numFmtId="166" fontId="29" fillId="0" borderId="2" xfId="18" applyNumberFormat="1" applyFont="1" applyBorder="1"/>
    <xf numFmtId="0" fontId="31" fillId="0" borderId="2" xfId="5" applyFont="1" applyBorder="1" applyAlignment="1">
      <alignment wrapText="1"/>
    </xf>
    <xf numFmtId="0" fontId="31" fillId="0" borderId="10" xfId="5" applyFont="1" applyBorder="1"/>
    <xf numFmtId="0" fontId="31" fillId="0" borderId="13" xfId="5" applyFont="1" applyBorder="1"/>
    <xf numFmtId="3" fontId="31" fillId="8" borderId="1" xfId="18" applyNumberFormat="1" applyFont="1" applyFill="1" applyBorder="1" applyProtection="1">
      <protection locked="0"/>
    </xf>
    <xf numFmtId="3" fontId="31" fillId="0" borderId="1" xfId="18" applyNumberFormat="1" applyFont="1" applyBorder="1" applyProtection="1"/>
    <xf numFmtId="0" fontId="31" fillId="8" borderId="1" xfId="5" applyFont="1" applyFill="1" applyBorder="1" applyAlignment="1" applyProtection="1">
      <alignment horizontal="left" wrapText="1"/>
      <protection locked="0"/>
    </xf>
    <xf numFmtId="0" fontId="32" fillId="0" borderId="10" xfId="5" applyFont="1" applyBorder="1"/>
    <xf numFmtId="0" fontId="32" fillId="8" borderId="1" xfId="5" applyFont="1" applyFill="1" applyBorder="1" applyAlignment="1" applyProtection="1">
      <alignment horizontal="left" wrapText="1"/>
      <protection locked="0"/>
    </xf>
    <xf numFmtId="0" fontId="48" fillId="0" borderId="0" xfId="5" applyFont="1"/>
    <xf numFmtId="0" fontId="32" fillId="0" borderId="0" xfId="5" applyFont="1"/>
    <xf numFmtId="0" fontId="29" fillId="4" borderId="5" xfId="5" applyFont="1" applyFill="1" applyBorder="1" applyAlignment="1">
      <alignment horizontal="right"/>
    </xf>
    <xf numFmtId="3" fontId="29" fillId="4" borderId="5" xfId="18" applyNumberFormat="1" applyFont="1" applyFill="1" applyBorder="1"/>
    <xf numFmtId="3" fontId="29" fillId="4" borderId="5" xfId="18" applyNumberFormat="1" applyFont="1" applyFill="1" applyBorder="1" applyProtection="1"/>
    <xf numFmtId="0" fontId="32" fillId="4" borderId="5" xfId="5" applyFont="1" applyFill="1" applyBorder="1" applyAlignment="1">
      <alignment horizontal="left" wrapText="1"/>
    </xf>
    <xf numFmtId="3" fontId="29" fillId="0" borderId="0" xfId="18" applyNumberFormat="1" applyFont="1" applyBorder="1"/>
    <xf numFmtId="3" fontId="31" fillId="0" borderId="0" xfId="18" applyNumberFormat="1" applyFont="1" applyBorder="1" applyAlignment="1" applyProtection="1">
      <alignment wrapText="1"/>
      <protection locked="0"/>
    </xf>
    <xf numFmtId="0" fontId="29" fillId="0" borderId="10" xfId="5" applyFont="1" applyBorder="1"/>
    <xf numFmtId="3" fontId="32" fillId="0" borderId="0" xfId="18" applyNumberFormat="1" applyFont="1" applyBorder="1"/>
    <xf numFmtId="3" fontId="26" fillId="0" borderId="0" xfId="18" applyNumberFormat="1" applyFont="1" applyBorder="1"/>
    <xf numFmtId="0" fontId="32" fillId="0" borderId="0" xfId="5" applyFont="1" applyAlignment="1">
      <alignment horizontal="left" wrapText="1"/>
    </xf>
    <xf numFmtId="0" fontId="29" fillId="0" borderId="2" xfId="5" applyFont="1" applyBorder="1"/>
    <xf numFmtId="3" fontId="31" fillId="0" borderId="2" xfId="18" applyNumberFormat="1" applyFont="1" applyBorder="1"/>
    <xf numFmtId="6" fontId="31" fillId="8" borderId="1" xfId="5" applyNumberFormat="1" applyFont="1" applyFill="1" applyBorder="1" applyAlignment="1" applyProtection="1">
      <alignment horizontal="left" wrapText="1"/>
      <protection locked="0"/>
    </xf>
    <xf numFmtId="0" fontId="32" fillId="0" borderId="8" xfId="5" applyFont="1" applyBorder="1" applyAlignment="1">
      <alignment horizontal="right"/>
    </xf>
    <xf numFmtId="3" fontId="32" fillId="0" borderId="1" xfId="18" applyNumberFormat="1" applyFont="1" applyBorder="1"/>
    <xf numFmtId="3" fontId="32" fillId="0" borderId="1" xfId="18" applyNumberFormat="1" applyFont="1" applyBorder="1" applyProtection="1"/>
    <xf numFmtId="0" fontId="31" fillId="0" borderId="1" xfId="5" applyFont="1" applyBorder="1" applyAlignment="1">
      <alignment wrapText="1"/>
    </xf>
    <xf numFmtId="164" fontId="19" fillId="0" borderId="7" xfId="5" applyNumberFormat="1" applyFont="1" applyBorder="1"/>
    <xf numFmtId="0" fontId="31" fillId="0" borderId="0" xfId="5" applyFont="1" applyAlignment="1">
      <alignment horizontal="left" wrapText="1"/>
    </xf>
    <xf numFmtId="0" fontId="31" fillId="4" borderId="5" xfId="5" applyFont="1" applyFill="1" applyBorder="1" applyAlignment="1">
      <alignment horizontal="left" wrapText="1"/>
    </xf>
    <xf numFmtId="166" fontId="31" fillId="0" borderId="0" xfId="18" applyNumberFormat="1" applyFont="1" applyFill="1" applyBorder="1"/>
    <xf numFmtId="3" fontId="29" fillId="0" borderId="0" xfId="18" applyNumberFormat="1" applyFont="1" applyFill="1" applyBorder="1"/>
    <xf numFmtId="164" fontId="19" fillId="0" borderId="0" xfId="5" applyNumberFormat="1" applyFont="1" applyAlignment="1">
      <alignment horizontal="left"/>
    </xf>
    <xf numFmtId="3" fontId="31" fillId="0" borderId="0" xfId="18" applyNumberFormat="1" applyFont="1" applyBorder="1"/>
    <xf numFmtId="3" fontId="29" fillId="0" borderId="2" xfId="18" applyNumberFormat="1" applyFont="1" applyBorder="1"/>
    <xf numFmtId="0" fontId="31" fillId="0" borderId="2" xfId="5" applyFont="1" applyBorder="1" applyAlignment="1">
      <alignment horizontal="left" wrapText="1"/>
    </xf>
    <xf numFmtId="0" fontId="31" fillId="0" borderId="13" xfId="5" applyFont="1" applyBorder="1" applyAlignment="1">
      <alignment wrapText="1"/>
    </xf>
    <xf numFmtId="0" fontId="31" fillId="0" borderId="1" xfId="5" applyFont="1" applyBorder="1"/>
    <xf numFmtId="3" fontId="32" fillId="0" borderId="8" xfId="18" applyNumberFormat="1" applyFont="1" applyFill="1" applyBorder="1" applyProtection="1"/>
    <xf numFmtId="0" fontId="31" fillId="0" borderId="1" xfId="5" applyFont="1" applyBorder="1" applyAlignment="1">
      <alignment vertical="top" wrapText="1"/>
    </xf>
    <xf numFmtId="3" fontId="31" fillId="8" borderId="3" xfId="18" applyNumberFormat="1" applyFont="1" applyFill="1" applyBorder="1" applyProtection="1">
      <protection locked="0"/>
    </xf>
    <xf numFmtId="3" fontId="31" fillId="0" borderId="3" xfId="18" applyNumberFormat="1" applyFont="1" applyBorder="1" applyProtection="1"/>
    <xf numFmtId="0" fontId="31" fillId="8" borderId="3" xfId="5" applyFont="1" applyFill="1" applyBorder="1" applyAlignment="1" applyProtection="1">
      <alignment horizontal="left" wrapText="1"/>
      <protection locked="0"/>
    </xf>
    <xf numFmtId="0" fontId="29" fillId="0" borderId="5" xfId="5" applyFont="1" applyBorder="1" applyAlignment="1">
      <alignment horizontal="right"/>
    </xf>
    <xf numFmtId="3" fontId="29" fillId="0" borderId="3" xfId="18" applyNumberFormat="1" applyFont="1" applyBorder="1"/>
    <xf numFmtId="3" fontId="29" fillId="0" borderId="3" xfId="18" applyNumberFormat="1" applyFont="1" applyBorder="1" applyProtection="1"/>
    <xf numFmtId="0" fontId="31" fillId="0" borderId="5" xfId="5" applyFont="1" applyBorder="1" applyAlignment="1">
      <alignment horizontal="left" wrapText="1"/>
    </xf>
    <xf numFmtId="0" fontId="31" fillId="0" borderId="11" xfId="5" applyFont="1" applyBorder="1"/>
    <xf numFmtId="3" fontId="31" fillId="0" borderId="4" xfId="18" applyNumberFormat="1" applyFont="1" applyBorder="1"/>
    <xf numFmtId="3" fontId="31" fillId="0" borderId="4" xfId="18" applyNumberFormat="1" applyFont="1" applyBorder="1" applyProtection="1"/>
    <xf numFmtId="0" fontId="29" fillId="0" borderId="10" xfId="5" applyFont="1" applyBorder="1" applyAlignment="1">
      <alignment horizontal="right"/>
    </xf>
    <xf numFmtId="0" fontId="32" fillId="0" borderId="10" xfId="5" applyFont="1" applyBorder="1" applyAlignment="1">
      <alignment horizontal="right"/>
    </xf>
    <xf numFmtId="3" fontId="31" fillId="0" borderId="7" xfId="18" applyNumberFormat="1" applyFont="1" applyBorder="1"/>
    <xf numFmtId="3" fontId="31" fillId="0" borderId="7" xfId="18" applyNumberFormat="1" applyFont="1" applyBorder="1" applyProtection="1"/>
    <xf numFmtId="0" fontId="29" fillId="0" borderId="11" xfId="5" applyFont="1" applyBorder="1" applyAlignment="1">
      <alignment horizontal="left"/>
    </xf>
    <xf numFmtId="3" fontId="29" fillId="0" borderId="4" xfId="18" applyNumberFormat="1" applyFont="1" applyBorder="1"/>
    <xf numFmtId="0" fontId="31" fillId="8" borderId="1" xfId="5" applyFont="1" applyFill="1" applyBorder="1" applyProtection="1">
      <protection locked="0"/>
    </xf>
    <xf numFmtId="3" fontId="31" fillId="8" borderId="1" xfId="5" applyNumberFormat="1" applyFont="1" applyFill="1" applyBorder="1" applyProtection="1">
      <protection locked="0"/>
    </xf>
    <xf numFmtId="0" fontId="32" fillId="0" borderId="16" xfId="5" applyFont="1" applyBorder="1" applyAlignment="1">
      <alignment horizontal="right"/>
    </xf>
    <xf numFmtId="3" fontId="32" fillId="0" borderId="3" xfId="18" applyNumberFormat="1" applyFont="1" applyBorder="1"/>
    <xf numFmtId="3" fontId="32" fillId="0" borderId="3" xfId="18" applyNumberFormat="1" applyFont="1" applyBorder="1" applyProtection="1"/>
    <xf numFmtId="3" fontId="32" fillId="8" borderId="1" xfId="18" applyNumberFormat="1" applyFont="1" applyFill="1" applyBorder="1" applyProtection="1">
      <protection locked="0"/>
    </xf>
    <xf numFmtId="3" fontId="32" fillId="8" borderId="1" xfId="5" applyNumberFormat="1" applyFont="1" applyFill="1" applyBorder="1" applyProtection="1">
      <protection locked="0"/>
    </xf>
    <xf numFmtId="0" fontId="31" fillId="0" borderId="9" xfId="5" applyFont="1" applyBorder="1" applyAlignment="1" applyProtection="1">
      <alignment horizontal="left" wrapText="1"/>
      <protection locked="0"/>
    </xf>
    <xf numFmtId="3" fontId="29" fillId="0" borderId="7" xfId="18" applyNumberFormat="1" applyFont="1" applyBorder="1"/>
    <xf numFmtId="3" fontId="29" fillId="0" borderId="7" xfId="18" applyNumberFormat="1" applyFont="1" applyBorder="1" applyProtection="1"/>
    <xf numFmtId="0" fontId="31" fillId="0" borderId="12" xfId="5" applyFont="1" applyBorder="1" applyAlignment="1">
      <alignment horizontal="left" wrapText="1"/>
    </xf>
    <xf numFmtId="3" fontId="29" fillId="0" borderId="4" xfId="18" applyNumberFormat="1" applyFont="1" applyFill="1" applyBorder="1"/>
    <xf numFmtId="0" fontId="31" fillId="0" borderId="15" xfId="5" applyFont="1" applyBorder="1" applyAlignment="1">
      <alignment horizontal="left" wrapText="1"/>
    </xf>
    <xf numFmtId="3" fontId="29" fillId="0" borderId="5" xfId="18" applyNumberFormat="1" applyFont="1" applyBorder="1"/>
    <xf numFmtId="3" fontId="29" fillId="0" borderId="5" xfId="18" applyNumberFormat="1" applyFont="1" applyBorder="1" applyProtection="1"/>
    <xf numFmtId="0" fontId="29" fillId="0" borderId="2" xfId="5" applyFont="1" applyBorder="1" applyAlignment="1">
      <alignment horizontal="right"/>
    </xf>
    <xf numFmtId="3" fontId="29" fillId="0" borderId="2" xfId="18" applyNumberFormat="1" applyFont="1" applyBorder="1" applyProtection="1"/>
    <xf numFmtId="3" fontId="31" fillId="8" borderId="1" xfId="19" applyNumberFormat="1" applyFont="1" applyFill="1" applyBorder="1" applyProtection="1">
      <protection locked="0"/>
    </xf>
    <xf numFmtId="0" fontId="6" fillId="8" borderId="1" xfId="5" applyFill="1" applyBorder="1" applyAlignment="1">
      <alignment wrapText="1"/>
    </xf>
    <xf numFmtId="164" fontId="19" fillId="0" borderId="12" xfId="5" applyNumberFormat="1" applyFont="1" applyBorder="1" applyAlignment="1">
      <alignment horizontal="left"/>
    </xf>
    <xf numFmtId="0" fontId="31" fillId="8" borderId="6" xfId="5" applyFont="1" applyFill="1" applyBorder="1" applyAlignment="1" applyProtection="1">
      <alignment horizontal="left" wrapText="1"/>
      <protection locked="0"/>
    </xf>
    <xf numFmtId="3" fontId="29" fillId="0" borderId="0" xfId="18" applyNumberFormat="1" applyFont="1" applyBorder="1" applyProtection="1"/>
    <xf numFmtId="0" fontId="31" fillId="0" borderId="1" xfId="5" applyFont="1" applyBorder="1" applyAlignment="1">
      <alignment horizontal="left" wrapText="1"/>
    </xf>
    <xf numFmtId="9" fontId="31" fillId="8" borderId="6" xfId="5" applyNumberFormat="1" applyFont="1" applyFill="1" applyBorder="1" applyAlignment="1" applyProtection="1">
      <alignment horizontal="left" wrapText="1"/>
      <protection locked="0"/>
    </xf>
    <xf numFmtId="164" fontId="35" fillId="0" borderId="4" xfId="5" applyNumberFormat="1" applyFont="1" applyBorder="1"/>
    <xf numFmtId="3" fontId="29" fillId="0" borderId="0" xfId="18" applyNumberFormat="1" applyFont="1" applyFill="1" applyBorder="1" applyProtection="1"/>
    <xf numFmtId="0" fontId="32" fillId="0" borderId="2" xfId="5" applyFont="1" applyBorder="1" applyAlignment="1">
      <alignment horizontal="right"/>
    </xf>
    <xf numFmtId="3" fontId="31" fillId="0" borderId="2" xfId="5" applyNumberFormat="1" applyFont="1" applyBorder="1"/>
    <xf numFmtId="3" fontId="31" fillId="0" borderId="2" xfId="18" applyNumberFormat="1" applyFont="1" applyBorder="1" applyProtection="1"/>
    <xf numFmtId="3" fontId="31" fillId="0" borderId="0" xfId="18" applyNumberFormat="1" applyFont="1" applyBorder="1" applyProtection="1"/>
    <xf numFmtId="3" fontId="31" fillId="0" borderId="2" xfId="18" applyNumberFormat="1" applyFont="1" applyFill="1" applyBorder="1"/>
    <xf numFmtId="3" fontId="29" fillId="0" borderId="4" xfId="18" applyNumberFormat="1" applyFont="1" applyBorder="1" applyProtection="1"/>
    <xf numFmtId="3" fontId="29" fillId="0" borderId="1" xfId="18" applyNumberFormat="1" applyFont="1" applyBorder="1" applyProtection="1"/>
    <xf numFmtId="164" fontId="31" fillId="0" borderId="1" xfId="18" applyNumberFormat="1" applyFont="1" applyFill="1" applyBorder="1"/>
    <xf numFmtId="164" fontId="31" fillId="0" borderId="1" xfId="18" applyNumberFormat="1" applyFont="1" applyFill="1" applyBorder="1" applyProtection="1"/>
    <xf numFmtId="164" fontId="31" fillId="0" borderId="0" xfId="18" applyNumberFormat="1" applyFont="1" applyBorder="1"/>
    <xf numFmtId="164" fontId="31" fillId="0" borderId="0" xfId="18" applyNumberFormat="1" applyFont="1" applyBorder="1" applyProtection="1"/>
    <xf numFmtId="0" fontId="31" fillId="0" borderId="0" xfId="5" applyFont="1" applyAlignment="1" applyProtection="1">
      <alignment horizontal="left" wrapText="1"/>
      <protection locked="0"/>
    </xf>
    <xf numFmtId="4" fontId="31" fillId="0" borderId="1" xfId="18" applyNumberFormat="1" applyFont="1" applyBorder="1" applyProtection="1"/>
    <xf numFmtId="3" fontId="31" fillId="8" borderId="1" xfId="18" applyNumberFormat="1" applyFont="1" applyFill="1" applyBorder="1" applyAlignment="1" applyProtection="1">
      <alignment horizontal="right"/>
      <protection locked="0"/>
    </xf>
    <xf numFmtId="182" fontId="31" fillId="8" borderId="1" xfId="18" applyNumberFormat="1" applyFont="1" applyFill="1" applyBorder="1" applyAlignment="1" applyProtection="1">
      <alignment horizontal="right"/>
      <protection locked="0"/>
    </xf>
    <xf numFmtId="10" fontId="31" fillId="8" borderId="1" xfId="18" applyNumberFormat="1" applyFont="1" applyFill="1" applyBorder="1" applyAlignment="1" applyProtection="1">
      <alignment horizontal="right"/>
      <protection locked="0"/>
    </xf>
    <xf numFmtId="9" fontId="29" fillId="0" borderId="0" xfId="5" applyNumberFormat="1" applyFont="1"/>
    <xf numFmtId="0" fontId="54" fillId="0" borderId="0" xfId="5" applyFont="1"/>
    <xf numFmtId="0" fontId="69" fillId="12" borderId="76" xfId="0" applyFont="1" applyFill="1" applyBorder="1" applyAlignment="1">
      <alignment vertical="top" wrapText="1"/>
    </xf>
    <xf numFmtId="9" fontId="29" fillId="6" borderId="89" xfId="3" applyFont="1" applyFill="1" applyBorder="1" applyAlignment="1">
      <alignment horizontal="center" wrapText="1"/>
    </xf>
    <xf numFmtId="165" fontId="29" fillId="6" borderId="89" xfId="0" applyNumberFormat="1" applyFont="1" applyFill="1" applyBorder="1" applyAlignment="1">
      <alignment horizontal="center"/>
    </xf>
    <xf numFmtId="0" fontId="29" fillId="6" borderId="90" xfId="0" applyFont="1" applyFill="1" applyBorder="1" applyAlignment="1">
      <alignment horizontal="center"/>
    </xf>
    <xf numFmtId="0" fontId="31" fillId="0" borderId="0" xfId="0" applyFont="1" applyAlignment="1">
      <alignment vertical="top"/>
    </xf>
    <xf numFmtId="165" fontId="31" fillId="8" borderId="4" xfId="0" applyNumberFormat="1" applyFont="1" applyFill="1" applyBorder="1" applyAlignment="1" applyProtection="1">
      <alignment horizontal="center" vertical="top"/>
      <protection locked="0"/>
    </xf>
    <xf numFmtId="42" fontId="31" fillId="8" borderId="50" xfId="0" applyNumberFormat="1" applyFont="1" applyFill="1" applyBorder="1" applyAlignment="1" applyProtection="1">
      <alignment horizontal="center" vertical="top"/>
      <protection locked="0"/>
    </xf>
    <xf numFmtId="165" fontId="31" fillId="8" borderId="1" xfId="0" applyNumberFormat="1" applyFont="1" applyFill="1" applyBorder="1" applyAlignment="1" applyProtection="1">
      <alignment horizontal="center" vertical="top"/>
      <protection locked="0"/>
    </xf>
    <xf numFmtId="42" fontId="31" fillId="8" borderId="47" xfId="0" applyNumberFormat="1" applyFont="1" applyFill="1" applyBorder="1" applyAlignment="1" applyProtection="1">
      <alignment horizontal="left" vertical="top" wrapText="1"/>
      <protection locked="0"/>
    </xf>
    <xf numFmtId="42" fontId="31" fillId="8" borderId="47" xfId="0" applyNumberFormat="1" applyFont="1" applyFill="1" applyBorder="1" applyAlignment="1" applyProtection="1">
      <alignment vertical="top" wrapText="1"/>
      <protection locked="0"/>
    </xf>
    <xf numFmtId="0" fontId="29" fillId="0" borderId="0" xfId="0" applyFont="1" applyAlignment="1">
      <alignment vertical="top"/>
    </xf>
    <xf numFmtId="165" fontId="114" fillId="6" borderId="1" xfId="0" applyNumberFormat="1" applyFont="1" applyFill="1" applyBorder="1" applyAlignment="1">
      <alignment horizontal="center"/>
    </xf>
    <xf numFmtId="42" fontId="114" fillId="6" borderId="47" xfId="0" applyNumberFormat="1" applyFont="1" applyFill="1" applyBorder="1" applyAlignment="1">
      <alignment horizontal="center"/>
    </xf>
    <xf numFmtId="42" fontId="29" fillId="6" borderId="47" xfId="0" applyNumberFormat="1" applyFont="1" applyFill="1" applyBorder="1"/>
    <xf numFmtId="0" fontId="69" fillId="12" borderId="91" xfId="0" applyFont="1" applyFill="1" applyBorder="1" applyAlignment="1">
      <alignment vertical="top" wrapText="1"/>
    </xf>
    <xf numFmtId="0" fontId="131" fillId="12" borderId="92" xfId="0" applyFont="1" applyFill="1" applyBorder="1" applyAlignment="1">
      <alignment horizontal="right" vertical="top" wrapText="1"/>
    </xf>
    <xf numFmtId="9" fontId="131" fillId="12" borderId="92" xfId="3" applyFont="1" applyFill="1" applyBorder="1" applyAlignment="1">
      <alignment horizontal="center" vertical="center" wrapText="1"/>
    </xf>
    <xf numFmtId="165" fontId="131" fillId="12" borderId="92" xfId="0" applyNumberFormat="1" applyFont="1" applyFill="1" applyBorder="1" applyAlignment="1">
      <alignment horizontal="center" vertical="center" wrapText="1"/>
    </xf>
    <xf numFmtId="6" fontId="131" fillId="12" borderId="93" xfId="0" applyNumberFormat="1" applyFont="1" applyFill="1" applyBorder="1" applyAlignment="1">
      <alignment horizontal="center" vertical="center"/>
    </xf>
    <xf numFmtId="165" fontId="29" fillId="0" borderId="1" xfId="0" applyNumberFormat="1" applyFont="1" applyBorder="1" applyAlignment="1">
      <alignment horizontal="center"/>
    </xf>
    <xf numFmtId="9" fontId="31" fillId="0" borderId="0" xfId="0" applyNumberFormat="1" applyFont="1" applyAlignment="1">
      <alignment wrapText="1"/>
    </xf>
    <xf numFmtId="165" fontId="31" fillId="0" borderId="0" xfId="0" applyNumberFormat="1" applyFont="1" applyAlignment="1">
      <alignment horizontal="right"/>
    </xf>
    <xf numFmtId="9" fontId="29" fillId="6" borderId="95" xfId="0" applyNumberFormat="1" applyFont="1" applyFill="1" applyBorder="1" applyAlignment="1">
      <alignment horizontal="center" vertical="center" wrapText="1"/>
    </xf>
    <xf numFmtId="165" fontId="29" fillId="6" borderId="96" xfId="0" applyNumberFormat="1" applyFont="1" applyFill="1" applyBorder="1" applyAlignment="1">
      <alignment horizontal="center" vertical="center" wrapText="1"/>
    </xf>
    <xf numFmtId="0" fontId="29" fillId="6" borderId="14" xfId="0" applyFont="1" applyFill="1" applyBorder="1" applyAlignment="1">
      <alignment horizontal="center" vertical="center" wrapText="1"/>
    </xf>
    <xf numFmtId="0" fontId="69" fillId="6" borderId="97" xfId="0" applyFont="1" applyFill="1" applyBorder="1" applyAlignment="1">
      <alignment vertical="center"/>
    </xf>
    <xf numFmtId="0" fontId="132" fillId="6" borderId="72" xfId="0" applyFont="1" applyFill="1" applyBorder="1" applyAlignment="1">
      <alignment vertical="center"/>
    </xf>
    <xf numFmtId="9" fontId="69" fillId="6" borderId="54" xfId="0" applyNumberFormat="1" applyFont="1" applyFill="1" applyBorder="1" applyAlignment="1">
      <alignment horizontal="center" vertical="center" wrapText="1"/>
    </xf>
    <xf numFmtId="6" fontId="132" fillId="6" borderId="98" xfId="0" applyNumberFormat="1" applyFont="1" applyFill="1" applyBorder="1" applyAlignment="1">
      <alignment horizontal="left" vertical="center" wrapText="1"/>
    </xf>
    <xf numFmtId="44" fontId="31" fillId="0" borderId="0" xfId="0" applyNumberFormat="1" applyFont="1"/>
    <xf numFmtId="0" fontId="69" fillId="0" borderId="62" xfId="0" applyFont="1" applyBorder="1" applyAlignment="1">
      <alignment vertical="center" wrapText="1"/>
    </xf>
    <xf numFmtId="9" fontId="69" fillId="6" borderId="1" xfId="0" applyNumberFormat="1" applyFont="1" applyFill="1" applyBorder="1" applyAlignment="1">
      <alignment horizontal="center" vertical="center" wrapText="1"/>
    </xf>
    <xf numFmtId="6" fontId="132" fillId="6" borderId="48" xfId="0" applyNumberFormat="1" applyFont="1" applyFill="1" applyBorder="1" applyAlignment="1">
      <alignment vertical="center" wrapText="1"/>
    </xf>
    <xf numFmtId="6" fontId="132" fillId="6" borderId="47" xfId="0" applyNumberFormat="1" applyFont="1" applyFill="1" applyBorder="1" applyAlignment="1">
      <alignment vertical="center" wrapText="1"/>
    </xf>
    <xf numFmtId="6" fontId="132" fillId="6" borderId="80" xfId="0" applyNumberFormat="1" applyFont="1" applyFill="1" applyBorder="1" applyAlignment="1">
      <alignment vertical="center" wrapText="1"/>
    </xf>
    <xf numFmtId="0" fontId="69" fillId="6" borderId="55" xfId="0" applyFont="1" applyFill="1" applyBorder="1" applyAlignment="1">
      <alignment vertical="top" wrapText="1"/>
    </xf>
    <xf numFmtId="0" fontId="114" fillId="6" borderId="81" xfId="0" applyFont="1" applyFill="1" applyBorder="1" applyAlignment="1">
      <alignment horizontal="right" vertical="top" wrapText="1"/>
    </xf>
    <xf numFmtId="6" fontId="132" fillId="6" borderId="90" xfId="0" applyNumberFormat="1" applyFont="1" applyFill="1" applyBorder="1" applyAlignment="1">
      <alignment horizontal="left" vertical="center" wrapText="1"/>
    </xf>
    <xf numFmtId="6" fontId="132" fillId="6" borderId="90" xfId="0" applyNumberFormat="1" applyFont="1" applyFill="1" applyBorder="1" applyAlignment="1">
      <alignment horizontal="center" vertical="center" wrapText="1"/>
    </xf>
    <xf numFmtId="0" fontId="31" fillId="0" borderId="28" xfId="0" applyFont="1" applyBorder="1"/>
    <xf numFmtId="9" fontId="31" fillId="0" borderId="0" xfId="0" applyNumberFormat="1" applyFont="1" applyAlignment="1" applyProtection="1">
      <alignment wrapText="1"/>
      <protection locked="0"/>
    </xf>
    <xf numFmtId="165" fontId="31" fillId="0" borderId="0" xfId="0" applyNumberFormat="1" applyFont="1" applyAlignment="1" applyProtection="1">
      <alignment horizontal="right"/>
      <protection locked="0"/>
    </xf>
    <xf numFmtId="0" fontId="31" fillId="0" borderId="39" xfId="0" applyFont="1" applyBorder="1"/>
    <xf numFmtId="9" fontId="29" fillId="6" borderId="95" xfId="0" applyNumberFormat="1" applyFont="1" applyFill="1" applyBorder="1" applyAlignment="1" applyProtection="1">
      <alignment horizontal="center" vertical="center" wrapText="1"/>
      <protection locked="0"/>
    </xf>
    <xf numFmtId="165" fontId="29" fillId="6" borderId="96" xfId="0" applyNumberFormat="1" applyFont="1" applyFill="1" applyBorder="1" applyAlignment="1" applyProtection="1">
      <alignment horizontal="center" vertical="center" wrapText="1"/>
      <protection locked="0"/>
    </xf>
    <xf numFmtId="9" fontId="69" fillId="8" borderId="4" xfId="3" applyFont="1" applyFill="1" applyBorder="1" applyAlignment="1" applyProtection="1">
      <alignment horizontal="center"/>
      <protection locked="0"/>
    </xf>
    <xf numFmtId="165" fontId="69" fillId="3" borderId="4" xfId="6" applyNumberFormat="1" applyFont="1" applyFill="1" applyBorder="1" applyAlignment="1">
      <alignment horizontal="center"/>
    </xf>
    <xf numFmtId="9" fontId="69" fillId="8" borderId="7" xfId="3" applyFont="1" applyFill="1" applyBorder="1" applyAlignment="1" applyProtection="1">
      <alignment horizontal="center"/>
      <protection locked="0"/>
    </xf>
    <xf numFmtId="165" fontId="69" fillId="3" borderId="7" xfId="6" applyNumberFormat="1" applyFont="1" applyFill="1" applyBorder="1" applyAlignment="1">
      <alignment horizontal="center"/>
    </xf>
    <xf numFmtId="9" fontId="114" fillId="6" borderId="89" xfId="0" applyNumberFormat="1" applyFont="1" applyFill="1" applyBorder="1" applyAlignment="1">
      <alignment horizontal="center" vertical="center" wrapText="1"/>
    </xf>
    <xf numFmtId="165" fontId="114" fillId="6" borderId="89" xfId="0" applyNumberFormat="1" applyFont="1" applyFill="1" applyBorder="1" applyAlignment="1">
      <alignment horizontal="center" vertical="center"/>
    </xf>
    <xf numFmtId="6" fontId="69" fillId="6" borderId="90" xfId="0" applyNumberFormat="1" applyFont="1" applyFill="1" applyBorder="1" applyAlignment="1">
      <alignment horizontal="left" vertical="center" wrapText="1"/>
    </xf>
    <xf numFmtId="0" fontId="69" fillId="12" borderId="40" xfId="0" applyFont="1" applyFill="1" applyBorder="1" applyAlignment="1">
      <alignment vertical="top" wrapText="1"/>
    </xf>
    <xf numFmtId="0" fontId="131" fillId="12" borderId="74" xfId="0" applyFont="1" applyFill="1" applyBorder="1" applyAlignment="1">
      <alignment horizontal="right" vertical="top" wrapText="1"/>
    </xf>
    <xf numFmtId="9" fontId="131" fillId="12" borderId="92" xfId="0" applyNumberFormat="1" applyFont="1" applyFill="1" applyBorder="1" applyAlignment="1">
      <alignment horizontal="center" vertical="center" wrapText="1"/>
    </xf>
    <xf numFmtId="165" fontId="131" fillId="12" borderId="92" xfId="0" applyNumberFormat="1" applyFont="1" applyFill="1" applyBorder="1" applyAlignment="1">
      <alignment horizontal="center" vertical="center"/>
    </xf>
    <xf numFmtId="6" fontId="111" fillId="12" borderId="93" xfId="0" applyNumberFormat="1" applyFont="1" applyFill="1" applyBorder="1" applyAlignment="1">
      <alignment horizontal="center" vertical="center" wrapText="1"/>
    </xf>
    <xf numFmtId="0" fontId="29" fillId="6" borderId="90" xfId="0" applyFont="1" applyFill="1" applyBorder="1"/>
    <xf numFmtId="0" fontId="31" fillId="0" borderId="15" xfId="0" applyFont="1" applyBorder="1" applyAlignment="1">
      <alignment wrapText="1"/>
    </xf>
    <xf numFmtId="165" fontId="31" fillId="0" borderId="4" xfId="0" applyNumberFormat="1" applyFont="1" applyBorder="1" applyAlignment="1">
      <alignment horizontal="right"/>
    </xf>
    <xf numFmtId="165" fontId="31" fillId="0" borderId="4" xfId="0" applyNumberFormat="1" applyFont="1" applyBorder="1" applyAlignment="1">
      <alignment horizontal="center"/>
    </xf>
    <xf numFmtId="0" fontId="31" fillId="8" borderId="50" xfId="0" applyFont="1" applyFill="1" applyBorder="1" applyProtection="1">
      <protection locked="0"/>
    </xf>
    <xf numFmtId="0" fontId="31" fillId="0" borderId="8" xfId="0" applyFont="1" applyBorder="1" applyAlignment="1">
      <alignment horizontal="center" wrapText="1"/>
    </xf>
    <xf numFmtId="0" fontId="31" fillId="0" borderId="6" xfId="0" applyFont="1" applyBorder="1"/>
    <xf numFmtId="165" fontId="31" fillId="0" borderId="1" xfId="0" applyNumberFormat="1" applyFont="1" applyBorder="1" applyAlignment="1">
      <alignment horizontal="right"/>
    </xf>
    <xf numFmtId="165" fontId="31" fillId="0" borderId="1" xfId="0" applyNumberFormat="1" applyFont="1" applyBorder="1" applyAlignment="1">
      <alignment horizontal="center"/>
    </xf>
    <xf numFmtId="0" fontId="31" fillId="0" borderId="9" xfId="0" applyFont="1" applyBorder="1"/>
    <xf numFmtId="165" fontId="31" fillId="0" borderId="3" xfId="0" applyNumberFormat="1" applyFont="1" applyBorder="1" applyAlignment="1">
      <alignment horizontal="right"/>
    </xf>
    <xf numFmtId="165" fontId="31" fillId="0" borderId="3" xfId="0" applyNumberFormat="1" applyFont="1" applyBorder="1" applyAlignment="1">
      <alignment horizontal="center"/>
    </xf>
    <xf numFmtId="0" fontId="31" fillId="6" borderId="55" xfId="0" applyFont="1" applyFill="1" applyBorder="1"/>
    <xf numFmtId="0" fontId="31" fillId="6" borderId="81" xfId="0" applyFont="1" applyFill="1" applyBorder="1"/>
    <xf numFmtId="165" fontId="31" fillId="6" borderId="81" xfId="0" applyNumberFormat="1" applyFont="1" applyFill="1" applyBorder="1" applyAlignment="1">
      <alignment horizontal="center"/>
    </xf>
    <xf numFmtId="165" fontId="29" fillId="6" borderId="81" xfId="0" applyNumberFormat="1" applyFont="1" applyFill="1" applyBorder="1" applyAlignment="1">
      <alignment horizontal="center"/>
    </xf>
    <xf numFmtId="6" fontId="114" fillId="6" borderId="90" xfId="0" applyNumberFormat="1" applyFont="1" applyFill="1" applyBorder="1" applyAlignment="1">
      <alignment vertical="center"/>
    </xf>
    <xf numFmtId="0" fontId="31" fillId="0" borderId="4" xfId="0" applyFont="1" applyBorder="1"/>
    <xf numFmtId="10" fontId="31" fillId="0" borderId="7" xfId="3" applyNumberFormat="1" applyFont="1" applyFill="1" applyBorder="1" applyAlignment="1">
      <alignment horizontal="right"/>
    </xf>
    <xf numFmtId="171" fontId="31" fillId="0" borderId="1" xfId="0" applyNumberFormat="1" applyFont="1" applyBorder="1" applyAlignment="1">
      <alignment horizontal="right"/>
    </xf>
    <xf numFmtId="179" fontId="31" fillId="0" borderId="0" xfId="6" applyNumberFormat="1" applyFont="1"/>
    <xf numFmtId="179" fontId="31" fillId="0" borderId="0" xfId="0" applyNumberFormat="1" applyFont="1"/>
    <xf numFmtId="9" fontId="31" fillId="0" borderId="1" xfId="3" applyFont="1" applyFill="1" applyBorder="1" applyAlignment="1">
      <alignment horizontal="center"/>
    </xf>
    <xf numFmtId="0" fontId="31" fillId="0" borderId="1" xfId="1" applyNumberFormat="1" applyFont="1" applyBorder="1" applyAlignment="1"/>
    <xf numFmtId="165" fontId="31" fillId="0" borderId="1" xfId="1" applyNumberFormat="1" applyFont="1" applyFill="1" applyBorder="1" applyAlignment="1">
      <alignment horizontal="right"/>
    </xf>
    <xf numFmtId="165" fontId="31" fillId="0" borderId="1" xfId="1" applyNumberFormat="1" applyFont="1" applyFill="1" applyBorder="1" applyAlignment="1">
      <alignment horizontal="center"/>
    </xf>
    <xf numFmtId="165" fontId="31" fillId="0" borderId="0" xfId="0" applyNumberFormat="1" applyFont="1"/>
    <xf numFmtId="0" fontId="31" fillId="0" borderId="3" xfId="1" applyNumberFormat="1" applyFont="1" applyBorder="1" applyAlignment="1"/>
    <xf numFmtId="171" fontId="31" fillId="0" borderId="3" xfId="0" applyNumberFormat="1" applyFont="1" applyBorder="1" applyAlignment="1">
      <alignment horizontal="right"/>
    </xf>
    <xf numFmtId="0" fontId="31" fillId="0" borderId="3" xfId="1" applyNumberFormat="1" applyFont="1" applyFill="1" applyBorder="1" applyAlignment="1">
      <alignment horizontal="center"/>
    </xf>
    <xf numFmtId="165" fontId="29" fillId="6" borderId="89" xfId="1" applyNumberFormat="1" applyFont="1" applyFill="1" applyBorder="1" applyAlignment="1">
      <alignment horizontal="center"/>
    </xf>
    <xf numFmtId="179" fontId="31" fillId="0" borderId="0" xfId="6" applyNumberFormat="1" applyFont="1" applyFill="1" applyBorder="1"/>
    <xf numFmtId="0" fontId="29" fillId="0" borderId="8" xfId="0" applyFont="1" applyBorder="1" applyAlignment="1">
      <alignment horizontal="center"/>
    </xf>
    <xf numFmtId="165" fontId="29" fillId="6" borderId="53" xfId="0" applyNumberFormat="1" applyFont="1" applyFill="1" applyBorder="1" applyAlignment="1">
      <alignment horizontal="center"/>
    </xf>
    <xf numFmtId="166" fontId="31" fillId="0" borderId="1" xfId="1" applyNumberFormat="1" applyFont="1" applyBorder="1" applyAlignment="1"/>
    <xf numFmtId="165" fontId="31" fillId="0" borderId="8" xfId="6" applyNumberFormat="1" applyFont="1" applyBorder="1" applyAlignment="1">
      <alignment horizontal="center"/>
    </xf>
    <xf numFmtId="165" fontId="31" fillId="0" borderId="1" xfId="6" applyNumberFormat="1" applyFont="1" applyBorder="1" applyAlignment="1">
      <alignment horizontal="center"/>
    </xf>
    <xf numFmtId="165" fontId="69" fillId="0" borderId="8" xfId="6" applyNumberFormat="1" applyFont="1" applyBorder="1" applyAlignment="1">
      <alignment horizontal="center"/>
    </xf>
    <xf numFmtId="165" fontId="69" fillId="0" borderId="1" xfId="6" applyNumberFormat="1" applyFont="1" applyBorder="1" applyAlignment="1">
      <alignment horizontal="center"/>
    </xf>
    <xf numFmtId="0" fontId="31" fillId="0" borderId="3" xfId="1" applyNumberFormat="1" applyFont="1" applyFill="1" applyBorder="1"/>
    <xf numFmtId="0" fontId="31" fillId="0" borderId="3" xfId="0" applyFont="1" applyBorder="1"/>
    <xf numFmtId="166" fontId="31" fillId="0" borderId="0" xfId="1" applyNumberFormat="1" applyFont="1" applyFill="1"/>
    <xf numFmtId="165" fontId="31" fillId="0" borderId="0" xfId="1" applyNumberFormat="1" applyFont="1" applyAlignment="1">
      <alignment horizontal="right"/>
    </xf>
    <xf numFmtId="0" fontId="31" fillId="4" borderId="55" xfId="0" applyFont="1" applyFill="1" applyBorder="1"/>
    <xf numFmtId="165" fontId="29" fillId="4" borderId="89" xfId="0" applyNumberFormat="1" applyFont="1" applyFill="1" applyBorder="1" applyAlignment="1">
      <alignment horizontal="center"/>
    </xf>
    <xf numFmtId="0" fontId="31" fillId="4" borderId="90" xfId="0" applyFont="1" applyFill="1" applyBorder="1"/>
    <xf numFmtId="0" fontId="131" fillId="12" borderId="0" xfId="0" applyFont="1" applyFill="1" applyAlignment="1">
      <alignment horizontal="center"/>
    </xf>
    <xf numFmtId="165" fontId="131" fillId="12" borderId="0" xfId="0" applyNumberFormat="1" applyFont="1" applyFill="1" applyAlignment="1">
      <alignment horizontal="center"/>
    </xf>
    <xf numFmtId="9" fontId="69" fillId="3" borderId="4" xfId="3" applyFont="1" applyFill="1" applyBorder="1" applyAlignment="1" applyProtection="1">
      <alignment horizontal="center" vertical="center"/>
    </xf>
    <xf numFmtId="9" fontId="69" fillId="3" borderId="1" xfId="3" applyFont="1" applyFill="1" applyBorder="1" applyAlignment="1" applyProtection="1">
      <alignment horizontal="center" vertical="center"/>
    </xf>
    <xf numFmtId="9" fontId="69" fillId="3" borderId="3" xfId="3" applyFont="1" applyFill="1" applyBorder="1" applyAlignment="1" applyProtection="1">
      <alignment horizontal="center" vertical="center"/>
    </xf>
    <xf numFmtId="165" fontId="69" fillId="6" borderId="1" xfId="0" applyNumberFormat="1" applyFont="1" applyFill="1" applyBorder="1" applyAlignment="1">
      <alignment horizontal="center" vertical="center"/>
    </xf>
    <xf numFmtId="9" fontId="69" fillId="6" borderId="92" xfId="0" applyNumberFormat="1" applyFont="1" applyFill="1" applyBorder="1" applyAlignment="1">
      <alignment horizontal="center" vertical="center" wrapText="1"/>
    </xf>
    <xf numFmtId="165" fontId="69" fillId="6" borderId="92" xfId="0" applyNumberFormat="1" applyFont="1" applyFill="1" applyBorder="1" applyAlignment="1">
      <alignment horizontal="center" vertical="center"/>
    </xf>
    <xf numFmtId="165" fontId="69" fillId="3" borderId="4" xfId="0" applyNumberFormat="1" applyFont="1" applyFill="1" applyBorder="1" applyAlignment="1">
      <alignment horizontal="center" vertical="center"/>
    </xf>
    <xf numFmtId="165" fontId="69" fillId="3" borderId="1" xfId="0" applyNumberFormat="1" applyFont="1" applyFill="1" applyBorder="1" applyAlignment="1">
      <alignment horizontal="center" vertical="center"/>
    </xf>
    <xf numFmtId="165" fontId="69" fillId="3" borderId="3" xfId="0" applyNumberFormat="1" applyFont="1" applyFill="1" applyBorder="1" applyAlignment="1">
      <alignment horizontal="center" vertical="center"/>
    </xf>
    <xf numFmtId="0" fontId="69" fillId="0" borderId="1" xfId="0" applyFont="1" applyBorder="1" applyAlignment="1">
      <alignment horizontal="left" vertical="top" wrapText="1"/>
    </xf>
    <xf numFmtId="9" fontId="31" fillId="0" borderId="4" xfId="3" applyFont="1" applyBorder="1" applyAlignment="1" applyProtection="1">
      <alignment horizontal="center" vertical="top" wrapText="1"/>
    </xf>
    <xf numFmtId="0" fontId="31" fillId="3" borderId="1" xfId="0" applyFont="1" applyFill="1" applyBorder="1" applyAlignment="1">
      <alignment horizontal="left" vertical="top" wrapText="1"/>
    </xf>
    <xf numFmtId="0" fontId="69" fillId="0" borderId="1" xfId="0" applyFont="1" applyBorder="1" applyAlignment="1">
      <alignment horizontal="left" vertical="top"/>
    </xf>
    <xf numFmtId="9" fontId="114" fillId="6" borderId="1" xfId="3" applyFont="1" applyFill="1" applyBorder="1" applyAlignment="1" applyProtection="1">
      <alignment horizontal="center" wrapText="1"/>
    </xf>
    <xf numFmtId="9" fontId="29" fillId="6" borderId="1" xfId="3" applyFont="1" applyFill="1" applyBorder="1" applyAlignment="1" applyProtection="1">
      <alignment horizontal="center" wrapText="1"/>
    </xf>
    <xf numFmtId="0" fontId="29" fillId="8" borderId="1" xfId="5" applyFont="1" applyFill="1" applyBorder="1" applyAlignment="1" applyProtection="1">
      <alignment horizontal="left"/>
      <protection locked="0"/>
    </xf>
    <xf numFmtId="10" fontId="31" fillId="8" borderId="1" xfId="3" applyNumberFormat="1" applyFont="1" applyFill="1" applyBorder="1" applyAlignment="1" applyProtection="1">
      <protection locked="0"/>
    </xf>
    <xf numFmtId="49" fontId="31" fillId="8" borderId="1" xfId="18" applyNumberFormat="1" applyFont="1" applyFill="1" applyBorder="1" applyAlignment="1" applyProtection="1">
      <protection locked="0"/>
    </xf>
    <xf numFmtId="0" fontId="31" fillId="3" borderId="1" xfId="0" applyFont="1" applyFill="1" applyBorder="1" applyAlignment="1">
      <alignment horizontal="center"/>
    </xf>
    <xf numFmtId="0" fontId="31" fillId="0" borderId="8" xfId="0" applyFont="1" applyBorder="1" applyAlignment="1">
      <alignment horizontal="center"/>
    </xf>
    <xf numFmtId="165" fontId="69" fillId="6" borderId="1" xfId="0" applyNumberFormat="1" applyFont="1" applyFill="1" applyBorder="1" applyAlignment="1">
      <alignment horizontal="center" vertical="center" wrapText="1"/>
    </xf>
    <xf numFmtId="9" fontId="69" fillId="8" borderId="1" xfId="3" applyFont="1" applyFill="1" applyBorder="1" applyAlignment="1" applyProtection="1">
      <alignment horizontal="center" vertical="center" wrapText="1"/>
      <protection locked="0"/>
    </xf>
    <xf numFmtId="1" fontId="31" fillId="8" borderId="1" xfId="18" applyNumberFormat="1" applyFont="1" applyFill="1" applyBorder="1" applyAlignment="1" applyProtection="1">
      <alignment horizontal="right"/>
      <protection locked="0"/>
    </xf>
    <xf numFmtId="183" fontId="31" fillId="8" borderId="1" xfId="11" applyNumberFormat="1" applyFont="1" applyFill="1" applyBorder="1" applyAlignment="1" applyProtection="1">
      <alignment horizontal="right"/>
      <protection locked="0"/>
    </xf>
    <xf numFmtId="184" fontId="31" fillId="0" borderId="1" xfId="0" applyNumberFormat="1" applyFont="1" applyBorder="1" applyAlignment="1">
      <alignment horizontal="center"/>
    </xf>
    <xf numFmtId="6" fontId="69" fillId="8" borderId="1" xfId="0" applyNumberFormat="1" applyFont="1" applyFill="1" applyBorder="1" applyAlignment="1" applyProtection="1">
      <alignment horizontal="center" vertical="center" wrapText="1"/>
      <protection locked="0"/>
    </xf>
    <xf numFmtId="0" fontId="32" fillId="8" borderId="48" xfId="0" applyFont="1" applyFill="1" applyBorder="1" applyAlignment="1" applyProtection="1">
      <alignment horizontal="left" vertical="center" wrapText="1"/>
      <protection locked="0"/>
    </xf>
    <xf numFmtId="6" fontId="132" fillId="8" borderId="98" xfId="0" applyNumberFormat="1" applyFont="1" applyFill="1" applyBorder="1" applyAlignment="1" applyProtection="1">
      <alignment horizontal="left" vertical="center" wrapText="1"/>
      <protection locked="0"/>
    </xf>
    <xf numFmtId="9" fontId="6" fillId="0" borderId="0" xfId="0" applyNumberFormat="1" applyFont="1"/>
    <xf numFmtId="0" fontId="22" fillId="3" borderId="6" xfId="0" applyFont="1" applyFill="1" applyBorder="1" applyAlignment="1" applyProtection="1">
      <alignment wrapText="1"/>
      <protection locked="0"/>
    </xf>
    <xf numFmtId="0" fontId="22" fillId="20" borderId="3" xfId="0" applyFont="1" applyFill="1" applyBorder="1" applyAlignment="1">
      <alignment vertical="top" wrapText="1"/>
    </xf>
    <xf numFmtId="166" fontId="0" fillId="5" borderId="0" xfId="0" applyNumberFormat="1" applyFill="1"/>
    <xf numFmtId="10" fontId="6" fillId="0" borderId="0" xfId="3" applyNumberFormat="1" applyFont="1"/>
    <xf numFmtId="2" fontId="0" fillId="0" borderId="0" xfId="0" applyNumberFormat="1"/>
    <xf numFmtId="186" fontId="6" fillId="0" borderId="0" xfId="3" applyNumberFormat="1" applyFont="1" applyAlignment="1">
      <alignment horizontal="right"/>
    </xf>
    <xf numFmtId="0" fontId="114" fillId="0" borderId="0" xfId="0" applyFont="1" applyAlignment="1">
      <alignment vertical="top"/>
    </xf>
    <xf numFmtId="14" fontId="31" fillId="0" borderId="0" xfId="0" applyNumberFormat="1" applyFont="1" applyAlignment="1">
      <alignment horizontal="center" vertical="top"/>
    </xf>
    <xf numFmtId="0" fontId="52" fillId="0" borderId="0" xfId="0" applyFont="1" applyAlignment="1">
      <alignment vertical="top"/>
    </xf>
    <xf numFmtId="0" fontId="131" fillId="12" borderId="0" xfId="0" applyFont="1" applyFill="1" applyAlignment="1">
      <alignment vertical="top"/>
    </xf>
    <xf numFmtId="0" fontId="134" fillId="12" borderId="0" xfId="0" applyFont="1" applyFill="1" applyAlignment="1">
      <alignment vertical="top"/>
    </xf>
    <xf numFmtId="0" fontId="69" fillId="0" borderId="0" xfId="0" applyFont="1" applyAlignment="1">
      <alignment vertical="top"/>
    </xf>
    <xf numFmtId="0" fontId="114" fillId="0" borderId="12" xfId="0" applyFont="1" applyBorder="1" applyAlignment="1">
      <alignment vertical="top"/>
    </xf>
    <xf numFmtId="0" fontId="137" fillId="12" borderId="0" xfId="0" applyFont="1" applyFill="1" applyAlignment="1">
      <alignment vertical="top"/>
    </xf>
    <xf numFmtId="41" fontId="52" fillId="0" borderId="0" xfId="20" applyNumberFormat="1" applyFont="1" applyFill="1" applyBorder="1" applyAlignment="1">
      <alignment vertical="top"/>
    </xf>
    <xf numFmtId="0" fontId="29" fillId="0" borderId="3" xfId="0" applyFont="1" applyBorder="1" applyAlignment="1">
      <alignment vertical="top"/>
    </xf>
    <xf numFmtId="0" fontId="29" fillId="0" borderId="3" xfId="0" applyFont="1" applyBorder="1" applyAlignment="1">
      <alignment horizontal="center" vertical="top"/>
    </xf>
    <xf numFmtId="0" fontId="29" fillId="0" borderId="7" xfId="0" applyFont="1" applyBorder="1" applyAlignment="1">
      <alignment horizontal="center" vertical="top"/>
    </xf>
    <xf numFmtId="10" fontId="31" fillId="0" borderId="0" xfId="3" applyNumberFormat="1" applyFont="1" applyAlignment="1">
      <alignment vertical="top"/>
    </xf>
    <xf numFmtId="0" fontId="29" fillId="0" borderId="4" xfId="0" applyFont="1" applyBorder="1" applyAlignment="1">
      <alignment horizontal="center" vertical="top"/>
    </xf>
    <xf numFmtId="0" fontId="6" fillId="0" borderId="0" xfId="0" applyFont="1" applyAlignment="1">
      <alignment vertical="top"/>
    </xf>
    <xf numFmtId="0" fontId="31" fillId="0" borderId="0" xfId="0" applyFont="1" applyAlignment="1">
      <alignment horizontal="right" vertical="top"/>
    </xf>
    <xf numFmtId="10" fontId="31" fillId="0" borderId="1" xfId="3" applyNumberFormat="1" applyFont="1" applyBorder="1" applyAlignment="1">
      <alignment horizontal="center" vertical="top"/>
    </xf>
    <xf numFmtId="10" fontId="31" fillId="0" borderId="1" xfId="0" applyNumberFormat="1" applyFont="1" applyBorder="1" applyAlignment="1">
      <alignment horizontal="center" vertical="top"/>
    </xf>
    <xf numFmtId="0" fontId="6" fillId="0" borderId="0" xfId="0" applyFont="1" applyAlignment="1">
      <alignment horizontal="right" vertical="top"/>
    </xf>
    <xf numFmtId="43" fontId="29" fillId="0" borderId="3" xfId="20" applyNumberFormat="1" applyFont="1" applyBorder="1" applyAlignment="1">
      <alignment vertical="top"/>
    </xf>
    <xf numFmtId="43" fontId="31" fillId="0" borderId="0" xfId="20" applyNumberFormat="1" applyFont="1" applyAlignment="1">
      <alignment vertical="top"/>
    </xf>
    <xf numFmtId="41" fontId="31" fillId="0" borderId="7" xfId="20" applyNumberFormat="1" applyFont="1" applyBorder="1" applyAlignment="1">
      <alignment vertical="top"/>
    </xf>
    <xf numFmtId="43" fontId="135" fillId="0" borderId="0" xfId="20" applyNumberFormat="1" applyFont="1" applyAlignment="1">
      <alignment vertical="top"/>
    </xf>
    <xf numFmtId="186" fontId="31" fillId="0" borderId="7" xfId="3" applyNumberFormat="1" applyFont="1" applyBorder="1" applyAlignment="1">
      <alignment horizontal="right" vertical="top"/>
    </xf>
    <xf numFmtId="43" fontId="31" fillId="0" borderId="0" xfId="0" applyNumberFormat="1" applyFont="1" applyAlignment="1">
      <alignment vertical="top"/>
    </xf>
    <xf numFmtId="43" fontId="6" fillId="0" borderId="0" xfId="0" applyNumberFormat="1" applyFont="1" applyAlignment="1">
      <alignment vertical="top"/>
    </xf>
    <xf numFmtId="43" fontId="31" fillId="0" borderId="7" xfId="20" applyNumberFormat="1" applyFont="1" applyBorder="1" applyAlignment="1">
      <alignment vertical="top"/>
    </xf>
    <xf numFmtId="0" fontId="114" fillId="0" borderId="0" xfId="0" applyFont="1" applyAlignment="1">
      <alignment horizontal="right" vertical="top"/>
    </xf>
    <xf numFmtId="186" fontId="31" fillId="0" borderId="0" xfId="3" applyNumberFormat="1" applyFont="1" applyAlignment="1">
      <alignment horizontal="right" vertical="top"/>
    </xf>
    <xf numFmtId="186" fontId="6" fillId="0" borderId="0" xfId="3" applyNumberFormat="1" applyFont="1" applyFill="1" applyAlignment="1">
      <alignment horizontal="right" vertical="top"/>
    </xf>
    <xf numFmtId="0" fontId="31" fillId="0" borderId="7" xfId="0" applyFont="1" applyBorder="1" applyAlignment="1">
      <alignment vertical="top"/>
    </xf>
    <xf numFmtId="43" fontId="138" fillId="12" borderId="0" xfId="0" applyNumberFormat="1" applyFont="1" applyFill="1" applyAlignment="1">
      <alignment vertical="top"/>
    </xf>
    <xf numFmtId="187" fontId="134" fillId="12" borderId="0" xfId="3" applyNumberFormat="1" applyFont="1" applyFill="1" applyBorder="1" applyAlignment="1">
      <alignment vertical="top"/>
    </xf>
    <xf numFmtId="0" fontId="139" fillId="12" borderId="0" xfId="20" applyNumberFormat="1" applyFont="1" applyFill="1" applyAlignment="1">
      <alignment horizontal="left" vertical="top"/>
    </xf>
    <xf numFmtId="0" fontId="134" fillId="12" borderId="7" xfId="0" applyFont="1" applyFill="1" applyBorder="1" applyAlignment="1">
      <alignment vertical="top"/>
    </xf>
    <xf numFmtId="43" fontId="135" fillId="0" borderId="0" xfId="0" applyNumberFormat="1" applyFont="1" applyAlignment="1">
      <alignment vertical="top"/>
    </xf>
    <xf numFmtId="187" fontId="69" fillId="0" borderId="0" xfId="3" applyNumberFormat="1" applyFont="1" applyBorder="1" applyAlignment="1">
      <alignment vertical="top"/>
    </xf>
    <xf numFmtId="0" fontId="136" fillId="0" borderId="0" xfId="20" applyNumberFormat="1" applyFont="1" applyFill="1" applyAlignment="1">
      <alignment horizontal="left" vertical="top"/>
    </xf>
    <xf numFmtId="0" fontId="31" fillId="0" borderId="0" xfId="0" applyFont="1" applyAlignment="1">
      <alignment horizontal="left" vertical="top"/>
    </xf>
    <xf numFmtId="43" fontId="31" fillId="0" borderId="7" xfId="0" applyNumberFormat="1" applyFont="1" applyBorder="1" applyAlignment="1">
      <alignment vertical="top"/>
    </xf>
    <xf numFmtId="43" fontId="135" fillId="0" borderId="7" xfId="20" applyNumberFormat="1" applyFont="1" applyBorder="1" applyAlignment="1">
      <alignment vertical="top"/>
    </xf>
    <xf numFmtId="43" fontId="135" fillId="0" borderId="7" xfId="0" applyNumberFormat="1" applyFont="1" applyBorder="1" applyAlignment="1">
      <alignment vertical="top"/>
    </xf>
    <xf numFmtId="14" fontId="31" fillId="0" borderId="0" xfId="0" applyNumberFormat="1" applyFont="1" applyAlignment="1">
      <alignment vertical="top"/>
    </xf>
    <xf numFmtId="0" fontId="114" fillId="0" borderId="0" xfId="21" applyFont="1"/>
    <xf numFmtId="0" fontId="69" fillId="0" borderId="0" xfId="21" applyFont="1"/>
    <xf numFmtId="0" fontId="69" fillId="0" borderId="9" xfId="21" applyFont="1" applyBorder="1"/>
    <xf numFmtId="43" fontId="69" fillId="0" borderId="16" xfId="21" applyNumberFormat="1" applyFont="1" applyBorder="1"/>
    <xf numFmtId="0" fontId="69" fillId="0" borderId="12" xfId="21" applyFont="1" applyBorder="1"/>
    <xf numFmtId="186" fontId="69" fillId="0" borderId="10" xfId="21" applyNumberFormat="1" applyFont="1" applyBorder="1"/>
    <xf numFmtId="41" fontId="69" fillId="0" borderId="10" xfId="21" applyNumberFormat="1" applyFont="1" applyBorder="1"/>
    <xf numFmtId="41" fontId="69" fillId="0" borderId="0" xfId="21" applyNumberFormat="1" applyFont="1"/>
    <xf numFmtId="0" fontId="69" fillId="0" borderId="15" xfId="21" applyFont="1" applyBorder="1"/>
    <xf numFmtId="43" fontId="69" fillId="0" borderId="11" xfId="21" applyNumberFormat="1" applyFont="1" applyBorder="1"/>
    <xf numFmtId="0" fontId="69" fillId="0" borderId="0" xfId="21" applyFont="1" applyAlignment="1">
      <alignment horizontal="right"/>
    </xf>
    <xf numFmtId="0" fontId="69" fillId="0" borderId="2" xfId="21" applyFont="1" applyBorder="1" applyAlignment="1">
      <alignment horizontal="right"/>
    </xf>
    <xf numFmtId="14" fontId="69" fillId="0" borderId="0" xfId="21" applyNumberFormat="1" applyFont="1"/>
    <xf numFmtId="43" fontId="69" fillId="0" borderId="0" xfId="21" applyNumberFormat="1" applyFont="1"/>
    <xf numFmtId="0" fontId="34" fillId="0" borderId="0" xfId="0" applyFont="1" applyAlignment="1">
      <alignment vertical="top"/>
    </xf>
    <xf numFmtId="188" fontId="31" fillId="0" borderId="7" xfId="20" applyNumberFormat="1" applyFont="1" applyBorder="1" applyAlignment="1">
      <alignment vertical="top"/>
    </xf>
    <xf numFmtId="189" fontId="31" fillId="0" borderId="0" xfId="20" applyNumberFormat="1" applyFont="1" applyAlignment="1">
      <alignment vertical="top"/>
    </xf>
    <xf numFmtId="190" fontId="31" fillId="0" borderId="0" xfId="0" applyNumberFormat="1" applyFont="1" applyAlignment="1">
      <alignment vertical="top"/>
    </xf>
    <xf numFmtId="0" fontId="31" fillId="0" borderId="0" xfId="20" applyNumberFormat="1" applyFont="1" applyFill="1" applyAlignment="1">
      <alignment horizontal="left" vertical="top" indent="1"/>
    </xf>
    <xf numFmtId="0" fontId="31" fillId="0" borderId="0" xfId="0" applyFont="1" applyAlignment="1">
      <alignment horizontal="left" vertical="top" indent="1"/>
    </xf>
    <xf numFmtId="0" fontId="67" fillId="20" borderId="0" xfId="9" applyFont="1" applyFill="1" applyAlignment="1">
      <alignment horizontal="centerContinuous" vertical="center" wrapText="1"/>
    </xf>
    <xf numFmtId="0" fontId="69" fillId="0" borderId="0" xfId="9" applyFont="1" applyAlignment="1">
      <alignment horizontal="left"/>
    </xf>
    <xf numFmtId="9" fontId="66" fillId="0" borderId="1" xfId="3" applyFont="1" applyBorder="1"/>
    <xf numFmtId="9" fontId="66" fillId="0" borderId="1" xfId="9" applyNumberFormat="1" applyFont="1" applyBorder="1"/>
    <xf numFmtId="9" fontId="66" fillId="0" borderId="4" xfId="3" applyFont="1" applyBorder="1"/>
    <xf numFmtId="9" fontId="66" fillId="0" borderId="4" xfId="9" applyNumberFormat="1" applyFont="1" applyBorder="1"/>
    <xf numFmtId="0" fontId="114" fillId="0" borderId="0" xfId="9" applyFont="1" applyAlignment="1">
      <alignment horizontal="center"/>
    </xf>
    <xf numFmtId="164" fontId="69" fillId="0" borderId="1" xfId="3" applyNumberFormat="1" applyFont="1" applyBorder="1"/>
    <xf numFmtId="0" fontId="114" fillId="0" borderId="1" xfId="9" applyFont="1" applyBorder="1" applyAlignment="1">
      <alignment horizontal="center"/>
    </xf>
    <xf numFmtId="0" fontId="47" fillId="0" borderId="0" xfId="19" applyFont="1"/>
    <xf numFmtId="0" fontId="2" fillId="0" borderId="0" xfId="19" applyFont="1"/>
    <xf numFmtId="0" fontId="6" fillId="0" borderId="0" xfId="19"/>
    <xf numFmtId="0" fontId="140" fillId="0" borderId="37" xfId="19" applyFont="1" applyBorder="1"/>
    <xf numFmtId="0" fontId="6" fillId="0" borderId="38" xfId="19" applyBorder="1"/>
    <xf numFmtId="0" fontId="6" fillId="0" borderId="28" xfId="19" applyBorder="1"/>
    <xf numFmtId="43" fontId="6" fillId="0" borderId="39" xfId="19" applyNumberFormat="1" applyBorder="1"/>
    <xf numFmtId="166" fontId="6" fillId="0" borderId="0" xfId="19" applyNumberFormat="1"/>
    <xf numFmtId="166" fontId="0" fillId="0" borderId="0" xfId="6" applyNumberFormat="1" applyFont="1" applyBorder="1"/>
    <xf numFmtId="166" fontId="0" fillId="0" borderId="0" xfId="1" applyNumberFormat="1" applyFont="1" applyBorder="1"/>
    <xf numFmtId="0" fontId="15" fillId="0" borderId="28" xfId="19" applyFont="1" applyBorder="1" applyAlignment="1">
      <alignment horizontal="right"/>
    </xf>
    <xf numFmtId="43" fontId="15" fillId="0" borderId="39" xfId="19" applyNumberFormat="1" applyFont="1" applyBorder="1"/>
    <xf numFmtId="0" fontId="6" fillId="0" borderId="39" xfId="19" applyBorder="1"/>
    <xf numFmtId="186" fontId="0" fillId="0" borderId="39" xfId="3" applyNumberFormat="1" applyFont="1" applyBorder="1"/>
    <xf numFmtId="186" fontId="15" fillId="0" borderId="39" xfId="3" applyNumberFormat="1" applyFont="1" applyBorder="1"/>
    <xf numFmtId="1" fontId="6" fillId="0" borderId="0" xfId="19" applyNumberFormat="1"/>
    <xf numFmtId="1" fontId="2" fillId="0" borderId="0" xfId="19" applyNumberFormat="1" applyFont="1" applyAlignment="1">
      <alignment horizontal="right"/>
    </xf>
    <xf numFmtId="0" fontId="66" fillId="0" borderId="0" xfId="19" applyFont="1"/>
    <xf numFmtId="0" fontId="72" fillId="0" borderId="0" xfId="19" applyFont="1"/>
    <xf numFmtId="166" fontId="0" fillId="0" borderId="0" xfId="6" applyNumberFormat="1" applyFont="1" applyFill="1" applyBorder="1"/>
    <xf numFmtId="179" fontId="6" fillId="0" borderId="0" xfId="6" applyNumberFormat="1" applyFont="1" applyBorder="1"/>
    <xf numFmtId="0" fontId="122" fillId="0" borderId="28" xfId="19" applyFont="1" applyBorder="1"/>
    <xf numFmtId="166" fontId="6" fillId="0" borderId="39" xfId="19" applyNumberFormat="1" applyBorder="1"/>
    <xf numFmtId="164" fontId="0" fillId="0" borderId="5" xfId="3" applyNumberFormat="1" applyFont="1" applyFill="1" applyBorder="1"/>
    <xf numFmtId="166" fontId="6" fillId="0" borderId="5" xfId="19" applyNumberFormat="1" applyBorder="1"/>
    <xf numFmtId="43" fontId="6" fillId="0" borderId="5" xfId="19" applyNumberFormat="1" applyBorder="1"/>
    <xf numFmtId="179" fontId="62" fillId="0" borderId="0" xfId="19" applyNumberFormat="1" applyFont="1"/>
    <xf numFmtId="164" fontId="0" fillId="0" borderId="0" xfId="3" applyNumberFormat="1" applyFont="1" applyFill="1" applyBorder="1"/>
    <xf numFmtId="43" fontId="6" fillId="0" borderId="0" xfId="19" applyNumberFormat="1"/>
    <xf numFmtId="180" fontId="6" fillId="0" borderId="0" xfId="6" applyNumberFormat="1" applyFont="1" applyFill="1" applyBorder="1" applyAlignment="1">
      <alignment horizontal="right"/>
    </xf>
    <xf numFmtId="0" fontId="6" fillId="0" borderId="40" xfId="19" applyBorder="1"/>
    <xf numFmtId="179" fontId="6" fillId="0" borderId="0" xfId="6" applyNumberFormat="1" applyFont="1" applyFill="1" applyBorder="1"/>
    <xf numFmtId="43" fontId="6" fillId="0" borderId="42" xfId="19" applyNumberFormat="1" applyBorder="1"/>
    <xf numFmtId="0" fontId="15" fillId="0" borderId="40" xfId="19" applyFont="1" applyBorder="1" applyAlignment="1">
      <alignment horizontal="right"/>
    </xf>
    <xf numFmtId="43" fontId="15" fillId="0" borderId="41" xfId="19" applyNumberFormat="1" applyFont="1" applyBorder="1"/>
    <xf numFmtId="166" fontId="0" fillId="0" borderId="0" xfId="6" applyNumberFormat="1" applyFont="1"/>
    <xf numFmtId="9" fontId="6" fillId="0" borderId="0" xfId="19" applyNumberFormat="1"/>
    <xf numFmtId="179" fontId="6" fillId="0" borderId="0" xfId="19" applyNumberFormat="1"/>
    <xf numFmtId="8" fontId="6" fillId="0" borderId="0" xfId="19" applyNumberFormat="1"/>
    <xf numFmtId="0" fontId="141" fillId="12" borderId="0" xfId="19" applyFont="1" applyFill="1"/>
    <xf numFmtId="0" fontId="91" fillId="12" borderId="0" xfId="19" applyFont="1" applyFill="1"/>
    <xf numFmtId="0" fontId="72" fillId="12" borderId="0" xfId="19" applyFont="1" applyFill="1"/>
    <xf numFmtId="0" fontId="6" fillId="13" borderId="0" xfId="0" applyFont="1" applyFill="1" applyAlignment="1">
      <alignment horizontal="centerContinuous"/>
    </xf>
    <xf numFmtId="0" fontId="6" fillId="16" borderId="0" xfId="0" applyFont="1" applyFill="1"/>
    <xf numFmtId="2" fontId="6" fillId="0" borderId="0" xfId="0" applyNumberFormat="1" applyFont="1"/>
    <xf numFmtId="164" fontId="6" fillId="0" borderId="0" xfId="3" applyNumberFormat="1" applyFont="1"/>
    <xf numFmtId="0" fontId="67" fillId="0" borderId="0" xfId="9" applyFont="1"/>
    <xf numFmtId="14" fontId="69" fillId="8" borderId="1" xfId="0" applyNumberFormat="1" applyFont="1" applyFill="1" applyBorder="1" applyAlignment="1" applyProtection="1">
      <alignment vertical="top"/>
      <protection locked="0"/>
    </xf>
    <xf numFmtId="0" fontId="33" fillId="0" borderId="0" xfId="0" applyFont="1" applyAlignment="1">
      <alignment vertical="top"/>
    </xf>
    <xf numFmtId="41" fontId="69" fillId="8" borderId="1" xfId="20" applyNumberFormat="1" applyFont="1" applyFill="1" applyBorder="1" applyAlignment="1" applyProtection="1">
      <alignment vertical="top"/>
      <protection locked="0"/>
    </xf>
    <xf numFmtId="191" fontId="69" fillId="8" borderId="1" xfId="20" applyNumberFormat="1" applyFont="1" applyFill="1" applyBorder="1" applyAlignment="1" applyProtection="1">
      <alignment vertical="top"/>
      <protection locked="0"/>
    </xf>
    <xf numFmtId="10" fontId="69" fillId="8" borderId="1" xfId="3" applyNumberFormat="1" applyFont="1" applyFill="1" applyBorder="1" applyAlignment="1" applyProtection="1">
      <alignment vertical="top"/>
      <protection locked="0"/>
    </xf>
    <xf numFmtId="41" fontId="114" fillId="8" borderId="1" xfId="20" applyNumberFormat="1" applyFont="1" applyFill="1" applyBorder="1" applyAlignment="1" applyProtection="1">
      <alignment vertical="top"/>
      <protection locked="0"/>
    </xf>
    <xf numFmtId="0" fontId="31" fillId="8" borderId="1" xfId="0" applyFont="1" applyFill="1" applyBorder="1" applyAlignment="1" applyProtection="1">
      <alignment horizontal="right" vertical="top"/>
      <protection locked="0"/>
    </xf>
    <xf numFmtId="185" fontId="69" fillId="8" borderId="1" xfId="20" applyNumberFormat="1" applyFont="1" applyFill="1" applyBorder="1" applyAlignment="1" applyProtection="1">
      <alignment vertical="top"/>
      <protection locked="0"/>
    </xf>
    <xf numFmtId="166" fontId="6" fillId="8" borderId="47" xfId="19" applyNumberFormat="1" applyFill="1" applyBorder="1" applyProtection="1">
      <protection locked="0"/>
    </xf>
    <xf numFmtId="43" fontId="6" fillId="8" borderId="47" xfId="19" applyNumberFormat="1" applyFill="1" applyBorder="1" applyProtection="1">
      <protection locked="0"/>
    </xf>
    <xf numFmtId="43" fontId="6" fillId="8" borderId="1" xfId="19" applyNumberFormat="1" applyFill="1" applyBorder="1" applyProtection="1">
      <protection locked="0"/>
    </xf>
    <xf numFmtId="0" fontId="28" fillId="20" borderId="0" xfId="0" applyFont="1" applyFill="1"/>
    <xf numFmtId="0" fontId="28" fillId="20" borderId="0" xfId="0" applyFont="1" applyFill="1" applyAlignment="1">
      <alignment horizontal="left" indent="20"/>
    </xf>
    <xf numFmtId="0" fontId="12" fillId="0" borderId="0" xfId="5" applyFont="1" applyAlignment="1">
      <alignment vertical="top" wrapText="1"/>
    </xf>
    <xf numFmtId="0" fontId="117" fillId="0" borderId="0" xfId="5" applyFont="1" applyAlignment="1">
      <alignment horizontal="centerContinuous"/>
    </xf>
    <xf numFmtId="0" fontId="6" fillId="0" borderId="0" xfId="5" applyAlignment="1">
      <alignment horizontal="centerContinuous"/>
    </xf>
    <xf numFmtId="0" fontId="7" fillId="0" borderId="0" xfId="5" applyFont="1"/>
    <xf numFmtId="0" fontId="12" fillId="0" borderId="0" xfId="5" applyFont="1" applyAlignment="1">
      <alignment wrapText="1"/>
    </xf>
    <xf numFmtId="0" fontId="13" fillId="0" borderId="0" xfId="5" applyFont="1"/>
    <xf numFmtId="14" fontId="7" fillId="0" borderId="0" xfId="5" applyNumberFormat="1" applyFont="1" applyAlignment="1">
      <alignment horizontal="center"/>
    </xf>
    <xf numFmtId="0" fontId="7" fillId="0" borderId="0" xfId="5" applyFont="1" applyAlignment="1">
      <alignment horizontal="center"/>
    </xf>
    <xf numFmtId="0" fontId="13" fillId="0" borderId="0" xfId="5" applyFont="1" applyAlignment="1">
      <alignment wrapText="1"/>
    </xf>
    <xf numFmtId="0" fontId="13" fillId="0" borderId="0" xfId="5" applyFont="1" applyAlignment="1">
      <alignment horizontal="left" wrapText="1"/>
    </xf>
    <xf numFmtId="0" fontId="116" fillId="32" borderId="0" xfId="5" applyFont="1" applyFill="1"/>
    <xf numFmtId="0" fontId="13" fillId="32" borderId="0" xfId="5" applyFont="1" applyFill="1" applyAlignment="1">
      <alignment wrapText="1"/>
    </xf>
    <xf numFmtId="0" fontId="12" fillId="0" borderId="0" xfId="5" applyFont="1" applyAlignment="1">
      <alignment vertical="top"/>
    </xf>
    <xf numFmtId="0" fontId="74" fillId="0" borderId="0" xfId="10" applyAlignment="1" applyProtection="1">
      <alignment wrapText="1"/>
    </xf>
    <xf numFmtId="0" fontId="7" fillId="0" borderId="0" xfId="5" applyFont="1" applyAlignment="1">
      <alignment vertical="top"/>
    </xf>
    <xf numFmtId="0" fontId="12" fillId="3" borderId="0" xfId="5" applyFont="1" applyFill="1" applyAlignment="1">
      <alignment vertical="top"/>
    </xf>
    <xf numFmtId="0" fontId="13" fillId="3" borderId="0" xfId="5" applyFont="1" applyFill="1" applyAlignment="1">
      <alignment wrapText="1"/>
    </xf>
    <xf numFmtId="0" fontId="7" fillId="3" borderId="0" xfId="5" applyFont="1" applyFill="1"/>
    <xf numFmtId="0" fontId="8" fillId="0" borderId="0" xfId="5" applyFont="1"/>
    <xf numFmtId="0" fontId="12" fillId="3" borderId="0" xfId="5" applyFont="1" applyFill="1" applyAlignment="1">
      <alignment vertical="top" wrapText="1"/>
    </xf>
    <xf numFmtId="0" fontId="116" fillId="20" borderId="0" xfId="5" applyFont="1" applyFill="1" applyAlignment="1">
      <alignment vertical="top"/>
    </xf>
    <xf numFmtId="0" fontId="13" fillId="20" borderId="0" xfId="5" applyFont="1" applyFill="1" applyAlignment="1">
      <alignment wrapText="1"/>
    </xf>
    <xf numFmtId="0" fontId="116" fillId="6" borderId="0" xfId="5" applyFont="1" applyFill="1" applyAlignment="1">
      <alignment vertical="top"/>
    </xf>
    <xf numFmtId="0" fontId="13" fillId="6" borderId="0" xfId="5" applyFont="1" applyFill="1" applyAlignment="1">
      <alignment wrapText="1"/>
    </xf>
    <xf numFmtId="0" fontId="7" fillId="0" borderId="0" xfId="5" applyFont="1" applyAlignment="1">
      <alignment wrapText="1"/>
    </xf>
    <xf numFmtId="192" fontId="6" fillId="8" borderId="1" xfId="19" applyNumberFormat="1" applyFill="1" applyBorder="1" applyProtection="1">
      <protection locked="0"/>
    </xf>
    <xf numFmtId="186" fontId="0" fillId="8" borderId="1" xfId="3" applyNumberFormat="1" applyFont="1" applyFill="1" applyBorder="1" applyProtection="1">
      <protection locked="0"/>
    </xf>
    <xf numFmtId="10" fontId="31" fillId="3" borderId="7" xfId="3" applyNumberFormat="1" applyFont="1" applyFill="1" applyBorder="1" applyAlignment="1" applyProtection="1">
      <alignment horizontal="center"/>
    </xf>
    <xf numFmtId="2" fontId="7" fillId="5" borderId="1" xfId="5" applyNumberFormat="1" applyFont="1" applyFill="1" applyBorder="1" applyAlignment="1">
      <alignment horizontal="center"/>
    </xf>
    <xf numFmtId="41" fontId="31" fillId="0" borderId="0" xfId="0" applyNumberFormat="1" applyFont="1" applyAlignment="1">
      <alignment vertical="top"/>
    </xf>
    <xf numFmtId="0" fontId="31" fillId="0" borderId="2" xfId="0" applyFont="1" applyBorder="1" applyAlignment="1">
      <alignment horizontal="right" vertical="top"/>
    </xf>
    <xf numFmtId="43" fontId="142" fillId="0" borderId="0" xfId="0" applyNumberFormat="1" applyFont="1" applyAlignment="1">
      <alignment vertical="top"/>
    </xf>
    <xf numFmtId="186" fontId="31" fillId="0" borderId="0" xfId="0" applyNumberFormat="1" applyFont="1" applyAlignment="1">
      <alignment vertical="top"/>
    </xf>
    <xf numFmtId="43" fontId="29" fillId="0" borderId="0" xfId="0" applyNumberFormat="1" applyFont="1" applyAlignment="1">
      <alignment vertical="top"/>
    </xf>
    <xf numFmtId="0" fontId="139" fillId="12" borderId="0" xfId="20" applyNumberFormat="1" applyFont="1" applyFill="1" applyBorder="1" applyAlignment="1">
      <alignment horizontal="left" vertical="top"/>
    </xf>
    <xf numFmtId="166" fontId="31" fillId="0" borderId="0" xfId="0" applyNumberFormat="1" applyFont="1" applyAlignment="1">
      <alignment vertical="top"/>
    </xf>
    <xf numFmtId="0" fontId="6" fillId="0" borderId="0" xfId="19" applyAlignment="1">
      <alignment readingOrder="2"/>
    </xf>
    <xf numFmtId="0" fontId="25" fillId="0" borderId="0" xfId="19" applyFont="1" applyAlignment="1">
      <alignment horizontal="right" indent="1" readingOrder="2"/>
    </xf>
    <xf numFmtId="0" fontId="25" fillId="0" borderId="0" xfId="19" applyFont="1"/>
    <xf numFmtId="0" fontId="25" fillId="0" borderId="0" xfId="19" applyFont="1" applyAlignment="1">
      <alignment horizontal="right" wrapText="1" indent="1" readingOrder="2"/>
    </xf>
    <xf numFmtId="0" fontId="144" fillId="0" borderId="0" xfId="19" applyFont="1"/>
    <xf numFmtId="0" fontId="6" fillId="0" borderId="111" xfId="0" applyFont="1" applyBorder="1" applyAlignment="1">
      <alignment vertical="center" wrapText="1"/>
    </xf>
    <xf numFmtId="166" fontId="6" fillId="0" borderId="82" xfId="1" applyNumberFormat="1" applyFont="1" applyBorder="1" applyAlignment="1">
      <alignment horizontal="right" vertical="center" wrapText="1" indent="1"/>
    </xf>
    <xf numFmtId="0" fontId="6" fillId="0" borderId="106" xfId="0" applyFont="1" applyBorder="1" applyAlignment="1">
      <alignment vertical="center" wrapText="1"/>
    </xf>
    <xf numFmtId="166" fontId="6" fillId="0" borderId="108" xfId="1" applyNumberFormat="1" applyFont="1" applyBorder="1" applyAlignment="1">
      <alignment horizontal="right" vertical="center" wrapText="1" indent="1"/>
    </xf>
    <xf numFmtId="0" fontId="15" fillId="0" borderId="109" xfId="0" applyFont="1" applyBorder="1" applyAlignment="1">
      <alignment vertical="center" wrapText="1"/>
    </xf>
    <xf numFmtId="166" fontId="15" fillId="0" borderId="41" xfId="1" applyNumberFormat="1" applyFont="1" applyBorder="1" applyAlignment="1">
      <alignment horizontal="right" vertical="center" wrapText="1" indent="1"/>
    </xf>
    <xf numFmtId="0" fontId="25" fillId="0" borderId="47" xfId="19" applyFont="1" applyBorder="1" applyAlignment="1">
      <alignment horizontal="center"/>
    </xf>
    <xf numFmtId="0" fontId="6" fillId="0" borderId="20" xfId="19" applyBorder="1" applyAlignment="1">
      <alignment horizontal="left"/>
    </xf>
    <xf numFmtId="0" fontId="6" fillId="0" borderId="1" xfId="19" applyBorder="1" applyAlignment="1">
      <alignment horizontal="center"/>
    </xf>
    <xf numFmtId="0" fontId="145" fillId="23" borderId="57" xfId="19" applyFont="1" applyFill="1" applyBorder="1" applyAlignment="1">
      <alignment horizontal="center" vertical="center" wrapText="1"/>
    </xf>
    <xf numFmtId="0" fontId="145" fillId="23" borderId="54" xfId="19" applyFont="1" applyFill="1" applyBorder="1" applyAlignment="1">
      <alignment horizontal="center" vertical="center" wrapText="1"/>
    </xf>
    <xf numFmtId="0" fontId="146" fillId="23" borderId="98" xfId="19" applyFont="1" applyFill="1" applyBorder="1" applyAlignment="1">
      <alignment horizontal="center" vertical="center" wrapText="1"/>
    </xf>
    <xf numFmtId="0" fontId="6" fillId="0" borderId="91" xfId="19" applyBorder="1" applyAlignment="1">
      <alignment horizontal="left"/>
    </xf>
    <xf numFmtId="0" fontId="6" fillId="0" borderId="92" xfId="19" applyBorder="1" applyAlignment="1">
      <alignment horizontal="center"/>
    </xf>
    <xf numFmtId="0" fontId="147" fillId="0" borderId="0" xfId="0" applyFont="1" applyAlignment="1">
      <alignment vertical="center"/>
    </xf>
    <xf numFmtId="0" fontId="148" fillId="0" borderId="0" xfId="10" applyFont="1" applyAlignment="1">
      <alignment vertical="center"/>
    </xf>
    <xf numFmtId="0" fontId="145" fillId="23" borderId="103" xfId="19" applyFont="1" applyFill="1" applyBorder="1" applyAlignment="1">
      <alignment horizontal="center" vertical="center" wrapText="1"/>
    </xf>
    <xf numFmtId="0" fontId="145" fillId="23" borderId="104" xfId="19" applyFont="1" applyFill="1" applyBorder="1" applyAlignment="1">
      <alignment horizontal="center" vertical="center" wrapText="1"/>
    </xf>
    <xf numFmtId="0" fontId="145" fillId="23" borderId="105" xfId="19" applyFont="1" applyFill="1" applyBorder="1" applyAlignment="1">
      <alignment horizontal="center" vertical="center" wrapText="1"/>
    </xf>
    <xf numFmtId="0" fontId="149" fillId="0" borderId="106" xfId="19" applyFont="1" applyBorder="1" applyAlignment="1">
      <alignment horizontal="center" vertical="center" wrapText="1"/>
    </xf>
    <xf numFmtId="165" fontId="149" fillId="0" borderId="107" xfId="19" applyNumberFormat="1" applyFont="1" applyBorder="1" applyAlignment="1">
      <alignment horizontal="center" vertical="center" wrapText="1"/>
    </xf>
    <xf numFmtId="0" fontId="149" fillId="0" borderId="107" xfId="19" applyFont="1" applyBorder="1" applyAlignment="1">
      <alignment horizontal="center" vertical="center" wrapText="1"/>
    </xf>
    <xf numFmtId="0" fontId="149" fillId="0" borderId="108" xfId="19" applyFont="1" applyBorder="1" applyAlignment="1">
      <alignment horizontal="center" vertical="center" wrapText="1"/>
    </xf>
    <xf numFmtId="0" fontId="145" fillId="0" borderId="109" xfId="19" applyFont="1" applyBorder="1" applyAlignment="1">
      <alignment horizontal="center" vertical="center" wrapText="1"/>
    </xf>
    <xf numFmtId="165" fontId="150" fillId="0" borderId="110" xfId="19" applyNumberFormat="1" applyFont="1" applyBorder="1" applyAlignment="1">
      <alignment horizontal="center" vertical="center" wrapText="1"/>
    </xf>
    <xf numFmtId="0" fontId="151" fillId="23" borderId="110" xfId="19" applyFont="1" applyFill="1" applyBorder="1" applyAlignment="1">
      <alignment horizontal="center" vertical="center" wrapText="1"/>
    </xf>
    <xf numFmtId="0" fontId="149" fillId="23" borderId="41" xfId="19" applyFont="1" applyFill="1" applyBorder="1" applyAlignment="1">
      <alignment horizontal="center" vertical="center" wrapText="1"/>
    </xf>
    <xf numFmtId="0" fontId="149" fillId="23" borderId="110" xfId="19" applyFont="1" applyFill="1" applyBorder="1" applyAlignment="1">
      <alignment horizontal="center" vertical="center" wrapText="1"/>
    </xf>
    <xf numFmtId="0" fontId="151" fillId="0" borderId="106" xfId="19" applyFont="1" applyBorder="1" applyAlignment="1">
      <alignment horizontal="center" vertical="center" wrapText="1"/>
    </xf>
    <xf numFmtId="165" fontId="149" fillId="0" borderId="110" xfId="19" applyNumberFormat="1" applyFont="1" applyBorder="1" applyAlignment="1">
      <alignment horizontal="center" vertical="center" wrapText="1"/>
    </xf>
    <xf numFmtId="171" fontId="149" fillId="0" borderId="108" xfId="19" applyNumberFormat="1" applyFont="1" applyBorder="1" applyAlignment="1">
      <alignment horizontal="center" vertical="center" wrapText="1"/>
    </xf>
    <xf numFmtId="171" fontId="150" fillId="0" borderId="108" xfId="19" applyNumberFormat="1" applyFont="1" applyBorder="1" applyAlignment="1">
      <alignment horizontal="center" vertical="center" wrapText="1"/>
    </xf>
    <xf numFmtId="0" fontId="6" fillId="5" borderId="4" xfId="5" applyFill="1" applyBorder="1"/>
    <xf numFmtId="10" fontId="25" fillId="0" borderId="1" xfId="5" applyNumberFormat="1" applyFont="1" applyBorder="1"/>
    <xf numFmtId="0" fontId="17" fillId="0" borderId="0" xfId="5" applyFont="1" applyAlignment="1">
      <alignment horizontal="right"/>
    </xf>
    <xf numFmtId="10" fontId="17" fillId="0" borderId="1" xfId="5" applyNumberFormat="1" applyFont="1" applyBorder="1"/>
    <xf numFmtId="0" fontId="6" fillId="38" borderId="1" xfId="0" applyFont="1" applyFill="1" applyBorder="1"/>
    <xf numFmtId="0" fontId="6" fillId="0" borderId="0" xfId="19" applyAlignment="1">
      <alignment horizontal="right"/>
    </xf>
    <xf numFmtId="0" fontId="146" fillId="23" borderId="103" xfId="19" applyFont="1" applyFill="1" applyBorder="1" applyAlignment="1">
      <alignment horizontal="center" vertical="center" wrapText="1"/>
    </xf>
    <xf numFmtId="0" fontId="153" fillId="39" borderId="113" xfId="22" applyFont="1" applyFill="1" applyBorder="1" applyAlignment="1">
      <alignment horizontal="center"/>
    </xf>
    <xf numFmtId="0" fontId="153" fillId="0" borderId="114" xfId="22" applyFont="1" applyBorder="1" applyAlignment="1">
      <alignment horizontal="right" wrapText="1"/>
    </xf>
    <xf numFmtId="0" fontId="153" fillId="0" borderId="114" xfId="22" applyFont="1" applyBorder="1" applyAlignment="1">
      <alignment wrapText="1"/>
    </xf>
    <xf numFmtId="193" fontId="153" fillId="0" borderId="114" xfId="22" applyNumberFormat="1" applyFont="1" applyBorder="1" applyAlignment="1">
      <alignment horizontal="right" wrapText="1"/>
    </xf>
    <xf numFmtId="194" fontId="153" fillId="0" borderId="114" xfId="22" applyNumberFormat="1" applyFont="1" applyBorder="1" applyAlignment="1">
      <alignment horizontal="right" wrapText="1"/>
    </xf>
    <xf numFmtId="0" fontId="152" fillId="0" borderId="14" xfId="0" applyFont="1" applyBorder="1" applyAlignment="1">
      <alignment vertical="center"/>
    </xf>
    <xf numFmtId="0" fontId="15" fillId="0" borderId="0" xfId="19" applyFont="1" applyAlignment="1">
      <alignment readingOrder="2"/>
    </xf>
    <xf numFmtId="0" fontId="153" fillId="40" borderId="113" xfId="22" applyFont="1" applyFill="1" applyBorder="1" applyAlignment="1">
      <alignment horizontal="center"/>
    </xf>
    <xf numFmtId="0" fontId="156" fillId="0" borderId="114" xfId="22" applyFont="1" applyBorder="1" applyAlignment="1">
      <alignment wrapText="1"/>
    </xf>
    <xf numFmtId="0" fontId="19" fillId="0" borderId="115" xfId="0" applyFont="1" applyBorder="1"/>
    <xf numFmtId="0" fontId="19" fillId="0" borderId="19" xfId="0" applyFont="1" applyBorder="1"/>
    <xf numFmtId="14" fontId="19" fillId="0" borderId="41" xfId="0" applyNumberFormat="1" applyFont="1" applyBorder="1"/>
    <xf numFmtId="165" fontId="19" fillId="0" borderId="41" xfId="0" applyNumberFormat="1" applyFont="1" applyBorder="1"/>
    <xf numFmtId="10" fontId="19" fillId="0" borderId="41" xfId="0" applyNumberFormat="1" applyFont="1" applyBorder="1"/>
    <xf numFmtId="0" fontId="19" fillId="0" borderId="41" xfId="0" applyFont="1" applyBorder="1"/>
    <xf numFmtId="0" fontId="157" fillId="0" borderId="116" xfId="0" applyFont="1" applyBorder="1" applyAlignment="1">
      <alignment vertical="center"/>
    </xf>
    <xf numFmtId="0" fontId="157" fillId="0" borderId="19" xfId="0" applyFont="1" applyBorder="1" applyAlignment="1">
      <alignment vertical="center"/>
    </xf>
    <xf numFmtId="14" fontId="157" fillId="0" borderId="41" xfId="0" applyNumberFormat="1" applyFont="1" applyBorder="1" applyAlignment="1">
      <alignment vertical="center"/>
    </xf>
    <xf numFmtId="10" fontId="157" fillId="0" borderId="41" xfId="0" applyNumberFormat="1" applyFont="1" applyBorder="1" applyAlignment="1">
      <alignment vertical="center"/>
    </xf>
    <xf numFmtId="0" fontId="157" fillId="0" borderId="41" xfId="0" applyFont="1" applyBorder="1" applyAlignment="1">
      <alignment vertical="center"/>
    </xf>
    <xf numFmtId="0" fontId="157" fillId="0" borderId="18" xfId="0" applyFont="1" applyBorder="1" applyAlignment="1">
      <alignment vertical="center"/>
    </xf>
    <xf numFmtId="0" fontId="157" fillId="0" borderId="118" xfId="0" applyFont="1" applyBorder="1" applyAlignment="1">
      <alignment vertical="center"/>
    </xf>
    <xf numFmtId="0" fontId="157" fillId="0" borderId="117" xfId="0" applyFont="1" applyBorder="1" applyAlignment="1">
      <alignment vertical="center"/>
    </xf>
    <xf numFmtId="0" fontId="19" fillId="0" borderId="0" xfId="19" applyFont="1"/>
    <xf numFmtId="0" fontId="158" fillId="0" borderId="0" xfId="0" applyFont="1" applyAlignment="1">
      <alignment horizontal="right" vertical="center"/>
    </xf>
    <xf numFmtId="165" fontId="35" fillId="0" borderId="14" xfId="0" applyNumberFormat="1" applyFont="1" applyBorder="1"/>
    <xf numFmtId="0" fontId="0" fillId="41" borderId="1" xfId="0" applyFill="1" applyBorder="1"/>
    <xf numFmtId="14" fontId="6" fillId="0" borderId="0" xfId="0" applyNumberFormat="1" applyFont="1"/>
    <xf numFmtId="14" fontId="6" fillId="38" borderId="1" xfId="0" applyNumberFormat="1" applyFont="1" applyFill="1" applyBorder="1"/>
    <xf numFmtId="171" fontId="17" fillId="23" borderId="0" xfId="0" applyNumberFormat="1" applyFont="1" applyFill="1"/>
    <xf numFmtId="171" fontId="25" fillId="0" borderId="1" xfId="0" applyNumberFormat="1" applyFont="1" applyBorder="1"/>
    <xf numFmtId="171" fontId="17" fillId="23" borderId="1" xfId="0" applyNumberFormat="1" applyFont="1" applyFill="1" applyBorder="1"/>
    <xf numFmtId="0" fontId="15" fillId="0" borderId="0" xfId="0" applyFont="1" applyProtection="1">
      <protection locked="0"/>
    </xf>
    <xf numFmtId="0" fontId="35" fillId="0" borderId="15" xfId="0" applyFont="1" applyBorder="1" applyAlignment="1">
      <alignment horizontal="center" wrapText="1"/>
    </xf>
    <xf numFmtId="3" fontId="0" fillId="0" borderId="6" xfId="0" applyNumberFormat="1" applyBorder="1"/>
    <xf numFmtId="0" fontId="0" fillId="0" borderId="6" xfId="0" applyBorder="1"/>
    <xf numFmtId="0" fontId="0" fillId="0" borderId="31" xfId="0" applyBorder="1"/>
    <xf numFmtId="3" fontId="0" fillId="0" borderId="1" xfId="0" applyNumberFormat="1" applyBorder="1" applyAlignment="1">
      <alignment horizontal="right"/>
    </xf>
    <xf numFmtId="3" fontId="0" fillId="0" borderId="29" xfId="0" applyNumberFormat="1" applyBorder="1" applyAlignment="1">
      <alignment horizontal="right"/>
    </xf>
    <xf numFmtId="0" fontId="35" fillId="0" borderId="1" xfId="0" applyFont="1" applyBorder="1" applyAlignment="1">
      <alignment horizontal="right" wrapText="1"/>
    </xf>
    <xf numFmtId="1" fontId="6" fillId="0" borderId="0" xfId="5" applyNumberFormat="1" applyAlignment="1">
      <alignment wrapText="1"/>
    </xf>
    <xf numFmtId="165" fontId="6" fillId="0" borderId="0" xfId="5" applyNumberFormat="1"/>
    <xf numFmtId="171" fontId="6" fillId="0" borderId="0" xfId="5" applyNumberFormat="1" applyAlignment="1">
      <alignment horizontal="center"/>
    </xf>
    <xf numFmtId="165" fontId="6" fillId="0" borderId="0" xfId="5" applyNumberFormat="1" applyAlignment="1">
      <alignment horizontal="right"/>
    </xf>
    <xf numFmtId="165" fontId="6" fillId="0" borderId="0" xfId="5" applyNumberFormat="1" applyAlignment="1">
      <alignment wrapText="1"/>
    </xf>
    <xf numFmtId="0" fontId="6" fillId="0" borderId="0" xfId="5" applyAlignment="1">
      <alignment vertical="center"/>
    </xf>
    <xf numFmtId="0" fontId="48" fillId="0" borderId="20" xfId="5" applyFont="1" applyBorder="1" applyAlignment="1">
      <alignment horizontal="center" vertical="center" wrapText="1"/>
    </xf>
    <xf numFmtId="0" fontId="48" fillId="0" borderId="20" xfId="5" applyFont="1" applyBorder="1" applyAlignment="1">
      <alignment horizontal="center" wrapText="1"/>
    </xf>
    <xf numFmtId="10" fontId="25" fillId="0" borderId="20" xfId="5" applyNumberFormat="1" applyFont="1" applyBorder="1"/>
    <xf numFmtId="10" fontId="17" fillId="0" borderId="40" xfId="5" applyNumberFormat="1" applyFont="1" applyBorder="1"/>
    <xf numFmtId="0" fontId="15" fillId="0" borderId="43" xfId="5" applyFont="1" applyBorder="1" applyAlignment="1">
      <alignment horizontal="right"/>
    </xf>
    <xf numFmtId="0" fontId="6" fillId="0" borderId="43" xfId="5" applyBorder="1"/>
    <xf numFmtId="0" fontId="6" fillId="0" borderId="41" xfId="5" applyBorder="1"/>
    <xf numFmtId="6" fontId="15" fillId="0" borderId="43" xfId="5" applyNumberFormat="1" applyFont="1" applyBorder="1" applyAlignment="1">
      <alignment horizontal="center" wrapText="1"/>
    </xf>
    <xf numFmtId="164" fontId="31" fillId="0" borderId="8" xfId="3" applyNumberFormat="1" applyFont="1" applyFill="1" applyBorder="1" applyAlignment="1" applyProtection="1">
      <alignment horizontal="center"/>
      <protection locked="0"/>
    </xf>
    <xf numFmtId="14" fontId="6" fillId="4" borderId="1" xfId="5" applyNumberFormat="1" applyFill="1" applyBorder="1" applyAlignment="1">
      <alignment horizontal="center"/>
    </xf>
    <xf numFmtId="3" fontId="15" fillId="0" borderId="21" xfId="0" applyNumberFormat="1" applyFont="1" applyBorder="1"/>
    <xf numFmtId="0" fontId="15" fillId="0" borderId="30" xfId="0" applyFont="1" applyBorder="1" applyAlignment="1">
      <alignment horizontal="right"/>
    </xf>
    <xf numFmtId="0" fontId="15" fillId="0" borderId="22" xfId="0" applyFont="1" applyBorder="1" applyAlignment="1">
      <alignment horizontal="right"/>
    </xf>
    <xf numFmtId="0" fontId="15" fillId="0" borderId="23" xfId="0" applyFont="1" applyBorder="1" applyAlignment="1">
      <alignment horizontal="right"/>
    </xf>
    <xf numFmtId="0" fontId="15" fillId="0" borderId="1" xfId="5" applyFont="1" applyBorder="1" applyAlignment="1">
      <alignment horizontal="center" vertical="center"/>
    </xf>
    <xf numFmtId="0" fontId="6" fillId="0" borderId="2" xfId="5" applyBorder="1"/>
    <xf numFmtId="166" fontId="6" fillId="0" borderId="0" xfId="5" applyNumberFormat="1"/>
    <xf numFmtId="0" fontId="6" fillId="0" borderId="11" xfId="5" applyBorder="1"/>
    <xf numFmtId="0" fontId="6" fillId="0" borderId="0" xfId="5" applyAlignment="1">
      <alignment horizontal="center" vertical="center"/>
    </xf>
    <xf numFmtId="0" fontId="6" fillId="0" borderId="0" xfId="5" applyAlignment="1">
      <alignment horizontal="left"/>
    </xf>
    <xf numFmtId="10" fontId="6" fillId="0" borderId="0" xfId="5" applyNumberFormat="1"/>
    <xf numFmtId="10" fontId="6" fillId="0" borderId="0" xfId="5" applyNumberFormat="1" applyAlignment="1">
      <alignment horizontal="center" vertical="center"/>
    </xf>
    <xf numFmtId="9" fontId="6" fillId="0" borderId="0" xfId="5" applyNumberFormat="1"/>
    <xf numFmtId="0" fontId="6" fillId="0" borderId="5" xfId="5" applyBorder="1"/>
    <xf numFmtId="0" fontId="6" fillId="0" borderId="5" xfId="5" applyBorder="1" applyAlignment="1">
      <alignment horizontal="center"/>
    </xf>
    <xf numFmtId="9" fontId="6" fillId="0" borderId="0" xfId="5" applyNumberFormat="1" applyAlignment="1">
      <alignment horizontal="center"/>
    </xf>
    <xf numFmtId="2" fontId="6" fillId="0" borderId="0" xfId="5" applyNumberFormat="1" applyAlignment="1">
      <alignment horizontal="center"/>
    </xf>
    <xf numFmtId="9" fontId="6" fillId="0" borderId="2" xfId="5" applyNumberFormat="1" applyBorder="1" applyAlignment="1">
      <alignment horizontal="center"/>
    </xf>
    <xf numFmtId="1" fontId="6" fillId="0" borderId="2" xfId="5" applyNumberFormat="1" applyBorder="1" applyAlignment="1">
      <alignment horizontal="center"/>
    </xf>
    <xf numFmtId="0" fontId="6" fillId="0" borderId="2" xfId="5" applyBorder="1" applyAlignment="1">
      <alignment horizontal="center"/>
    </xf>
    <xf numFmtId="196" fontId="6" fillId="0" borderId="0" xfId="5" applyNumberFormat="1"/>
    <xf numFmtId="0" fontId="6" fillId="0" borderId="0" xfId="0" quotePrefix="1" applyFont="1"/>
    <xf numFmtId="0" fontId="114" fillId="0" borderId="0" xfId="0" applyFont="1"/>
    <xf numFmtId="0" fontId="114" fillId="0" borderId="0" xfId="0" applyFont="1" applyAlignment="1">
      <alignment horizontal="right"/>
    </xf>
    <xf numFmtId="0" fontId="114" fillId="0" borderId="0" xfId="0" applyFont="1" applyAlignment="1">
      <alignment wrapText="1"/>
    </xf>
    <xf numFmtId="165" fontId="6" fillId="8" borderId="1" xfId="0" applyNumberFormat="1" applyFont="1" applyFill="1" applyBorder="1" applyProtection="1">
      <protection locked="0"/>
    </xf>
    <xf numFmtId="167" fontId="6" fillId="8" borderId="1" xfId="0" applyNumberFormat="1" applyFont="1" applyFill="1" applyBorder="1" applyProtection="1">
      <protection locked="0"/>
    </xf>
    <xf numFmtId="165" fontId="6" fillId="0" borderId="1" xfId="0" applyNumberFormat="1" applyFont="1" applyBorder="1"/>
    <xf numFmtId="0" fontId="114" fillId="23" borderId="27" xfId="0" applyFont="1" applyFill="1" applyBorder="1" applyAlignment="1">
      <alignment horizontal="center"/>
    </xf>
    <xf numFmtId="0" fontId="114" fillId="23" borderId="8" xfId="0" applyFont="1" applyFill="1" applyBorder="1" applyAlignment="1">
      <alignment horizontal="right"/>
    </xf>
    <xf numFmtId="165" fontId="114" fillId="23" borderId="1" xfId="0" applyNumberFormat="1" applyFont="1" applyFill="1" applyBorder="1" applyAlignment="1">
      <alignment horizontal="right"/>
    </xf>
    <xf numFmtId="167" fontId="114" fillId="23" borderId="1" xfId="0" applyNumberFormat="1" applyFont="1" applyFill="1" applyBorder="1"/>
    <xf numFmtId="165" fontId="114" fillId="23" borderId="1" xfId="1" applyNumberFormat="1" applyFont="1" applyFill="1" applyBorder="1" applyProtection="1"/>
    <xf numFmtId="165" fontId="6" fillId="0" borderId="0" xfId="0" applyNumberFormat="1" applyFont="1"/>
    <xf numFmtId="167" fontId="6" fillId="0" borderId="0" xfId="0" applyNumberFormat="1" applyFont="1" applyProtection="1">
      <protection locked="0"/>
    </xf>
    <xf numFmtId="165" fontId="6" fillId="0" borderId="0" xfId="0" applyNumberFormat="1" applyFont="1" applyProtection="1">
      <protection locked="0"/>
    </xf>
    <xf numFmtId="165" fontId="132" fillId="23" borderId="14" xfId="0" applyNumberFormat="1" applyFont="1" applyFill="1" applyBorder="1"/>
    <xf numFmtId="165" fontId="132" fillId="23" borderId="1" xfId="0" applyNumberFormat="1" applyFont="1" applyFill="1" applyBorder="1" applyAlignment="1">
      <alignment horizontal="right"/>
    </xf>
    <xf numFmtId="167" fontId="132" fillId="23" borderId="1" xfId="0" applyNumberFormat="1" applyFont="1" applyFill="1" applyBorder="1"/>
    <xf numFmtId="165" fontId="132" fillId="23" borderId="1" xfId="0" applyNumberFormat="1" applyFont="1" applyFill="1" applyBorder="1"/>
    <xf numFmtId="0" fontId="6" fillId="0" borderId="1" xfId="0" applyFont="1" applyBorder="1" applyProtection="1">
      <protection locked="0"/>
    </xf>
    <xf numFmtId="0" fontId="114" fillId="23" borderId="16" xfId="0" applyFont="1" applyFill="1" applyBorder="1" applyAlignment="1">
      <alignment horizontal="right"/>
    </xf>
    <xf numFmtId="165" fontId="114" fillId="23" borderId="3" xfId="0" applyNumberFormat="1" applyFont="1" applyFill="1" applyBorder="1" applyAlignment="1">
      <alignment horizontal="right"/>
    </xf>
    <xf numFmtId="167" fontId="114" fillId="23" borderId="3" xfId="0" applyNumberFormat="1" applyFont="1" applyFill="1" applyBorder="1"/>
    <xf numFmtId="165" fontId="114" fillId="23" borderId="3" xfId="1" applyNumberFormat="1" applyFont="1" applyFill="1" applyBorder="1" applyProtection="1"/>
    <xf numFmtId="0" fontId="6" fillId="3" borderId="0" xfId="0" applyFont="1" applyFill="1" applyProtection="1">
      <protection locked="0"/>
    </xf>
    <xf numFmtId="167" fontId="114" fillId="4" borderId="14" xfId="0" applyNumberFormat="1" applyFont="1" applyFill="1" applyBorder="1"/>
    <xf numFmtId="165" fontId="114" fillId="4" borderId="82" xfId="1" applyNumberFormat="1" applyFont="1" applyFill="1" applyBorder="1"/>
    <xf numFmtId="0" fontId="6" fillId="0" borderId="14" xfId="0" applyFont="1" applyBorder="1" applyProtection="1">
      <protection locked="0"/>
    </xf>
    <xf numFmtId="165" fontId="114" fillId="23" borderId="1" xfId="1" applyNumberFormat="1" applyFont="1" applyFill="1" applyBorder="1"/>
    <xf numFmtId="0" fontId="114" fillId="0" borderId="0" xfId="0" applyFont="1" applyAlignment="1">
      <alignment horizontal="center"/>
    </xf>
    <xf numFmtId="0" fontId="114" fillId="0" borderId="0" xfId="0" applyFont="1" applyAlignment="1">
      <alignment horizontal="center" wrapText="1"/>
    </xf>
    <xf numFmtId="37" fontId="31" fillId="3" borderId="1" xfId="0" applyNumberFormat="1" applyFont="1" applyFill="1" applyBorder="1" applyAlignment="1">
      <alignment horizontal="right"/>
    </xf>
    <xf numFmtId="0" fontId="25" fillId="0" borderId="0" xfId="0" applyFont="1" applyProtection="1">
      <protection locked="0"/>
    </xf>
    <xf numFmtId="2" fontId="17" fillId="5" borderId="0" xfId="0" applyNumberFormat="1" applyFont="1" applyFill="1" applyAlignment="1">
      <alignment horizontal="right"/>
    </xf>
    <xf numFmtId="2" fontId="17" fillId="0" borderId="0" xfId="0" applyNumberFormat="1" applyFont="1" applyAlignment="1">
      <alignment horizontal="right"/>
    </xf>
    <xf numFmtId="0" fontId="6" fillId="8" borderId="8" xfId="0" applyFont="1" applyFill="1" applyBorder="1" applyProtection="1">
      <protection locked="0"/>
    </xf>
    <xf numFmtId="9" fontId="49" fillId="0" borderId="0" xfId="0" applyNumberFormat="1" applyFont="1" applyAlignment="1">
      <alignment horizontal="left" indent="2"/>
    </xf>
    <xf numFmtId="9" fontId="15" fillId="21" borderId="1" xfId="0" applyNumberFormat="1" applyFont="1" applyFill="1" applyBorder="1"/>
    <xf numFmtId="0" fontId="69" fillId="8" borderId="8" xfId="0" applyFont="1" applyFill="1" applyBorder="1" applyProtection="1">
      <protection locked="0"/>
    </xf>
    <xf numFmtId="0" fontId="1" fillId="0" borderId="0" xfId="23"/>
    <xf numFmtId="1" fontId="6" fillId="4" borderId="1" xfId="23" applyNumberFormat="1" applyFont="1" applyFill="1" applyBorder="1" applyAlignment="1">
      <alignment horizontal="center"/>
    </xf>
    <xf numFmtId="166" fontId="15" fillId="0" borderId="4" xfId="23" applyNumberFormat="1" applyFont="1" applyBorder="1" applyAlignment="1">
      <alignment horizontal="center"/>
    </xf>
    <xf numFmtId="166" fontId="15" fillId="0" borderId="11" xfId="25" applyNumberFormat="1" applyFont="1" applyFill="1" applyBorder="1" applyAlignment="1" applyProtection="1">
      <alignment horizontal="right"/>
    </xf>
    <xf numFmtId="166" fontId="15" fillId="0" borderId="4" xfId="25" applyNumberFormat="1" applyFont="1" applyFill="1" applyBorder="1" applyAlignment="1" applyProtection="1">
      <alignment horizontal="right"/>
    </xf>
    <xf numFmtId="166" fontId="15" fillId="0" borderId="2" xfId="25" applyNumberFormat="1" applyFont="1" applyFill="1" applyBorder="1" applyAlignment="1" applyProtection="1">
      <alignment horizontal="right"/>
    </xf>
    <xf numFmtId="0" fontId="15" fillId="0" borderId="15" xfId="23" applyFont="1" applyBorder="1"/>
    <xf numFmtId="166" fontId="1" fillId="0" borderId="1" xfId="23" applyNumberFormat="1" applyBorder="1" applyAlignment="1">
      <alignment horizontal="center"/>
    </xf>
    <xf numFmtId="166" fontId="6" fillId="0" borderId="8" xfId="25" applyNumberFormat="1" applyFont="1" applyFill="1" applyBorder="1" applyAlignment="1" applyProtection="1">
      <alignment horizontal="center"/>
    </xf>
    <xf numFmtId="166" fontId="6" fillId="0" borderId="1" xfId="25" applyNumberFormat="1" applyFont="1" applyFill="1" applyBorder="1" applyAlignment="1" applyProtection="1">
      <alignment horizontal="center"/>
    </xf>
    <xf numFmtId="166" fontId="6" fillId="0" borderId="13" xfId="25" applyNumberFormat="1" applyFont="1" applyFill="1" applyBorder="1" applyAlignment="1" applyProtection="1">
      <alignment horizontal="center"/>
    </xf>
    <xf numFmtId="166" fontId="1" fillId="0" borderId="4" xfId="23" applyNumberFormat="1" applyBorder="1" applyAlignment="1">
      <alignment horizontal="center"/>
    </xf>
    <xf numFmtId="166" fontId="6" fillId="0" borderId="11" xfId="25" applyNumberFormat="1" applyFont="1" applyFill="1" applyBorder="1" applyAlignment="1" applyProtection="1">
      <alignment horizontal="center"/>
    </xf>
    <xf numFmtId="166" fontId="6" fillId="0" borderId="4" xfId="25" applyNumberFormat="1" applyFont="1" applyFill="1" applyBorder="1" applyAlignment="1" applyProtection="1">
      <alignment horizontal="center"/>
    </xf>
    <xf numFmtId="166" fontId="6" fillId="0" borderId="2" xfId="25" applyNumberFormat="1" applyFont="1" applyFill="1" applyBorder="1" applyAlignment="1" applyProtection="1">
      <alignment horizontal="center"/>
    </xf>
    <xf numFmtId="0" fontId="6" fillId="0" borderId="15" xfId="23" applyFont="1" applyBorder="1"/>
    <xf numFmtId="0" fontId="35" fillId="0" borderId="1" xfId="23" applyFont="1" applyBorder="1" applyAlignment="1">
      <alignment horizontal="center" wrapText="1"/>
    </xf>
    <xf numFmtId="0" fontId="35" fillId="0" borderId="1" xfId="23" applyFont="1" applyBorder="1" applyAlignment="1">
      <alignment horizontal="center" vertical="center" wrapText="1"/>
    </xf>
    <xf numFmtId="0" fontId="6" fillId="0" borderId="0" xfId="23" applyFont="1"/>
    <xf numFmtId="164" fontId="1" fillId="0" borderId="0" xfId="24" applyNumberFormat="1"/>
    <xf numFmtId="9" fontId="1" fillId="0" borderId="0" xfId="24"/>
    <xf numFmtId="9" fontId="1" fillId="0" borderId="0" xfId="24" applyAlignment="1">
      <alignment horizontal="center" vertical="center"/>
    </xf>
    <xf numFmtId="0" fontId="1" fillId="0" borderId="33" xfId="23" applyBorder="1" applyAlignment="1">
      <alignment horizontal="center"/>
    </xf>
    <xf numFmtId="0" fontId="1" fillId="0" borderId="1" xfId="23" applyBorder="1" applyAlignment="1">
      <alignment horizontal="center"/>
    </xf>
    <xf numFmtId="165" fontId="1" fillId="0" borderId="1" xfId="23" applyNumberFormat="1" applyBorder="1" applyAlignment="1">
      <alignment horizontal="center"/>
    </xf>
    <xf numFmtId="0" fontId="1" fillId="0" borderId="8" xfId="23" applyBorder="1" applyAlignment="1">
      <alignment horizontal="center"/>
    </xf>
    <xf numFmtId="181" fontId="1" fillId="0" borderId="6" xfId="23" applyNumberFormat="1" applyBorder="1" applyAlignment="1">
      <alignment horizontal="right"/>
    </xf>
    <xf numFmtId="0" fontId="1" fillId="0" borderId="47" xfId="23" applyBorder="1" applyAlignment="1">
      <alignment horizontal="center"/>
    </xf>
    <xf numFmtId="195" fontId="1" fillId="0" borderId="1" xfId="23" applyNumberFormat="1" applyBorder="1" applyAlignment="1">
      <alignment horizontal="center"/>
    </xf>
    <xf numFmtId="0" fontId="6" fillId="0" borderId="33" xfId="23" applyFont="1" applyBorder="1" applyAlignment="1">
      <alignment horizontal="center" vertical="center" wrapText="1"/>
    </xf>
    <xf numFmtId="0" fontId="6" fillId="0" borderId="1" xfId="23" applyFont="1" applyBorder="1" applyAlignment="1">
      <alignment horizontal="center" vertical="center" wrapText="1"/>
    </xf>
    <xf numFmtId="0" fontId="1" fillId="0" borderId="39" xfId="23" applyBorder="1"/>
    <xf numFmtId="0" fontId="1" fillId="0" borderId="28" xfId="23" applyBorder="1"/>
    <xf numFmtId="192" fontId="6" fillId="0" borderId="0" xfId="5" applyNumberFormat="1"/>
    <xf numFmtId="0" fontId="14" fillId="0" borderId="9" xfId="4" applyBorder="1"/>
    <xf numFmtId="0" fontId="14" fillId="0" borderId="16" xfId="4" applyBorder="1"/>
    <xf numFmtId="0" fontId="14" fillId="0" borderId="120" xfId="4" applyBorder="1"/>
    <xf numFmtId="3" fontId="112" fillId="0" borderId="0" xfId="0" applyNumberFormat="1" applyFont="1" applyAlignment="1">
      <alignment horizontal="right" wrapText="1"/>
    </xf>
    <xf numFmtId="0" fontId="72" fillId="0" borderId="0" xfId="0" applyFont="1" applyAlignment="1">
      <alignment horizontal="center" wrapText="1"/>
    </xf>
    <xf numFmtId="0" fontId="20" fillId="0" borderId="4" xfId="0" applyFont="1" applyBorder="1" applyAlignment="1">
      <alignment horizontal="centerContinuous" wrapText="1"/>
    </xf>
    <xf numFmtId="169" fontId="20" fillId="3" borderId="4" xfId="0" applyNumberFormat="1" applyFont="1" applyFill="1" applyBorder="1"/>
    <xf numFmtId="169" fontId="20" fillId="3" borderId="4" xfId="0" applyNumberFormat="1" applyFont="1" applyFill="1" applyBorder="1" applyAlignment="1">
      <alignment horizontal="center" wrapText="1"/>
    </xf>
    <xf numFmtId="169" fontId="24" fillId="3" borderId="4" xfId="0" applyNumberFormat="1" applyFont="1" applyFill="1" applyBorder="1"/>
    <xf numFmtId="169" fontId="24" fillId="3" borderId="4" xfId="0" applyNumberFormat="1" applyFont="1" applyFill="1" applyBorder="1" applyAlignment="1">
      <alignment horizontal="center" wrapText="1"/>
    </xf>
    <xf numFmtId="169" fontId="24" fillId="3" borderId="4" xfId="0" applyNumberFormat="1" applyFont="1" applyFill="1" applyBorder="1" applyAlignment="1">
      <alignment horizontal="center"/>
    </xf>
    <xf numFmtId="3" fontId="112" fillId="0" borderId="0" xfId="0" applyNumberFormat="1" applyFont="1" applyAlignment="1">
      <alignment horizontal="left" wrapText="1"/>
    </xf>
    <xf numFmtId="169" fontId="29" fillId="3" borderId="1" xfId="0" applyNumberFormat="1" applyFont="1" applyFill="1" applyBorder="1" applyAlignment="1">
      <alignment horizontal="center"/>
    </xf>
    <xf numFmtId="3" fontId="15" fillId="0" borderId="3" xfId="0" applyNumberFormat="1" applyFont="1" applyBorder="1"/>
    <xf numFmtId="3" fontId="15" fillId="3" borderId="4" xfId="0" applyNumberFormat="1" applyFont="1" applyFill="1" applyBorder="1"/>
    <xf numFmtId="14" fontId="6" fillId="0" borderId="1" xfId="0" quotePrefix="1" applyNumberFormat="1" applyFont="1" applyBorder="1"/>
    <xf numFmtId="37" fontId="19" fillId="0" borderId="4" xfId="1" applyNumberFormat="1" applyFont="1" applyBorder="1" applyAlignment="1" applyProtection="1">
      <alignment horizontal="center" vertical="center" wrapText="1"/>
    </xf>
    <xf numFmtId="37" fontId="19" fillId="0" borderId="1" xfId="1" applyNumberFormat="1" applyFont="1" applyBorder="1" applyAlignment="1" applyProtection="1">
      <alignment horizontal="center" vertical="center" wrapText="1"/>
    </xf>
    <xf numFmtId="166" fontId="1" fillId="0" borderId="0" xfId="23" applyNumberFormat="1"/>
    <xf numFmtId="0" fontId="33" fillId="0" borderId="1" xfId="0" applyFont="1" applyBorder="1" applyAlignment="1">
      <alignment horizontal="center"/>
    </xf>
    <xf numFmtId="37" fontId="31" fillId="22" borderId="1" xfId="0" applyNumberFormat="1" applyFont="1" applyFill="1" applyBorder="1" applyAlignment="1">
      <alignment horizontal="right"/>
    </xf>
    <xf numFmtId="14" fontId="7" fillId="5" borderId="1" xfId="5" applyNumberFormat="1" applyFont="1" applyFill="1" applyBorder="1" applyAlignment="1">
      <alignment horizontal="center"/>
    </xf>
    <xf numFmtId="0" fontId="6" fillId="0" borderId="8" xfId="0" applyFont="1" applyBorder="1" applyAlignment="1">
      <alignment horizontal="center"/>
    </xf>
    <xf numFmtId="0" fontId="31" fillId="0" borderId="6" xfId="0" applyFont="1" applyBorder="1" applyAlignment="1">
      <alignment horizontal="left"/>
    </xf>
    <xf numFmtId="0" fontId="31" fillId="0" borderId="8" xfId="0" applyFont="1" applyBorder="1" applyAlignment="1">
      <alignment horizontal="left"/>
    </xf>
    <xf numFmtId="0" fontId="25" fillId="0" borderId="0" xfId="0" quotePrefix="1" applyFont="1" applyAlignment="1">
      <alignment horizontal="left"/>
    </xf>
    <xf numFmtId="0" fontId="26" fillId="0" borderId="0" xfId="0" applyFont="1" applyAlignment="1">
      <alignment horizontal="left" wrapText="1"/>
    </xf>
    <xf numFmtId="0" fontId="29" fillId="0" borderId="0" xfId="2" applyFont="1"/>
    <xf numFmtId="0" fontId="32" fillId="0" borderId="0" xfId="0" applyFont="1" applyAlignment="1">
      <alignment horizontal="left"/>
    </xf>
    <xf numFmtId="0" fontId="26" fillId="0" borderId="0" xfId="0" applyFont="1" applyAlignment="1">
      <alignment wrapText="1"/>
    </xf>
    <xf numFmtId="0" fontId="31" fillId="0" borderId="1" xfId="0" applyFont="1" applyBorder="1" applyAlignment="1">
      <alignment horizontal="left"/>
    </xf>
    <xf numFmtId="0" fontId="29" fillId="0" borderId="1" xfId="0" applyFont="1" applyBorder="1" applyAlignment="1">
      <alignment horizontal="left"/>
    </xf>
    <xf numFmtId="0" fontId="31" fillId="0" borderId="0" xfId="0" applyFont="1" applyAlignment="1">
      <alignment horizontal="left" indent="2"/>
    </xf>
    <xf numFmtId="0" fontId="29" fillId="0" borderId="0" xfId="0" applyFont="1" applyAlignment="1">
      <alignment horizontal="left" indent="2"/>
    </xf>
    <xf numFmtId="0" fontId="32" fillId="0" borderId="1" xfId="0" applyFont="1" applyBorder="1" applyAlignment="1">
      <alignment horizontal="left"/>
    </xf>
    <xf numFmtId="0" fontId="32" fillId="0" borderId="1" xfId="0" applyFont="1" applyBorder="1" applyAlignment="1">
      <alignment horizontal="left" indent="1"/>
    </xf>
    <xf numFmtId="0" fontId="31" fillId="0" borderId="1" xfId="0" applyFont="1" applyBorder="1" applyAlignment="1">
      <alignment horizontal="left" wrapText="1" indent="1"/>
    </xf>
    <xf numFmtId="0" fontId="160" fillId="0" borderId="0" xfId="19" applyFont="1" applyAlignment="1">
      <alignment readingOrder="2"/>
    </xf>
    <xf numFmtId="0" fontId="21" fillId="0" borderId="1" xfId="19" applyFont="1" applyBorder="1"/>
    <xf numFmtId="0" fontId="21" fillId="0" borderId="1" xfId="19" applyFont="1" applyBorder="1" applyAlignment="1">
      <alignment wrapText="1"/>
    </xf>
    <xf numFmtId="0" fontId="6" fillId="0" borderId="1" xfId="19" applyBorder="1" applyAlignment="1">
      <alignment wrapText="1"/>
    </xf>
    <xf numFmtId="179" fontId="21" fillId="0" borderId="1" xfId="6" applyNumberFormat="1" applyFont="1" applyBorder="1"/>
    <xf numFmtId="0" fontId="6" fillId="0" borderId="1" xfId="19" applyBorder="1"/>
    <xf numFmtId="49" fontId="21" fillId="0" borderId="1" xfId="19" applyNumberFormat="1" applyFont="1" applyBorder="1"/>
    <xf numFmtId="3" fontId="21" fillId="0" borderId="1" xfId="19" applyNumberFormat="1" applyFont="1" applyBorder="1"/>
    <xf numFmtId="0" fontId="160" fillId="0" borderId="0" xfId="19" applyFont="1"/>
    <xf numFmtId="9" fontId="21" fillId="0" borderId="1" xfId="19" applyNumberFormat="1" applyFont="1" applyBorder="1" applyAlignment="1">
      <alignment horizontal="left"/>
    </xf>
    <xf numFmtId="9" fontId="21" fillId="0" borderId="1" xfId="19" applyNumberFormat="1" applyFont="1" applyBorder="1"/>
    <xf numFmtId="9" fontId="21" fillId="0" borderId="1" xfId="3" applyFont="1" applyBorder="1"/>
    <xf numFmtId="0" fontId="20" fillId="0" borderId="1" xfId="19" applyFont="1" applyBorder="1" applyAlignment="1">
      <alignment horizontal="right"/>
    </xf>
    <xf numFmtId="179" fontId="20" fillId="0" borderId="1" xfId="6" applyNumberFormat="1" applyFont="1" applyBorder="1"/>
    <xf numFmtId="179" fontId="21" fillId="0" borderId="1" xfId="20" applyNumberFormat="1" applyFont="1" applyBorder="1"/>
    <xf numFmtId="179" fontId="21" fillId="0" borderId="1" xfId="20" applyNumberFormat="1" applyFont="1" applyBorder="1" applyAlignment="1">
      <alignment wrapText="1"/>
    </xf>
    <xf numFmtId="0" fontId="6" fillId="0" borderId="0" xfId="19" applyAlignment="1">
      <alignment wrapText="1" readingOrder="2"/>
    </xf>
    <xf numFmtId="0" fontId="160" fillId="0" borderId="9" xfId="19" applyFont="1" applyBorder="1"/>
    <xf numFmtId="0" fontId="6" fillId="0" borderId="5" xfId="19" applyBorder="1"/>
    <xf numFmtId="0" fontId="6" fillId="0" borderId="16" xfId="19" applyBorder="1"/>
    <xf numFmtId="0" fontId="6" fillId="0" borderId="12" xfId="19" applyBorder="1"/>
    <xf numFmtId="0" fontId="6" fillId="0" borderId="10" xfId="19" applyBorder="1"/>
    <xf numFmtId="9" fontId="6" fillId="0" borderId="10" xfId="3" applyFont="1" applyFill="1" applyBorder="1"/>
    <xf numFmtId="37" fontId="6" fillId="0" borderId="0" xfId="19" applyNumberFormat="1" applyAlignment="1">
      <alignment horizontal="right"/>
    </xf>
    <xf numFmtId="9" fontId="6" fillId="0" borderId="0" xfId="3" applyFill="1" applyBorder="1"/>
    <xf numFmtId="0" fontId="6" fillId="0" borderId="15" xfId="19" applyBorder="1"/>
    <xf numFmtId="0" fontId="6" fillId="0" borderId="2" xfId="19" applyBorder="1"/>
    <xf numFmtId="9" fontId="6" fillId="0" borderId="2" xfId="3" applyFill="1" applyBorder="1"/>
    <xf numFmtId="0" fontId="6" fillId="0" borderId="11" xfId="19" applyBorder="1"/>
    <xf numFmtId="0" fontId="0" fillId="0" borderId="0" xfId="0" pivotButton="1"/>
    <xf numFmtId="0" fontId="0" fillId="0" borderId="0" xfId="0" applyAlignment="1">
      <alignment horizontal="left" indent="1"/>
    </xf>
    <xf numFmtId="0" fontId="13" fillId="0" borderId="0" xfId="5" applyFont="1" applyAlignment="1">
      <alignment horizontal="left" wrapText="1"/>
    </xf>
    <xf numFmtId="0" fontId="7" fillId="5" borderId="9" xfId="5" applyFont="1" applyFill="1" applyBorder="1" applyAlignment="1">
      <alignment horizontal="center"/>
    </xf>
    <xf numFmtId="0" fontId="7" fillId="5" borderId="16" xfId="5" applyFont="1" applyFill="1" applyBorder="1" applyAlignment="1">
      <alignment horizontal="center"/>
    </xf>
    <xf numFmtId="0" fontId="113" fillId="0" borderId="0" xfId="5" applyFont="1" applyAlignment="1">
      <alignment horizontal="left" vertical="center" wrapText="1"/>
    </xf>
    <xf numFmtId="0" fontId="6" fillId="8" borderId="15" xfId="0" applyFont="1" applyFill="1" applyBorder="1" applyProtection="1">
      <protection locked="0"/>
    </xf>
    <xf numFmtId="0" fontId="6" fillId="8" borderId="11" xfId="0" applyFont="1" applyFill="1" applyBorder="1" applyProtection="1">
      <protection locked="0"/>
    </xf>
    <xf numFmtId="0" fontId="0" fillId="8" borderId="6" xfId="0" applyFill="1" applyBorder="1" applyAlignment="1" applyProtection="1">
      <alignment horizontal="right"/>
      <protection locked="0"/>
    </xf>
    <xf numFmtId="0" fontId="0" fillId="8" borderId="8" xfId="0" applyFill="1" applyBorder="1" applyAlignment="1" applyProtection="1">
      <alignment horizontal="right"/>
      <protection locked="0"/>
    </xf>
    <xf numFmtId="0" fontId="6" fillId="8" borderId="6" xfId="0" applyFont="1" applyFill="1" applyBorder="1" applyAlignment="1" applyProtection="1">
      <alignment horizontal="left"/>
      <protection locked="0"/>
    </xf>
    <xf numFmtId="0" fontId="6" fillId="8" borderId="13" xfId="0" applyFont="1" applyFill="1" applyBorder="1" applyAlignment="1" applyProtection="1">
      <alignment horizontal="left"/>
      <protection locked="0"/>
    </xf>
    <xf numFmtId="0" fontId="6" fillId="8" borderId="8" xfId="0" applyFont="1" applyFill="1" applyBorder="1" applyAlignment="1" applyProtection="1">
      <alignment horizontal="left"/>
      <protection locked="0"/>
    </xf>
    <xf numFmtId="0" fontId="55" fillId="0" borderId="12" xfId="0" applyFont="1" applyBorder="1" applyAlignment="1">
      <alignment horizontal="center"/>
    </xf>
    <xf numFmtId="0" fontId="55" fillId="0" borderId="0" xfId="0" applyFont="1" applyAlignment="1">
      <alignment horizontal="center"/>
    </xf>
    <xf numFmtId="0" fontId="55" fillId="0" borderId="10" xfId="0" applyFont="1" applyBorder="1" applyAlignment="1">
      <alignment horizontal="center"/>
    </xf>
    <xf numFmtId="0" fontId="0" fillId="8" borderId="15" xfId="0" applyFill="1" applyBorder="1" applyProtection="1">
      <protection locked="0"/>
    </xf>
    <xf numFmtId="0" fontId="0" fillId="8" borderId="11" xfId="0" applyFill="1" applyBorder="1" applyProtection="1">
      <protection locked="0"/>
    </xf>
    <xf numFmtId="0" fontId="6" fillId="8" borderId="2" xfId="0" applyFont="1" applyFill="1" applyBorder="1" applyProtection="1">
      <protection locked="0"/>
    </xf>
    <xf numFmtId="0" fontId="6" fillId="8" borderId="15" xfId="0" applyFont="1" applyFill="1" applyBorder="1" applyAlignment="1" applyProtection="1">
      <alignment horizontal="left"/>
      <protection locked="0"/>
    </xf>
    <xf numFmtId="0" fontId="6" fillId="8" borderId="11" xfId="0" applyFont="1" applyFill="1" applyBorder="1" applyAlignment="1" applyProtection="1">
      <alignment horizontal="left"/>
      <protection locked="0"/>
    </xf>
    <xf numFmtId="166" fontId="0" fillId="8" borderId="15" xfId="1" applyNumberFormat="1" applyFont="1" applyFill="1" applyBorder="1" applyAlignment="1" applyProtection="1">
      <alignment horizontal="right"/>
      <protection locked="0"/>
    </xf>
    <xf numFmtId="166" fontId="0" fillId="8" borderId="11" xfId="1" applyNumberFormat="1" applyFont="1" applyFill="1" applyBorder="1" applyAlignment="1" applyProtection="1">
      <alignment horizontal="right"/>
      <protection locked="0"/>
    </xf>
    <xf numFmtId="0" fontId="0" fillId="8" borderId="2" xfId="0" applyFill="1" applyBorder="1" applyAlignment="1" applyProtection="1">
      <alignment horizontal="left"/>
      <protection locked="0"/>
    </xf>
    <xf numFmtId="0" fontId="0" fillId="8" borderId="11" xfId="0" applyFill="1" applyBorder="1" applyAlignment="1" applyProtection="1">
      <alignment horizontal="left"/>
      <protection locked="0"/>
    </xf>
    <xf numFmtId="0" fontId="0" fillId="8" borderId="2" xfId="0" applyFill="1" applyBorder="1" applyProtection="1">
      <protection locked="0"/>
    </xf>
    <xf numFmtId="0" fontId="74" fillId="8" borderId="15" xfId="10" applyFill="1" applyBorder="1" applyAlignment="1" applyProtection="1">
      <protection locked="0"/>
    </xf>
    <xf numFmtId="0" fontId="74" fillId="8" borderId="2" xfId="10" applyFill="1" applyBorder="1" applyAlignment="1" applyProtection="1">
      <protection locked="0"/>
    </xf>
    <xf numFmtId="0" fontId="74" fillId="8" borderId="11" xfId="10" applyFill="1" applyBorder="1" applyAlignment="1" applyProtection="1">
      <protection locked="0"/>
    </xf>
    <xf numFmtId="172" fontId="6" fillId="8" borderId="15" xfId="0" applyNumberFormat="1" applyFont="1" applyFill="1" applyBorder="1" applyProtection="1">
      <protection locked="0"/>
    </xf>
    <xf numFmtId="172" fontId="6" fillId="8" borderId="2" xfId="0" applyNumberFormat="1" applyFont="1" applyFill="1" applyBorder="1" applyProtection="1">
      <protection locked="0"/>
    </xf>
    <xf numFmtId="172" fontId="6" fillId="8" borderId="11" xfId="0" applyNumberFormat="1" applyFont="1" applyFill="1" applyBorder="1" applyProtection="1">
      <protection locked="0"/>
    </xf>
    <xf numFmtId="166" fontId="0" fillId="8" borderId="15" xfId="1" applyNumberFormat="1" applyFont="1" applyFill="1" applyBorder="1" applyAlignment="1" applyProtection="1">
      <protection locked="0"/>
    </xf>
    <xf numFmtId="166" fontId="0" fillId="8" borderId="11" xfId="1" applyNumberFormat="1" applyFont="1" applyFill="1" applyBorder="1" applyAlignment="1" applyProtection="1">
      <protection locked="0"/>
    </xf>
    <xf numFmtId="14" fontId="0" fillId="8" borderId="6" xfId="0" applyNumberFormat="1" applyFill="1" applyBorder="1" applyAlignment="1" applyProtection="1">
      <alignment horizontal="right"/>
      <protection locked="0"/>
    </xf>
    <xf numFmtId="14" fontId="0" fillId="8" borderId="8" xfId="0" applyNumberFormat="1" applyFill="1" applyBorder="1" applyAlignment="1" applyProtection="1">
      <alignment horizontal="right"/>
      <protection locked="0"/>
    </xf>
    <xf numFmtId="0" fontId="40" fillId="0" borderId="0" xfId="0" applyFont="1" applyAlignment="1">
      <alignment wrapText="1"/>
    </xf>
    <xf numFmtId="0" fontId="6" fillId="8" borderId="2" xfId="0" applyFont="1" applyFill="1" applyBorder="1" applyAlignment="1" applyProtection="1">
      <alignment horizontal="left"/>
      <protection locked="0"/>
    </xf>
    <xf numFmtId="37" fontId="0" fillId="8" borderId="15" xfId="1" applyNumberFormat="1" applyFont="1" applyFill="1" applyBorder="1" applyAlignment="1" applyProtection="1">
      <protection locked="0"/>
    </xf>
    <xf numFmtId="37" fontId="0" fillId="8" borderId="11" xfId="1" applyNumberFormat="1" applyFont="1" applyFill="1" applyBorder="1" applyAlignment="1" applyProtection="1">
      <protection locked="0"/>
    </xf>
    <xf numFmtId="166" fontId="0" fillId="8" borderId="6" xfId="1" applyNumberFormat="1" applyFont="1" applyFill="1" applyBorder="1" applyAlignment="1" applyProtection="1">
      <alignment horizontal="left"/>
      <protection locked="0"/>
    </xf>
    <xf numFmtId="166" fontId="0" fillId="8" borderId="8" xfId="1" applyNumberFormat="1" applyFont="1" applyFill="1" applyBorder="1" applyAlignment="1" applyProtection="1">
      <alignment horizontal="left"/>
      <protection locked="0"/>
    </xf>
    <xf numFmtId="0" fontId="6" fillId="8" borderId="9" xfId="0" applyFont="1" applyFill="1" applyBorder="1" applyAlignment="1" applyProtection="1">
      <alignment horizontal="left" vertical="top" wrapText="1"/>
      <protection locked="0"/>
    </xf>
    <xf numFmtId="0" fontId="6" fillId="8" borderId="5" xfId="0" applyFont="1" applyFill="1" applyBorder="1" applyAlignment="1" applyProtection="1">
      <alignment horizontal="left" vertical="top" wrapText="1"/>
      <protection locked="0"/>
    </xf>
    <xf numFmtId="0" fontId="6" fillId="8" borderId="16" xfId="0" applyFont="1" applyFill="1" applyBorder="1" applyAlignment="1" applyProtection="1">
      <alignment horizontal="left" vertical="top" wrapText="1"/>
      <protection locked="0"/>
    </xf>
    <xf numFmtId="0" fontId="6" fillId="8" borderId="12" xfId="0" applyFont="1" applyFill="1" applyBorder="1" applyAlignment="1" applyProtection="1">
      <alignment horizontal="left" vertical="top" wrapText="1"/>
      <protection locked="0"/>
    </xf>
    <xf numFmtId="0" fontId="6" fillId="8" borderId="0" xfId="0" applyFont="1" applyFill="1" applyAlignment="1" applyProtection="1">
      <alignment horizontal="left" vertical="top" wrapText="1"/>
      <protection locked="0"/>
    </xf>
    <xf numFmtId="0" fontId="6" fillId="8" borderId="1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 xfId="0" applyFont="1" applyFill="1" applyBorder="1" applyAlignment="1" applyProtection="1">
      <alignment horizontal="left" vertical="top" wrapText="1"/>
      <protection locked="0"/>
    </xf>
    <xf numFmtId="0" fontId="6" fillId="8" borderId="11" xfId="0" applyFont="1" applyFill="1" applyBorder="1" applyAlignment="1" applyProtection="1">
      <alignment horizontal="left" vertical="top" wrapText="1"/>
      <protection locked="0"/>
    </xf>
    <xf numFmtId="166" fontId="0" fillId="0" borderId="21" xfId="1" applyNumberFormat="1" applyFont="1" applyFill="1" applyBorder="1" applyAlignment="1" applyProtection="1">
      <alignment horizontal="left"/>
    </xf>
    <xf numFmtId="166" fontId="0" fillId="0" borderId="23" xfId="1" applyNumberFormat="1" applyFont="1" applyFill="1" applyBorder="1" applyAlignment="1" applyProtection="1">
      <alignment horizontal="left"/>
    </xf>
    <xf numFmtId="166" fontId="6" fillId="8" borderId="6" xfId="1" applyNumberFormat="1" applyFont="1" applyFill="1" applyBorder="1" applyAlignment="1" applyProtection="1">
      <alignment horizontal="left"/>
      <protection locked="0"/>
    </xf>
    <xf numFmtId="0" fontId="15" fillId="0" borderId="6" xfId="0" applyFont="1" applyBorder="1" applyAlignment="1">
      <alignment horizontal="left" wrapText="1"/>
    </xf>
    <xf numFmtId="0" fontId="15" fillId="0" borderId="13" xfId="0" applyFont="1" applyBorder="1" applyAlignment="1">
      <alignment horizontal="left" wrapText="1"/>
    </xf>
    <xf numFmtId="0" fontId="15" fillId="0" borderId="9" xfId="0" applyFont="1" applyBorder="1" applyAlignment="1">
      <alignment horizontal="left" wrapText="1"/>
    </xf>
    <xf numFmtId="0" fontId="15" fillId="0" borderId="16" xfId="0" applyFont="1" applyBorder="1" applyAlignment="1">
      <alignment horizontal="left" wrapText="1"/>
    </xf>
    <xf numFmtId="0" fontId="6" fillId="8" borderId="6" xfId="0" applyFont="1" applyFill="1" applyBorder="1" applyProtection="1">
      <protection locked="0"/>
    </xf>
    <xf numFmtId="0" fontId="6" fillId="8" borderId="8" xfId="0" applyFont="1" applyFill="1" applyBorder="1" applyProtection="1">
      <protection locked="0"/>
    </xf>
    <xf numFmtId="0" fontId="0" fillId="8" borderId="8" xfId="0" applyFill="1" applyBorder="1" applyProtection="1">
      <protection locked="0"/>
    </xf>
    <xf numFmtId="0" fontId="49" fillId="0" borderId="12" xfId="0" applyFont="1" applyBorder="1" applyAlignment="1">
      <alignment horizontal="center" vertical="center" wrapText="1"/>
    </xf>
    <xf numFmtId="0" fontId="49" fillId="0" borderId="0" xfId="0" applyFont="1" applyAlignment="1">
      <alignment horizontal="center" vertical="center" wrapText="1"/>
    </xf>
    <xf numFmtId="0" fontId="49" fillId="0" borderId="10" xfId="0" applyFont="1" applyBorder="1" applyAlignment="1">
      <alignment horizontal="center" vertical="center" wrapText="1"/>
    </xf>
    <xf numFmtId="0" fontId="0" fillId="8" borderId="13" xfId="0" applyFill="1" applyBorder="1" applyProtection="1">
      <protection locked="0"/>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19" fillId="0" borderId="6" xfId="0" applyFont="1" applyBorder="1" applyAlignment="1">
      <alignment horizontal="left" vertical="center" wrapText="1"/>
    </xf>
    <xf numFmtId="0" fontId="19" fillId="0" borderId="13" xfId="0" applyFont="1" applyBorder="1" applyAlignment="1">
      <alignment horizontal="left" vertical="center" wrapText="1"/>
    </xf>
    <xf numFmtId="0" fontId="19" fillId="0" borderId="8" xfId="0" applyFont="1" applyBorder="1" applyAlignment="1">
      <alignment horizontal="left" vertical="center" wrapText="1"/>
    </xf>
    <xf numFmtId="0" fontId="6" fillId="0" borderId="6" xfId="0" applyFont="1" applyBorder="1" applyAlignment="1">
      <alignment horizontal="left"/>
    </xf>
    <xf numFmtId="0" fontId="6" fillId="0" borderId="13" xfId="0" applyFont="1" applyBorder="1" applyAlignment="1">
      <alignment horizontal="left"/>
    </xf>
    <xf numFmtId="0" fontId="6" fillId="0" borderId="8" xfId="0" applyFont="1" applyBorder="1" applyAlignment="1">
      <alignment horizontal="left"/>
    </xf>
    <xf numFmtId="0" fontId="15" fillId="0" borderId="6" xfId="0" applyFont="1" applyBorder="1" applyAlignment="1">
      <alignment horizontal="left"/>
    </xf>
    <xf numFmtId="0" fontId="15" fillId="0" borderId="13" xfId="0" applyFont="1" applyBorder="1" applyAlignment="1">
      <alignment horizontal="left"/>
    </xf>
    <xf numFmtId="0" fontId="15" fillId="0" borderId="33" xfId="0" applyFont="1" applyBorder="1" applyAlignment="1">
      <alignment horizontal="left"/>
    </xf>
    <xf numFmtId="0" fontId="0" fillId="0" borderId="6" xfId="0" applyBorder="1" applyAlignment="1">
      <alignment horizontal="left"/>
    </xf>
    <xf numFmtId="0" fontId="0" fillId="0" borderId="13" xfId="0" applyBorder="1" applyAlignment="1">
      <alignment horizontal="left"/>
    </xf>
    <xf numFmtId="0" fontId="0" fillId="0" borderId="8" xfId="0" applyBorder="1" applyAlignment="1">
      <alignment horizontal="left"/>
    </xf>
    <xf numFmtId="0" fontId="15" fillId="0" borderId="8" xfId="0" applyFont="1" applyBorder="1" applyAlignment="1">
      <alignment horizontal="left"/>
    </xf>
    <xf numFmtId="0" fontId="124" fillId="0" borderId="0" xfId="0" applyFont="1" applyAlignment="1">
      <alignment horizontal="left" wrapText="1"/>
    </xf>
    <xf numFmtId="0" fontId="124" fillId="0" borderId="10" xfId="0" applyFont="1" applyBorder="1" applyAlignment="1">
      <alignment horizontal="left" wrapText="1"/>
    </xf>
    <xf numFmtId="0" fontId="15" fillId="8" borderId="12" xfId="0" applyFont="1" applyFill="1" applyBorder="1" applyAlignment="1" applyProtection="1">
      <alignment horizontal="left"/>
      <protection locked="0"/>
    </xf>
    <xf numFmtId="0" fontId="15" fillId="8" borderId="5" xfId="0" applyFont="1" applyFill="1" applyBorder="1" applyAlignment="1" applyProtection="1">
      <alignment horizontal="left"/>
      <protection locked="0"/>
    </xf>
    <xf numFmtId="0" fontId="124" fillId="0" borderId="15" xfId="0" applyFont="1" applyBorder="1" applyAlignment="1">
      <alignment horizontal="left" wrapText="1"/>
    </xf>
    <xf numFmtId="0" fontId="124" fillId="0" borderId="2" xfId="0" applyFont="1" applyBorder="1" applyAlignment="1">
      <alignment horizontal="left" wrapText="1"/>
    </xf>
    <xf numFmtId="0" fontId="124" fillId="0" borderId="11" xfId="0" applyFont="1" applyBorder="1" applyAlignment="1">
      <alignment horizontal="left" wrapText="1"/>
    </xf>
    <xf numFmtId="0" fontId="124" fillId="0" borderId="12" xfId="0" applyFont="1" applyBorder="1" applyAlignment="1">
      <alignment horizontal="left" wrapText="1"/>
    </xf>
    <xf numFmtId="0" fontId="15" fillId="0" borderId="6" xfId="0" applyFont="1" applyBorder="1"/>
    <xf numFmtId="0" fontId="15" fillId="0" borderId="13" xfId="0" applyFont="1" applyBorder="1"/>
    <xf numFmtId="0" fontId="15" fillId="0" borderId="8" xfId="0" applyFont="1" applyBorder="1"/>
    <xf numFmtId="0" fontId="6" fillId="0" borderId="9" xfId="0" applyFont="1" applyBorder="1" applyAlignment="1">
      <alignment horizontal="center" wrapText="1"/>
    </xf>
    <xf numFmtId="0" fontId="6" fillId="0" borderId="5" xfId="0" applyFont="1" applyBorder="1" applyAlignment="1">
      <alignment horizontal="center" wrapText="1"/>
    </xf>
    <xf numFmtId="0" fontId="6" fillId="0" borderId="15" xfId="0" applyFont="1" applyBorder="1" applyAlignment="1">
      <alignment horizontal="center" wrapText="1"/>
    </xf>
    <xf numFmtId="0" fontId="6" fillId="0" borderId="2" xfId="0" applyFont="1" applyBorder="1" applyAlignment="1">
      <alignment horizontal="center" wrapText="1"/>
    </xf>
    <xf numFmtId="0" fontId="15" fillId="0" borderId="6" xfId="4" applyFont="1" applyBorder="1" applyAlignment="1">
      <alignment horizontal="center" wrapText="1"/>
    </xf>
    <xf numFmtId="0" fontId="15" fillId="0" borderId="8" xfId="4" applyFont="1" applyBorder="1" applyAlignment="1">
      <alignment horizontal="center" wrapText="1"/>
    </xf>
    <xf numFmtId="0" fontId="15" fillId="0" borderId="6" xfId="4" applyFont="1" applyBorder="1" applyAlignment="1">
      <alignment horizontal="left" wrapText="1"/>
    </xf>
    <xf numFmtId="0" fontId="15" fillId="0" borderId="8" xfId="4" applyFont="1" applyBorder="1" applyAlignment="1">
      <alignment horizontal="left" wrapText="1"/>
    </xf>
    <xf numFmtId="9" fontId="6" fillId="8" borderId="6" xfId="3" applyFont="1" applyFill="1" applyBorder="1" applyAlignment="1" applyProtection="1">
      <alignment horizontal="center" shrinkToFit="1"/>
      <protection locked="0"/>
    </xf>
    <xf numFmtId="9" fontId="6" fillId="8" borderId="8" xfId="3" applyFont="1" applyFill="1" applyBorder="1" applyAlignment="1" applyProtection="1">
      <alignment horizontal="center" shrinkToFit="1"/>
      <protection locked="0"/>
    </xf>
    <xf numFmtId="0" fontId="0" fillId="8" borderId="6" xfId="0" applyFill="1" applyBorder="1" applyAlignment="1" applyProtection="1">
      <alignment horizontal="center"/>
      <protection locked="0"/>
    </xf>
    <xf numFmtId="0" fontId="0" fillId="8" borderId="8" xfId="0" applyFill="1" applyBorder="1" applyAlignment="1" applyProtection="1">
      <alignment horizontal="center"/>
      <protection locked="0"/>
    </xf>
    <xf numFmtId="0" fontId="124" fillId="0" borderId="2" xfId="4" applyFont="1" applyBorder="1" applyAlignment="1">
      <alignment horizontal="left" wrapText="1"/>
    </xf>
    <xf numFmtId="0" fontId="65" fillId="0" borderId="22" xfId="4" applyFont="1" applyBorder="1" applyAlignment="1">
      <alignment horizontal="center" wrapText="1"/>
    </xf>
    <xf numFmtId="0" fontId="0" fillId="8" borderId="13" xfId="0" applyFill="1" applyBorder="1" applyAlignment="1" applyProtection="1">
      <alignment horizontal="center"/>
      <protection locked="0"/>
    </xf>
    <xf numFmtId="167" fontId="6" fillId="8" borderId="6" xfId="3" applyNumberFormat="1" applyFont="1" applyFill="1" applyBorder="1" applyAlignment="1" applyProtection="1">
      <alignment horizontal="center" shrinkToFit="1"/>
      <protection locked="0"/>
    </xf>
    <xf numFmtId="167" fontId="6" fillId="8" borderId="13" xfId="3" applyNumberFormat="1" applyFont="1" applyFill="1" applyBorder="1" applyAlignment="1" applyProtection="1">
      <alignment horizontal="center" shrinkToFit="1"/>
      <protection locked="0"/>
    </xf>
    <xf numFmtId="167" fontId="6" fillId="8" borderId="8" xfId="3" applyNumberFormat="1" applyFont="1" applyFill="1" applyBorder="1" applyAlignment="1" applyProtection="1">
      <alignment horizontal="center" shrinkToFit="1"/>
      <protection locked="0"/>
    </xf>
    <xf numFmtId="0" fontId="15" fillId="0" borderId="13" xfId="4" applyFont="1" applyBorder="1" applyAlignment="1">
      <alignment horizontal="left" wrapText="1"/>
    </xf>
    <xf numFmtId="0" fontId="124" fillId="0" borderId="2" xfId="4" applyFont="1" applyBorder="1" applyAlignment="1">
      <alignment horizontal="left" vertical="center" wrapText="1"/>
    </xf>
    <xf numFmtId="0" fontId="16" fillId="0" borderId="5" xfId="4" applyFont="1" applyBorder="1" applyAlignment="1">
      <alignment horizontal="left" wrapText="1"/>
    </xf>
    <xf numFmtId="0" fontId="16" fillId="0" borderId="0" xfId="4" applyFont="1" applyAlignment="1">
      <alignment horizontal="left" wrapText="1"/>
    </xf>
    <xf numFmtId="0" fontId="65" fillId="0" borderId="22" xfId="4" applyFont="1" applyBorder="1" applyAlignment="1">
      <alignment horizontal="left"/>
    </xf>
    <xf numFmtId="0" fontId="0" fillId="8" borderId="31" xfId="0" applyFill="1" applyBorder="1" applyAlignment="1" applyProtection="1">
      <alignment horizontal="center"/>
      <protection locked="0"/>
    </xf>
    <xf numFmtId="0" fontId="0" fillId="8" borderId="34" xfId="0" applyFill="1" applyBorder="1" applyAlignment="1" applyProtection="1">
      <alignment horizontal="center"/>
      <protection locked="0"/>
    </xf>
    <xf numFmtId="0" fontId="0" fillId="8" borderId="32" xfId="0" applyFill="1" applyBorder="1" applyAlignment="1" applyProtection="1">
      <alignment horizontal="center"/>
      <protection locked="0"/>
    </xf>
    <xf numFmtId="0" fontId="15" fillId="0" borderId="0" xfId="0" applyFont="1" applyAlignment="1">
      <alignment horizontal="right" wrapText="1"/>
    </xf>
    <xf numFmtId="0" fontId="6" fillId="8" borderId="6" xfId="0" applyFont="1" applyFill="1" applyBorder="1" applyAlignment="1" applyProtection="1">
      <alignment horizontal="center"/>
      <protection locked="0"/>
    </xf>
    <xf numFmtId="9" fontId="15" fillId="0" borderId="6" xfId="0" applyNumberFormat="1" applyFont="1" applyBorder="1" applyAlignment="1">
      <alignment horizontal="center"/>
    </xf>
    <xf numFmtId="9" fontId="15" fillId="0" borderId="13" xfId="0" applyNumberFormat="1" applyFont="1" applyBorder="1" applyAlignment="1">
      <alignment horizontal="center"/>
    </xf>
    <xf numFmtId="9" fontId="15" fillId="0" borderId="8" xfId="0" applyNumberFormat="1" applyFont="1" applyBorder="1" applyAlignment="1">
      <alignment horizontal="center"/>
    </xf>
    <xf numFmtId="0" fontId="15" fillId="0" borderId="15" xfId="4" applyFont="1" applyBorder="1" applyAlignment="1">
      <alignment horizontal="left" wrapText="1"/>
    </xf>
    <xf numFmtId="0" fontId="15" fillId="0" borderId="2" xfId="4" applyFont="1" applyBorder="1" applyAlignment="1">
      <alignment horizontal="left" wrapText="1"/>
    </xf>
    <xf numFmtId="0" fontId="15" fillId="0" borderId="11" xfId="4" applyFont="1" applyBorder="1" applyAlignment="1">
      <alignment horizontal="left" wrapText="1"/>
    </xf>
    <xf numFmtId="0" fontId="59" fillId="0" borderId="12" xfId="0" applyFont="1" applyBorder="1" applyAlignment="1">
      <alignment horizontal="left" wrapText="1"/>
    </xf>
    <xf numFmtId="0" fontId="61" fillId="0" borderId="0" xfId="0" applyFont="1" applyAlignment="1">
      <alignment horizontal="left" wrapText="1"/>
    </xf>
    <xf numFmtId="0" fontId="15" fillId="0" borderId="12" xfId="4" applyFont="1" applyBorder="1" applyAlignment="1">
      <alignment horizontal="left" wrapText="1"/>
    </xf>
    <xf numFmtId="0" fontId="15" fillId="0" borderId="0" xfId="4" applyFont="1" applyAlignment="1">
      <alignment horizontal="left" wrapText="1"/>
    </xf>
    <xf numFmtId="0" fontId="48" fillId="8" borderId="9" xfId="0" applyFont="1" applyFill="1" applyBorder="1" applyAlignment="1" applyProtection="1">
      <alignment horizontal="left" vertical="top" wrapText="1"/>
      <protection locked="0"/>
    </xf>
    <xf numFmtId="0" fontId="48" fillId="8" borderId="5" xfId="0" applyFont="1" applyFill="1" applyBorder="1" applyAlignment="1" applyProtection="1">
      <alignment horizontal="left" vertical="top" wrapText="1"/>
      <protection locked="0"/>
    </xf>
    <xf numFmtId="0" fontId="48" fillId="8" borderId="16" xfId="0" applyFont="1" applyFill="1" applyBorder="1" applyAlignment="1" applyProtection="1">
      <alignment horizontal="left" vertical="top" wrapText="1"/>
      <protection locked="0"/>
    </xf>
    <xf numFmtId="0" fontId="48" fillId="8" borderId="12" xfId="0" applyFont="1" applyFill="1" applyBorder="1" applyAlignment="1" applyProtection="1">
      <alignment horizontal="left" vertical="top" wrapText="1"/>
      <protection locked="0"/>
    </xf>
    <xf numFmtId="0" fontId="48" fillId="8" borderId="0" xfId="0" applyFont="1" applyFill="1" applyAlignment="1" applyProtection="1">
      <alignment horizontal="left" vertical="top" wrapText="1"/>
      <protection locked="0"/>
    </xf>
    <xf numFmtId="0" fontId="48" fillId="8" borderId="10" xfId="0" applyFont="1" applyFill="1" applyBorder="1" applyAlignment="1" applyProtection="1">
      <alignment horizontal="left" vertical="top" wrapText="1"/>
      <protection locked="0"/>
    </xf>
    <xf numFmtId="0" fontId="48" fillId="8" borderId="15" xfId="0" applyFont="1" applyFill="1" applyBorder="1" applyAlignment="1" applyProtection="1">
      <alignment horizontal="left" vertical="top" wrapText="1"/>
      <protection locked="0"/>
    </xf>
    <xf numFmtId="0" fontId="48" fillId="8" borderId="2" xfId="0" applyFont="1" applyFill="1" applyBorder="1" applyAlignment="1" applyProtection="1">
      <alignment horizontal="left" vertical="top" wrapText="1"/>
      <protection locked="0"/>
    </xf>
    <xf numFmtId="0" fontId="48" fillId="8" borderId="11" xfId="0" applyFont="1" applyFill="1" applyBorder="1" applyAlignment="1" applyProtection="1">
      <alignment horizontal="left" vertical="top" wrapText="1"/>
      <protection locked="0"/>
    </xf>
    <xf numFmtId="0" fontId="77" fillId="0" borderId="15" xfId="0" applyFont="1" applyBorder="1" applyAlignment="1">
      <alignment horizontal="left" wrapText="1"/>
    </xf>
    <xf numFmtId="0" fontId="77" fillId="0" borderId="2" xfId="0" applyFont="1" applyBorder="1" applyAlignment="1">
      <alignment horizontal="left" wrapText="1"/>
    </xf>
    <xf numFmtId="0" fontId="77" fillId="0" borderId="11" xfId="0" applyFont="1" applyBorder="1" applyAlignment="1">
      <alignment horizontal="left" wrapText="1"/>
    </xf>
    <xf numFmtId="0" fontId="35" fillId="0" borderId="9" xfId="1" applyNumberFormat="1" applyFont="1" applyBorder="1" applyAlignment="1" applyProtection="1">
      <alignment horizontal="center" vertical="center" wrapText="1"/>
    </xf>
    <xf numFmtId="0" fontId="35" fillId="0" borderId="5" xfId="1" applyNumberFormat="1" applyFont="1" applyBorder="1" applyAlignment="1" applyProtection="1">
      <alignment horizontal="center" vertical="center" wrapText="1"/>
    </xf>
    <xf numFmtId="0" fontId="35" fillId="0" borderId="16" xfId="1" applyNumberFormat="1" applyFont="1" applyBorder="1" applyAlignment="1" applyProtection="1">
      <alignment horizontal="center" vertical="center" wrapText="1"/>
    </xf>
    <xf numFmtId="0" fontId="35" fillId="0" borderId="15" xfId="1" applyNumberFormat="1" applyFont="1" applyBorder="1" applyAlignment="1" applyProtection="1">
      <alignment horizontal="center" vertical="center" wrapText="1"/>
    </xf>
    <xf numFmtId="0" fontId="35" fillId="0" borderId="2" xfId="1" applyNumberFormat="1" applyFont="1" applyBorder="1" applyAlignment="1" applyProtection="1">
      <alignment horizontal="center" vertical="center" wrapText="1"/>
    </xf>
    <xf numFmtId="0" fontId="35" fillId="0" borderId="11" xfId="1" applyNumberFormat="1" applyFont="1" applyBorder="1" applyAlignment="1" applyProtection="1">
      <alignment horizontal="center" vertical="center" wrapText="1"/>
    </xf>
    <xf numFmtId="0" fontId="67" fillId="18" borderId="3" xfId="9" applyFont="1" applyFill="1" applyBorder="1" applyAlignment="1">
      <alignment horizontal="center" vertical="center" wrapText="1"/>
    </xf>
    <xf numFmtId="0" fontId="67" fillId="18" borderId="4" xfId="9" applyFont="1" applyFill="1" applyBorder="1" applyAlignment="1">
      <alignment horizontal="center" vertical="center" wrapText="1"/>
    </xf>
    <xf numFmtId="0" fontId="66" fillId="18" borderId="3" xfId="9" applyFont="1" applyFill="1" applyBorder="1" applyAlignment="1">
      <alignment horizontal="center" wrapText="1"/>
    </xf>
    <xf numFmtId="0" fontId="66" fillId="18" borderId="4" xfId="9" applyFont="1" applyFill="1" applyBorder="1" applyAlignment="1">
      <alignment horizontal="center" wrapText="1"/>
    </xf>
    <xf numFmtId="0" fontId="15" fillId="0" borderId="3" xfId="9" applyFont="1" applyBorder="1" applyAlignment="1">
      <alignment horizontal="center" vertical="center" wrapText="1"/>
    </xf>
    <xf numFmtId="0" fontId="15" fillId="0" borderId="7" xfId="9" applyFont="1" applyBorder="1" applyAlignment="1">
      <alignment horizontal="center" vertical="center" wrapText="1"/>
    </xf>
    <xf numFmtId="0" fontId="15" fillId="0" borderId="4" xfId="9" applyFont="1" applyBorder="1" applyAlignment="1">
      <alignment horizontal="center" vertical="center" wrapText="1"/>
    </xf>
    <xf numFmtId="1" fontId="15" fillId="0" borderId="3" xfId="9" applyNumberFormat="1" applyFont="1" applyBorder="1" applyAlignment="1">
      <alignment horizontal="center" vertical="center" wrapText="1"/>
    </xf>
    <xf numFmtId="1" fontId="15" fillId="0" borderId="7" xfId="9" applyNumberFormat="1" applyFont="1" applyBorder="1" applyAlignment="1">
      <alignment horizontal="center" vertical="center" wrapText="1"/>
    </xf>
    <xf numFmtId="1" fontId="15" fillId="0" borderId="4" xfId="9" applyNumberFormat="1" applyFont="1" applyBorder="1" applyAlignment="1">
      <alignment horizontal="center" vertical="center" wrapText="1"/>
    </xf>
    <xf numFmtId="49" fontId="15" fillId="0" borderId="3" xfId="9" applyNumberFormat="1" applyFont="1" applyBorder="1" applyAlignment="1">
      <alignment horizontal="center" vertical="center" wrapText="1"/>
    </xf>
    <xf numFmtId="49" fontId="15" fillId="0" borderId="7" xfId="9" applyNumberFormat="1" applyFont="1" applyBorder="1" applyAlignment="1">
      <alignment horizontal="center" vertical="center" wrapText="1"/>
    </xf>
    <xf numFmtId="49" fontId="15" fillId="0" borderId="4" xfId="9" applyNumberFormat="1" applyFont="1" applyBorder="1" applyAlignment="1">
      <alignment horizontal="center" vertical="center" wrapText="1"/>
    </xf>
    <xf numFmtId="0" fontId="15" fillId="19" borderId="3" xfId="9" applyFont="1" applyFill="1" applyBorder="1" applyAlignment="1">
      <alignment horizontal="center" vertical="center" wrapText="1"/>
    </xf>
    <xf numFmtId="0" fontId="15" fillId="19" borderId="4" xfId="9" applyFont="1" applyFill="1" applyBorder="1" applyAlignment="1">
      <alignment horizontal="center" vertical="center" wrapText="1"/>
    </xf>
    <xf numFmtId="0" fontId="15" fillId="19" borderId="3" xfId="9" applyFont="1" applyFill="1" applyBorder="1" applyAlignment="1">
      <alignment horizontal="center" wrapText="1"/>
    </xf>
    <xf numFmtId="0" fontId="15" fillId="19" borderId="4" xfId="9" applyFont="1" applyFill="1" applyBorder="1" applyAlignment="1">
      <alignment horizontal="center" wrapText="1"/>
    </xf>
    <xf numFmtId="0" fontId="6" fillId="0" borderId="3" xfId="9" applyFont="1" applyBorder="1" applyAlignment="1">
      <alignment horizontal="center" vertical="center" wrapText="1"/>
    </xf>
    <xf numFmtId="0" fontId="6" fillId="0" borderId="7" xfId="9" applyFont="1" applyBorder="1" applyAlignment="1">
      <alignment horizontal="center" vertical="center" wrapText="1"/>
    </xf>
    <xf numFmtId="0" fontId="6" fillId="0" borderId="4" xfId="9" applyFont="1" applyBorder="1" applyAlignment="1">
      <alignment horizontal="center" vertical="center" wrapText="1"/>
    </xf>
    <xf numFmtId="0" fontId="114" fillId="20" borderId="9" xfId="9" applyFont="1" applyFill="1" applyBorder="1" applyAlignment="1">
      <alignment horizontal="center"/>
    </xf>
    <xf numFmtId="0" fontId="114" fillId="20" borderId="16" xfId="9" applyFont="1" applyFill="1" applyBorder="1" applyAlignment="1">
      <alignment horizontal="center"/>
    </xf>
    <xf numFmtId="0" fontId="114" fillId="20" borderId="1" xfId="9" applyFont="1" applyFill="1" applyBorder="1" applyAlignment="1">
      <alignment horizontal="center"/>
    </xf>
    <xf numFmtId="0" fontId="67" fillId="18" borderId="3" xfId="9" applyFont="1" applyFill="1" applyBorder="1" applyAlignment="1">
      <alignment horizontal="center" vertical="top" wrapText="1"/>
    </xf>
    <xf numFmtId="0" fontId="67" fillId="18" borderId="4" xfId="9" applyFont="1" applyFill="1" applyBorder="1" applyAlignment="1">
      <alignment horizontal="center" vertical="top" wrapText="1"/>
    </xf>
    <xf numFmtId="0" fontId="15" fillId="18" borderId="3" xfId="9" applyFont="1" applyFill="1" applyBorder="1" applyAlignment="1">
      <alignment horizontal="center" vertical="center" wrapText="1"/>
    </xf>
    <xf numFmtId="0" fontId="15" fillId="18" borderId="4" xfId="9" applyFont="1" applyFill="1" applyBorder="1" applyAlignment="1">
      <alignment horizontal="center" vertical="center" wrapText="1"/>
    </xf>
    <xf numFmtId="0" fontId="25" fillId="0" borderId="0" xfId="0" applyFont="1" applyAlignment="1">
      <alignment horizontal="center" wrapText="1"/>
    </xf>
    <xf numFmtId="0" fontId="25" fillId="0" borderId="2" xfId="0" applyFont="1" applyBorder="1" applyAlignment="1">
      <alignment horizontal="center" wrapText="1"/>
    </xf>
    <xf numFmtId="0" fontId="19" fillId="0" borderId="3" xfId="0" applyFont="1" applyBorder="1" applyAlignment="1">
      <alignment horizontal="center" wrapText="1"/>
    </xf>
    <xf numFmtId="0" fontId="19" fillId="0" borderId="7" xfId="0" applyFont="1" applyBorder="1" applyAlignment="1">
      <alignment horizontal="center" wrapText="1"/>
    </xf>
    <xf numFmtId="0" fontId="19" fillId="0" borderId="3" xfId="5" applyFont="1" applyBorder="1" applyAlignment="1">
      <alignment horizontal="center" wrapText="1"/>
    </xf>
    <xf numFmtId="0" fontId="19" fillId="0" borderId="7" xfId="5" applyFont="1" applyBorder="1" applyAlignment="1">
      <alignment horizontal="center" wrapText="1"/>
    </xf>
    <xf numFmtId="0" fontId="25" fillId="0" borderId="1" xfId="0" applyFont="1" applyBorder="1" applyAlignment="1">
      <alignment horizontal="right" vertical="center" wrapText="1"/>
    </xf>
    <xf numFmtId="9" fontId="6" fillId="8" borderId="3" xfId="0" applyNumberFormat="1" applyFont="1" applyFill="1" applyBorder="1" applyAlignment="1" applyProtection="1">
      <alignment horizontal="center" vertical="center"/>
      <protection locked="0"/>
    </xf>
    <xf numFmtId="0" fontId="6" fillId="8" borderId="4" xfId="0" applyFont="1" applyFill="1" applyBorder="1" applyAlignment="1" applyProtection="1">
      <alignment horizontal="center" vertical="center"/>
      <protection locked="0"/>
    </xf>
    <xf numFmtId="0" fontId="114" fillId="4" borderId="56" xfId="0" applyFont="1" applyFill="1" applyBorder="1" applyAlignment="1">
      <alignment horizontal="right" indent="1"/>
    </xf>
    <xf numFmtId="0" fontId="114" fillId="4" borderId="89" xfId="0" applyFont="1" applyFill="1" applyBorder="1" applyAlignment="1">
      <alignment horizontal="right" indent="1"/>
    </xf>
    <xf numFmtId="0" fontId="114" fillId="4" borderId="119" xfId="0" applyFont="1" applyFill="1" applyBorder="1" applyAlignment="1">
      <alignment horizontal="right" indent="1"/>
    </xf>
    <xf numFmtId="0" fontId="15" fillId="0" borderId="17" xfId="0" applyFont="1" applyBorder="1" applyAlignment="1">
      <alignment horizontal="center" vertical="center" wrapText="1"/>
    </xf>
    <xf numFmtId="0" fontId="15" fillId="0" borderId="18" xfId="0" applyFont="1" applyBorder="1" applyAlignment="1">
      <alignment horizontal="center" vertical="center"/>
    </xf>
    <xf numFmtId="0" fontId="15" fillId="0" borderId="25" xfId="0" applyFont="1" applyBorder="1" applyAlignment="1">
      <alignment horizontal="center" vertical="center"/>
    </xf>
    <xf numFmtId="0" fontId="15" fillId="0" borderId="17" xfId="0" applyFont="1" applyBorder="1" applyAlignment="1">
      <alignment horizontal="center" vertical="center"/>
    </xf>
    <xf numFmtId="0" fontId="114" fillId="0" borderId="17" xfId="0" applyFont="1" applyBorder="1" applyAlignment="1">
      <alignment horizontal="center" vertical="center"/>
    </xf>
    <xf numFmtId="0" fontId="114" fillId="0" borderId="18" xfId="0" applyFont="1" applyBorder="1" applyAlignment="1">
      <alignment horizontal="center" vertical="center"/>
    </xf>
    <xf numFmtId="0" fontId="114" fillId="0" borderId="25" xfId="0" applyFont="1" applyBorder="1" applyAlignment="1">
      <alignment horizontal="center" vertical="center"/>
    </xf>
    <xf numFmtId="0" fontId="31" fillId="0" borderId="6" xfId="0" applyFont="1" applyBorder="1" applyAlignment="1">
      <alignment horizontal="left"/>
    </xf>
    <xf numFmtId="0" fontId="31" fillId="0" borderId="8" xfId="0" applyFont="1" applyBorder="1" applyAlignment="1">
      <alignment horizontal="left"/>
    </xf>
    <xf numFmtId="0" fontId="31" fillId="15" borderId="3" xfId="0" applyFont="1" applyFill="1" applyBorder="1" applyAlignment="1">
      <alignment horizontal="center"/>
    </xf>
    <xf numFmtId="0" fontId="31" fillId="15" borderId="7" xfId="0" applyFont="1" applyFill="1" applyBorder="1" applyAlignment="1">
      <alignment horizontal="center"/>
    </xf>
    <xf numFmtId="0" fontId="31" fillId="15" borderId="4" xfId="0" applyFont="1" applyFill="1" applyBorder="1" applyAlignment="1">
      <alignment horizontal="center"/>
    </xf>
    <xf numFmtId="0" fontId="31" fillId="0" borderId="6" xfId="0" applyFont="1" applyBorder="1" applyAlignment="1">
      <alignment wrapText="1"/>
    </xf>
    <xf numFmtId="0" fontId="31" fillId="0" borderId="13" xfId="0" applyFont="1" applyBorder="1" applyAlignment="1">
      <alignment wrapText="1"/>
    </xf>
    <xf numFmtId="0" fontId="31" fillId="0" borderId="8" xfId="0" applyFont="1" applyBorder="1" applyAlignment="1">
      <alignment wrapText="1"/>
    </xf>
    <xf numFmtId="0" fontId="31" fillId="8" borderId="13" xfId="0" applyFont="1" applyFill="1" applyBorder="1" applyAlignment="1" applyProtection="1">
      <alignment wrapText="1"/>
      <protection locked="0"/>
    </xf>
    <xf numFmtId="0" fontId="31" fillId="8" borderId="8" xfId="0" applyFont="1" applyFill="1" applyBorder="1" applyAlignment="1" applyProtection="1">
      <alignment wrapText="1"/>
      <protection locked="0"/>
    </xf>
    <xf numFmtId="0" fontId="31" fillId="15" borderId="9" xfId="0" applyFont="1" applyFill="1" applyBorder="1" applyAlignment="1">
      <alignment horizontal="center"/>
    </xf>
    <xf numFmtId="0" fontId="31" fillId="15" borderId="16" xfId="0" applyFont="1" applyFill="1" applyBorder="1" applyAlignment="1">
      <alignment horizontal="center"/>
    </xf>
    <xf numFmtId="0" fontId="31" fillId="15" borderId="15" xfId="0" applyFont="1" applyFill="1" applyBorder="1" applyAlignment="1">
      <alignment horizontal="center"/>
    </xf>
    <xf numFmtId="0" fontId="31" fillId="15" borderId="11" xfId="0" applyFont="1" applyFill="1" applyBorder="1" applyAlignment="1">
      <alignment horizontal="center"/>
    </xf>
    <xf numFmtId="0" fontId="31" fillId="0" borderId="6" xfId="0" applyFont="1" applyBorder="1" applyAlignment="1">
      <alignment horizontal="left" wrapText="1"/>
    </xf>
    <xf numFmtId="0" fontId="31" fillId="0" borderId="13" xfId="0" applyFont="1" applyBorder="1" applyAlignment="1">
      <alignment horizontal="left" wrapText="1"/>
    </xf>
    <xf numFmtId="0" fontId="31" fillId="0" borderId="8" xfId="0" applyFont="1" applyBorder="1" applyAlignment="1">
      <alignment horizontal="left" wrapText="1"/>
    </xf>
    <xf numFmtId="0" fontId="31" fillId="8" borderId="6" xfId="0" applyFont="1" applyFill="1" applyBorder="1" applyAlignment="1" applyProtection="1">
      <alignment horizontal="left" wrapText="1"/>
      <protection locked="0"/>
    </xf>
    <xf numFmtId="0" fontId="31" fillId="8" borderId="13" xfId="0" applyFont="1" applyFill="1" applyBorder="1" applyAlignment="1" applyProtection="1">
      <alignment horizontal="left" wrapText="1"/>
      <protection locked="0"/>
    </xf>
    <xf numFmtId="0" fontId="31" fillId="8" borderId="8" xfId="0" applyFont="1" applyFill="1" applyBorder="1" applyAlignment="1" applyProtection="1">
      <alignment horizontal="left" wrapText="1"/>
      <protection locked="0"/>
    </xf>
    <xf numFmtId="0" fontId="31" fillId="0" borderId="13" xfId="0" applyFont="1" applyBorder="1" applyAlignment="1" applyProtection="1">
      <alignment horizontal="left" wrapText="1"/>
      <protection locked="0"/>
    </xf>
    <xf numFmtId="0" fontId="31" fillId="0" borderId="8" xfId="0" applyFont="1" applyBorder="1" applyAlignment="1" applyProtection="1">
      <alignment horizontal="left" wrapText="1"/>
      <protection locked="0"/>
    </xf>
    <xf numFmtId="0" fontId="29" fillId="0" borderId="5" xfId="0" applyFont="1" applyBorder="1" applyAlignment="1">
      <alignment horizontal="left" wrapText="1"/>
    </xf>
    <xf numFmtId="0" fontId="31" fillId="15" borderId="12" xfId="0" applyFont="1" applyFill="1" applyBorder="1" applyAlignment="1">
      <alignment horizontal="center"/>
    </xf>
    <xf numFmtId="0" fontId="31" fillId="15" borderId="10" xfId="0" applyFont="1" applyFill="1" applyBorder="1" applyAlignment="1">
      <alignment horizontal="center"/>
    </xf>
    <xf numFmtId="0" fontId="29" fillId="0" borderId="0" xfId="0" applyFont="1" applyAlignment="1">
      <alignment horizontal="left" wrapText="1"/>
    </xf>
    <xf numFmtId="0" fontId="32" fillId="0" borderId="0" xfId="0" applyFont="1" applyAlignment="1">
      <alignment horizontal="left"/>
    </xf>
    <xf numFmtId="0" fontId="31" fillId="0" borderId="0" xfId="0" applyFont="1" applyAlignment="1">
      <alignment horizontal="left" vertical="top" wrapText="1"/>
    </xf>
    <xf numFmtId="0" fontId="31" fillId="8" borderId="6" xfId="0" applyFont="1" applyFill="1" applyBorder="1" applyAlignment="1" applyProtection="1">
      <alignment wrapText="1"/>
      <protection locked="0"/>
    </xf>
    <xf numFmtId="0" fontId="31" fillId="3" borderId="6" xfId="0" applyFont="1" applyFill="1" applyBorder="1" applyAlignment="1">
      <alignment horizontal="left" wrapText="1"/>
    </xf>
    <xf numFmtId="0" fontId="31" fillId="3" borderId="13" xfId="0" applyFont="1" applyFill="1" applyBorder="1" applyAlignment="1">
      <alignment horizontal="left" wrapText="1"/>
    </xf>
    <xf numFmtId="0" fontId="31" fillId="3" borderId="8" xfId="0" applyFont="1" applyFill="1" applyBorder="1" applyAlignment="1">
      <alignment horizontal="left" wrapText="1"/>
    </xf>
    <xf numFmtId="0" fontId="29" fillId="0" borderId="6" xfId="0" applyFont="1" applyBorder="1" applyAlignment="1">
      <alignment horizontal="left"/>
    </xf>
    <xf numFmtId="0" fontId="29" fillId="0" borderId="8" xfId="0" applyFont="1" applyBorder="1" applyAlignment="1">
      <alignment horizontal="left"/>
    </xf>
    <xf numFmtId="0" fontId="6" fillId="20" borderId="3" xfId="0" applyFont="1" applyFill="1" applyBorder="1" applyAlignment="1">
      <alignment horizontal="left" vertical="top" wrapText="1"/>
    </xf>
    <xf numFmtId="0" fontId="6" fillId="20" borderId="4" xfId="0" applyFont="1" applyFill="1" applyBorder="1" applyAlignment="1">
      <alignment horizontal="left" vertical="top" wrapText="1"/>
    </xf>
    <xf numFmtId="0" fontId="31" fillId="0" borderId="6" xfId="0" applyFont="1" applyBorder="1" applyAlignment="1" applyProtection="1">
      <alignment horizontal="left" wrapText="1"/>
      <protection locked="0"/>
    </xf>
    <xf numFmtId="0" fontId="159" fillId="0" borderId="0" xfId="1" applyNumberFormat="1" applyFont="1" applyAlignment="1" applyProtection="1">
      <alignment horizontal="left" vertical="top" wrapText="1"/>
    </xf>
    <xf numFmtId="0" fontId="15" fillId="0" borderId="0" xfId="0" applyFont="1" applyAlignment="1">
      <alignment horizontal="center" wrapText="1"/>
    </xf>
    <xf numFmtId="3" fontId="20" fillId="0" borderId="0" xfId="0" applyNumberFormat="1" applyFont="1" applyAlignment="1">
      <alignment horizontal="left" wrapText="1"/>
    </xf>
    <xf numFmtId="0" fontId="6" fillId="0" borderId="5" xfId="0" applyFont="1" applyBorder="1" applyAlignment="1">
      <alignment horizontal="center"/>
    </xf>
    <xf numFmtId="166" fontId="51" fillId="0" borderId="0" xfId="1" applyNumberFormat="1" applyFont="1" applyFill="1" applyAlignment="1" applyProtection="1">
      <alignment horizontal="center" wrapText="1"/>
    </xf>
    <xf numFmtId="166" fontId="51" fillId="0" borderId="2" xfId="1" applyNumberFormat="1" applyFont="1" applyFill="1" applyBorder="1" applyAlignment="1" applyProtection="1">
      <alignment horizontal="center" wrapText="1"/>
    </xf>
    <xf numFmtId="166" fontId="51" fillId="0" borderId="0" xfId="1" applyNumberFormat="1" applyFont="1" applyAlignment="1" applyProtection="1">
      <alignment horizontal="center" wrapText="1"/>
    </xf>
    <xf numFmtId="166" fontId="51" fillId="0" borderId="2" xfId="1" applyNumberFormat="1" applyFont="1" applyBorder="1" applyAlignment="1" applyProtection="1">
      <alignment horizontal="center" wrapText="1"/>
    </xf>
    <xf numFmtId="0" fontId="20" fillId="0" borderId="15"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169" fontId="20" fillId="0" borderId="9" xfId="0" applyNumberFormat="1" applyFont="1" applyBorder="1" applyAlignment="1">
      <alignment horizontal="center" wrapText="1"/>
    </xf>
    <xf numFmtId="169" fontId="20" fillId="0" borderId="5" xfId="0" applyNumberFormat="1" applyFont="1" applyBorder="1" applyAlignment="1">
      <alignment horizontal="center" wrapText="1"/>
    </xf>
    <xf numFmtId="169" fontId="20" fillId="0" borderId="16" xfId="0" applyNumberFormat="1" applyFont="1" applyBorder="1" applyAlignment="1">
      <alignment horizontal="center" wrapText="1"/>
    </xf>
    <xf numFmtId="169" fontId="20" fillId="0" borderId="12" xfId="0" applyNumberFormat="1" applyFont="1" applyBorder="1" applyAlignment="1">
      <alignment horizontal="center" wrapText="1"/>
    </xf>
    <xf numFmtId="169" fontId="20" fillId="0" borderId="0" xfId="0" applyNumberFormat="1" applyFont="1" applyAlignment="1">
      <alignment horizontal="center" wrapText="1"/>
    </xf>
    <xf numFmtId="169" fontId="20" fillId="0" borderId="10" xfId="0" applyNumberFormat="1" applyFont="1" applyBorder="1" applyAlignment="1">
      <alignment horizontal="center" wrapText="1"/>
    </xf>
    <xf numFmtId="0" fontId="20" fillId="0" borderId="12" xfId="0" applyFont="1" applyBorder="1" applyAlignment="1">
      <alignment horizontal="center" wrapText="1"/>
    </xf>
    <xf numFmtId="0" fontId="19" fillId="8" borderId="3" xfId="0" applyFont="1" applyFill="1" applyBorder="1" applyAlignment="1" applyProtection="1">
      <alignment horizontal="left" vertical="center" wrapText="1"/>
      <protection locked="0"/>
    </xf>
    <xf numFmtId="0" fontId="19" fillId="8" borderId="7" xfId="0" applyFont="1" applyFill="1" applyBorder="1" applyAlignment="1" applyProtection="1">
      <alignment horizontal="left" vertical="center" wrapText="1"/>
      <protection locked="0"/>
    </xf>
    <xf numFmtId="0" fontId="19" fillId="8" borderId="4" xfId="0" applyFont="1" applyFill="1" applyBorder="1" applyAlignment="1" applyProtection="1">
      <alignment horizontal="left" vertical="center" wrapText="1"/>
      <protection locked="0"/>
    </xf>
    <xf numFmtId="0" fontId="20" fillId="0" borderId="10" xfId="0" applyFont="1" applyBorder="1" applyAlignment="1">
      <alignment horizontal="center" wrapText="1"/>
    </xf>
    <xf numFmtId="0" fontId="19" fillId="3" borderId="9" xfId="0" applyFont="1" applyFill="1" applyBorder="1" applyAlignment="1">
      <alignment horizontal="left" vertical="center" wrapText="1"/>
    </xf>
    <xf numFmtId="0" fontId="19" fillId="3" borderId="12" xfId="0" applyFont="1" applyFill="1" applyBorder="1" applyAlignment="1">
      <alignment horizontal="left" vertical="center" wrapText="1"/>
    </xf>
    <xf numFmtId="0" fontId="19" fillId="3" borderId="15" xfId="0" applyFont="1" applyFill="1" applyBorder="1" applyAlignment="1">
      <alignment horizontal="left" vertical="center" wrapText="1"/>
    </xf>
    <xf numFmtId="0" fontId="73" fillId="0" borderId="0" xfId="0" applyFont="1" applyAlignment="1">
      <alignment horizontal="center" wrapText="1"/>
    </xf>
    <xf numFmtId="0" fontId="73" fillId="0" borderId="2" xfId="0" applyFont="1" applyBorder="1" applyAlignment="1">
      <alignment horizontal="center" wrapText="1"/>
    </xf>
    <xf numFmtId="0" fontId="131" fillId="12" borderId="87" xfId="0" applyFont="1" applyFill="1" applyBorder="1" applyAlignment="1">
      <alignment horizontal="center" vertical="top" wrapText="1"/>
    </xf>
    <xf numFmtId="0" fontId="131" fillId="12" borderId="42" xfId="0" applyFont="1" applyFill="1" applyBorder="1" applyAlignment="1">
      <alignment horizontal="center" vertical="top" wrapText="1"/>
    </xf>
    <xf numFmtId="0" fontId="131" fillId="12" borderId="38" xfId="0" applyFont="1" applyFill="1" applyBorder="1" applyAlignment="1">
      <alignment horizontal="center" vertical="top" wrapText="1"/>
    </xf>
    <xf numFmtId="0" fontId="114" fillId="6" borderId="55" xfId="0" applyFont="1" applyFill="1" applyBorder="1" applyAlignment="1">
      <alignment horizontal="left"/>
    </xf>
    <xf numFmtId="0" fontId="114" fillId="6" borderId="88" xfId="0" applyFont="1" applyFill="1" applyBorder="1" applyAlignment="1">
      <alignment horizontal="left"/>
    </xf>
    <xf numFmtId="0" fontId="114" fillId="6" borderId="20" xfId="0" applyFont="1" applyFill="1" applyBorder="1" applyAlignment="1">
      <alignment horizontal="right"/>
    </xf>
    <xf numFmtId="0" fontId="114" fillId="6" borderId="1" xfId="0" applyFont="1" applyFill="1" applyBorder="1" applyAlignment="1">
      <alignment horizontal="right"/>
    </xf>
    <xf numFmtId="0" fontId="29" fillId="0" borderId="1" xfId="0" applyFont="1" applyBorder="1" applyAlignment="1">
      <alignment horizontal="center" wrapText="1"/>
    </xf>
    <xf numFmtId="0" fontId="29" fillId="0" borderId="8" xfId="0" applyFont="1" applyBorder="1" applyAlignment="1">
      <alignment horizontal="center" wrapText="1"/>
    </xf>
    <xf numFmtId="0" fontId="69" fillId="6" borderId="62" xfId="0" applyFont="1" applyFill="1" applyBorder="1" applyAlignment="1">
      <alignment horizontal="left" vertical="center" wrapText="1"/>
    </xf>
    <xf numFmtId="0" fontId="69" fillId="6" borderId="8" xfId="0" applyFont="1" applyFill="1" applyBorder="1" applyAlignment="1">
      <alignment horizontal="left" vertical="center" wrapText="1"/>
    </xf>
    <xf numFmtId="0" fontId="69" fillId="6" borderId="62" xfId="0" applyFont="1" applyFill="1" applyBorder="1" applyAlignment="1">
      <alignment vertical="top" wrapText="1"/>
    </xf>
    <xf numFmtId="0" fontId="69" fillId="6" borderId="8" xfId="0" applyFont="1" applyFill="1" applyBorder="1" applyAlignment="1">
      <alignment vertical="top" wrapText="1"/>
    </xf>
    <xf numFmtId="0" fontId="69" fillId="6" borderId="99" xfId="0" applyFont="1" applyFill="1" applyBorder="1" applyAlignment="1">
      <alignment vertical="top" wrapText="1"/>
    </xf>
    <xf numFmtId="0" fontId="69" fillId="6" borderId="100" xfId="0" applyFont="1" applyFill="1" applyBorder="1" applyAlignment="1">
      <alignment vertical="top" wrapText="1"/>
    </xf>
    <xf numFmtId="0" fontId="69" fillId="0" borderId="28" xfId="0" applyFont="1" applyBorder="1" applyAlignment="1">
      <alignment horizontal="left" vertical="center" wrapText="1"/>
    </xf>
    <xf numFmtId="0" fontId="69" fillId="0" borderId="10" xfId="0" applyFont="1" applyBorder="1" applyAlignment="1">
      <alignment horizontal="left" vertical="center" wrapText="1"/>
    </xf>
    <xf numFmtId="0" fontId="31" fillId="3" borderId="101" xfId="0" applyFont="1" applyFill="1" applyBorder="1" applyAlignment="1">
      <alignment horizontal="center" vertical="center" wrapText="1"/>
    </xf>
    <xf numFmtId="0" fontId="131" fillId="12" borderId="0" xfId="0" applyFont="1" applyFill="1" applyAlignment="1">
      <alignment horizontal="right"/>
    </xf>
    <xf numFmtId="0" fontId="114" fillId="6" borderId="37" xfId="0" applyFont="1" applyFill="1" applyBorder="1" applyAlignment="1">
      <alignment horizontal="left"/>
    </xf>
    <xf numFmtId="0" fontId="31" fillId="6" borderId="55" xfId="0" applyFont="1" applyFill="1" applyBorder="1" applyAlignment="1">
      <alignment horizontal="center"/>
    </xf>
    <xf numFmtId="0" fontId="31" fillId="6" borderId="81" xfId="0" applyFont="1" applyFill="1" applyBorder="1" applyAlignment="1">
      <alignment horizontal="center"/>
    </xf>
    <xf numFmtId="0" fontId="31" fillId="6" borderId="102" xfId="0" applyFont="1" applyFill="1" applyBorder="1" applyAlignment="1">
      <alignment horizontal="center"/>
    </xf>
    <xf numFmtId="0" fontId="29" fillId="4" borderId="89" xfId="0" applyFont="1" applyFill="1" applyBorder="1" applyAlignment="1">
      <alignment horizontal="right" wrapText="1"/>
    </xf>
    <xf numFmtId="0" fontId="69" fillId="8" borderId="61" xfId="0" applyFont="1" applyFill="1" applyBorder="1" applyAlignment="1" applyProtection="1">
      <alignment horizontal="left" wrapText="1"/>
      <protection locked="0"/>
    </xf>
    <xf numFmtId="0" fontId="69" fillId="8" borderId="11" xfId="0" applyFont="1" applyFill="1" applyBorder="1" applyAlignment="1" applyProtection="1">
      <alignment horizontal="left" wrapText="1"/>
      <protection locked="0"/>
    </xf>
    <xf numFmtId="0" fontId="69" fillId="8" borderId="28" xfId="0" applyFont="1" applyFill="1" applyBorder="1" applyAlignment="1" applyProtection="1">
      <alignment horizontal="left" wrapText="1"/>
      <protection locked="0"/>
    </xf>
    <xf numFmtId="0" fontId="69" fillId="8" borderId="10" xfId="0" applyFont="1" applyFill="1" applyBorder="1" applyAlignment="1" applyProtection="1">
      <alignment horizontal="left" wrapText="1"/>
      <protection locked="0"/>
    </xf>
    <xf numFmtId="0" fontId="131" fillId="12" borderId="55" xfId="0" applyFont="1" applyFill="1" applyBorder="1" applyAlignment="1">
      <alignment horizontal="center"/>
    </xf>
    <xf numFmtId="0" fontId="131" fillId="12" borderId="81" xfId="0" applyFont="1" applyFill="1" applyBorder="1" applyAlignment="1">
      <alignment horizontal="center"/>
    </xf>
    <xf numFmtId="0" fontId="131" fillId="12" borderId="82" xfId="0" applyFont="1" applyFill="1" applyBorder="1" applyAlignment="1">
      <alignment horizontal="center"/>
    </xf>
    <xf numFmtId="0" fontId="114" fillId="6" borderId="102" xfId="0" applyFont="1" applyFill="1" applyBorder="1" applyAlignment="1">
      <alignment horizontal="left"/>
    </xf>
    <xf numFmtId="0" fontId="29" fillId="6" borderId="55" xfId="0" applyFont="1" applyFill="1" applyBorder="1" applyAlignment="1">
      <alignment horizontal="left" vertical="center" wrapText="1"/>
    </xf>
    <xf numFmtId="0" fontId="29" fillId="6" borderId="94" xfId="0" applyFont="1" applyFill="1" applyBorder="1" applyAlignment="1">
      <alignment horizontal="left" vertical="center" wrapText="1"/>
    </xf>
    <xf numFmtId="0" fontId="71" fillId="0" borderId="12" xfId="5" quotePrefix="1" applyFont="1" applyBorder="1" applyAlignment="1">
      <alignment horizontal="center" vertical="top" wrapText="1"/>
    </xf>
    <xf numFmtId="0" fontId="71" fillId="0" borderId="0" xfId="5" quotePrefix="1" applyFont="1" applyAlignment="1">
      <alignment horizontal="center" vertical="top" wrapText="1"/>
    </xf>
    <xf numFmtId="0" fontId="6" fillId="6" borderId="6" xfId="5" applyFill="1" applyBorder="1" applyAlignment="1">
      <alignment horizontal="right"/>
    </xf>
    <xf numFmtId="0" fontId="6" fillId="6" borderId="8" xfId="5" applyFill="1" applyBorder="1" applyAlignment="1">
      <alignment horizontal="right"/>
    </xf>
    <xf numFmtId="0" fontId="52" fillId="3" borderId="55" xfId="5" applyFont="1" applyFill="1" applyBorder="1" applyAlignment="1">
      <alignment horizontal="center"/>
    </xf>
    <xf numFmtId="0" fontId="52" fillId="3" borderId="81" xfId="5" applyFont="1" applyFill="1" applyBorder="1" applyAlignment="1">
      <alignment horizontal="center"/>
    </xf>
    <xf numFmtId="0" fontId="52" fillId="3" borderId="82" xfId="5" applyFont="1" applyFill="1" applyBorder="1" applyAlignment="1">
      <alignment horizontal="center"/>
    </xf>
    <xf numFmtId="0" fontId="15" fillId="23" borderId="6" xfId="5" applyFont="1" applyFill="1" applyBorder="1" applyAlignment="1">
      <alignment horizontal="center" vertical="center"/>
    </xf>
    <xf numFmtId="0" fontId="15" fillId="23" borderId="13" xfId="5" applyFont="1" applyFill="1" applyBorder="1" applyAlignment="1">
      <alignment horizontal="center" vertical="center"/>
    </xf>
    <xf numFmtId="0" fontId="15" fillId="23" borderId="8" xfId="5" applyFont="1" applyFill="1" applyBorder="1" applyAlignment="1">
      <alignment horizontal="center" vertical="center"/>
    </xf>
    <xf numFmtId="3" fontId="6" fillId="16" borderId="6" xfId="5" applyNumberFormat="1" applyFill="1" applyBorder="1" applyAlignment="1">
      <alignment horizontal="center"/>
    </xf>
    <xf numFmtId="3" fontId="6" fillId="16" borderId="13" xfId="5" applyNumberFormat="1" applyFill="1" applyBorder="1" applyAlignment="1">
      <alignment horizontal="center"/>
    </xf>
    <xf numFmtId="3" fontId="6" fillId="16" borderId="8" xfId="5" applyNumberFormat="1" applyFill="1" applyBorder="1" applyAlignment="1">
      <alignment horizontal="center"/>
    </xf>
    <xf numFmtId="0" fontId="15" fillId="0" borderId="0" xfId="5" applyFont="1" applyAlignment="1">
      <alignment horizontal="right" wrapText="1"/>
    </xf>
    <xf numFmtId="0" fontId="15" fillId="0" borderId="10" xfId="5" applyFont="1" applyBorder="1" applyAlignment="1">
      <alignment horizontal="right" wrapText="1"/>
    </xf>
    <xf numFmtId="14" fontId="6" fillId="16" borderId="1" xfId="5" applyNumberFormat="1" applyFill="1" applyBorder="1" applyAlignment="1">
      <alignment horizontal="center" vertical="center"/>
    </xf>
    <xf numFmtId="0" fontId="48" fillId="0" borderId="1" xfId="5" applyFont="1" applyBorder="1" applyAlignment="1">
      <alignment horizontal="center" wrapText="1"/>
    </xf>
    <xf numFmtId="0" fontId="15" fillId="28" borderId="12" xfId="5" applyFont="1" applyFill="1" applyBorder="1" applyAlignment="1">
      <alignment horizontal="center" vertical="center"/>
    </xf>
    <xf numFmtId="0" fontId="15" fillId="28" borderId="0" xfId="5" applyFont="1" applyFill="1" applyAlignment="1">
      <alignment horizontal="center" vertical="center"/>
    </xf>
    <xf numFmtId="0" fontId="15" fillId="5" borderId="12" xfId="5" applyFont="1" applyFill="1" applyBorder="1" applyAlignment="1">
      <alignment horizontal="center"/>
    </xf>
    <xf numFmtId="0" fontId="15" fillId="5" borderId="0" xfId="5" applyFont="1" applyFill="1" applyAlignment="1">
      <alignment horizontal="center"/>
    </xf>
    <xf numFmtId="0" fontId="20" fillId="0" borderId="97" xfId="5" applyFont="1" applyBorder="1" applyAlignment="1">
      <alignment horizontal="center" vertical="center"/>
    </xf>
    <xf numFmtId="0" fontId="20" fillId="0" borderId="69" xfId="5" applyFont="1" applyBorder="1" applyAlignment="1">
      <alignment horizontal="center" vertical="center"/>
    </xf>
    <xf numFmtId="0" fontId="20" fillId="0" borderId="71" xfId="5" applyFont="1" applyBorder="1" applyAlignment="1">
      <alignment horizontal="center" vertical="center"/>
    </xf>
    <xf numFmtId="0" fontId="15" fillId="0" borderId="62" xfId="5" applyFont="1" applyBorder="1" applyAlignment="1">
      <alignment horizontal="center" wrapText="1"/>
    </xf>
    <xf numFmtId="0" fontId="15" fillId="0" borderId="13" xfId="5" applyFont="1" applyBorder="1" applyAlignment="1">
      <alignment horizontal="center" wrapText="1"/>
    </xf>
    <xf numFmtId="0" fontId="15" fillId="0" borderId="8" xfId="5" applyFont="1" applyBorder="1" applyAlignment="1">
      <alignment horizontal="center" wrapText="1"/>
    </xf>
    <xf numFmtId="14" fontId="6" fillId="4" borderId="6" xfId="5" applyNumberFormat="1" applyFill="1" applyBorder="1" applyAlignment="1">
      <alignment horizontal="center" vertical="center"/>
    </xf>
    <xf numFmtId="14" fontId="6" fillId="4" borderId="13" xfId="5" applyNumberFormat="1" applyFill="1" applyBorder="1" applyAlignment="1">
      <alignment horizontal="center" vertical="center"/>
    </xf>
    <xf numFmtId="14" fontId="6" fillId="4" borderId="33" xfId="5" applyNumberFormat="1" applyFill="1" applyBorder="1" applyAlignment="1">
      <alignment horizontal="center" vertical="center"/>
    </xf>
    <xf numFmtId="0" fontId="6" fillId="0" borderId="6" xfId="23" applyFont="1" applyBorder="1" applyAlignment="1">
      <alignment horizontal="center" vertical="center"/>
    </xf>
    <xf numFmtId="0" fontId="6" fillId="0" borderId="8" xfId="23" applyFont="1" applyBorder="1" applyAlignment="1">
      <alignment horizontal="center" vertical="center"/>
    </xf>
    <xf numFmtId="0" fontId="30" fillId="0" borderId="2" xfId="5" applyFont="1" applyBorder="1" applyAlignment="1">
      <alignment horizontal="center" vertical="center"/>
    </xf>
    <xf numFmtId="0" fontId="6" fillId="0" borderId="6" xfId="23" applyFont="1" applyBorder="1" applyAlignment="1">
      <alignment horizontal="left"/>
    </xf>
    <xf numFmtId="0" fontId="6" fillId="0" borderId="13" xfId="23" applyFont="1" applyBorder="1" applyAlignment="1">
      <alignment horizontal="left"/>
    </xf>
    <xf numFmtId="0" fontId="6" fillId="0" borderId="8" xfId="23" applyFont="1" applyBorder="1" applyAlignment="1">
      <alignment horizontal="left"/>
    </xf>
    <xf numFmtId="0" fontId="31" fillId="8" borderId="9" xfId="0" applyFont="1" applyFill="1" applyBorder="1" applyAlignment="1" applyProtection="1">
      <alignment horizontal="left" vertical="top"/>
      <protection locked="0"/>
    </xf>
    <xf numFmtId="0" fontId="31" fillId="8" borderId="5" xfId="0" applyFont="1" applyFill="1" applyBorder="1" applyAlignment="1" applyProtection="1">
      <alignment horizontal="left" vertical="top"/>
      <protection locked="0"/>
    </xf>
    <xf numFmtId="0" fontId="31" fillId="8" borderId="16" xfId="0" applyFont="1" applyFill="1" applyBorder="1" applyAlignment="1" applyProtection="1">
      <alignment horizontal="left" vertical="top"/>
      <protection locked="0"/>
    </xf>
    <xf numFmtId="0" fontId="31" fillId="8" borderId="12" xfId="0" applyFont="1" applyFill="1" applyBorder="1" applyAlignment="1" applyProtection="1">
      <alignment horizontal="left" vertical="top"/>
      <protection locked="0"/>
    </xf>
    <xf numFmtId="0" fontId="31" fillId="8" borderId="0" xfId="0" applyFont="1" applyFill="1" applyAlignment="1" applyProtection="1">
      <alignment horizontal="left" vertical="top"/>
      <protection locked="0"/>
    </xf>
    <xf numFmtId="0" fontId="31" fillId="8" borderId="10" xfId="0" applyFont="1" applyFill="1" applyBorder="1" applyAlignment="1" applyProtection="1">
      <alignment horizontal="left" vertical="top"/>
      <protection locked="0"/>
    </xf>
    <xf numFmtId="0" fontId="31" fillId="8" borderId="15" xfId="0" applyFont="1" applyFill="1" applyBorder="1" applyAlignment="1" applyProtection="1">
      <alignment horizontal="left" vertical="top"/>
      <protection locked="0"/>
    </xf>
    <xf numFmtId="0" fontId="31" fillId="8" borderId="2" xfId="0" applyFont="1" applyFill="1" applyBorder="1" applyAlignment="1" applyProtection="1">
      <alignment horizontal="left" vertical="top"/>
      <protection locked="0"/>
    </xf>
    <xf numFmtId="0" fontId="31" fillId="8" borderId="11" xfId="0" applyFont="1" applyFill="1" applyBorder="1" applyAlignment="1" applyProtection="1">
      <alignment horizontal="left" vertical="top"/>
      <protection locked="0"/>
    </xf>
    <xf numFmtId="0" fontId="6" fillId="0" borderId="5" xfId="5" applyBorder="1" applyAlignment="1">
      <alignment horizontal="center" vertical="center" wrapText="1"/>
    </xf>
    <xf numFmtId="0" fontId="6" fillId="0" borderId="0" xfId="5" applyAlignment="1">
      <alignment horizontal="center" vertical="center" wrapText="1"/>
    </xf>
    <xf numFmtId="0" fontId="6" fillId="4" borderId="1" xfId="23" applyFont="1" applyFill="1" applyBorder="1" applyAlignment="1">
      <alignment horizontal="left" wrapText="1"/>
    </xf>
    <xf numFmtId="0" fontId="6" fillId="4" borderId="1" xfId="5" applyFill="1" applyBorder="1" applyAlignment="1">
      <alignment horizontal="left" wrapText="1"/>
    </xf>
    <xf numFmtId="0" fontId="6" fillId="4" borderId="1" xfId="5" applyFill="1" applyBorder="1" applyAlignment="1">
      <alignment horizontal="left"/>
    </xf>
    <xf numFmtId="9" fontId="6" fillId="0" borderId="9" xfId="5" applyNumberFormat="1" applyBorder="1" applyAlignment="1">
      <alignment horizontal="center" vertical="center"/>
    </xf>
    <xf numFmtId="9" fontId="6" fillId="0" borderId="12" xfId="5" applyNumberFormat="1" applyBorder="1" applyAlignment="1">
      <alignment horizontal="center" vertical="center"/>
    </xf>
    <xf numFmtId="9" fontId="6" fillId="0" borderId="15" xfId="5" applyNumberFormat="1" applyBorder="1" applyAlignment="1">
      <alignment horizontal="center" vertical="center"/>
    </xf>
    <xf numFmtId="1" fontId="6" fillId="0" borderId="16" xfId="5" applyNumberFormat="1" applyBorder="1" applyAlignment="1">
      <alignment horizontal="center" vertical="center"/>
    </xf>
    <xf numFmtId="1" fontId="6" fillId="0" borderId="10" xfId="5" applyNumberFormat="1" applyBorder="1" applyAlignment="1">
      <alignment horizontal="center" vertical="center"/>
    </xf>
    <xf numFmtId="1" fontId="6" fillId="0" borderId="11" xfId="5" applyNumberFormat="1" applyBorder="1" applyAlignment="1">
      <alignment horizontal="center" vertical="center"/>
    </xf>
    <xf numFmtId="9" fontId="1" fillId="0" borderId="1" xfId="24" applyBorder="1" applyAlignment="1">
      <alignment horizontal="center" vertical="center"/>
    </xf>
    <xf numFmtId="0" fontId="6" fillId="0" borderId="16" xfId="5" applyBorder="1" applyAlignment="1">
      <alignment horizontal="center" vertical="center"/>
    </xf>
    <xf numFmtId="0" fontId="6" fillId="0" borderId="10" xfId="5" applyBorder="1" applyAlignment="1">
      <alignment horizontal="center" vertical="center"/>
    </xf>
    <xf numFmtId="0" fontId="6" fillId="0" borderId="11" xfId="5" applyBorder="1" applyAlignment="1">
      <alignment horizontal="center" vertical="center"/>
    </xf>
    <xf numFmtId="0" fontId="114" fillId="0" borderId="0" xfId="0" applyFont="1" applyAlignment="1">
      <alignment horizontal="center" vertical="top"/>
    </xf>
    <xf numFmtId="0" fontId="122" fillId="0" borderId="0" xfId="19" applyFont="1" applyAlignment="1">
      <alignment horizontal="center"/>
    </xf>
    <xf numFmtId="0" fontId="25" fillId="0" borderId="0" xfId="19" applyFont="1" applyAlignment="1">
      <alignment horizontal="center" vertical="center" wrapText="1" readingOrder="2"/>
    </xf>
    <xf numFmtId="0" fontId="143" fillId="0" borderId="112" xfId="0" applyFont="1" applyBorder="1" applyAlignment="1">
      <alignment horizontal="center" vertical="center" wrapText="1"/>
    </xf>
    <xf numFmtId="0" fontId="143" fillId="0" borderId="82" xfId="0" applyFont="1" applyBorder="1" applyAlignment="1">
      <alignment horizontal="center" vertical="center" wrapText="1"/>
    </xf>
    <xf numFmtId="0" fontId="20" fillId="23" borderId="1" xfId="19" applyFont="1" applyFill="1" applyBorder="1" applyAlignment="1">
      <alignment horizontal="center"/>
    </xf>
    <xf numFmtId="0" fontId="6" fillId="0" borderId="6" xfId="0" applyFont="1" applyBorder="1" applyAlignment="1">
      <alignment horizontal="center"/>
    </xf>
    <xf numFmtId="0" fontId="6" fillId="0" borderId="8" xfId="0" applyFont="1" applyBorder="1" applyAlignment="1">
      <alignment horizontal="center"/>
    </xf>
  </cellXfs>
  <cellStyles count="26">
    <cellStyle name="Comma" xfId="1" builtinId="3"/>
    <cellStyle name="Comma 2" xfId="11" xr:uid="{00000000-0005-0000-0000-000001000000}"/>
    <cellStyle name="Comma 2 4" xfId="18" xr:uid="{30FBD698-84D5-48F5-8301-E176BB37DFF9}"/>
    <cellStyle name="Comma 3" xfId="16" xr:uid="{00000000-0005-0000-0000-000002000000}"/>
    <cellStyle name="Comma 4" xfId="25" xr:uid="{FE60BAA7-450F-462E-8F43-6F10F2EE7750}"/>
    <cellStyle name="Currency" xfId="20" builtinId="4"/>
    <cellStyle name="Currency 2" xfId="6" xr:uid="{00000000-0005-0000-0000-000003000000}"/>
    <cellStyle name="Currency 3" xfId="15" xr:uid="{00000000-0005-0000-0000-000004000000}"/>
    <cellStyle name="Explanatory Text" xfId="13" builtinId="53"/>
    <cellStyle name="Hyperlink" xfId="10" builtinId="8"/>
    <cellStyle name="Normal" xfId="0" builtinId="0"/>
    <cellStyle name="Normal 2" xfId="2" xr:uid="{00000000-0005-0000-0000-000008000000}"/>
    <cellStyle name="Normal 2 2 3" xfId="19" xr:uid="{129FB93B-23F5-459B-9836-AC9AD6FD58F1}"/>
    <cellStyle name="Normal 3" xfId="5" xr:uid="{00000000-0005-0000-0000-000009000000}"/>
    <cellStyle name="Normal 4" xfId="7" xr:uid="{00000000-0005-0000-0000-00000A000000}"/>
    <cellStyle name="Normal 5" xfId="9" xr:uid="{00000000-0005-0000-0000-00000B000000}"/>
    <cellStyle name="Normal 6" xfId="14" xr:uid="{00000000-0005-0000-0000-00000C000000}"/>
    <cellStyle name="Normal 7" xfId="21" xr:uid="{1BBD44C8-A9ED-4B28-9C24-AE0C63587B8B}"/>
    <cellStyle name="Normal 8" xfId="23" xr:uid="{0FB73734-84C7-4355-98A6-1C29B853941A}"/>
    <cellStyle name="Normal_Draft Rent &amp; Unit Mix Sheet" xfId="4" xr:uid="{00000000-0005-0000-0000-00000D000000}"/>
    <cellStyle name="Normal_LC Eval" xfId="22" xr:uid="{789429CE-6DA2-4AF1-BD6C-8D12EAEDF627}"/>
    <cellStyle name="Percent" xfId="3" builtinId="5"/>
    <cellStyle name="Percent 2" xfId="8" xr:uid="{00000000-0005-0000-0000-00000F000000}"/>
    <cellStyle name="Percent 2 2" xfId="12" xr:uid="{00000000-0005-0000-0000-000010000000}"/>
    <cellStyle name="Percent 3" xfId="17" xr:uid="{00000000-0005-0000-0000-000011000000}"/>
    <cellStyle name="Percent 4" xfId="24" xr:uid="{EEC6B286-52A6-4B1C-99E9-9336D8BF4BAF}"/>
  </cellStyles>
  <dxfs count="86">
    <dxf>
      <font>
        <color rgb="FF9C0006"/>
      </font>
      <fill>
        <patternFill>
          <bgColor rgb="FFFFC7CE"/>
        </patternFill>
      </fill>
    </dxf>
    <dxf>
      <fill>
        <patternFill>
          <bgColor rgb="FFFF000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92D05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0"/>
        </patternFill>
      </fill>
    </dxf>
    <dxf>
      <fill>
        <patternFill>
          <bgColor rgb="FFFFFF99"/>
        </patternFill>
      </fill>
    </dxf>
    <dxf>
      <fill>
        <patternFill>
          <bgColor rgb="FFFFFF9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ont>
        <color theme="0"/>
      </font>
      <fill>
        <patternFill>
          <bgColor theme="0"/>
        </patternFill>
      </fill>
      <border>
        <left/>
        <right style="thin">
          <color auto="1"/>
        </right>
        <top/>
        <bottom/>
        <vertical/>
        <horizontal/>
      </border>
    </dxf>
  </dxfs>
  <tableStyles count="0" defaultTableStyle="TableStyleMedium9" defaultPivotStyle="PivotStyleLight16"/>
  <colors>
    <mruColors>
      <color rgb="FFFF66FF"/>
      <color rgb="FFFFFF99"/>
      <color rgb="FF99FF99"/>
      <color rgb="FFA4C09C"/>
      <color rgb="FF9D4F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checked="Checked" fmlaLink="$N$8" noThreeD="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fmlaLink="$N$9" noThreeD="1"/>
</file>

<file path=xl/ctrlProps/ctrlProp3.xml><?xml version="1.0" encoding="utf-8"?>
<formControlPr xmlns="http://schemas.microsoft.com/office/spreadsheetml/2009/9/main" objectType="CheckBox" checked="Checked" fmlaLink="$N$8" noThreeD="1"/>
</file>

<file path=xl/ctrlProps/ctrlProp4.xml><?xml version="1.0" encoding="utf-8"?>
<formControlPr xmlns="http://schemas.microsoft.com/office/spreadsheetml/2009/9/main" objectType="CheckBox" fmlaLink="$N$9"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fmlaLink="$N$11" noThreeD="1"/>
</file>

<file path=xl/ctrlProps/ctrlProp8.xml><?xml version="1.0" encoding="utf-8"?>
<formControlPr xmlns="http://schemas.microsoft.com/office/spreadsheetml/2009/9/main" objectType="CheckBox" fmlaLink="$N$12" noThreeD="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5</xdr:row>
      <xdr:rowOff>57150</xdr:rowOff>
    </xdr:from>
    <xdr:to>
      <xdr:col>1</xdr:col>
      <xdr:colOff>4209518</xdr:colOff>
      <xdr:row>5</xdr:row>
      <xdr:rowOff>419055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0025" y="2028825"/>
          <a:ext cx="4257143" cy="361905"/>
        </a:xfrm>
        <a:prstGeom prst="rect">
          <a:avLst/>
        </a:prstGeom>
      </xdr:spPr>
    </xdr:pic>
    <xdr:clientData/>
  </xdr:twoCellAnchor>
  <xdr:twoCellAnchor editAs="oneCell">
    <xdr:from>
      <xdr:col>0</xdr:col>
      <xdr:colOff>85725</xdr:colOff>
      <xdr:row>3</xdr:row>
      <xdr:rowOff>133350</xdr:rowOff>
    </xdr:from>
    <xdr:to>
      <xdr:col>1</xdr:col>
      <xdr:colOff>8285694</xdr:colOff>
      <xdr:row>3</xdr:row>
      <xdr:rowOff>933350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85725" y="752475"/>
          <a:ext cx="8447619" cy="80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7620</xdr:colOff>
          <xdr:row>12</xdr:row>
          <xdr:rowOff>160020</xdr:rowOff>
        </xdr:from>
        <xdr:to>
          <xdr:col>1</xdr:col>
          <xdr:colOff>2423160</xdr:colOff>
          <xdr:row>14</xdr:row>
          <xdr:rowOff>7620</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7620</xdr:colOff>
          <xdr:row>7</xdr:row>
          <xdr:rowOff>7620</xdr:rowOff>
        </xdr:from>
        <xdr:to>
          <xdr:col>10</xdr:col>
          <xdr:colOff>449580</xdr:colOff>
          <xdr:row>8</xdr:row>
          <xdr:rowOff>38100</xdr:rowOff>
        </xdr:to>
        <xdr:sp macro="" textlink="">
          <xdr:nvSpPr>
            <xdr:cNvPr id="60442" name="CheckBox1" hidden="1">
              <a:extLst>
                <a:ext uri="{63B3BB69-23CF-44E3-9099-C40C66FF867C}">
                  <a14:compatExt spid="_x0000_s60442"/>
                </a:ext>
                <a:ext uri="{FF2B5EF4-FFF2-40B4-BE49-F238E27FC236}">
                  <a16:creationId xmlns:a16="http://schemas.microsoft.com/office/drawing/2014/main" id="{00000000-0008-0000-0100-00001A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7</xdr:row>
          <xdr:rowOff>7620</xdr:rowOff>
        </xdr:from>
        <xdr:to>
          <xdr:col>0</xdr:col>
          <xdr:colOff>251460</xdr:colOff>
          <xdr:row>8</xdr:row>
          <xdr:rowOff>7620</xdr:rowOff>
        </xdr:to>
        <xdr:sp macro="" textlink="">
          <xdr:nvSpPr>
            <xdr:cNvPr id="60417" name="Check Box 1" hidden="1">
              <a:extLst>
                <a:ext uri="{63B3BB69-23CF-44E3-9099-C40C66FF867C}">
                  <a14:compatExt spid="_x0000_s60417"/>
                </a:ext>
                <a:ext uri="{FF2B5EF4-FFF2-40B4-BE49-F238E27FC236}">
                  <a16:creationId xmlns:a16="http://schemas.microsoft.com/office/drawing/2014/main" id="{00000000-0008-0000-0100-00000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7</xdr:row>
          <xdr:rowOff>152400</xdr:rowOff>
        </xdr:from>
        <xdr:to>
          <xdr:col>0</xdr:col>
          <xdr:colOff>297180</xdr:colOff>
          <xdr:row>9</xdr:row>
          <xdr:rowOff>30480</xdr:rowOff>
        </xdr:to>
        <xdr:sp macro="" textlink="">
          <xdr:nvSpPr>
            <xdr:cNvPr id="60418" name="Check Box 2" hidden="1">
              <a:extLst>
                <a:ext uri="{63B3BB69-23CF-44E3-9099-C40C66FF867C}">
                  <a14:compatExt spid="_x0000_s60418"/>
                </a:ext>
                <a:ext uri="{FF2B5EF4-FFF2-40B4-BE49-F238E27FC236}">
                  <a16:creationId xmlns:a16="http://schemas.microsoft.com/office/drawing/2014/main" id="{00000000-0008-0000-0100-00000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7</xdr:row>
          <xdr:rowOff>7620</xdr:rowOff>
        </xdr:from>
        <xdr:to>
          <xdr:col>0</xdr:col>
          <xdr:colOff>251460</xdr:colOff>
          <xdr:row>8</xdr:row>
          <xdr:rowOff>7620</xdr:rowOff>
        </xdr:to>
        <xdr:sp macro="" textlink="">
          <xdr:nvSpPr>
            <xdr:cNvPr id="60422" name="Check Box 6" hidden="1">
              <a:extLst>
                <a:ext uri="{63B3BB69-23CF-44E3-9099-C40C66FF867C}">
                  <a14:compatExt spid="_x0000_s60422"/>
                </a:ext>
                <a:ext uri="{FF2B5EF4-FFF2-40B4-BE49-F238E27FC236}">
                  <a16:creationId xmlns:a16="http://schemas.microsoft.com/office/drawing/2014/main" id="{00000000-0008-0000-0100-000006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7</xdr:row>
          <xdr:rowOff>152400</xdr:rowOff>
        </xdr:from>
        <xdr:to>
          <xdr:col>0</xdr:col>
          <xdr:colOff>297180</xdr:colOff>
          <xdr:row>9</xdr:row>
          <xdr:rowOff>30480</xdr:rowOff>
        </xdr:to>
        <xdr:sp macro="" textlink="">
          <xdr:nvSpPr>
            <xdr:cNvPr id="60423" name="Check Box 7" hidden="1">
              <a:extLst>
                <a:ext uri="{63B3BB69-23CF-44E3-9099-C40C66FF867C}">
                  <a14:compatExt spid="_x0000_s60423"/>
                </a:ext>
                <a:ext uri="{FF2B5EF4-FFF2-40B4-BE49-F238E27FC236}">
                  <a16:creationId xmlns:a16="http://schemas.microsoft.com/office/drawing/2014/main" id="{00000000-0008-0000-0100-000007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7620</xdr:colOff>
          <xdr:row>8</xdr:row>
          <xdr:rowOff>30480</xdr:rowOff>
        </xdr:from>
        <xdr:to>
          <xdr:col>10</xdr:col>
          <xdr:colOff>426720</xdr:colOff>
          <xdr:row>9</xdr:row>
          <xdr:rowOff>60960</xdr:rowOff>
        </xdr:to>
        <xdr:sp macro="" textlink="">
          <xdr:nvSpPr>
            <xdr:cNvPr id="60443" name="CheckBox2" hidden="1">
              <a:extLst>
                <a:ext uri="{63B3BB69-23CF-44E3-9099-C40C66FF867C}">
                  <a14:compatExt spid="_x0000_s60443"/>
                </a:ext>
                <a:ext uri="{FF2B5EF4-FFF2-40B4-BE49-F238E27FC236}">
                  <a16:creationId xmlns:a16="http://schemas.microsoft.com/office/drawing/2014/main" id="{00000000-0008-0000-0100-00001B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6</xdr:row>
          <xdr:rowOff>144780</xdr:rowOff>
        </xdr:from>
        <xdr:to>
          <xdr:col>6</xdr:col>
          <xdr:colOff>266700</xdr:colOff>
          <xdr:row>8</xdr:row>
          <xdr:rowOff>30480</xdr:rowOff>
        </xdr:to>
        <xdr:sp macro="" textlink="">
          <xdr:nvSpPr>
            <xdr:cNvPr id="60444" name="Check Box 28" hidden="1">
              <a:extLst>
                <a:ext uri="{63B3BB69-23CF-44E3-9099-C40C66FF867C}">
                  <a14:compatExt spid="_x0000_s60444"/>
                </a:ext>
                <a:ext uri="{FF2B5EF4-FFF2-40B4-BE49-F238E27FC236}">
                  <a16:creationId xmlns:a16="http://schemas.microsoft.com/office/drawing/2014/main" id="{00000000-0008-0000-0100-00001C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8</xdr:row>
          <xdr:rowOff>0</xdr:rowOff>
        </xdr:from>
        <xdr:to>
          <xdr:col>6</xdr:col>
          <xdr:colOff>220980</xdr:colOff>
          <xdr:row>9</xdr:row>
          <xdr:rowOff>30480</xdr:rowOff>
        </xdr:to>
        <xdr:sp macro="" textlink="">
          <xdr:nvSpPr>
            <xdr:cNvPr id="60445" name="Check Box 29" hidden="1">
              <a:extLst>
                <a:ext uri="{63B3BB69-23CF-44E3-9099-C40C66FF867C}">
                  <a14:compatExt spid="_x0000_s60445"/>
                </a:ext>
                <a:ext uri="{FF2B5EF4-FFF2-40B4-BE49-F238E27FC236}">
                  <a16:creationId xmlns:a16="http://schemas.microsoft.com/office/drawing/2014/main" id="{00000000-0008-0000-0100-00001D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6</xdr:row>
          <xdr:rowOff>144780</xdr:rowOff>
        </xdr:from>
        <xdr:to>
          <xdr:col>6</xdr:col>
          <xdr:colOff>266700</xdr:colOff>
          <xdr:row>8</xdr:row>
          <xdr:rowOff>30480</xdr:rowOff>
        </xdr:to>
        <xdr:sp macro="" textlink="">
          <xdr:nvSpPr>
            <xdr:cNvPr id="60446" name="Check Box 30" hidden="1">
              <a:extLst>
                <a:ext uri="{63B3BB69-23CF-44E3-9099-C40C66FF867C}">
                  <a14:compatExt spid="_x0000_s60446"/>
                </a:ext>
                <a:ext uri="{FF2B5EF4-FFF2-40B4-BE49-F238E27FC236}">
                  <a16:creationId xmlns:a16="http://schemas.microsoft.com/office/drawing/2014/main" id="{00000000-0008-0000-0100-00001E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8</xdr:row>
          <xdr:rowOff>0</xdr:rowOff>
        </xdr:from>
        <xdr:to>
          <xdr:col>6</xdr:col>
          <xdr:colOff>220980</xdr:colOff>
          <xdr:row>9</xdr:row>
          <xdr:rowOff>30480</xdr:rowOff>
        </xdr:to>
        <xdr:sp macro="" textlink="">
          <xdr:nvSpPr>
            <xdr:cNvPr id="60447" name="Check Box 31" hidden="1">
              <a:extLst>
                <a:ext uri="{63B3BB69-23CF-44E3-9099-C40C66FF867C}">
                  <a14:compatExt spid="_x0000_s60447"/>
                </a:ext>
                <a:ext uri="{FF2B5EF4-FFF2-40B4-BE49-F238E27FC236}">
                  <a16:creationId xmlns:a16="http://schemas.microsoft.com/office/drawing/2014/main" id="{00000000-0008-0000-0100-00001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464820</xdr:colOff>
          <xdr:row>7</xdr:row>
          <xdr:rowOff>7620</xdr:rowOff>
        </xdr:from>
        <xdr:to>
          <xdr:col>11</xdr:col>
          <xdr:colOff>655320</xdr:colOff>
          <xdr:row>8</xdr:row>
          <xdr:rowOff>38100</xdr:rowOff>
        </xdr:to>
        <xdr:sp macro="" textlink="">
          <xdr:nvSpPr>
            <xdr:cNvPr id="60449" name="CheckBox3" hidden="1">
              <a:extLst>
                <a:ext uri="{63B3BB69-23CF-44E3-9099-C40C66FF867C}">
                  <a14:compatExt spid="_x0000_s60449"/>
                </a:ext>
                <a:ext uri="{FF2B5EF4-FFF2-40B4-BE49-F238E27FC236}">
                  <a16:creationId xmlns:a16="http://schemas.microsoft.com/office/drawing/2014/main" id="{00000000-0008-0000-0100-000021E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22</xdr:col>
          <xdr:colOff>68580</xdr:colOff>
          <xdr:row>11</xdr:row>
          <xdr:rowOff>868680</xdr:rowOff>
        </xdr:from>
        <xdr:to>
          <xdr:col>22</xdr:col>
          <xdr:colOff>883920</xdr:colOff>
          <xdr:row>11</xdr:row>
          <xdr:rowOff>1097280</xdr:rowOff>
        </xdr:to>
        <xdr:sp macro="" textlink="">
          <xdr:nvSpPr>
            <xdr:cNvPr id="98314" name="Button 10" hidden="1">
              <a:extLst>
                <a:ext uri="{63B3BB69-23CF-44E3-9099-C40C66FF867C}">
                  <a14:compatExt spid="_x0000_s98314"/>
                </a:ext>
                <a:ext uri="{FF2B5EF4-FFF2-40B4-BE49-F238E27FC236}">
                  <a16:creationId xmlns:a16="http://schemas.microsoft.com/office/drawing/2014/main" id="{00000000-0008-0000-0400-00000A8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No Change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68580</xdr:colOff>
          <xdr:row>11</xdr:row>
          <xdr:rowOff>868680</xdr:rowOff>
        </xdr:from>
        <xdr:to>
          <xdr:col>23</xdr:col>
          <xdr:colOff>883920</xdr:colOff>
          <xdr:row>11</xdr:row>
          <xdr:rowOff>1097280</xdr:rowOff>
        </xdr:to>
        <xdr:sp macro="" textlink="">
          <xdr:nvSpPr>
            <xdr:cNvPr id="98316" name="Button 12" hidden="1">
              <a:extLst>
                <a:ext uri="{63B3BB69-23CF-44E3-9099-C40C66FF867C}">
                  <a14:compatExt spid="_x0000_s98316"/>
                </a:ext>
                <a:ext uri="{FF2B5EF4-FFF2-40B4-BE49-F238E27FC236}">
                  <a16:creationId xmlns:a16="http://schemas.microsoft.com/office/drawing/2014/main" id="{00000000-0008-0000-0400-00000C8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No Change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228600</xdr:colOff>
          <xdr:row>1</xdr:row>
          <xdr:rowOff>68580</xdr:rowOff>
        </xdr:from>
        <xdr:to>
          <xdr:col>10</xdr:col>
          <xdr:colOff>327660</xdr:colOff>
          <xdr:row>3</xdr:row>
          <xdr:rowOff>45720</xdr:rowOff>
        </xdr:to>
        <xdr:sp macro="" textlink="">
          <xdr:nvSpPr>
            <xdr:cNvPr id="142337" name="Button 1" hidden="1">
              <a:extLst>
                <a:ext uri="{63B3BB69-23CF-44E3-9099-C40C66FF867C}">
                  <a14:compatExt spid="_x0000_s142337"/>
                </a:ext>
                <a:ext uri="{FF2B5EF4-FFF2-40B4-BE49-F238E27FC236}">
                  <a16:creationId xmlns:a16="http://schemas.microsoft.com/office/drawing/2014/main" id="{00000000-0008-0000-0500-0000012C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Add Column</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228600</xdr:colOff>
          <xdr:row>1</xdr:row>
          <xdr:rowOff>68580</xdr:rowOff>
        </xdr:from>
        <xdr:to>
          <xdr:col>10</xdr:col>
          <xdr:colOff>327660</xdr:colOff>
          <xdr:row>3</xdr:row>
          <xdr:rowOff>45720</xdr:rowOff>
        </xdr:to>
        <xdr:sp macro="" textlink="">
          <xdr:nvSpPr>
            <xdr:cNvPr id="118785" name="Button 1" hidden="1">
              <a:extLst>
                <a:ext uri="{63B3BB69-23CF-44E3-9099-C40C66FF867C}">
                  <a14:compatExt spid="_x0000_s118785"/>
                </a:ext>
                <a:ext uri="{FF2B5EF4-FFF2-40B4-BE49-F238E27FC236}">
                  <a16:creationId xmlns:a16="http://schemas.microsoft.com/office/drawing/2014/main" id="{00000000-0008-0000-0600-000001D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Add Column</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1066800</xdr:colOff>
          <xdr:row>11</xdr:row>
          <xdr:rowOff>99060</xdr:rowOff>
        </xdr:from>
        <xdr:to>
          <xdr:col>4</xdr:col>
          <xdr:colOff>312420</xdr:colOff>
          <xdr:row>11</xdr:row>
          <xdr:rowOff>335280</xdr:rowOff>
        </xdr:to>
        <xdr:sp macro="" textlink="">
          <xdr:nvSpPr>
            <xdr:cNvPr id="126977" name="Button 1" hidden="1">
              <a:extLst>
                <a:ext uri="{63B3BB69-23CF-44E3-9099-C40C66FF867C}">
                  <a14:compatExt spid="_x0000_s126977"/>
                </a:ext>
                <a:ext uri="{FF2B5EF4-FFF2-40B4-BE49-F238E27FC236}">
                  <a16:creationId xmlns:a16="http://schemas.microsoft.com/office/drawing/2014/main" id="{00000000-0008-0000-0700-000001F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Add Row: Common Area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1059180</xdr:colOff>
          <xdr:row>64</xdr:row>
          <xdr:rowOff>83820</xdr:rowOff>
        </xdr:from>
        <xdr:to>
          <xdr:col>4</xdr:col>
          <xdr:colOff>289560</xdr:colOff>
          <xdr:row>64</xdr:row>
          <xdr:rowOff>335280</xdr:rowOff>
        </xdr:to>
        <xdr:sp macro="" textlink="">
          <xdr:nvSpPr>
            <xdr:cNvPr id="126978" name="Button 2" hidden="1">
              <a:extLst>
                <a:ext uri="{63B3BB69-23CF-44E3-9099-C40C66FF867C}">
                  <a14:compatExt spid="_x0000_s126978"/>
                </a:ext>
                <a:ext uri="{FF2B5EF4-FFF2-40B4-BE49-F238E27FC236}">
                  <a16:creationId xmlns:a16="http://schemas.microsoft.com/office/drawing/2014/main" id="{00000000-0008-0000-0700-000002F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Add Row: Units </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182880</xdr:colOff>
          <xdr:row>0</xdr:row>
          <xdr:rowOff>30480</xdr:rowOff>
        </xdr:from>
        <xdr:to>
          <xdr:col>4</xdr:col>
          <xdr:colOff>373380</xdr:colOff>
          <xdr:row>2</xdr:row>
          <xdr:rowOff>76200</xdr:rowOff>
        </xdr:to>
        <xdr:sp macro="" textlink="">
          <xdr:nvSpPr>
            <xdr:cNvPr id="149505" name="Button 1" hidden="1">
              <a:extLst>
                <a:ext uri="{63B3BB69-23CF-44E3-9099-C40C66FF867C}">
                  <a14:compatExt spid="_x0000_s149505"/>
                </a:ext>
                <a:ext uri="{FF2B5EF4-FFF2-40B4-BE49-F238E27FC236}">
                  <a16:creationId xmlns:a16="http://schemas.microsoft.com/office/drawing/2014/main" id="{00000000-0008-0000-1400-00000148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Paste AMR Fiscal Data</a:t>
              </a:r>
            </a:p>
          </xdr:txBody>
        </xdr:sp>
        <xdr:clientData fPrintsWithSheet="0"/>
      </xdr:twoCellAnchor>
    </mc:Choice>
    <mc:Fallback/>
  </mc:AlternateContent>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ckie Tsou" refreshedDate="45418.448547453707" createdVersion="8" refreshedVersion="8" minRefreshableVersion="3" recordCount="60" xr:uid="{CD16D40A-6CE5-4054-91C8-3E3F6056AB5B}">
  <cacheSource type="worksheet">
    <worksheetSource ref="B117:E177" sheet="LC Eval"/>
  </cacheSource>
  <cacheFields count="4">
    <cacheField name="Unit Size" numFmtId="0">
      <sharedItems count="5">
        <s v="Studio"/>
        <s v="1BR"/>
        <s v="2BR"/>
        <s v="3BR"/>
        <s v="4BR"/>
      </sharedItems>
    </cacheField>
    <cacheField name="No. of Units" numFmtId="0">
      <sharedItems containsSemiMixedTypes="0" containsString="0" containsNumber="1" containsInteger="1" minValue="0" maxValue="0"/>
    </cacheField>
    <cacheField name="Maximum Income Level" numFmtId="9">
      <sharedItems containsSemiMixedTypes="0" containsString="0" containsNumber="1" containsInteger="1" minValue="0" maxValue="0" count="1">
        <n v="0"/>
      </sharedItems>
    </cacheField>
    <cacheField name="Subsidy" numFmtId="0">
      <sharedItems containsString="0" containsBlank="1" containsNumber="1" containsInteger="1" minValue="0" maxValue="0" count="2">
        <m/>
        <n v="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
  <r>
    <x v="0"/>
    <n v="0"/>
    <x v="0"/>
    <x v="0"/>
  </r>
  <r>
    <x v="1"/>
    <n v="0"/>
    <x v="0"/>
    <x v="0"/>
  </r>
  <r>
    <x v="2"/>
    <n v="0"/>
    <x v="0"/>
    <x v="0"/>
  </r>
  <r>
    <x v="3"/>
    <n v="0"/>
    <x v="0"/>
    <x v="0"/>
  </r>
  <r>
    <x v="4"/>
    <n v="0"/>
    <x v="0"/>
    <x v="0"/>
  </r>
  <r>
    <x v="0"/>
    <n v="0"/>
    <x v="0"/>
    <x v="0"/>
  </r>
  <r>
    <x v="1"/>
    <n v="0"/>
    <x v="0"/>
    <x v="0"/>
  </r>
  <r>
    <x v="2"/>
    <n v="0"/>
    <x v="0"/>
    <x v="0"/>
  </r>
  <r>
    <x v="3"/>
    <n v="0"/>
    <x v="0"/>
    <x v="0"/>
  </r>
  <r>
    <x v="4"/>
    <n v="0"/>
    <x v="0"/>
    <x v="0"/>
  </r>
  <r>
    <x v="0"/>
    <n v="0"/>
    <x v="0"/>
    <x v="0"/>
  </r>
  <r>
    <x v="1"/>
    <n v="0"/>
    <x v="0"/>
    <x v="0"/>
  </r>
  <r>
    <x v="2"/>
    <n v="0"/>
    <x v="0"/>
    <x v="0"/>
  </r>
  <r>
    <x v="3"/>
    <n v="0"/>
    <x v="0"/>
    <x v="0"/>
  </r>
  <r>
    <x v="4"/>
    <n v="0"/>
    <x v="0"/>
    <x v="0"/>
  </r>
  <r>
    <x v="0"/>
    <n v="0"/>
    <x v="0"/>
    <x v="0"/>
  </r>
  <r>
    <x v="1"/>
    <n v="0"/>
    <x v="0"/>
    <x v="0"/>
  </r>
  <r>
    <x v="2"/>
    <n v="0"/>
    <x v="0"/>
    <x v="0"/>
  </r>
  <r>
    <x v="3"/>
    <n v="0"/>
    <x v="0"/>
    <x v="0"/>
  </r>
  <r>
    <x v="4"/>
    <n v="0"/>
    <x v="0"/>
    <x v="0"/>
  </r>
  <r>
    <x v="0"/>
    <n v="0"/>
    <x v="0"/>
    <x v="0"/>
  </r>
  <r>
    <x v="1"/>
    <n v="0"/>
    <x v="0"/>
    <x v="0"/>
  </r>
  <r>
    <x v="2"/>
    <n v="0"/>
    <x v="0"/>
    <x v="0"/>
  </r>
  <r>
    <x v="3"/>
    <n v="0"/>
    <x v="0"/>
    <x v="0"/>
  </r>
  <r>
    <x v="4"/>
    <n v="0"/>
    <x v="0"/>
    <x v="0"/>
  </r>
  <r>
    <x v="0"/>
    <n v="0"/>
    <x v="0"/>
    <x v="0"/>
  </r>
  <r>
    <x v="1"/>
    <n v="0"/>
    <x v="0"/>
    <x v="0"/>
  </r>
  <r>
    <x v="2"/>
    <n v="0"/>
    <x v="0"/>
    <x v="0"/>
  </r>
  <r>
    <x v="3"/>
    <n v="0"/>
    <x v="0"/>
    <x v="0"/>
  </r>
  <r>
    <x v="4"/>
    <n v="0"/>
    <x v="0"/>
    <x v="0"/>
  </r>
  <r>
    <x v="0"/>
    <n v="0"/>
    <x v="0"/>
    <x v="1"/>
  </r>
  <r>
    <x v="1"/>
    <n v="0"/>
    <x v="0"/>
    <x v="1"/>
  </r>
  <r>
    <x v="2"/>
    <n v="0"/>
    <x v="0"/>
    <x v="1"/>
  </r>
  <r>
    <x v="3"/>
    <n v="0"/>
    <x v="0"/>
    <x v="1"/>
  </r>
  <r>
    <x v="4"/>
    <n v="0"/>
    <x v="0"/>
    <x v="1"/>
  </r>
  <r>
    <x v="0"/>
    <n v="0"/>
    <x v="0"/>
    <x v="1"/>
  </r>
  <r>
    <x v="1"/>
    <n v="0"/>
    <x v="0"/>
    <x v="1"/>
  </r>
  <r>
    <x v="2"/>
    <n v="0"/>
    <x v="0"/>
    <x v="1"/>
  </r>
  <r>
    <x v="3"/>
    <n v="0"/>
    <x v="0"/>
    <x v="1"/>
  </r>
  <r>
    <x v="4"/>
    <n v="0"/>
    <x v="0"/>
    <x v="1"/>
  </r>
  <r>
    <x v="0"/>
    <n v="0"/>
    <x v="0"/>
    <x v="1"/>
  </r>
  <r>
    <x v="1"/>
    <n v="0"/>
    <x v="0"/>
    <x v="1"/>
  </r>
  <r>
    <x v="2"/>
    <n v="0"/>
    <x v="0"/>
    <x v="1"/>
  </r>
  <r>
    <x v="3"/>
    <n v="0"/>
    <x v="0"/>
    <x v="1"/>
  </r>
  <r>
    <x v="4"/>
    <n v="0"/>
    <x v="0"/>
    <x v="1"/>
  </r>
  <r>
    <x v="0"/>
    <n v="0"/>
    <x v="0"/>
    <x v="1"/>
  </r>
  <r>
    <x v="1"/>
    <n v="0"/>
    <x v="0"/>
    <x v="1"/>
  </r>
  <r>
    <x v="2"/>
    <n v="0"/>
    <x v="0"/>
    <x v="1"/>
  </r>
  <r>
    <x v="3"/>
    <n v="0"/>
    <x v="0"/>
    <x v="1"/>
  </r>
  <r>
    <x v="4"/>
    <n v="0"/>
    <x v="0"/>
    <x v="1"/>
  </r>
  <r>
    <x v="0"/>
    <n v="0"/>
    <x v="0"/>
    <x v="1"/>
  </r>
  <r>
    <x v="1"/>
    <n v="0"/>
    <x v="0"/>
    <x v="1"/>
  </r>
  <r>
    <x v="2"/>
    <n v="0"/>
    <x v="0"/>
    <x v="1"/>
  </r>
  <r>
    <x v="3"/>
    <n v="0"/>
    <x v="0"/>
    <x v="1"/>
  </r>
  <r>
    <x v="4"/>
    <n v="0"/>
    <x v="0"/>
    <x v="1"/>
  </r>
  <r>
    <x v="0"/>
    <n v="0"/>
    <x v="0"/>
    <x v="1"/>
  </r>
  <r>
    <x v="1"/>
    <n v="0"/>
    <x v="0"/>
    <x v="1"/>
  </r>
  <r>
    <x v="2"/>
    <n v="0"/>
    <x v="0"/>
    <x v="1"/>
  </r>
  <r>
    <x v="3"/>
    <n v="0"/>
    <x v="0"/>
    <x v="1"/>
  </r>
  <r>
    <x v="4"/>
    <n v="0"/>
    <x v="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B873C5E-42D9-4890-BCBB-BFF61E9CAEA4}"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G121:I135" firstHeaderRow="1" firstDataRow="2" firstDataCol="1"/>
  <pivotFields count="4">
    <pivotField axis="axisRow" showAll="0">
      <items count="6">
        <item x="0"/>
        <item x="1"/>
        <item x="2"/>
        <item x="3"/>
        <item h="1" x="4"/>
        <item t="default"/>
      </items>
    </pivotField>
    <pivotField dataField="1" showAll="0"/>
    <pivotField axis="axisCol" numFmtId="9" showAll="0">
      <items count="2">
        <item x="0"/>
        <item t="default"/>
      </items>
    </pivotField>
    <pivotField axis="axisRow" showAll="0">
      <items count="3">
        <item x="1"/>
        <item x="0"/>
        <item t="default"/>
      </items>
    </pivotField>
  </pivotFields>
  <rowFields count="2">
    <field x="0"/>
    <field x="3"/>
  </rowFields>
  <rowItems count="13">
    <i>
      <x/>
    </i>
    <i r="1">
      <x/>
    </i>
    <i r="1">
      <x v="1"/>
    </i>
    <i>
      <x v="1"/>
    </i>
    <i r="1">
      <x/>
    </i>
    <i r="1">
      <x v="1"/>
    </i>
    <i>
      <x v="2"/>
    </i>
    <i r="1">
      <x/>
    </i>
    <i r="1">
      <x v="1"/>
    </i>
    <i>
      <x v="3"/>
    </i>
    <i r="1">
      <x/>
    </i>
    <i r="1">
      <x v="1"/>
    </i>
    <i t="grand">
      <x/>
    </i>
  </rowItems>
  <colFields count="1">
    <field x="2"/>
  </colFields>
  <colItems count="2">
    <i>
      <x/>
    </i>
    <i t="grand">
      <x/>
    </i>
  </colItems>
  <dataFields count="1">
    <dataField name="Sum of No. of Units"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comments" Target="../comments4.xml"/><Relationship Id="rId4" Type="http://schemas.openxmlformats.org/officeDocument/2006/relationships/vmlDrawing" Target="../drawings/vmlDrawing8.vm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9.vml"/><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8" Type="http://schemas.openxmlformats.org/officeDocument/2006/relationships/image" Target="../media/image5.emf"/><Relationship Id="rId13" Type="http://schemas.openxmlformats.org/officeDocument/2006/relationships/ctrlProp" Target="../ctrlProps/ctrlProp3.xml"/><Relationship Id="rId18" Type="http://schemas.openxmlformats.org/officeDocument/2006/relationships/ctrlProp" Target="../ctrlProps/ctrlProp8.xml"/><Relationship Id="rId3" Type="http://schemas.openxmlformats.org/officeDocument/2006/relationships/drawing" Target="../drawings/drawing2.xml"/><Relationship Id="rId7" Type="http://schemas.openxmlformats.org/officeDocument/2006/relationships/control" Target="../activeX/activeX3.xml"/><Relationship Id="rId12" Type="http://schemas.openxmlformats.org/officeDocument/2006/relationships/ctrlProp" Target="../ctrlProps/ctrlProp2.xml"/><Relationship Id="rId17" Type="http://schemas.openxmlformats.org/officeDocument/2006/relationships/ctrlProp" Target="../ctrlProps/ctrlProp7.xml"/><Relationship Id="rId2" Type="http://schemas.openxmlformats.org/officeDocument/2006/relationships/printerSettings" Target="../printerSettings/printerSettings3.bin"/><Relationship Id="rId16" Type="http://schemas.openxmlformats.org/officeDocument/2006/relationships/ctrlProp" Target="../ctrlProps/ctrlProp6.xml"/><Relationship Id="rId1" Type="http://schemas.openxmlformats.org/officeDocument/2006/relationships/printerSettings" Target="../printerSettings/printerSettings2.bin"/><Relationship Id="rId6" Type="http://schemas.openxmlformats.org/officeDocument/2006/relationships/image" Target="../media/image4.emf"/><Relationship Id="rId11" Type="http://schemas.openxmlformats.org/officeDocument/2006/relationships/ctrlProp" Target="../ctrlProps/ctrlProp1.xml"/><Relationship Id="rId5" Type="http://schemas.openxmlformats.org/officeDocument/2006/relationships/control" Target="../activeX/activeX2.xml"/><Relationship Id="rId15" Type="http://schemas.openxmlformats.org/officeDocument/2006/relationships/ctrlProp" Target="../ctrlProps/ctrlProp5.xml"/><Relationship Id="rId10" Type="http://schemas.openxmlformats.org/officeDocument/2006/relationships/image" Target="../media/image6.emf"/><Relationship Id="rId19" Type="http://schemas.openxmlformats.org/officeDocument/2006/relationships/comments" Target="../comments1.xml"/><Relationship Id="rId4" Type="http://schemas.openxmlformats.org/officeDocument/2006/relationships/vmlDrawing" Target="../drawings/vmlDrawing2.vml"/><Relationship Id="rId9" Type="http://schemas.openxmlformats.org/officeDocument/2006/relationships/control" Target="../activeX/activeX4.xml"/><Relationship Id="rId14" Type="http://schemas.openxmlformats.org/officeDocument/2006/relationships/ctrlProp" Target="../ctrlProps/ctrlProp4.xml"/></Relationships>
</file>

<file path=xl/worksheets/_rels/sheet20.xml.rels><?xml version="1.0" encoding="UTF-8" standalone="yes"?>
<Relationships xmlns="http://schemas.openxmlformats.org/package/2006/relationships"><Relationship Id="rId8" Type="http://schemas.openxmlformats.org/officeDocument/2006/relationships/vmlDrawing" Target="../drawings/vmlDrawing10.vml"/><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 Id="rId9" Type="http://schemas.openxmlformats.org/officeDocument/2006/relationships/comments" Target="../comments6.xml"/></Relationships>
</file>

<file path=xl/worksheets/_rels/sheet21.xml.rels><?xml version="1.0" encoding="UTF-8" standalone="yes"?>
<Relationships xmlns="http://schemas.openxmlformats.org/package/2006/relationships"><Relationship Id="rId3" Type="http://schemas.openxmlformats.org/officeDocument/2006/relationships/ctrlProp" Target="../ctrlProps/ctrlProp15.xml"/><Relationship Id="rId2" Type="http://schemas.openxmlformats.org/officeDocument/2006/relationships/vmlDrawing" Target="../drawings/vmlDrawing11.vml"/><Relationship Id="rId1" Type="http://schemas.openxmlformats.org/officeDocument/2006/relationships/drawing" Target="../drawings/drawing7.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treasurer.ca.gov/ctcac/programreg/regulations.asp" TargetMode="Externa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printerSettings" Target="../printerSettings/printerSettings12.bin"/><Relationship Id="rId7" Type="http://schemas.openxmlformats.org/officeDocument/2006/relationships/ctrlProp" Target="../ctrlProps/ctrlProp10.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ctrlProp" Target="../ctrlProps/ctrlProp9.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3.bin"/><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5" Type="http://schemas.openxmlformats.org/officeDocument/2006/relationships/ctrlProp" Target="../ctrlProps/ctrlProp12.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6.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D4F5A"/>
    <pageSetUpPr fitToPage="1"/>
  </sheetPr>
  <dimension ref="A1:XFC391"/>
  <sheetViews>
    <sheetView tabSelected="1" zoomScaleNormal="100" zoomScaleSheetLayoutView="100" workbookViewId="0">
      <selection activeCell="XFD4" sqref="XFD4"/>
    </sheetView>
  </sheetViews>
  <sheetFormatPr defaultColWidth="0" defaultRowHeight="12.75" customHeight="1" zeroHeight="1"/>
  <cols>
    <col min="1" max="1" width="3.6640625" style="837" customWidth="1"/>
    <col min="2" max="2" width="143.5546875" style="837" customWidth="1"/>
    <col min="3" max="3" width="11.44140625" style="837" customWidth="1"/>
    <col min="4" max="4" width="9.5546875" style="837" customWidth="1"/>
    <col min="5" max="5" width="9.109375" style="837" hidden="1" customWidth="1"/>
    <col min="6" max="6" width="11.44140625" style="837" hidden="1" customWidth="1"/>
    <col min="7" max="7" width="8.109375" style="837" hidden="1" customWidth="1"/>
    <col min="8" max="8" width="10.6640625" style="837" hidden="1" customWidth="1"/>
    <col min="9" max="9" width="9.5546875" style="837" hidden="1" customWidth="1"/>
    <col min="10" max="10" width="5.5546875" style="837" hidden="1" customWidth="1"/>
    <col min="11" max="11" width="5.6640625" style="837" hidden="1" customWidth="1"/>
    <col min="12" max="16383" width="9.109375" style="837" hidden="1"/>
    <col min="16384" max="16384" width="2.5546875" style="837" customWidth="1"/>
  </cols>
  <sheetData>
    <row r="1" spans="1:4" ht="18">
      <c r="A1" s="1800" t="s">
        <v>1082</v>
      </c>
      <c r="B1" s="1801"/>
      <c r="C1" s="2098" t="s">
        <v>94</v>
      </c>
      <c r="D1" s="2099"/>
    </row>
    <row r="2" spans="1:4" s="1802" customFormat="1" ht="14.4">
      <c r="B2" s="1803"/>
      <c r="C2" s="2050">
        <v>45420</v>
      </c>
      <c r="D2" s="1827">
        <v>2.79</v>
      </c>
    </row>
    <row r="3" spans="1:4" s="1802" customFormat="1" ht="14.4">
      <c r="A3" s="1804" t="s">
        <v>1070</v>
      </c>
      <c r="B3" s="1803"/>
      <c r="C3" s="1805"/>
      <c r="D3" s="1806"/>
    </row>
    <row r="4" spans="1:4" s="1802" customFormat="1" ht="87.75" customHeight="1">
      <c r="B4" s="1803"/>
      <c r="C4" s="1805"/>
      <c r="D4" s="1806"/>
    </row>
    <row r="5" spans="1:4" s="1802" customFormat="1" ht="18.75" customHeight="1">
      <c r="A5" s="1804" t="s">
        <v>878</v>
      </c>
      <c r="B5" s="1803"/>
      <c r="C5" s="1805"/>
      <c r="D5" s="1806"/>
    </row>
    <row r="6" spans="1:4" s="1802" customFormat="1" ht="36" customHeight="1">
      <c r="B6" s="1803"/>
      <c r="C6" s="1805"/>
      <c r="D6" s="1806"/>
    </row>
    <row r="7" spans="1:4" s="1802" customFormat="1" ht="58.5" customHeight="1">
      <c r="A7" s="2100" t="s">
        <v>1091</v>
      </c>
      <c r="B7" s="2100"/>
      <c r="C7" s="1807"/>
      <c r="D7" s="1804"/>
    </row>
    <row r="8" spans="1:4" s="1802" customFormat="1" ht="11.25" customHeight="1">
      <c r="A8" s="1808"/>
      <c r="B8" s="1808"/>
      <c r="C8" s="837"/>
      <c r="D8" s="837"/>
    </row>
    <row r="9" spans="1:4" s="1802" customFormat="1" ht="15.6">
      <c r="A9" s="1809" t="s">
        <v>1079</v>
      </c>
      <c r="B9" s="1810"/>
      <c r="C9" s="837"/>
      <c r="D9" s="837"/>
    </row>
    <row r="10" spans="1:4" s="1802" customFormat="1" ht="14.4">
      <c r="A10" s="1811" t="s">
        <v>1071</v>
      </c>
      <c r="B10" s="1807"/>
      <c r="C10" s="837"/>
      <c r="D10" s="837"/>
    </row>
    <row r="11" spans="1:4" s="1802" customFormat="1" ht="57.6">
      <c r="A11" s="1799"/>
      <c r="B11" s="1807" t="s">
        <v>1072</v>
      </c>
      <c r="C11" s="837"/>
      <c r="D11" s="837"/>
    </row>
    <row r="12" spans="1:4" s="1802" customFormat="1" ht="14.4">
      <c r="A12" s="1799"/>
      <c r="B12" s="1807"/>
      <c r="C12" s="837"/>
      <c r="D12" s="837"/>
    </row>
    <row r="13" spans="1:4" s="1802" customFormat="1" ht="14.4">
      <c r="A13" s="1799"/>
      <c r="B13" s="1807" t="s">
        <v>1491</v>
      </c>
      <c r="C13" s="837"/>
      <c r="D13" s="837"/>
    </row>
    <row r="14" spans="1:4" s="1802" customFormat="1" ht="14.4">
      <c r="A14" s="1799"/>
      <c r="B14" s="1812"/>
      <c r="C14" s="837"/>
      <c r="D14" s="837"/>
    </row>
    <row r="15" spans="1:4" s="1802" customFormat="1" ht="14.4">
      <c r="A15" s="1799"/>
      <c r="B15" s="1812"/>
      <c r="C15" s="837"/>
      <c r="D15" s="837"/>
    </row>
    <row r="16" spans="1:4" s="1802" customFormat="1" ht="14.4">
      <c r="A16" s="1811" t="s">
        <v>1073</v>
      </c>
      <c r="B16" s="1807"/>
      <c r="C16" s="837"/>
      <c r="D16" s="837"/>
    </row>
    <row r="17" spans="1:4" s="1802" customFormat="1" ht="14.4">
      <c r="A17" s="1799"/>
      <c r="B17" s="1807" t="s">
        <v>1105</v>
      </c>
      <c r="C17" s="837"/>
      <c r="D17" s="837"/>
    </row>
    <row r="18" spans="1:4" s="1802" customFormat="1" ht="14.4">
      <c r="A18" s="1813"/>
      <c r="B18" s="1807"/>
      <c r="C18" s="837"/>
      <c r="D18" s="837"/>
    </row>
    <row r="19" spans="1:4" s="1802" customFormat="1" ht="14.4">
      <c r="A19" s="1811" t="s">
        <v>1074</v>
      </c>
      <c r="B19" s="1807"/>
      <c r="C19" s="837"/>
      <c r="D19" s="837"/>
    </row>
    <row r="20" spans="1:4" s="1802" customFormat="1" ht="43.2">
      <c r="A20" s="1799"/>
      <c r="B20" s="1807" t="s">
        <v>1076</v>
      </c>
      <c r="C20" s="837"/>
      <c r="D20" s="837"/>
    </row>
    <row r="21" spans="1:4" s="1802" customFormat="1" ht="14.4">
      <c r="A21" s="1813"/>
      <c r="B21" s="1807"/>
      <c r="C21" s="837"/>
      <c r="D21" s="837"/>
    </row>
    <row r="22" spans="1:4" s="1802" customFormat="1" ht="14.4">
      <c r="A22" s="1811" t="s">
        <v>1075</v>
      </c>
      <c r="B22" s="1807"/>
      <c r="C22" s="837"/>
      <c r="D22" s="837"/>
    </row>
    <row r="23" spans="1:4" s="1802" customFormat="1" ht="115.2">
      <c r="A23" s="1799"/>
      <c r="B23" s="1807" t="s">
        <v>1077</v>
      </c>
      <c r="C23" s="837"/>
      <c r="D23" s="837"/>
    </row>
    <row r="24" spans="1:4" s="1802" customFormat="1" ht="14.4">
      <c r="A24" s="1813"/>
      <c r="B24" s="1807"/>
      <c r="C24" s="837"/>
      <c r="D24" s="837"/>
    </row>
    <row r="25" spans="1:4" s="1802" customFormat="1" ht="14.4">
      <c r="A25" s="1811" t="s">
        <v>1361</v>
      </c>
      <c r="B25" s="1807"/>
      <c r="C25" s="837"/>
      <c r="D25" s="837"/>
    </row>
    <row r="26" spans="1:4" s="1816" customFormat="1" ht="28.8">
      <c r="A26" s="1814"/>
      <c r="B26" s="1815" t="s">
        <v>1372</v>
      </c>
      <c r="C26" s="842"/>
      <c r="D26" s="842"/>
    </row>
    <row r="27" spans="1:4" s="1802" customFormat="1" ht="14.4">
      <c r="A27" s="1813"/>
      <c r="B27" s="1807"/>
      <c r="C27" s="837"/>
      <c r="D27" s="837"/>
    </row>
    <row r="28" spans="1:4" s="1802" customFormat="1" ht="14.4">
      <c r="A28" s="1811" t="s">
        <v>1078</v>
      </c>
      <c r="B28" s="1807"/>
      <c r="C28" s="837"/>
      <c r="D28" s="837"/>
    </row>
    <row r="29" spans="1:4" s="1802" customFormat="1" ht="43.2">
      <c r="A29" s="1799"/>
      <c r="B29" s="1807" t="s">
        <v>1371</v>
      </c>
      <c r="C29" s="837"/>
      <c r="D29" s="837"/>
    </row>
    <row r="30" spans="1:4" s="1802" customFormat="1" ht="14.4">
      <c r="A30" s="1813"/>
      <c r="B30" s="1807"/>
      <c r="C30" s="837"/>
      <c r="D30" s="837"/>
    </row>
    <row r="31" spans="1:4" s="1802" customFormat="1" ht="14.4">
      <c r="A31" s="1811" t="s">
        <v>1359</v>
      </c>
      <c r="B31" s="1807"/>
      <c r="C31" s="837"/>
      <c r="D31" s="837"/>
    </row>
    <row r="32" spans="1:4" s="1802" customFormat="1" ht="115.2">
      <c r="A32" s="1799"/>
      <c r="B32" s="1807" t="s">
        <v>1104</v>
      </c>
      <c r="C32" s="837"/>
      <c r="D32" s="837"/>
    </row>
    <row r="33" spans="1:4" s="1802" customFormat="1" ht="14.4">
      <c r="A33" s="1799"/>
      <c r="B33" s="1807"/>
      <c r="C33" s="837"/>
      <c r="D33" s="837"/>
    </row>
    <row r="34" spans="1:4" s="1817" customFormat="1" ht="14.4">
      <c r="A34" s="1811" t="s">
        <v>1360</v>
      </c>
      <c r="B34" s="1807"/>
      <c r="C34" s="837"/>
      <c r="D34" s="837"/>
    </row>
    <row r="35" spans="1:4" s="1802" customFormat="1" ht="115.2">
      <c r="A35" s="1799"/>
      <c r="B35" s="1807" t="s">
        <v>1094</v>
      </c>
      <c r="C35" s="837"/>
      <c r="D35" s="837"/>
    </row>
    <row r="36" spans="1:4" s="1802" customFormat="1" ht="14.4">
      <c r="A36" s="1799"/>
      <c r="B36" s="1807"/>
      <c r="C36" s="837"/>
      <c r="D36" s="837"/>
    </row>
    <row r="37" spans="1:4" s="1802" customFormat="1" ht="14.4">
      <c r="A37" s="1811" t="s">
        <v>1362</v>
      </c>
      <c r="B37" s="1807"/>
      <c r="C37" s="837"/>
      <c r="D37" s="837"/>
    </row>
    <row r="38" spans="1:4" s="1816" customFormat="1" ht="57.6">
      <c r="A38" s="1818"/>
      <c r="B38" s="1815" t="s">
        <v>1367</v>
      </c>
      <c r="C38" s="842"/>
      <c r="D38" s="842"/>
    </row>
    <row r="39" spans="1:4" s="1802" customFormat="1" ht="14.4">
      <c r="A39" s="1813"/>
      <c r="B39" s="1807"/>
      <c r="C39" s="837"/>
      <c r="D39" s="837"/>
    </row>
    <row r="40" spans="1:4" s="1802" customFormat="1" ht="14.4">
      <c r="A40" s="1811" t="s">
        <v>1080</v>
      </c>
      <c r="C40" s="837"/>
      <c r="D40" s="837"/>
    </row>
    <row r="41" spans="1:4" s="1802" customFormat="1" ht="100.8">
      <c r="A41" s="1811"/>
      <c r="B41" s="1807" t="s">
        <v>1106</v>
      </c>
      <c r="C41" s="837"/>
      <c r="D41" s="837"/>
    </row>
    <row r="42" spans="1:4" s="1802" customFormat="1" ht="14.4">
      <c r="A42" s="1811"/>
      <c r="B42" s="1807"/>
      <c r="C42" s="837"/>
      <c r="D42" s="837"/>
    </row>
    <row r="43" spans="1:4" s="1802" customFormat="1" ht="14.4">
      <c r="A43" s="1811" t="s">
        <v>1487</v>
      </c>
      <c r="B43" s="1807"/>
      <c r="C43" s="837"/>
      <c r="D43" s="837"/>
    </row>
    <row r="44" spans="1:4" s="1802" customFormat="1" ht="57.6">
      <c r="A44" s="1811"/>
      <c r="B44" s="1807" t="s">
        <v>1490</v>
      </c>
      <c r="C44" s="837"/>
      <c r="D44" s="837"/>
    </row>
    <row r="45" spans="1:4" s="1802" customFormat="1" ht="14.4">
      <c r="A45" s="1811"/>
      <c r="B45" s="1807"/>
      <c r="C45" s="837"/>
      <c r="D45" s="837"/>
    </row>
    <row r="46" spans="1:4" s="1802" customFormat="1" ht="15.6">
      <c r="A46" s="1819" t="s">
        <v>1081</v>
      </c>
      <c r="B46" s="1820"/>
      <c r="C46" s="837"/>
      <c r="D46" s="837"/>
    </row>
    <row r="47" spans="1:4" s="1802" customFormat="1" ht="14.4">
      <c r="A47" s="1811" t="s">
        <v>1083</v>
      </c>
      <c r="B47" s="1807"/>
      <c r="C47" s="837"/>
      <c r="D47" s="837"/>
    </row>
    <row r="48" spans="1:4" s="1802" customFormat="1" ht="14.4">
      <c r="B48" s="1807" t="s">
        <v>1084</v>
      </c>
      <c r="C48" s="837"/>
      <c r="D48" s="837"/>
    </row>
    <row r="49" spans="1:4" s="1802" customFormat="1" ht="14.4">
      <c r="B49" s="1807"/>
      <c r="C49" s="837"/>
      <c r="D49" s="837"/>
    </row>
    <row r="50" spans="1:4" s="1802" customFormat="1" ht="14.4" hidden="1">
      <c r="A50" s="1811" t="s">
        <v>1085</v>
      </c>
      <c r="B50" s="1807"/>
      <c r="C50" s="837"/>
      <c r="D50" s="837"/>
    </row>
    <row r="51" spans="1:4" s="1802" customFormat="1" ht="14.4" hidden="1">
      <c r="B51" s="1807" t="s">
        <v>1086</v>
      </c>
      <c r="C51" s="837"/>
      <c r="D51" s="837"/>
    </row>
    <row r="52" spans="1:4" s="1802" customFormat="1" ht="14.4" hidden="1">
      <c r="B52" s="1807"/>
      <c r="C52" s="837"/>
      <c r="D52" s="837"/>
    </row>
    <row r="53" spans="1:4" s="1802" customFormat="1" ht="14.4" hidden="1">
      <c r="A53" s="1811" t="s">
        <v>1087</v>
      </c>
      <c r="B53" s="1807"/>
      <c r="C53" s="837"/>
      <c r="D53" s="837"/>
    </row>
    <row r="54" spans="1:4" s="1802" customFormat="1" ht="14.4" hidden="1">
      <c r="A54" s="1811"/>
      <c r="B54" s="1807" t="s">
        <v>1088</v>
      </c>
      <c r="C54" s="837"/>
      <c r="D54" s="837"/>
    </row>
    <row r="55" spans="1:4" s="1802" customFormat="1" ht="14.4" hidden="1">
      <c r="A55" s="1811"/>
      <c r="B55" s="1807"/>
      <c r="C55" s="837"/>
      <c r="D55" s="837"/>
    </row>
    <row r="56" spans="1:4" s="1802" customFormat="1" ht="14.4">
      <c r="A56" s="1811" t="s">
        <v>1089</v>
      </c>
      <c r="B56" s="1807"/>
      <c r="C56" s="837"/>
      <c r="D56" s="837"/>
    </row>
    <row r="57" spans="1:4" s="1802" customFormat="1" ht="14.4">
      <c r="A57" s="1811"/>
      <c r="B57" s="1807" t="s">
        <v>1090</v>
      </c>
      <c r="C57" s="837"/>
      <c r="D57" s="837"/>
    </row>
    <row r="58" spans="1:4" s="1802" customFormat="1" ht="14.4">
      <c r="A58" s="1811"/>
      <c r="B58" s="1807"/>
      <c r="C58" s="837"/>
      <c r="D58" s="837"/>
    </row>
    <row r="59" spans="1:4" s="1802" customFormat="1" ht="14.4">
      <c r="A59" s="1811" t="s">
        <v>1488</v>
      </c>
      <c r="B59" s="1807"/>
      <c r="C59" s="837"/>
      <c r="D59" s="837"/>
    </row>
    <row r="60" spans="1:4" s="1802" customFormat="1" ht="14.4">
      <c r="A60" s="1811"/>
      <c r="B60" s="1807" t="s">
        <v>1486</v>
      </c>
      <c r="C60" s="837"/>
      <c r="D60" s="837"/>
    </row>
    <row r="61" spans="1:4" s="1802" customFormat="1" ht="14.4">
      <c r="A61" s="1811"/>
      <c r="B61" s="1807"/>
      <c r="C61" s="837"/>
      <c r="D61" s="837"/>
    </row>
    <row r="62" spans="1:4" s="1802" customFormat="1" ht="15.6">
      <c r="A62" s="1821" t="s">
        <v>1092</v>
      </c>
      <c r="B62" s="1822"/>
      <c r="C62" s="837"/>
      <c r="D62" s="837"/>
    </row>
    <row r="63" spans="1:4" s="1802" customFormat="1" ht="39.75" customHeight="1">
      <c r="A63" s="2097" t="s">
        <v>609</v>
      </c>
      <c r="B63" s="2097"/>
      <c r="C63" s="837"/>
      <c r="D63" s="837"/>
    </row>
    <row r="64" spans="1:4" s="1802" customFormat="1" ht="14.4">
      <c r="A64" s="1808"/>
      <c r="B64" s="1808"/>
      <c r="C64" s="837"/>
      <c r="D64" s="837"/>
    </row>
    <row r="65" spans="1:4" s="1802" customFormat="1" ht="47.25" customHeight="1">
      <c r="A65" s="2097" t="s">
        <v>285</v>
      </c>
      <c r="B65" s="2097"/>
    </row>
    <row r="66" spans="1:4" s="1802" customFormat="1" ht="14.4">
      <c r="A66" s="2097"/>
      <c r="B66" s="2097"/>
      <c r="C66" s="1804"/>
      <c r="D66" s="1804"/>
    </row>
    <row r="67" spans="1:4" s="1802" customFormat="1" ht="32.25" customHeight="1">
      <c r="A67" s="2097" t="s">
        <v>286</v>
      </c>
      <c r="B67" s="2097"/>
      <c r="C67" s="1804"/>
      <c r="D67" s="1804"/>
    </row>
    <row r="68" spans="1:4" s="1802" customFormat="1" ht="14.4" hidden="1">
      <c r="B68" s="1807"/>
      <c r="C68" s="1804"/>
      <c r="D68" s="1804"/>
    </row>
    <row r="69" spans="1:4" s="1802" customFormat="1" ht="22.5" hidden="1" customHeight="1">
      <c r="C69" s="1804"/>
      <c r="D69" s="1804"/>
    </row>
    <row r="70" spans="1:4" s="1802" customFormat="1" ht="14.4" hidden="1">
      <c r="C70" s="1804"/>
      <c r="D70" s="1804"/>
    </row>
    <row r="71" spans="1:4" s="1802" customFormat="1" ht="14.4" hidden="1">
      <c r="C71" s="1804"/>
      <c r="D71" s="1804"/>
    </row>
    <row r="72" spans="1:4" s="1802" customFormat="1" ht="14.4" hidden="1">
      <c r="B72" s="1807"/>
      <c r="C72" s="1804"/>
      <c r="D72" s="1804"/>
    </row>
    <row r="73" spans="1:4" s="1802" customFormat="1" ht="14.4" hidden="1">
      <c r="B73" s="1807"/>
      <c r="C73" s="1804"/>
      <c r="D73" s="1804"/>
    </row>
    <row r="74" spans="1:4" s="1802" customFormat="1" ht="14.4" hidden="1">
      <c r="B74" s="1807"/>
      <c r="C74" s="1804"/>
      <c r="D74" s="1804"/>
    </row>
    <row r="75" spans="1:4" s="1802" customFormat="1" ht="14.4" hidden="1">
      <c r="B75" s="1807"/>
      <c r="C75" s="1804"/>
      <c r="D75" s="1804"/>
    </row>
    <row r="76" spans="1:4" s="1802" customFormat="1" ht="14.4" hidden="1">
      <c r="B76" s="1807"/>
      <c r="C76" s="1804"/>
      <c r="D76" s="1804"/>
    </row>
    <row r="77" spans="1:4" s="1802" customFormat="1" ht="14.4" hidden="1">
      <c r="B77" s="1807"/>
      <c r="C77" s="1804"/>
      <c r="D77" s="1804"/>
    </row>
    <row r="78" spans="1:4" s="1802" customFormat="1" ht="14.4" hidden="1">
      <c r="B78" s="1823"/>
      <c r="C78" s="1804"/>
      <c r="D78" s="1804"/>
    </row>
    <row r="79" spans="1:4" s="1802" customFormat="1" ht="14.4" hidden="1">
      <c r="B79" s="1807"/>
      <c r="C79" s="1804"/>
      <c r="D79" s="1804"/>
    </row>
    <row r="80" spans="1:4" s="1802" customFormat="1" ht="14.4" hidden="1">
      <c r="B80" s="1807"/>
      <c r="C80" s="1804"/>
      <c r="D80" s="1804"/>
    </row>
    <row r="81" spans="2:4" s="1802" customFormat="1" ht="14.4" hidden="1">
      <c r="B81" s="1807"/>
      <c r="C81" s="1804"/>
      <c r="D81" s="1804"/>
    </row>
    <row r="82" spans="2:4" s="1802" customFormat="1" ht="14.4" hidden="1">
      <c r="B82" s="1807"/>
      <c r="C82" s="1804"/>
      <c r="D82" s="1804"/>
    </row>
    <row r="83" spans="2:4" s="1802" customFormat="1" ht="14.4" hidden="1">
      <c r="B83" s="1807"/>
      <c r="C83" s="1804"/>
      <c r="D83" s="1804"/>
    </row>
    <row r="84" spans="2:4" s="1802" customFormat="1" ht="14.4" hidden="1">
      <c r="B84" s="1807"/>
      <c r="C84" s="1804"/>
      <c r="D84" s="1804"/>
    </row>
    <row r="85" spans="2:4" s="1802" customFormat="1" ht="14.4" hidden="1">
      <c r="C85" s="1804"/>
      <c r="D85" s="1804"/>
    </row>
    <row r="86" spans="2:4" s="1802" customFormat="1" ht="14.4" hidden="1">
      <c r="B86" s="1807"/>
      <c r="C86" s="1804"/>
      <c r="D86" s="1804"/>
    </row>
    <row r="87" spans="2:4" s="1802" customFormat="1" ht="13.8" hidden="1"/>
    <row r="88" spans="2:4" s="1802" customFormat="1" ht="13.8" hidden="1"/>
    <row r="89" spans="2:4" s="1802" customFormat="1" ht="13.8" hidden="1"/>
    <row r="90" spans="2:4" s="1802" customFormat="1" ht="13.8" hidden="1"/>
    <row r="91" spans="2:4" s="1802" customFormat="1" ht="13.8" hidden="1"/>
    <row r="92" spans="2:4" s="1802" customFormat="1" ht="13.8" hidden="1"/>
    <row r="93" spans="2:4" s="1802" customFormat="1" ht="13.8" hidden="1"/>
    <row r="94" spans="2:4" s="1802" customFormat="1" ht="13.8" hidden="1"/>
    <row r="95" spans="2:4" s="1802" customFormat="1" ht="13.8" hidden="1"/>
    <row r="96" spans="2:4" s="1802" customFormat="1" ht="13.8" hidden="1"/>
    <row r="97" s="1802" customFormat="1" ht="13.8" hidden="1"/>
    <row r="98" s="1802" customFormat="1" ht="13.8" hidden="1"/>
    <row r="99" s="1802" customFormat="1" ht="13.8" hidden="1"/>
    <row r="100" s="1802" customFormat="1" ht="13.8" hidden="1"/>
    <row r="101" s="1802" customFormat="1" ht="13.8" hidden="1"/>
    <row r="102" s="1802" customFormat="1" ht="13.8" hidden="1"/>
    <row r="103" s="1802" customFormat="1" ht="13.8" hidden="1"/>
    <row r="104" s="1802" customFormat="1" ht="13.8" hidden="1"/>
    <row r="105" s="1802" customFormat="1" ht="13.8" hidden="1"/>
    <row r="106" s="1802" customFormat="1" ht="13.8" hidden="1"/>
    <row r="107" s="1802" customFormat="1" ht="13.8" hidden="1"/>
    <row r="108" s="1802" customFormat="1" ht="13.8" hidden="1"/>
    <row r="109" s="1802" customFormat="1" ht="13.8" hidden="1"/>
    <row r="110" s="1802" customFormat="1" ht="13.8" hidden="1"/>
    <row r="111" s="1802" customFormat="1" ht="13.8" hidden="1"/>
    <row r="112" s="1802" customFormat="1" ht="13.8" hidden="1"/>
    <row r="113" s="1802" customFormat="1" ht="13.8" hidden="1"/>
    <row r="114" s="1802" customFormat="1" ht="13.8" hidden="1"/>
    <row r="115" s="1802" customFormat="1" ht="13.8" hidden="1"/>
    <row r="116" s="1802" customFormat="1" ht="13.8" hidden="1"/>
    <row r="117" s="1802" customFormat="1" ht="13.8" hidden="1"/>
    <row r="118" s="1802" customFormat="1" ht="13.8" hidden="1"/>
    <row r="119" s="1802" customFormat="1" ht="13.8" hidden="1"/>
    <row r="120" s="1802" customFormat="1" ht="13.8" hidden="1"/>
    <row r="121" s="1802" customFormat="1" ht="13.8" hidden="1"/>
    <row r="122" s="1802" customFormat="1" ht="13.8" hidden="1"/>
    <row r="123" s="1802" customFormat="1" ht="13.8" hidden="1"/>
    <row r="124" s="1802" customFormat="1" ht="13.8" hidden="1"/>
    <row r="125" s="1802" customFormat="1" ht="13.8" hidden="1"/>
    <row r="126" s="1802" customFormat="1" ht="13.8" hidden="1"/>
    <row r="127" s="1802" customFormat="1" ht="13.8" hidden="1"/>
    <row r="128" s="1802" customFormat="1" ht="13.8" hidden="1"/>
    <row r="129" s="1802" customFormat="1" ht="13.8" hidden="1"/>
    <row r="130" s="1802" customFormat="1" ht="13.8" hidden="1"/>
    <row r="131" s="1802" customFormat="1" ht="13.8" hidden="1"/>
    <row r="132" s="1802" customFormat="1" ht="13.8" hidden="1"/>
    <row r="133" s="1802" customFormat="1" ht="13.8" hidden="1"/>
    <row r="134" s="1802" customFormat="1" ht="13.8" hidden="1"/>
    <row r="135" s="1802" customFormat="1" ht="13.8" hidden="1"/>
    <row r="136" s="1802" customFormat="1" ht="13.8" hidden="1"/>
    <row r="137" s="1802" customFormat="1" ht="13.8" hidden="1"/>
    <row r="138" s="1802" customFormat="1" ht="13.8" hidden="1"/>
    <row r="139" s="1802" customFormat="1" ht="13.8" hidden="1"/>
    <row r="140" s="1802" customFormat="1" ht="13.8" hidden="1"/>
    <row r="141" s="1802" customFormat="1" ht="13.8" hidden="1"/>
    <row r="142" s="1802" customFormat="1" ht="13.8" hidden="1"/>
    <row r="143" s="1802" customFormat="1" ht="13.8" hidden="1"/>
    <row r="144" s="1802" customFormat="1" ht="13.8" hidden="1"/>
    <row r="145" s="1802" customFormat="1" ht="13.8" hidden="1"/>
    <row r="146" s="1802" customFormat="1" ht="13.8" hidden="1"/>
    <row r="147" s="1802" customFormat="1" ht="13.8" hidden="1"/>
    <row r="148" s="1802" customFormat="1" ht="13.8" hidden="1"/>
    <row r="149" s="1802" customFormat="1" ht="13.8" hidden="1"/>
    <row r="150" s="1802" customFormat="1" ht="13.8" hidden="1"/>
    <row r="151" s="1802" customFormat="1" ht="13.8" hidden="1"/>
    <row r="152" s="1802" customFormat="1" ht="13.8" hidden="1"/>
    <row r="153" s="1802" customFormat="1" ht="13.8" hidden="1"/>
    <row r="154" s="1802" customFormat="1" ht="13.8" hidden="1"/>
    <row r="155" s="1802" customFormat="1" ht="13.8" hidden="1"/>
    <row r="156" s="1802" customFormat="1" ht="13.8" hidden="1"/>
    <row r="157" s="1802" customFormat="1" ht="13.8" hidden="1"/>
    <row r="158" s="1802" customFormat="1" ht="13.8" hidden="1"/>
    <row r="159" s="1802" customFormat="1" ht="13.8" hidden="1"/>
    <row r="160" s="1802" customFormat="1" ht="13.8" hidden="1"/>
    <row r="161" s="1802" customFormat="1" ht="13.8" hidden="1"/>
    <row r="162" s="1802" customFormat="1" ht="13.8" hidden="1"/>
    <row r="163" s="1802" customFormat="1" ht="13.8" hidden="1"/>
    <row r="164" s="1802" customFormat="1" ht="13.8" hidden="1"/>
    <row r="165" s="1802" customFormat="1" ht="13.8" hidden="1"/>
    <row r="166" s="1802" customFormat="1" ht="13.8" hidden="1"/>
    <row r="167" s="1802" customFormat="1" ht="13.8" hidden="1"/>
    <row r="168" s="1802" customFormat="1" ht="13.8" hidden="1"/>
    <row r="169" s="1802" customFormat="1" ht="13.8" hidden="1"/>
    <row r="170" s="1802" customFormat="1" ht="13.8" hidden="1"/>
    <row r="171" s="1802" customFormat="1" ht="13.8" hidden="1"/>
    <row r="172" s="1802" customFormat="1" ht="13.8" hidden="1"/>
    <row r="173" s="1802" customFormat="1" ht="13.8" hidden="1"/>
    <row r="174" s="1802" customFormat="1" ht="13.8" hidden="1"/>
    <row r="175" s="1802" customFormat="1" ht="13.8" hidden="1"/>
    <row r="176" s="1802" customFormat="1" ht="13.8" hidden="1"/>
    <row r="177" s="1802" customFormat="1" ht="13.8" hidden="1"/>
    <row r="178" s="1802" customFormat="1" ht="13.8" hidden="1"/>
    <row r="179" s="1802" customFormat="1" ht="13.8" hidden="1"/>
    <row r="180" s="1802" customFormat="1" ht="13.8" hidden="1"/>
    <row r="181" s="1802" customFormat="1" ht="13.8" hidden="1"/>
    <row r="182" s="1802" customFormat="1" ht="13.8" hidden="1"/>
    <row r="183" s="1802" customFormat="1" ht="13.8" hidden="1"/>
    <row r="184" s="1802" customFormat="1" ht="13.8" hidden="1"/>
    <row r="185" s="1802" customFormat="1" ht="13.8" hidden="1"/>
    <row r="186" s="1802" customFormat="1" ht="13.8" hidden="1"/>
    <row r="187" s="1802" customFormat="1" ht="13.8" hidden="1"/>
    <row r="188" s="1802" customFormat="1" ht="13.8" hidden="1"/>
    <row r="189" s="1802" customFormat="1" ht="13.8" hidden="1"/>
    <row r="190" s="1802" customFormat="1" ht="13.8" hidden="1"/>
    <row r="191" s="1802" customFormat="1" ht="13.8" hidden="1"/>
    <row r="192" s="1802" customFormat="1" ht="13.8" hidden="1"/>
    <row r="193" s="1802" customFormat="1" ht="13.8" hidden="1"/>
    <row r="194" s="1802" customFormat="1" ht="13.8" hidden="1"/>
    <row r="195" s="1802" customFormat="1" ht="13.8" hidden="1"/>
    <row r="196" s="1802" customFormat="1" ht="13.8" hidden="1"/>
    <row r="197" s="1802" customFormat="1" ht="13.8" hidden="1"/>
    <row r="198" s="1802" customFormat="1" ht="13.8" hidden="1"/>
    <row r="199" s="1802" customFormat="1" ht="13.8" hidden="1"/>
    <row r="200" s="1802" customFormat="1" ht="13.8" hidden="1"/>
    <row r="201" s="1802" customFormat="1" ht="13.8" hidden="1"/>
    <row r="202" s="1802" customFormat="1" ht="13.8" hidden="1"/>
    <row r="203" s="1802" customFormat="1" ht="13.8" hidden="1"/>
    <row r="204" s="1802" customFormat="1" ht="13.8" hidden="1"/>
    <row r="205" s="1802" customFormat="1" ht="13.8" hidden="1"/>
    <row r="206" s="1817" customFormat="1" ht="13.2" hidden="1"/>
    <row r="207" s="1817" customFormat="1" ht="13.2" hidden="1"/>
    <row r="208" s="1817" customFormat="1" ht="13.2" hidden="1"/>
    <row r="209" s="1817" customFormat="1" ht="13.2" hidden="1"/>
    <row r="210" s="1817" customFormat="1" ht="13.2" hidden="1"/>
    <row r="211" s="1817" customFormat="1" ht="13.2" hidden="1"/>
    <row r="212" s="1817" customFormat="1" ht="13.2" hidden="1"/>
    <row r="213" s="1817" customFormat="1" ht="13.2" hidden="1"/>
    <row r="214" s="1817" customFormat="1" ht="13.2" hidden="1"/>
    <row r="215" s="1817" customFormat="1" ht="13.2" hidden="1"/>
    <row r="216" s="1817" customFormat="1" ht="13.2" hidden="1"/>
    <row r="217" s="1817" customFormat="1" ht="13.2" hidden="1"/>
    <row r="218" s="1817" customFormat="1" ht="13.2" hidden="1"/>
    <row r="219" s="1817" customFormat="1" ht="13.2" hidden="1"/>
    <row r="220" s="1817" customFormat="1" ht="13.2" hidden="1"/>
    <row r="221" s="1817" customFormat="1" ht="13.2" hidden="1"/>
    <row r="222" s="1817" customFormat="1" ht="13.2" hidden="1"/>
    <row r="223" s="1817" customFormat="1" ht="13.2" hidden="1"/>
    <row r="224" s="1817" customFormat="1" ht="13.2" hidden="1"/>
    <row r="225" s="1817" customFormat="1" ht="13.2" hidden="1"/>
    <row r="226" s="1817" customFormat="1" ht="13.2" hidden="1"/>
    <row r="227" s="1817" customFormat="1" ht="13.2" hidden="1"/>
    <row r="228" s="1817" customFormat="1" ht="13.2" hidden="1"/>
    <row r="229" s="1817" customFormat="1" ht="13.2" hidden="1"/>
    <row r="230" s="1817" customFormat="1" ht="13.2" hidden="1"/>
    <row r="231" s="1817" customFormat="1" ht="13.2" hidden="1"/>
    <row r="232" s="1817" customFormat="1" ht="13.2" hidden="1"/>
    <row r="233" s="1817" customFormat="1" ht="13.2" hidden="1"/>
    <row r="234" s="1817" customFormat="1" ht="13.2" hidden="1"/>
    <row r="235" s="1817" customFormat="1" ht="13.2" hidden="1"/>
    <row r="236" s="1817" customFormat="1" ht="13.2" hidden="1"/>
    <row r="237" s="1817" customFormat="1" ht="13.2" hidden="1"/>
    <row r="238" s="1817" customFormat="1" ht="13.2" hidden="1"/>
    <row r="239" s="1817" customFormat="1" ht="13.2" hidden="1"/>
    <row r="240" s="1817" customFormat="1" ht="13.2" hidden="1"/>
    <row r="241" s="1817" customFormat="1" ht="13.2" hidden="1"/>
    <row r="242" s="1817" customFormat="1" ht="13.2" hidden="1"/>
    <row r="243" s="1817" customFormat="1" ht="13.2" hidden="1"/>
    <row r="244" s="1817" customFormat="1" ht="13.2" hidden="1"/>
    <row r="245" s="1817" customFormat="1" ht="13.2" hidden="1"/>
    <row r="246" s="1817" customFormat="1" ht="13.2" hidden="1"/>
    <row r="247" s="1817" customFormat="1" ht="13.2" hidden="1"/>
    <row r="248" s="1817" customFormat="1" ht="13.2" hidden="1"/>
    <row r="249" s="1817" customFormat="1" ht="13.2" hidden="1"/>
    <row r="250" s="1817" customFormat="1" ht="13.2" hidden="1"/>
    <row r="251" s="1817" customFormat="1" ht="13.2" hidden="1"/>
    <row r="252" s="1817" customFormat="1" ht="13.2" hidden="1"/>
    <row r="253" s="1817" customFormat="1" ht="13.2" hidden="1"/>
    <row r="254" s="1817" customFormat="1" ht="13.2" hidden="1"/>
    <row r="255" s="1817" customFormat="1" ht="13.2" hidden="1"/>
    <row r="256" s="1817" customFormat="1" ht="13.2" hidden="1"/>
    <row r="257" s="1817" customFormat="1" ht="13.2" hidden="1"/>
    <row r="258" s="1817" customFormat="1" ht="13.2" hidden="1"/>
    <row r="259" s="1817" customFormat="1" ht="13.2" hidden="1"/>
    <row r="260" s="1817" customFormat="1" ht="13.2" hidden="1"/>
    <row r="261" s="1817" customFormat="1" ht="13.2" hidden="1"/>
    <row r="262" s="1817" customFormat="1" ht="13.2" hidden="1"/>
    <row r="263" s="1817" customFormat="1" ht="13.2" hidden="1"/>
    <row r="264" s="1817" customFormat="1" ht="13.2" hidden="1"/>
    <row r="265" s="1817" customFormat="1" ht="13.2" hidden="1"/>
    <row r="266" s="1817" customFormat="1" ht="13.2" hidden="1"/>
    <row r="267" s="1817" customFormat="1" ht="13.2" hidden="1"/>
    <row r="268" s="1817" customFormat="1" ht="13.2" hidden="1"/>
    <row r="269" s="1817" customFormat="1" ht="13.2" hidden="1"/>
    <row r="270" s="1817" customFormat="1" ht="13.2" hidden="1"/>
    <row r="271" s="1817" customFormat="1" ht="13.2" hidden="1"/>
    <row r="272" s="1817" customFormat="1" ht="13.2" hidden="1"/>
    <row r="273" s="1817" customFormat="1" ht="13.2" hidden="1"/>
    <row r="274" s="1817" customFormat="1" ht="13.2" hidden="1"/>
    <row r="275" s="1817" customFormat="1" ht="13.2" hidden="1"/>
    <row r="276" s="1817" customFormat="1" ht="13.2" hidden="1"/>
    <row r="277" s="1817" customFormat="1" ht="13.2" hidden="1"/>
    <row r="278" s="1817" customFormat="1" ht="13.2" hidden="1"/>
    <row r="279" s="1817" customFormat="1" ht="13.2" hidden="1"/>
    <row r="280" s="1817" customFormat="1" ht="13.2" hidden="1"/>
    <row r="281" s="1817" customFormat="1" ht="13.2" hidden="1"/>
    <row r="282" s="1817" customFormat="1" ht="13.2" hidden="1"/>
    <row r="283" s="1817" customFormat="1" ht="13.2" hidden="1"/>
    <row r="284" s="1817" customFormat="1" ht="13.2" hidden="1"/>
    <row r="285" s="1817" customFormat="1" ht="13.2" hidden="1"/>
    <row r="286" s="1817" customFormat="1" ht="13.2" hidden="1"/>
    <row r="287" s="1817" customFormat="1" ht="13.2" hidden="1"/>
    <row r="288" s="1817" customFormat="1" ht="13.2" hidden="1"/>
    <row r="289" s="1817" customFormat="1" ht="13.2" hidden="1"/>
    <row r="290" s="1817" customFormat="1" ht="13.2" hidden="1"/>
    <row r="291" s="1817" customFormat="1" ht="13.2" hidden="1"/>
    <row r="292" s="1817" customFormat="1" ht="13.2" hidden="1"/>
    <row r="293" s="1817" customFormat="1" ht="13.2" hidden="1"/>
    <row r="294" s="1817" customFormat="1" ht="13.2" hidden="1"/>
    <row r="295" s="1817" customFormat="1" ht="13.2" hidden="1"/>
    <row r="296" s="1817" customFormat="1" ht="13.2" hidden="1"/>
    <row r="297" s="1817" customFormat="1" ht="13.2" hidden="1"/>
    <row r="298" s="1817" customFormat="1" ht="13.2" hidden="1"/>
    <row r="299" s="1817" customFormat="1" ht="13.2" hidden="1"/>
    <row r="300" s="1817" customFormat="1" ht="13.2" hidden="1"/>
    <row r="301" s="1817" customFormat="1" ht="13.2" hidden="1"/>
    <row r="302" s="1817" customFormat="1" ht="13.2" hidden="1"/>
    <row r="303" s="1817" customFormat="1" ht="13.2" hidden="1"/>
    <row r="304" s="1817" customFormat="1" ht="13.2" hidden="1"/>
    <row r="305" s="1817" customFormat="1" ht="13.2" hidden="1"/>
    <row r="306" s="1817" customFormat="1" ht="13.2" hidden="1"/>
    <row r="307" s="1817" customFormat="1" ht="13.2" hidden="1"/>
    <row r="308" s="1817" customFormat="1" ht="13.2" hidden="1"/>
    <row r="309" s="1817" customFormat="1" ht="13.2" hidden="1"/>
    <row r="310" s="1817" customFormat="1" ht="13.2" hidden="1"/>
    <row r="311" s="1817" customFormat="1" ht="13.2" hidden="1"/>
    <row r="312" s="1817" customFormat="1" ht="13.2" hidden="1"/>
    <row r="313" s="1817" customFormat="1" ht="13.2" hidden="1"/>
    <row r="314" s="1817" customFormat="1" ht="13.2" hidden="1"/>
    <row r="315" s="1817" customFormat="1" ht="13.2" hidden="1"/>
    <row r="316" s="1817" customFormat="1" ht="13.2" hidden="1"/>
    <row r="317" s="1817" customFormat="1" ht="13.2" hidden="1"/>
    <row r="318" s="1817" customFormat="1" ht="13.2" hidden="1"/>
    <row r="319" s="1817" customFormat="1" ht="13.2" hidden="1"/>
    <row r="320" s="1817" customFormat="1" ht="13.2" hidden="1"/>
    <row r="321" s="1817" customFormat="1" ht="13.2" hidden="1"/>
    <row r="322" s="1817" customFormat="1" ht="13.2" hidden="1"/>
    <row r="323" s="1817" customFormat="1" ht="13.2" hidden="1"/>
    <row r="324" s="1817" customFormat="1" ht="13.2" hidden="1"/>
    <row r="325" s="1817" customFormat="1" ht="13.2" hidden="1"/>
    <row r="326" s="1817" customFormat="1" ht="13.2" hidden="1"/>
    <row r="327" s="1817" customFormat="1" ht="13.2" hidden="1"/>
    <row r="328" s="1817" customFormat="1" ht="13.2" hidden="1"/>
    <row r="329" s="1817" customFormat="1" ht="13.2" hidden="1"/>
    <row r="330" s="1817" customFormat="1" ht="13.2" hidden="1"/>
    <row r="331" s="1817" customFormat="1" ht="13.2" hidden="1"/>
    <row r="332" s="1817" customFormat="1" ht="13.2" hidden="1"/>
    <row r="333" s="1817" customFormat="1" ht="13.2" hidden="1"/>
    <row r="334" s="1817" customFormat="1" ht="13.2" hidden="1"/>
    <row r="335" s="1817" customFormat="1" ht="13.2" hidden="1"/>
    <row r="336" s="1817" customFormat="1" ht="13.2" hidden="1"/>
    <row r="337" s="1817" customFormat="1" ht="13.2" hidden="1"/>
    <row r="338" s="1817" customFormat="1" ht="13.2" hidden="1"/>
    <row r="339" s="1817" customFormat="1" ht="13.2" hidden="1"/>
    <row r="340" s="1817" customFormat="1" ht="13.2" hidden="1"/>
    <row r="341" s="1817" customFormat="1" ht="13.2" hidden="1"/>
    <row r="342" s="1817" customFormat="1" ht="13.2" hidden="1"/>
    <row r="343" s="1817" customFormat="1" ht="13.2" hidden="1"/>
    <row r="344" s="1817" customFormat="1" ht="13.2" hidden="1"/>
    <row r="345" s="1817" customFormat="1" ht="13.2" hidden="1"/>
    <row r="346" s="1817" customFormat="1" ht="13.2" hidden="1"/>
    <row r="347" s="1817" customFormat="1" ht="13.2" hidden="1"/>
    <row r="348" s="1817" customFormat="1" ht="13.2" hidden="1"/>
    <row r="349" s="1817" customFormat="1" ht="13.2" hidden="1"/>
    <row r="350" s="1817" customFormat="1" ht="13.2" hidden="1"/>
    <row r="351" s="1817" customFormat="1" ht="13.2" hidden="1"/>
    <row r="352" s="1817" customFormat="1" ht="13.2" hidden="1"/>
    <row r="353" s="1817" customFormat="1" ht="13.2" hidden="1"/>
    <row r="354" s="1817" customFormat="1" ht="13.2" hidden="1"/>
    <row r="355" s="1817" customFormat="1" ht="13.2" hidden="1"/>
    <row r="356" s="1817" customFormat="1" ht="13.2" hidden="1"/>
    <row r="357" s="1817" customFormat="1" ht="13.2" hidden="1"/>
    <row r="358" s="1817" customFormat="1" ht="13.2" hidden="1"/>
    <row r="359" s="1817" customFormat="1" ht="13.2" hidden="1"/>
    <row r="360" s="1817" customFormat="1" ht="13.2" hidden="1"/>
    <row r="361" s="1817" customFormat="1" ht="13.2" hidden="1"/>
    <row r="362" s="1817" customFormat="1" ht="13.2" hidden="1"/>
    <row r="363" s="1817" customFormat="1" ht="13.2" hidden="1"/>
    <row r="364" s="1817" customFormat="1" ht="13.2" hidden="1"/>
    <row r="365" s="1817" customFormat="1" ht="13.2" hidden="1"/>
    <row r="366" s="1817" customFormat="1" ht="13.2" hidden="1"/>
    <row r="367" s="1817" customFormat="1" ht="13.2" hidden="1"/>
    <row r="368" s="1817" customFormat="1" ht="13.2" hidden="1"/>
    <row r="369" s="1817" customFormat="1" ht="13.2" hidden="1"/>
    <row r="370" s="1817" customFormat="1" ht="13.2" hidden="1"/>
    <row r="371" s="1817" customFormat="1" ht="13.2" hidden="1"/>
    <row r="372" s="1817" customFormat="1" ht="13.2" hidden="1"/>
    <row r="373" s="1817" customFormat="1" ht="13.2" hidden="1"/>
    <row r="374" s="1817" customFormat="1" ht="13.2" hidden="1"/>
    <row r="375" s="1817" customFormat="1" ht="13.2" hidden="1"/>
    <row r="376" s="1817" customFormat="1" ht="13.2" hidden="1"/>
    <row r="377" s="1817" customFormat="1" ht="13.2" hidden="1"/>
    <row r="378" s="1817" customFormat="1" ht="13.2" hidden="1"/>
    <row r="379" s="1817" customFormat="1" ht="13.2" hidden="1"/>
    <row r="380" s="1817" customFormat="1" ht="13.2" hidden="1"/>
    <row r="381" s="1817" customFormat="1" ht="13.2" hidden="1"/>
    <row r="382" s="1817" customFormat="1" ht="13.2" hidden="1"/>
    <row r="383" s="1817" customFormat="1" ht="13.2" hidden="1"/>
    <row r="384" s="1817" customFormat="1" ht="13.2" hidden="1"/>
    <row r="385" ht="13.2"/>
    <row r="386" ht="13.2"/>
    <row r="387" ht="13.2"/>
    <row r="388" ht="13.2"/>
    <row r="389" ht="13.2"/>
    <row r="390" ht="12.75" customHeight="1"/>
    <row r="391" ht="12.75" customHeight="1"/>
  </sheetData>
  <sheetProtection algorithmName="SHA-512" hashValue="ZAt7aHwr5nNwim2YaZA9owppry/k6IQngSU3cMaXbMV2DAe47EpfNbZsm8i1d1gCk6RooDPNFYGKMKPdAB3wqQ==" saltValue="GO+ymrhdqc1LmYnanHxvaw==" spinCount="100000" sheet="1" objects="1" scenarios="1" selectLockedCells="1"/>
  <mergeCells count="6">
    <mergeCell ref="A67:B67"/>
    <mergeCell ref="C1:D1"/>
    <mergeCell ref="A7:B7"/>
    <mergeCell ref="A63:B63"/>
    <mergeCell ref="A65:B65"/>
    <mergeCell ref="A66:B66"/>
  </mergeCells>
  <pageMargins left="0.75" right="0.75" top="1" bottom="1" header="0.5" footer="0.5"/>
  <pageSetup scale="10" orientation="portrait" r:id="rId1"/>
  <headerFooter alignWithMargins="0"/>
  <drawing r:id="rId2"/>
  <legacyDrawing r:id="rId3"/>
  <controls>
    <mc:AlternateContent xmlns:mc="http://schemas.openxmlformats.org/markup-compatibility/2006">
      <mc:Choice Requires="x14">
        <control shapeId="1025" r:id="rId4" name="CommandButton1">
          <controlPr defaultSize="0" autoLine="0" r:id="rId5">
            <anchor moveWithCells="1">
              <from>
                <xdr:col>1</xdr:col>
                <xdr:colOff>7620</xdr:colOff>
                <xdr:row>12</xdr:row>
                <xdr:rowOff>160020</xdr:rowOff>
              </from>
              <to>
                <xdr:col>1</xdr:col>
                <xdr:colOff>2423160</xdr:colOff>
                <xdr:row>14</xdr:row>
                <xdr:rowOff>22860</xdr:rowOff>
              </to>
            </anchor>
          </controlPr>
        </control>
      </mc:Choice>
      <mc:Fallback>
        <control shapeId="1025" r:id="rId4" name="CommandButton1"/>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theme="7" tint="0.39997558519241921"/>
    <pageSetUpPr autoPageBreaks="0" fitToPage="1"/>
  </sheetPr>
  <dimension ref="A1:BC193"/>
  <sheetViews>
    <sheetView workbookViewId="0">
      <pane xSplit="3" ySplit="6" topLeftCell="D7" activePane="bottomRight" state="frozen"/>
      <selection pane="topRight" activeCell="D1" sqref="D1"/>
      <selection pane="bottomLeft" activeCell="A7" sqref="A7"/>
      <selection pane="bottomRight" activeCell="A41" sqref="A41"/>
    </sheetView>
  </sheetViews>
  <sheetFormatPr defaultColWidth="0" defaultRowHeight="13.2"/>
  <cols>
    <col min="1" max="1" width="63" style="5" customWidth="1"/>
    <col min="2" max="2" width="9.109375" style="5" hidden="1" customWidth="1"/>
    <col min="3" max="3" width="11.109375" style="5" customWidth="1"/>
    <col min="4" max="4" width="38.33203125" style="157" customWidth="1"/>
    <col min="5" max="24" width="11.6640625" style="5" customWidth="1"/>
    <col min="25" max="25" width="11.33203125" style="5" hidden="1" customWidth="1"/>
    <col min="26" max="27" width="9.109375" style="5" hidden="1" customWidth="1"/>
    <col min="28" max="28" width="11.33203125" style="5" hidden="1" customWidth="1"/>
    <col min="29" max="30" width="9.109375" style="5" hidden="1" customWidth="1"/>
    <col min="31" max="31" width="11.33203125" style="5" hidden="1" customWidth="1"/>
    <col min="32" max="33" width="9.109375" style="5" hidden="1" customWidth="1"/>
    <col min="34" max="34" width="11.33203125" style="5" hidden="1" customWidth="1"/>
    <col min="35" max="36" width="9.109375" style="5" hidden="1" customWidth="1"/>
    <col min="37" max="37" width="11.33203125" style="5" hidden="1" customWidth="1"/>
    <col min="38" max="39" width="9.109375" style="5" hidden="1" customWidth="1"/>
    <col min="40" max="40" width="11.33203125" style="5" hidden="1" customWidth="1"/>
    <col min="41" max="42" width="9.109375" style="5" hidden="1" customWidth="1"/>
    <col min="43" max="43" width="11.33203125" style="5" hidden="1" customWidth="1"/>
    <col min="44" max="45" width="9.109375" style="5" hidden="1" customWidth="1"/>
    <col min="46" max="46" width="11.33203125" style="5" hidden="1" customWidth="1"/>
    <col min="47" max="48" width="9.109375" style="5" hidden="1" customWidth="1"/>
    <col min="49" max="49" width="11.33203125" style="5" hidden="1" customWidth="1"/>
    <col min="50" max="51" width="9.109375" style="5" hidden="1" customWidth="1"/>
    <col min="52" max="52" width="11.33203125" style="5" hidden="1" customWidth="1"/>
    <col min="53" max="54" width="9.109375" style="5" hidden="1" customWidth="1"/>
    <col min="55" max="55" width="11.33203125" style="5" hidden="1" customWidth="1"/>
    <col min="56" max="16384" width="9.109375" style="5" hidden="1"/>
  </cols>
  <sheetData>
    <row r="1" spans="1:52" ht="20.25" customHeight="1">
      <c r="A1" s="117" t="str">
        <f>IF('6.1stYrOpBudget'!$H$4&lt;&gt;"",'6.1stYrOpBudget'!$H$4,"")</f>
        <v/>
      </c>
      <c r="C1" s="74" t="str">
        <f>IF(SmallSites=TRUE,"Small Sites Project","")</f>
        <v/>
      </c>
      <c r="D1" s="74" t="str">
        <f>IF(LOSP=TRUE,"LOSP Project","")</f>
        <v/>
      </c>
    </row>
    <row r="2" spans="1:52" ht="25.5" customHeight="1">
      <c r="A2" s="2275" t="s">
        <v>1369</v>
      </c>
      <c r="C2" s="2276">
        <v>1</v>
      </c>
    </row>
    <row r="3" spans="1:52" ht="17.399999999999999">
      <c r="A3" s="2275"/>
      <c r="B3" s="158"/>
      <c r="C3" s="2277"/>
      <c r="D3" s="16"/>
      <c r="E3" s="159">
        <v>1</v>
      </c>
      <c r="F3" s="160">
        <f t="shared" ref="F3:Y3" si="0">E3+1</f>
        <v>2</v>
      </c>
      <c r="G3" s="160">
        <f t="shared" si="0"/>
        <v>3</v>
      </c>
      <c r="H3" s="160">
        <f t="shared" si="0"/>
        <v>4</v>
      </c>
      <c r="I3" s="160">
        <f t="shared" si="0"/>
        <v>5</v>
      </c>
      <c r="J3" s="160">
        <f t="shared" si="0"/>
        <v>6</v>
      </c>
      <c r="K3" s="160">
        <f t="shared" si="0"/>
        <v>7</v>
      </c>
      <c r="L3" s="160">
        <f t="shared" si="0"/>
        <v>8</v>
      </c>
      <c r="M3" s="160">
        <f t="shared" si="0"/>
        <v>9</v>
      </c>
      <c r="N3" s="160">
        <f t="shared" si="0"/>
        <v>10</v>
      </c>
      <c r="O3" s="160">
        <f t="shared" si="0"/>
        <v>11</v>
      </c>
      <c r="P3" s="160">
        <f t="shared" si="0"/>
        <v>12</v>
      </c>
      <c r="Q3" s="160">
        <f t="shared" si="0"/>
        <v>13</v>
      </c>
      <c r="R3" s="160">
        <f t="shared" si="0"/>
        <v>14</v>
      </c>
      <c r="S3" s="160">
        <f t="shared" si="0"/>
        <v>15</v>
      </c>
      <c r="T3" s="160">
        <f t="shared" si="0"/>
        <v>16</v>
      </c>
      <c r="U3" s="160">
        <f t="shared" si="0"/>
        <v>17</v>
      </c>
      <c r="V3" s="160">
        <f t="shared" si="0"/>
        <v>18</v>
      </c>
      <c r="W3" s="160">
        <f t="shared" si="0"/>
        <v>19</v>
      </c>
      <c r="X3" s="160">
        <f t="shared" si="0"/>
        <v>20</v>
      </c>
      <c r="Y3" s="160">
        <f t="shared" si="0"/>
        <v>21</v>
      </c>
      <c r="AB3" s="160">
        <f>Y3+1</f>
        <v>22</v>
      </c>
      <c r="AE3" s="160">
        <f>AB3+1</f>
        <v>23</v>
      </c>
      <c r="AH3" s="160">
        <f>AE3+1</f>
        <v>24</v>
      </c>
      <c r="AK3" s="160">
        <f>AH3+1</f>
        <v>25</v>
      </c>
      <c r="AN3" s="160">
        <f>AK3+1</f>
        <v>26</v>
      </c>
      <c r="AQ3" s="160">
        <f>AN3+1</f>
        <v>27</v>
      </c>
      <c r="AT3" s="160">
        <f>AQ3+1</f>
        <v>28</v>
      </c>
      <c r="AW3" s="160">
        <f>AT3+1</f>
        <v>29</v>
      </c>
      <c r="AZ3" s="160">
        <f>AW3+1</f>
        <v>30</v>
      </c>
    </row>
    <row r="4" spans="1:52" ht="17.399999999999999">
      <c r="A4" s="1326" t="str">
        <f>'6.1stYrOpBudget'!$A$5</f>
        <v>Total # Units:</v>
      </c>
      <c r="B4" s="161"/>
      <c r="C4" s="162" t="str">
        <f>IF('6.1stYrOpBudget'!$B$5=0,"",'6.1stYrOpBudget'!$B$5)</f>
        <v/>
      </c>
      <c r="D4" s="163" t="s">
        <v>86</v>
      </c>
      <c r="E4" s="164">
        <f>'1.GeneralProjectInfo'!$D$4</f>
        <v>0</v>
      </c>
      <c r="F4" s="164">
        <f t="shared" ref="F4:Y4" si="1">E4+1</f>
        <v>1</v>
      </c>
      <c r="G4" s="164">
        <f t="shared" si="1"/>
        <v>2</v>
      </c>
      <c r="H4" s="164">
        <f t="shared" si="1"/>
        <v>3</v>
      </c>
      <c r="I4" s="164">
        <f t="shared" si="1"/>
        <v>4</v>
      </c>
      <c r="J4" s="164">
        <f t="shared" si="1"/>
        <v>5</v>
      </c>
      <c r="K4" s="164">
        <f t="shared" si="1"/>
        <v>6</v>
      </c>
      <c r="L4" s="164">
        <f t="shared" si="1"/>
        <v>7</v>
      </c>
      <c r="M4" s="164">
        <f t="shared" si="1"/>
        <v>8</v>
      </c>
      <c r="N4" s="165">
        <f t="shared" si="1"/>
        <v>9</v>
      </c>
      <c r="O4" s="164">
        <f t="shared" si="1"/>
        <v>10</v>
      </c>
      <c r="P4" s="164">
        <f t="shared" si="1"/>
        <v>11</v>
      </c>
      <c r="Q4" s="164">
        <f t="shared" si="1"/>
        <v>12</v>
      </c>
      <c r="R4" s="164">
        <f t="shared" si="1"/>
        <v>13</v>
      </c>
      <c r="S4" s="164">
        <f t="shared" si="1"/>
        <v>14</v>
      </c>
      <c r="T4" s="164">
        <f t="shared" si="1"/>
        <v>15</v>
      </c>
      <c r="U4" s="164">
        <f t="shared" si="1"/>
        <v>16</v>
      </c>
      <c r="V4" s="164">
        <f t="shared" si="1"/>
        <v>17</v>
      </c>
      <c r="W4" s="164">
        <f t="shared" si="1"/>
        <v>18</v>
      </c>
      <c r="X4" s="165">
        <f t="shared" si="1"/>
        <v>19</v>
      </c>
      <c r="Y4" s="166">
        <f t="shared" si="1"/>
        <v>20</v>
      </c>
      <c r="AB4" s="166">
        <f>Y4+1</f>
        <v>21</v>
      </c>
      <c r="AE4" s="166">
        <f>AB4+1</f>
        <v>22</v>
      </c>
      <c r="AH4" s="166">
        <f>AE4+1</f>
        <v>23</v>
      </c>
      <c r="AK4" s="166">
        <f>AH4+1</f>
        <v>24</v>
      </c>
      <c r="AN4" s="166">
        <f>AK4+1</f>
        <v>25</v>
      </c>
      <c r="AQ4" s="166">
        <f>AN4+1</f>
        <v>26</v>
      </c>
      <c r="AT4" s="166">
        <f>AQ4+1</f>
        <v>27</v>
      </c>
      <c r="AW4" s="166">
        <f>AT4+1</f>
        <v>28</v>
      </c>
      <c r="AZ4" s="166">
        <f>AW4+1</f>
        <v>29</v>
      </c>
    </row>
    <row r="5" spans="1:52" ht="18.75" hidden="1" customHeight="1">
      <c r="C5" s="167"/>
      <c r="D5" s="5"/>
      <c r="E5" s="168"/>
      <c r="F5" s="168"/>
      <c r="G5" s="168"/>
      <c r="H5" s="168"/>
      <c r="I5" s="168"/>
      <c r="J5" s="168"/>
      <c r="K5" s="168"/>
      <c r="L5" s="168"/>
      <c r="M5" s="168"/>
      <c r="N5" s="168"/>
      <c r="O5" s="168"/>
      <c r="P5" s="168"/>
      <c r="Q5" s="168"/>
      <c r="R5" s="168"/>
      <c r="S5" s="168"/>
      <c r="T5" s="168"/>
      <c r="U5" s="168"/>
      <c r="V5" s="168"/>
      <c r="W5" s="168"/>
      <c r="X5" s="168"/>
      <c r="Y5" s="168"/>
      <c r="AB5" s="168"/>
      <c r="AE5" s="168"/>
      <c r="AH5" s="168"/>
      <c r="AK5" s="168"/>
      <c r="AN5" s="168"/>
      <c r="AQ5" s="168"/>
      <c r="AT5" s="168"/>
      <c r="AW5" s="168"/>
      <c r="AZ5" s="168"/>
    </row>
    <row r="6" spans="1:52" ht="27">
      <c r="A6" s="6" t="str">
        <f>"COMMERCIAL "&amp;'6.1stYrOpBudget'!A8</f>
        <v>COMMERCIAL INCOME</v>
      </c>
      <c r="B6" s="9"/>
      <c r="C6" s="169" t="s">
        <v>67</v>
      </c>
      <c r="D6" s="170" t="s">
        <v>0</v>
      </c>
      <c r="E6" s="166"/>
      <c r="F6" s="166"/>
      <c r="G6" s="166"/>
      <c r="H6" s="166"/>
      <c r="I6" s="166"/>
      <c r="J6" s="166"/>
      <c r="K6" s="166"/>
      <c r="L6" s="166"/>
      <c r="M6" s="166"/>
      <c r="N6" s="171"/>
      <c r="O6" s="166"/>
      <c r="P6" s="166"/>
      <c r="Q6" s="166"/>
      <c r="R6" s="166"/>
      <c r="S6" s="166"/>
      <c r="T6" s="166"/>
      <c r="U6" s="166"/>
      <c r="V6" s="166"/>
      <c r="W6" s="166"/>
      <c r="X6" s="171"/>
      <c r="Y6" s="166"/>
      <c r="AB6" s="166"/>
      <c r="AE6" s="166"/>
      <c r="AH6" s="166"/>
      <c r="AK6" s="166"/>
      <c r="AN6" s="166"/>
      <c r="AQ6" s="166"/>
      <c r="AT6" s="166"/>
      <c r="AW6" s="166"/>
      <c r="AZ6" s="166"/>
    </row>
    <row r="7" spans="1:52">
      <c r="A7" s="352" t="s">
        <v>1183</v>
      </c>
      <c r="B7" s="8">
        <v>5140</v>
      </c>
      <c r="C7" s="62">
        <v>2.5000000000000001E-2</v>
      </c>
      <c r="D7" s="63"/>
      <c r="E7" s="66"/>
      <c r="F7" s="66"/>
      <c r="G7" s="66"/>
      <c r="H7" s="66"/>
      <c r="I7" s="66"/>
      <c r="J7" s="66"/>
      <c r="K7" s="66"/>
      <c r="L7" s="66"/>
      <c r="M7" s="66"/>
      <c r="N7" s="66"/>
      <c r="O7" s="66"/>
      <c r="P7" s="66"/>
      <c r="Q7" s="66"/>
      <c r="R7" s="66"/>
      <c r="S7" s="66"/>
      <c r="T7" s="66"/>
      <c r="U7" s="66"/>
      <c r="V7" s="66"/>
      <c r="W7" s="66"/>
      <c r="X7" s="66"/>
    </row>
    <row r="8" spans="1:52">
      <c r="A8" s="352" t="s">
        <v>1184</v>
      </c>
      <c r="B8" s="8"/>
      <c r="C8" s="62">
        <v>2.5000000000000001E-2</v>
      </c>
      <c r="D8" s="63"/>
      <c r="E8" s="66"/>
      <c r="F8" s="66"/>
      <c r="G8" s="66"/>
      <c r="H8" s="66"/>
      <c r="I8" s="66"/>
      <c r="J8" s="66"/>
      <c r="K8" s="66"/>
      <c r="L8" s="66"/>
      <c r="M8" s="66"/>
      <c r="N8" s="66"/>
      <c r="O8" s="66"/>
      <c r="P8" s="66"/>
      <c r="Q8" s="66"/>
      <c r="R8" s="66"/>
      <c r="S8" s="66"/>
      <c r="T8" s="66"/>
      <c r="U8" s="66"/>
      <c r="V8" s="66"/>
      <c r="W8" s="66"/>
      <c r="X8" s="66"/>
    </row>
    <row r="9" spans="1:52">
      <c r="A9" s="352" t="s">
        <v>1185</v>
      </c>
      <c r="B9" s="8"/>
      <c r="C9" s="62">
        <v>2.5000000000000001E-2</v>
      </c>
      <c r="D9" s="63"/>
      <c r="E9" s="66"/>
      <c r="F9" s="66"/>
      <c r="G9" s="66"/>
      <c r="H9" s="66"/>
      <c r="I9" s="66"/>
      <c r="J9" s="66"/>
      <c r="K9" s="66"/>
      <c r="L9" s="66"/>
      <c r="M9" s="66"/>
      <c r="N9" s="66"/>
      <c r="O9" s="66"/>
      <c r="P9" s="66"/>
      <c r="Q9" s="66"/>
      <c r="R9" s="66"/>
      <c r="S9" s="66"/>
      <c r="T9" s="66"/>
      <c r="U9" s="66"/>
      <c r="V9" s="66"/>
      <c r="W9" s="66"/>
      <c r="X9" s="66"/>
    </row>
    <row r="10" spans="1:52">
      <c r="A10" s="352" t="s">
        <v>1186</v>
      </c>
      <c r="B10" s="8"/>
      <c r="C10" s="62">
        <v>2.5000000000000001E-2</v>
      </c>
      <c r="D10" s="63"/>
      <c r="E10" s="66"/>
      <c r="F10" s="66"/>
      <c r="G10" s="66"/>
      <c r="H10" s="66"/>
      <c r="I10" s="66"/>
      <c r="J10" s="66"/>
      <c r="K10" s="66"/>
      <c r="L10" s="66"/>
      <c r="M10" s="66"/>
      <c r="N10" s="66"/>
      <c r="O10" s="66"/>
      <c r="P10" s="66"/>
      <c r="Q10" s="66"/>
      <c r="R10" s="66"/>
      <c r="S10" s="66"/>
      <c r="T10" s="66"/>
      <c r="U10" s="66"/>
      <c r="V10" s="66"/>
      <c r="W10" s="66"/>
      <c r="X10" s="66"/>
    </row>
    <row r="11" spans="1:52">
      <c r="A11" s="352" t="s">
        <v>1187</v>
      </c>
      <c r="B11" s="8"/>
      <c r="C11" s="62">
        <v>2.5000000000000001E-2</v>
      </c>
      <c r="D11" s="63"/>
      <c r="E11" s="66"/>
      <c r="F11" s="66"/>
      <c r="G11" s="66"/>
      <c r="H11" s="66"/>
      <c r="I11" s="66"/>
      <c r="J11" s="66"/>
      <c r="K11" s="66"/>
      <c r="L11" s="66"/>
      <c r="M11" s="66"/>
      <c r="N11" s="66"/>
      <c r="O11" s="66"/>
      <c r="P11" s="66"/>
      <c r="Q11" s="66"/>
      <c r="R11" s="66"/>
      <c r="S11" s="66"/>
      <c r="T11" s="66"/>
      <c r="U11" s="66"/>
      <c r="V11" s="66"/>
      <c r="W11" s="66"/>
      <c r="X11" s="66"/>
    </row>
    <row r="12" spans="1:52">
      <c r="A12" s="10" t="str">
        <f>'6.1stYrOpBudget'!A21</f>
        <v>Other Commercial Income</v>
      </c>
      <c r="B12" s="8"/>
      <c r="C12" s="62">
        <v>2.5000000000000001E-2</v>
      </c>
      <c r="D12" s="64"/>
      <c r="E12" s="174">
        <f>'2.Utilities&amp;OtherIncome'!$L$48</f>
        <v>0</v>
      </c>
      <c r="F12" s="66"/>
      <c r="G12" s="66"/>
      <c r="H12" s="66"/>
      <c r="I12" s="66"/>
      <c r="J12" s="66"/>
      <c r="K12" s="66"/>
      <c r="L12" s="66"/>
      <c r="M12" s="66"/>
      <c r="N12" s="66"/>
      <c r="O12" s="66"/>
      <c r="P12" s="66"/>
      <c r="Q12" s="66"/>
      <c r="R12" s="66"/>
      <c r="S12" s="66"/>
      <c r="T12" s="66"/>
      <c r="U12" s="66"/>
      <c r="V12" s="66"/>
      <c r="W12" s="66"/>
      <c r="X12" s="66"/>
    </row>
    <row r="13" spans="1:52">
      <c r="A13" s="27" t="str">
        <f>'6.1stYrOpBudget'!B24</f>
        <v>Gross Potential Income</v>
      </c>
      <c r="B13" s="12"/>
      <c r="C13" s="12"/>
      <c r="D13" s="887"/>
      <c r="E13" s="888">
        <f>SUM(E7:E12)</f>
        <v>0</v>
      </c>
      <c r="F13" s="888">
        <f t="shared" ref="F13:X13" si="2">SUM(F7:F12)</f>
        <v>0</v>
      </c>
      <c r="G13" s="888">
        <f t="shared" si="2"/>
        <v>0</v>
      </c>
      <c r="H13" s="888">
        <f t="shared" si="2"/>
        <v>0</v>
      </c>
      <c r="I13" s="888">
        <f t="shared" si="2"/>
        <v>0</v>
      </c>
      <c r="J13" s="888">
        <f t="shared" si="2"/>
        <v>0</v>
      </c>
      <c r="K13" s="888">
        <f t="shared" si="2"/>
        <v>0</v>
      </c>
      <c r="L13" s="888">
        <f t="shared" si="2"/>
        <v>0</v>
      </c>
      <c r="M13" s="888">
        <f t="shared" si="2"/>
        <v>0</v>
      </c>
      <c r="N13" s="888">
        <f t="shared" si="2"/>
        <v>0</v>
      </c>
      <c r="O13" s="888">
        <f t="shared" si="2"/>
        <v>0</v>
      </c>
      <c r="P13" s="888">
        <f t="shared" si="2"/>
        <v>0</v>
      </c>
      <c r="Q13" s="888">
        <f t="shared" si="2"/>
        <v>0</v>
      </c>
      <c r="R13" s="888">
        <f t="shared" si="2"/>
        <v>0</v>
      </c>
      <c r="S13" s="888">
        <f t="shared" si="2"/>
        <v>0</v>
      </c>
      <c r="T13" s="888">
        <f t="shared" si="2"/>
        <v>0</v>
      </c>
      <c r="U13" s="888">
        <f t="shared" si="2"/>
        <v>0</v>
      </c>
      <c r="V13" s="888">
        <f t="shared" si="2"/>
        <v>0</v>
      </c>
      <c r="W13" s="888">
        <f t="shared" si="2"/>
        <v>0</v>
      </c>
      <c r="X13" s="888">
        <f t="shared" si="2"/>
        <v>0</v>
      </c>
    </row>
    <row r="14" spans="1:52" s="82" customFormat="1" ht="36" customHeight="1">
      <c r="A14" s="890"/>
      <c r="B14" s="12"/>
      <c r="C14" s="891"/>
      <c r="D14" s="889" t="s">
        <v>1188</v>
      </c>
      <c r="E14" s="892" t="str">
        <f>IF(SUM(E7:E11)=0,"",SUM(E7:E11)/'1.GeneralProjectInfo'!$C$19/12)</f>
        <v/>
      </c>
      <c r="F14" s="892" t="str">
        <f>IF(SUM(F7:F11)=0,"",SUM(F7:F11)/'1.GeneralProjectInfo'!$C$19/12)</f>
        <v/>
      </c>
      <c r="G14" s="892" t="str">
        <f>IF(SUM(G7:G11)=0,"",SUM(G7:G11)/'1.GeneralProjectInfo'!$C$19/12)</f>
        <v/>
      </c>
      <c r="H14" s="892" t="str">
        <f>IF(SUM(H7:H11)=0,"",SUM(H7:H11)/'1.GeneralProjectInfo'!$C$19/12)</f>
        <v/>
      </c>
      <c r="I14" s="892" t="str">
        <f>IF(SUM(I7:I11)=0,"",SUM(I7:I11)/'1.GeneralProjectInfo'!$C$19/12)</f>
        <v/>
      </c>
      <c r="J14" s="892" t="str">
        <f>IF(SUM(J7:J11)=0,"",SUM(J7:J11)/'1.GeneralProjectInfo'!$C$19/12)</f>
        <v/>
      </c>
      <c r="K14" s="892" t="str">
        <f>IF(SUM(K7:K11)=0,"",SUM(K7:K11)/'1.GeneralProjectInfo'!$C$19/12)</f>
        <v/>
      </c>
      <c r="L14" s="892" t="str">
        <f>IF(SUM(L7:L11)=0,"",SUM(L7:L11)/'1.GeneralProjectInfo'!$C$19/12)</f>
        <v/>
      </c>
      <c r="M14" s="892" t="str">
        <f>IF(SUM(M7:M11)=0,"",SUM(M7:M11)/'1.GeneralProjectInfo'!$C$19/12)</f>
        <v/>
      </c>
      <c r="N14" s="892" t="str">
        <f>IF(SUM(N7:N11)=0,"",SUM(N7:N11)/'1.GeneralProjectInfo'!$C$19/12)</f>
        <v/>
      </c>
      <c r="O14" s="892" t="str">
        <f>IF(SUM(O7:O11)=0,"",SUM(O7:O11)/'1.GeneralProjectInfo'!$C$19/12)</f>
        <v/>
      </c>
      <c r="P14" s="892" t="str">
        <f>IF(SUM(P7:P11)=0,"",SUM(P7:P11)/'1.GeneralProjectInfo'!$C$19/12)</f>
        <v/>
      </c>
      <c r="Q14" s="892" t="str">
        <f>IF(SUM(Q7:Q11)=0,"",SUM(Q7:Q11)/'1.GeneralProjectInfo'!$C$19/12)</f>
        <v/>
      </c>
      <c r="R14" s="892" t="str">
        <f>IF(SUM(R7:R11)=0,"",SUM(R7:R11)/'1.GeneralProjectInfo'!$C$19/12)</f>
        <v/>
      </c>
      <c r="S14" s="892" t="str">
        <f>IF(SUM(S7:S11)=0,"",SUM(S7:S11)/'1.GeneralProjectInfo'!$C$19/12)</f>
        <v/>
      </c>
      <c r="T14" s="892" t="str">
        <f>IF(SUM(T7:T11)=0,"",SUM(T7:T11)/'1.GeneralProjectInfo'!$C$19/12)</f>
        <v/>
      </c>
      <c r="U14" s="892" t="str">
        <f>IF(SUM(U7:U11)=0,"",SUM(U7:U11)/'1.GeneralProjectInfo'!$C$19/12)</f>
        <v/>
      </c>
      <c r="V14" s="892" t="str">
        <f>IF(SUM(V7:V11)=0,"",SUM(V7:V11)/'1.GeneralProjectInfo'!$C$19/12)</f>
        <v/>
      </c>
      <c r="W14" s="892" t="str">
        <f>IF(SUM(W7:W11)=0,"",SUM(W7:W11)/'1.GeneralProjectInfo'!$C$19/12)</f>
        <v/>
      </c>
      <c r="X14" s="892" t="str">
        <f>IF(SUM(X7:X11)=0,"",SUM(X7:X11)/'1.GeneralProjectInfo'!$C$19/12)</f>
        <v/>
      </c>
    </row>
    <row r="15" spans="1:52" ht="64.5" customHeight="1">
      <c r="A15" s="180" t="str">
        <f>'6.1stYrOpBudget'!A27</f>
        <v>Vacancy Loss - Commercial</v>
      </c>
      <c r="B15" s="8"/>
      <c r="C15" s="177" t="s">
        <v>84</v>
      </c>
      <c r="D15" s="65" t="s">
        <v>298</v>
      </c>
      <c r="E15" s="66">
        <f>-50%*SUM(E7:E11)</f>
        <v>0</v>
      </c>
      <c r="F15" s="66">
        <f t="shared" ref="F15:X15" si="3">-50%*SUM(F7:F11)</f>
        <v>0</v>
      </c>
      <c r="G15" s="66">
        <f t="shared" si="3"/>
        <v>0</v>
      </c>
      <c r="H15" s="66">
        <f t="shared" si="3"/>
        <v>0</v>
      </c>
      <c r="I15" s="66">
        <f t="shared" si="3"/>
        <v>0</v>
      </c>
      <c r="J15" s="66">
        <f t="shared" si="3"/>
        <v>0</v>
      </c>
      <c r="K15" s="66">
        <f t="shared" si="3"/>
        <v>0</v>
      </c>
      <c r="L15" s="66">
        <f t="shared" si="3"/>
        <v>0</v>
      </c>
      <c r="M15" s="66">
        <f t="shared" si="3"/>
        <v>0</v>
      </c>
      <c r="N15" s="66">
        <f t="shared" si="3"/>
        <v>0</v>
      </c>
      <c r="O15" s="66">
        <f t="shared" si="3"/>
        <v>0</v>
      </c>
      <c r="P15" s="66">
        <f t="shared" si="3"/>
        <v>0</v>
      </c>
      <c r="Q15" s="66">
        <f t="shared" si="3"/>
        <v>0</v>
      </c>
      <c r="R15" s="66">
        <f t="shared" si="3"/>
        <v>0</v>
      </c>
      <c r="S15" s="66">
        <f t="shared" si="3"/>
        <v>0</v>
      </c>
      <c r="T15" s="66">
        <f t="shared" si="3"/>
        <v>0</v>
      </c>
      <c r="U15" s="66">
        <f t="shared" si="3"/>
        <v>0</v>
      </c>
      <c r="V15" s="66">
        <f t="shared" si="3"/>
        <v>0</v>
      </c>
      <c r="W15" s="66">
        <f t="shared" si="3"/>
        <v>0</v>
      </c>
      <c r="X15" s="66">
        <f t="shared" si="3"/>
        <v>0</v>
      </c>
    </row>
    <row r="16" spans="1:52">
      <c r="A16" s="27" t="str">
        <f>'6.1stYrOpBudget'!B28</f>
        <v>EFFECTIVE GROSS INCOME</v>
      </c>
      <c r="B16" s="12"/>
      <c r="C16" s="12"/>
      <c r="D16" s="21"/>
      <c r="E16" s="175">
        <f>E13+E15</f>
        <v>0</v>
      </c>
      <c r="F16" s="175">
        <f t="shared" ref="F16:X16" si="4">F13+F15</f>
        <v>0</v>
      </c>
      <c r="G16" s="175">
        <f t="shared" si="4"/>
        <v>0</v>
      </c>
      <c r="H16" s="175">
        <f t="shared" si="4"/>
        <v>0</v>
      </c>
      <c r="I16" s="175">
        <f t="shared" si="4"/>
        <v>0</v>
      </c>
      <c r="J16" s="175">
        <f t="shared" si="4"/>
        <v>0</v>
      </c>
      <c r="K16" s="175">
        <f t="shared" si="4"/>
        <v>0</v>
      </c>
      <c r="L16" s="175">
        <f t="shared" si="4"/>
        <v>0</v>
      </c>
      <c r="M16" s="175">
        <f t="shared" si="4"/>
        <v>0</v>
      </c>
      <c r="N16" s="175">
        <f t="shared" si="4"/>
        <v>0</v>
      </c>
      <c r="O16" s="175">
        <f t="shared" si="4"/>
        <v>0</v>
      </c>
      <c r="P16" s="175">
        <f t="shared" si="4"/>
        <v>0</v>
      </c>
      <c r="Q16" s="175">
        <f t="shared" si="4"/>
        <v>0</v>
      </c>
      <c r="R16" s="175">
        <f t="shared" si="4"/>
        <v>0</v>
      </c>
      <c r="S16" s="175">
        <f t="shared" si="4"/>
        <v>0</v>
      </c>
      <c r="T16" s="175">
        <f t="shared" si="4"/>
        <v>0</v>
      </c>
      <c r="U16" s="175">
        <f t="shared" si="4"/>
        <v>0</v>
      </c>
      <c r="V16" s="175">
        <f t="shared" si="4"/>
        <v>0</v>
      </c>
      <c r="W16" s="175">
        <f t="shared" si="4"/>
        <v>0</v>
      </c>
      <c r="X16" s="175">
        <f t="shared" si="4"/>
        <v>0</v>
      </c>
    </row>
    <row r="17" spans="1:24" ht="6" customHeight="1">
      <c r="B17" s="8"/>
      <c r="C17" s="8"/>
      <c r="D17" s="21"/>
      <c r="E17" s="125"/>
      <c r="F17" s="125"/>
      <c r="G17" s="125"/>
      <c r="H17" s="125"/>
      <c r="I17" s="125"/>
      <c r="J17" s="125"/>
      <c r="K17" s="125"/>
      <c r="L17" s="125"/>
      <c r="M17" s="125"/>
      <c r="N17" s="125"/>
      <c r="O17" s="125"/>
      <c r="P17" s="125"/>
      <c r="Q17" s="125"/>
      <c r="R17" s="125"/>
      <c r="S17" s="125"/>
      <c r="T17" s="125"/>
      <c r="U17" s="125"/>
      <c r="V17" s="125"/>
      <c r="W17" s="125"/>
      <c r="X17" s="125"/>
    </row>
    <row r="18" spans="1:24">
      <c r="A18" s="6" t="str">
        <f>"COMMERCIAL "&amp;'6.1stYrOpBudget'!A30</f>
        <v>COMMERCIAL OPERATING EXPENSES</v>
      </c>
      <c r="B18" s="9"/>
      <c r="C18" s="9"/>
      <c r="D18" s="21"/>
      <c r="E18" s="125"/>
      <c r="F18" s="125"/>
      <c r="G18" s="125"/>
      <c r="H18" s="125"/>
      <c r="I18" s="125"/>
      <c r="J18" s="125"/>
      <c r="K18" s="125"/>
      <c r="L18" s="125"/>
      <c r="M18" s="125"/>
      <c r="N18" s="125"/>
      <c r="O18" s="125"/>
      <c r="P18" s="125"/>
      <c r="Q18" s="125"/>
      <c r="R18" s="125"/>
      <c r="S18" s="125"/>
      <c r="T18" s="125"/>
      <c r="U18" s="125"/>
      <c r="V18" s="125"/>
      <c r="W18" s="125"/>
      <c r="X18" s="125"/>
    </row>
    <row r="19" spans="1:24" ht="9" customHeight="1">
      <c r="A19" s="6"/>
      <c r="B19" s="9"/>
      <c r="C19" s="9"/>
      <c r="D19" s="21"/>
      <c r="E19" s="125"/>
      <c r="F19" s="125"/>
      <c r="G19" s="125"/>
      <c r="H19" s="125"/>
      <c r="I19" s="125"/>
      <c r="J19" s="125"/>
      <c r="K19" s="125"/>
      <c r="L19" s="125"/>
      <c r="M19" s="125"/>
      <c r="N19" s="125"/>
      <c r="O19" s="125"/>
      <c r="P19" s="125"/>
      <c r="Q19" s="125"/>
      <c r="R19" s="125"/>
      <c r="S19" s="125"/>
      <c r="T19" s="125"/>
      <c r="U19" s="125"/>
      <c r="V19" s="125"/>
      <c r="W19" s="125"/>
      <c r="X19" s="125"/>
    </row>
    <row r="20" spans="1:24">
      <c r="A20" s="6" t="str">
        <f>'6.1stYrOpBudget'!A31</f>
        <v>Management</v>
      </c>
      <c r="B20" s="14"/>
      <c r="C20" s="14"/>
      <c r="D20" s="182"/>
      <c r="E20" s="183"/>
      <c r="F20" s="183"/>
      <c r="G20" s="183"/>
      <c r="H20" s="183"/>
      <c r="I20" s="183"/>
      <c r="J20" s="183"/>
      <c r="K20" s="183"/>
      <c r="L20" s="183"/>
      <c r="M20" s="183"/>
      <c r="N20" s="183"/>
      <c r="O20" s="183"/>
      <c r="P20" s="183"/>
      <c r="Q20" s="183"/>
      <c r="R20" s="183"/>
      <c r="S20" s="183"/>
      <c r="T20" s="183"/>
      <c r="U20" s="183"/>
      <c r="V20" s="183"/>
      <c r="W20" s="183"/>
      <c r="X20" s="183"/>
    </row>
    <row r="21" spans="1:24" ht="23.4">
      <c r="A21" s="10" t="s">
        <v>1202</v>
      </c>
      <c r="B21" s="22">
        <v>6320</v>
      </c>
      <c r="C21" s="62">
        <v>3.5000000000000003E-2</v>
      </c>
      <c r="D21" s="64" t="s">
        <v>1203</v>
      </c>
      <c r="E21" s="66"/>
      <c r="F21" s="187">
        <f t="shared" ref="F21:X21" si="5">E21*(1+$C21)</f>
        <v>0</v>
      </c>
      <c r="G21" s="187">
        <f t="shared" si="5"/>
        <v>0</v>
      </c>
      <c r="H21" s="187">
        <f t="shared" si="5"/>
        <v>0</v>
      </c>
      <c r="I21" s="187">
        <f t="shared" si="5"/>
        <v>0</v>
      </c>
      <c r="J21" s="187">
        <f t="shared" si="5"/>
        <v>0</v>
      </c>
      <c r="K21" s="187">
        <f t="shared" si="5"/>
        <v>0</v>
      </c>
      <c r="L21" s="187">
        <f t="shared" si="5"/>
        <v>0</v>
      </c>
      <c r="M21" s="187">
        <f t="shared" si="5"/>
        <v>0</v>
      </c>
      <c r="N21" s="187">
        <f t="shared" si="5"/>
        <v>0</v>
      </c>
      <c r="O21" s="187">
        <f t="shared" si="5"/>
        <v>0</v>
      </c>
      <c r="P21" s="187">
        <f t="shared" si="5"/>
        <v>0</v>
      </c>
      <c r="Q21" s="187">
        <f t="shared" si="5"/>
        <v>0</v>
      </c>
      <c r="R21" s="187">
        <f t="shared" si="5"/>
        <v>0</v>
      </c>
      <c r="S21" s="187">
        <f t="shared" si="5"/>
        <v>0</v>
      </c>
      <c r="T21" s="187">
        <f t="shared" si="5"/>
        <v>0</v>
      </c>
      <c r="U21" s="187">
        <f t="shared" si="5"/>
        <v>0</v>
      </c>
      <c r="V21" s="187">
        <f t="shared" si="5"/>
        <v>0</v>
      </c>
      <c r="W21" s="187">
        <f t="shared" si="5"/>
        <v>0</v>
      </c>
      <c r="X21" s="187">
        <f t="shared" si="5"/>
        <v>0</v>
      </c>
    </row>
    <row r="22" spans="1:24" hidden="1">
      <c r="A22" s="184" t="str">
        <f>'6.1stYrOpBudget'!A33</f>
        <v>Asset Management Fee</v>
      </c>
      <c r="B22" s="22"/>
      <c r="C22" s="185">
        <v>3.5000000000000003E-2</v>
      </c>
      <c r="D22" s="188"/>
      <c r="E22" s="187"/>
      <c r="F22" s="187">
        <f t="shared" ref="F22:X22" si="6">E22*(1+$C22)</f>
        <v>0</v>
      </c>
      <c r="G22" s="187">
        <f t="shared" si="6"/>
        <v>0</v>
      </c>
      <c r="H22" s="187">
        <f t="shared" si="6"/>
        <v>0</v>
      </c>
      <c r="I22" s="187">
        <f t="shared" si="6"/>
        <v>0</v>
      </c>
      <c r="J22" s="187">
        <f t="shared" si="6"/>
        <v>0</v>
      </c>
      <c r="K22" s="187">
        <f t="shared" si="6"/>
        <v>0</v>
      </c>
      <c r="L22" s="187">
        <f t="shared" si="6"/>
        <v>0</v>
      </c>
      <c r="M22" s="187">
        <f t="shared" si="6"/>
        <v>0</v>
      </c>
      <c r="N22" s="187">
        <f t="shared" si="6"/>
        <v>0</v>
      </c>
      <c r="O22" s="187">
        <f t="shared" si="6"/>
        <v>0</v>
      </c>
      <c r="P22" s="187">
        <f t="shared" si="6"/>
        <v>0</v>
      </c>
      <c r="Q22" s="187">
        <f t="shared" si="6"/>
        <v>0</v>
      </c>
      <c r="R22" s="187">
        <f t="shared" si="6"/>
        <v>0</v>
      </c>
      <c r="S22" s="187">
        <f t="shared" si="6"/>
        <v>0</v>
      </c>
      <c r="T22" s="187">
        <f t="shared" si="6"/>
        <v>0</v>
      </c>
      <c r="U22" s="187">
        <f t="shared" si="6"/>
        <v>0</v>
      </c>
      <c r="V22" s="187">
        <f t="shared" si="6"/>
        <v>0</v>
      </c>
      <c r="W22" s="187">
        <f t="shared" si="6"/>
        <v>0</v>
      </c>
      <c r="X22" s="187">
        <f t="shared" si="6"/>
        <v>0</v>
      </c>
    </row>
    <row r="23" spans="1:24">
      <c r="A23" s="27" t="str">
        <f>'6.1stYrOpBudget'!B34</f>
        <v>Sub-total Management Expenses</v>
      </c>
      <c r="B23" s="8"/>
      <c r="C23" s="8"/>
      <c r="D23" s="182"/>
      <c r="E23" s="190">
        <f>E21</f>
        <v>0</v>
      </c>
      <c r="F23" s="190">
        <f t="shared" ref="F23:X23" si="7">F21</f>
        <v>0</v>
      </c>
      <c r="G23" s="190">
        <f t="shared" si="7"/>
        <v>0</v>
      </c>
      <c r="H23" s="190">
        <f t="shared" si="7"/>
        <v>0</v>
      </c>
      <c r="I23" s="190">
        <f t="shared" si="7"/>
        <v>0</v>
      </c>
      <c r="J23" s="190">
        <f t="shared" si="7"/>
        <v>0</v>
      </c>
      <c r="K23" s="190">
        <f t="shared" si="7"/>
        <v>0</v>
      </c>
      <c r="L23" s="190">
        <f t="shared" si="7"/>
        <v>0</v>
      </c>
      <c r="M23" s="190">
        <f t="shared" si="7"/>
        <v>0</v>
      </c>
      <c r="N23" s="190">
        <f t="shared" si="7"/>
        <v>0</v>
      </c>
      <c r="O23" s="190">
        <f t="shared" si="7"/>
        <v>0</v>
      </c>
      <c r="P23" s="190">
        <f t="shared" si="7"/>
        <v>0</v>
      </c>
      <c r="Q23" s="190">
        <f t="shared" si="7"/>
        <v>0</v>
      </c>
      <c r="R23" s="190">
        <f t="shared" si="7"/>
        <v>0</v>
      </c>
      <c r="S23" s="190">
        <f t="shared" si="7"/>
        <v>0</v>
      </c>
      <c r="T23" s="190">
        <f t="shared" si="7"/>
        <v>0</v>
      </c>
      <c r="U23" s="190">
        <f t="shared" si="7"/>
        <v>0</v>
      </c>
      <c r="V23" s="190">
        <f t="shared" si="7"/>
        <v>0</v>
      </c>
      <c r="W23" s="190">
        <f t="shared" si="7"/>
        <v>0</v>
      </c>
      <c r="X23" s="190">
        <f t="shared" si="7"/>
        <v>0</v>
      </c>
    </row>
    <row r="24" spans="1:24" hidden="1">
      <c r="A24" s="181" t="str">
        <f>'6.1stYrOpBudget'!A35</f>
        <v>Salaries/Benefits</v>
      </c>
      <c r="B24" s="14"/>
      <c r="C24" s="14"/>
      <c r="D24" s="182"/>
      <c r="E24" s="183"/>
      <c r="F24" s="183"/>
      <c r="G24" s="183"/>
      <c r="H24" s="183"/>
      <c r="I24" s="183"/>
      <c r="J24" s="183"/>
      <c r="K24" s="183"/>
      <c r="L24" s="183"/>
      <c r="M24" s="183"/>
      <c r="N24" s="183"/>
      <c r="O24" s="183"/>
      <c r="P24" s="183"/>
      <c r="Q24" s="183"/>
      <c r="R24" s="183"/>
      <c r="S24" s="183"/>
      <c r="T24" s="183"/>
      <c r="U24" s="183"/>
      <c r="V24" s="183"/>
      <c r="W24" s="183"/>
      <c r="X24" s="183"/>
    </row>
    <row r="25" spans="1:24" hidden="1">
      <c r="A25" s="184" t="str">
        <f>'6.1stYrOpBudget'!A36</f>
        <v>Office Salaries</v>
      </c>
      <c r="B25" s="22">
        <v>6310</v>
      </c>
      <c r="C25" s="185">
        <v>3.5000000000000003E-2</v>
      </c>
      <c r="D25" s="186"/>
      <c r="E25" s="187"/>
      <c r="F25" s="187">
        <f t="shared" ref="F25:X25" si="8">E25*(1+$C25)</f>
        <v>0</v>
      </c>
      <c r="G25" s="187">
        <f t="shared" si="8"/>
        <v>0</v>
      </c>
      <c r="H25" s="187">
        <f t="shared" si="8"/>
        <v>0</v>
      </c>
      <c r="I25" s="187">
        <f t="shared" si="8"/>
        <v>0</v>
      </c>
      <c r="J25" s="187">
        <f t="shared" si="8"/>
        <v>0</v>
      </c>
      <c r="K25" s="187">
        <f t="shared" si="8"/>
        <v>0</v>
      </c>
      <c r="L25" s="187">
        <f t="shared" si="8"/>
        <v>0</v>
      </c>
      <c r="M25" s="187">
        <f t="shared" si="8"/>
        <v>0</v>
      </c>
      <c r="N25" s="187">
        <f t="shared" si="8"/>
        <v>0</v>
      </c>
      <c r="O25" s="187">
        <f t="shared" si="8"/>
        <v>0</v>
      </c>
      <c r="P25" s="187">
        <f t="shared" si="8"/>
        <v>0</v>
      </c>
      <c r="Q25" s="187">
        <f t="shared" si="8"/>
        <v>0</v>
      </c>
      <c r="R25" s="187">
        <f t="shared" si="8"/>
        <v>0</v>
      </c>
      <c r="S25" s="187">
        <f t="shared" si="8"/>
        <v>0</v>
      </c>
      <c r="T25" s="187">
        <f t="shared" si="8"/>
        <v>0</v>
      </c>
      <c r="U25" s="187">
        <f t="shared" si="8"/>
        <v>0</v>
      </c>
      <c r="V25" s="187">
        <f t="shared" si="8"/>
        <v>0</v>
      </c>
      <c r="W25" s="187">
        <f t="shared" si="8"/>
        <v>0</v>
      </c>
      <c r="X25" s="187">
        <f t="shared" si="8"/>
        <v>0</v>
      </c>
    </row>
    <row r="26" spans="1:24" hidden="1">
      <c r="A26" s="184" t="str">
        <f>'6.1stYrOpBudget'!A37</f>
        <v>Manager's Salary</v>
      </c>
      <c r="B26" s="22">
        <v>6330</v>
      </c>
      <c r="C26" s="185">
        <v>3.5000000000000003E-2</v>
      </c>
      <c r="D26" s="186"/>
      <c r="E26" s="187"/>
      <c r="F26" s="187">
        <f t="shared" ref="F26:X26" si="9">E26*(1+$C26)</f>
        <v>0</v>
      </c>
      <c r="G26" s="187">
        <f t="shared" si="9"/>
        <v>0</v>
      </c>
      <c r="H26" s="187">
        <f t="shared" si="9"/>
        <v>0</v>
      </c>
      <c r="I26" s="187">
        <f t="shared" si="9"/>
        <v>0</v>
      </c>
      <c r="J26" s="187">
        <f t="shared" si="9"/>
        <v>0</v>
      </c>
      <c r="K26" s="187">
        <f t="shared" si="9"/>
        <v>0</v>
      </c>
      <c r="L26" s="187">
        <f t="shared" si="9"/>
        <v>0</v>
      </c>
      <c r="M26" s="187">
        <f t="shared" si="9"/>
        <v>0</v>
      </c>
      <c r="N26" s="187">
        <f t="shared" si="9"/>
        <v>0</v>
      </c>
      <c r="O26" s="187">
        <f t="shared" si="9"/>
        <v>0</v>
      </c>
      <c r="P26" s="187">
        <f t="shared" si="9"/>
        <v>0</v>
      </c>
      <c r="Q26" s="187">
        <f t="shared" si="9"/>
        <v>0</v>
      </c>
      <c r="R26" s="187">
        <f t="shared" si="9"/>
        <v>0</v>
      </c>
      <c r="S26" s="187">
        <f t="shared" si="9"/>
        <v>0</v>
      </c>
      <c r="T26" s="187">
        <f t="shared" si="9"/>
        <v>0</v>
      </c>
      <c r="U26" s="187">
        <f t="shared" si="9"/>
        <v>0</v>
      </c>
      <c r="V26" s="187">
        <f t="shared" si="9"/>
        <v>0</v>
      </c>
      <c r="W26" s="187">
        <f t="shared" si="9"/>
        <v>0</v>
      </c>
      <c r="X26" s="187">
        <f t="shared" si="9"/>
        <v>0</v>
      </c>
    </row>
    <row r="27" spans="1:24" hidden="1">
      <c r="A27" s="184" t="str">
        <f>'6.1stYrOpBudget'!A38</f>
        <v>Health Insurance and Other Benefits</v>
      </c>
      <c r="B27" s="22">
        <v>6723</v>
      </c>
      <c r="C27" s="185">
        <v>3.5000000000000003E-2</v>
      </c>
      <c r="D27" s="186"/>
      <c r="E27" s="187"/>
      <c r="F27" s="187">
        <f t="shared" ref="F27:X27" si="10">E27*(1+$C27)</f>
        <v>0</v>
      </c>
      <c r="G27" s="187">
        <f t="shared" si="10"/>
        <v>0</v>
      </c>
      <c r="H27" s="187">
        <f t="shared" si="10"/>
        <v>0</v>
      </c>
      <c r="I27" s="187">
        <f t="shared" si="10"/>
        <v>0</v>
      </c>
      <c r="J27" s="187">
        <f t="shared" si="10"/>
        <v>0</v>
      </c>
      <c r="K27" s="187">
        <f t="shared" si="10"/>
        <v>0</v>
      </c>
      <c r="L27" s="187">
        <f t="shared" si="10"/>
        <v>0</v>
      </c>
      <c r="M27" s="187">
        <f t="shared" si="10"/>
        <v>0</v>
      </c>
      <c r="N27" s="187">
        <f t="shared" si="10"/>
        <v>0</v>
      </c>
      <c r="O27" s="187">
        <f t="shared" si="10"/>
        <v>0</v>
      </c>
      <c r="P27" s="187">
        <f t="shared" si="10"/>
        <v>0</v>
      </c>
      <c r="Q27" s="187">
        <f t="shared" si="10"/>
        <v>0</v>
      </c>
      <c r="R27" s="187">
        <f t="shared" si="10"/>
        <v>0</v>
      </c>
      <c r="S27" s="187">
        <f t="shared" si="10"/>
        <v>0</v>
      </c>
      <c r="T27" s="187">
        <f t="shared" si="10"/>
        <v>0</v>
      </c>
      <c r="U27" s="187">
        <f t="shared" si="10"/>
        <v>0</v>
      </c>
      <c r="V27" s="187">
        <f t="shared" si="10"/>
        <v>0</v>
      </c>
      <c r="W27" s="187">
        <f t="shared" si="10"/>
        <v>0</v>
      </c>
      <c r="X27" s="187">
        <f t="shared" si="10"/>
        <v>0</v>
      </c>
    </row>
    <row r="28" spans="1:24" hidden="1">
      <c r="A28" s="184" t="str">
        <f>'6.1stYrOpBudget'!A39</f>
        <v>Other Salaries/Benefits</v>
      </c>
      <c r="B28" s="15"/>
      <c r="C28" s="185">
        <v>3.5000000000000003E-2</v>
      </c>
      <c r="D28" s="186"/>
      <c r="E28" s="187"/>
      <c r="F28" s="187">
        <f t="shared" ref="F28:X28" si="11">E28*(1+$C28)</f>
        <v>0</v>
      </c>
      <c r="G28" s="187">
        <f t="shared" si="11"/>
        <v>0</v>
      </c>
      <c r="H28" s="187">
        <f t="shared" si="11"/>
        <v>0</v>
      </c>
      <c r="I28" s="187">
        <f t="shared" si="11"/>
        <v>0</v>
      </c>
      <c r="J28" s="187">
        <f t="shared" si="11"/>
        <v>0</v>
      </c>
      <c r="K28" s="187">
        <f t="shared" si="11"/>
        <v>0</v>
      </c>
      <c r="L28" s="187">
        <f t="shared" si="11"/>
        <v>0</v>
      </c>
      <c r="M28" s="187">
        <f t="shared" si="11"/>
        <v>0</v>
      </c>
      <c r="N28" s="187">
        <f t="shared" si="11"/>
        <v>0</v>
      </c>
      <c r="O28" s="187">
        <f t="shared" si="11"/>
        <v>0</v>
      </c>
      <c r="P28" s="187">
        <f t="shared" si="11"/>
        <v>0</v>
      </c>
      <c r="Q28" s="187">
        <f t="shared" si="11"/>
        <v>0</v>
      </c>
      <c r="R28" s="187">
        <f t="shared" si="11"/>
        <v>0</v>
      </c>
      <c r="S28" s="187">
        <f t="shared" si="11"/>
        <v>0</v>
      </c>
      <c r="T28" s="187">
        <f t="shared" si="11"/>
        <v>0</v>
      </c>
      <c r="U28" s="187">
        <f t="shared" si="11"/>
        <v>0</v>
      </c>
      <c r="V28" s="187">
        <f t="shared" si="11"/>
        <v>0</v>
      </c>
      <c r="W28" s="187">
        <f t="shared" si="11"/>
        <v>0</v>
      </c>
      <c r="X28" s="187">
        <f t="shared" si="11"/>
        <v>0</v>
      </c>
    </row>
    <row r="29" spans="1:24" hidden="1">
      <c r="A29" s="184" t="str">
        <f>'6.1stYrOpBudget'!A40</f>
        <v>Administrative Rent-Free Unit</v>
      </c>
      <c r="B29" s="22">
        <v>6331</v>
      </c>
      <c r="C29" s="185">
        <v>3.5000000000000003E-2</v>
      </c>
      <c r="D29" s="186"/>
      <c r="E29" s="187"/>
      <c r="F29" s="187">
        <f t="shared" ref="F29:X29" si="12">E29*(1+$C29)</f>
        <v>0</v>
      </c>
      <c r="G29" s="187">
        <f t="shared" si="12"/>
        <v>0</v>
      </c>
      <c r="H29" s="187">
        <f t="shared" si="12"/>
        <v>0</v>
      </c>
      <c r="I29" s="187">
        <f t="shared" si="12"/>
        <v>0</v>
      </c>
      <c r="J29" s="187">
        <f t="shared" si="12"/>
        <v>0</v>
      </c>
      <c r="K29" s="187">
        <f t="shared" si="12"/>
        <v>0</v>
      </c>
      <c r="L29" s="187">
        <f t="shared" si="12"/>
        <v>0</v>
      </c>
      <c r="M29" s="187">
        <f t="shared" si="12"/>
        <v>0</v>
      </c>
      <c r="N29" s="187">
        <f t="shared" si="12"/>
        <v>0</v>
      </c>
      <c r="O29" s="187">
        <f t="shared" si="12"/>
        <v>0</v>
      </c>
      <c r="P29" s="187">
        <f t="shared" si="12"/>
        <v>0</v>
      </c>
      <c r="Q29" s="187">
        <f t="shared" si="12"/>
        <v>0</v>
      </c>
      <c r="R29" s="187">
        <f t="shared" si="12"/>
        <v>0</v>
      </c>
      <c r="S29" s="187">
        <f t="shared" si="12"/>
        <v>0</v>
      </c>
      <c r="T29" s="187">
        <f t="shared" si="12"/>
        <v>0</v>
      </c>
      <c r="U29" s="187">
        <f t="shared" si="12"/>
        <v>0</v>
      </c>
      <c r="V29" s="187">
        <f t="shared" si="12"/>
        <v>0</v>
      </c>
      <c r="W29" s="187">
        <f t="shared" si="12"/>
        <v>0</v>
      </c>
      <c r="X29" s="187">
        <f t="shared" si="12"/>
        <v>0</v>
      </c>
    </row>
    <row r="30" spans="1:24" hidden="1">
      <c r="A30" s="189" t="str">
        <f>'6.1stYrOpBudget'!B41</f>
        <v>Sub-total Salaries/Benefits</v>
      </c>
      <c r="B30" s="12"/>
      <c r="C30" s="12"/>
      <c r="D30" s="182"/>
      <c r="E30" s="190"/>
      <c r="F30" s="190">
        <f>SUM(F25:F29)</f>
        <v>0</v>
      </c>
      <c r="G30" s="190">
        <f t="shared" ref="G30:X30" si="13">SUM(G25:G29)</f>
        <v>0</v>
      </c>
      <c r="H30" s="190">
        <f t="shared" si="13"/>
        <v>0</v>
      </c>
      <c r="I30" s="190">
        <f t="shared" si="13"/>
        <v>0</v>
      </c>
      <c r="J30" s="190">
        <f t="shared" si="13"/>
        <v>0</v>
      </c>
      <c r="K30" s="190">
        <f t="shared" si="13"/>
        <v>0</v>
      </c>
      <c r="L30" s="190">
        <f t="shared" si="13"/>
        <v>0</v>
      </c>
      <c r="M30" s="190">
        <f t="shared" si="13"/>
        <v>0</v>
      </c>
      <c r="N30" s="190">
        <f t="shared" si="13"/>
        <v>0</v>
      </c>
      <c r="O30" s="190">
        <f t="shared" si="13"/>
        <v>0</v>
      </c>
      <c r="P30" s="190">
        <f t="shared" si="13"/>
        <v>0</v>
      </c>
      <c r="Q30" s="190">
        <f t="shared" si="13"/>
        <v>0</v>
      </c>
      <c r="R30" s="190">
        <f t="shared" si="13"/>
        <v>0</v>
      </c>
      <c r="S30" s="190">
        <f t="shared" si="13"/>
        <v>0</v>
      </c>
      <c r="T30" s="190">
        <f t="shared" si="13"/>
        <v>0</v>
      </c>
      <c r="U30" s="190">
        <f t="shared" si="13"/>
        <v>0</v>
      </c>
      <c r="V30" s="190">
        <f t="shared" si="13"/>
        <v>0</v>
      </c>
      <c r="W30" s="190">
        <f t="shared" si="13"/>
        <v>0</v>
      </c>
      <c r="X30" s="190">
        <f t="shared" si="13"/>
        <v>0</v>
      </c>
    </row>
    <row r="31" spans="1:24" hidden="1">
      <c r="A31" s="181" t="str">
        <f>'6.1stYrOpBudget'!A42</f>
        <v>Administration</v>
      </c>
      <c r="B31" s="14"/>
      <c r="C31" s="14"/>
      <c r="D31" s="182"/>
      <c r="E31" s="183"/>
      <c r="F31" s="183"/>
      <c r="G31" s="183"/>
      <c r="H31" s="183"/>
      <c r="I31" s="183"/>
      <c r="J31" s="183"/>
      <c r="K31" s="183"/>
      <c r="L31" s="183"/>
      <c r="M31" s="183"/>
      <c r="N31" s="183"/>
      <c r="O31" s="183"/>
      <c r="P31" s="183"/>
      <c r="Q31" s="183"/>
      <c r="R31" s="183"/>
      <c r="S31" s="183"/>
      <c r="T31" s="183"/>
      <c r="U31" s="183"/>
      <c r="V31" s="183"/>
      <c r="W31" s="183"/>
      <c r="X31" s="183"/>
    </row>
    <row r="32" spans="1:24" hidden="1">
      <c r="A32" s="184" t="str">
        <f>'6.1stYrOpBudget'!A43</f>
        <v>Advertising and Marketing</v>
      </c>
      <c r="B32" s="22">
        <v>6210</v>
      </c>
      <c r="C32" s="185">
        <v>3.5000000000000003E-2</v>
      </c>
      <c r="D32" s="186"/>
      <c r="E32" s="187"/>
      <c r="F32" s="187">
        <f t="shared" ref="F32:X32" si="14">E32*(1+$C32)</f>
        <v>0</v>
      </c>
      <c r="G32" s="187">
        <f t="shared" si="14"/>
        <v>0</v>
      </c>
      <c r="H32" s="187">
        <f t="shared" si="14"/>
        <v>0</v>
      </c>
      <c r="I32" s="187">
        <f t="shared" si="14"/>
        <v>0</v>
      </c>
      <c r="J32" s="187">
        <f t="shared" si="14"/>
        <v>0</v>
      </c>
      <c r="K32" s="187">
        <f t="shared" si="14"/>
        <v>0</v>
      </c>
      <c r="L32" s="187">
        <f t="shared" si="14"/>
        <v>0</v>
      </c>
      <c r="M32" s="187">
        <f t="shared" si="14"/>
        <v>0</v>
      </c>
      <c r="N32" s="187">
        <f t="shared" si="14"/>
        <v>0</v>
      </c>
      <c r="O32" s="187">
        <f t="shared" si="14"/>
        <v>0</v>
      </c>
      <c r="P32" s="187">
        <f t="shared" si="14"/>
        <v>0</v>
      </c>
      <c r="Q32" s="187">
        <f t="shared" si="14"/>
        <v>0</v>
      </c>
      <c r="R32" s="187">
        <f t="shared" si="14"/>
        <v>0</v>
      </c>
      <c r="S32" s="187">
        <f t="shared" si="14"/>
        <v>0</v>
      </c>
      <c r="T32" s="187">
        <f t="shared" si="14"/>
        <v>0</v>
      </c>
      <c r="U32" s="187">
        <f t="shared" si="14"/>
        <v>0</v>
      </c>
      <c r="V32" s="187">
        <f t="shared" si="14"/>
        <v>0</v>
      </c>
      <c r="W32" s="187">
        <f t="shared" si="14"/>
        <v>0</v>
      </c>
      <c r="X32" s="187">
        <f t="shared" si="14"/>
        <v>0</v>
      </c>
    </row>
    <row r="33" spans="1:24" hidden="1">
      <c r="A33" s="184" t="str">
        <f>'6.1stYrOpBudget'!A44</f>
        <v>Office Expenses</v>
      </c>
      <c r="B33" s="22">
        <v>6311</v>
      </c>
      <c r="C33" s="185">
        <v>3.5000000000000003E-2</v>
      </c>
      <c r="D33" s="186"/>
      <c r="E33" s="187"/>
      <c r="F33" s="187">
        <f t="shared" ref="F33:X33" si="15">E33*(1+$C33)</f>
        <v>0</v>
      </c>
      <c r="G33" s="187">
        <f t="shared" si="15"/>
        <v>0</v>
      </c>
      <c r="H33" s="187">
        <f t="shared" si="15"/>
        <v>0</v>
      </c>
      <c r="I33" s="187">
        <f t="shared" si="15"/>
        <v>0</v>
      </c>
      <c r="J33" s="187">
        <f t="shared" si="15"/>
        <v>0</v>
      </c>
      <c r="K33" s="187">
        <f t="shared" si="15"/>
        <v>0</v>
      </c>
      <c r="L33" s="187">
        <f t="shared" si="15"/>
        <v>0</v>
      </c>
      <c r="M33" s="187">
        <f t="shared" si="15"/>
        <v>0</v>
      </c>
      <c r="N33" s="187">
        <f t="shared" si="15"/>
        <v>0</v>
      </c>
      <c r="O33" s="187">
        <f t="shared" si="15"/>
        <v>0</v>
      </c>
      <c r="P33" s="187">
        <f t="shared" si="15"/>
        <v>0</v>
      </c>
      <c r="Q33" s="187">
        <f t="shared" si="15"/>
        <v>0</v>
      </c>
      <c r="R33" s="187">
        <f t="shared" si="15"/>
        <v>0</v>
      </c>
      <c r="S33" s="187">
        <f t="shared" si="15"/>
        <v>0</v>
      </c>
      <c r="T33" s="187">
        <f t="shared" si="15"/>
        <v>0</v>
      </c>
      <c r="U33" s="187">
        <f t="shared" si="15"/>
        <v>0</v>
      </c>
      <c r="V33" s="187">
        <f t="shared" si="15"/>
        <v>0</v>
      </c>
      <c r="W33" s="187">
        <f t="shared" si="15"/>
        <v>0</v>
      </c>
      <c r="X33" s="187">
        <f t="shared" si="15"/>
        <v>0</v>
      </c>
    </row>
    <row r="34" spans="1:24" hidden="1">
      <c r="A34" s="184" t="str">
        <f>'6.1stYrOpBudget'!A45</f>
        <v>Office Rent</v>
      </c>
      <c r="B34" s="22">
        <v>6312</v>
      </c>
      <c r="C34" s="185">
        <v>3.5000000000000003E-2</v>
      </c>
      <c r="D34" s="186"/>
      <c r="E34" s="187"/>
      <c r="F34" s="187">
        <f t="shared" ref="F34:X34" si="16">E34*(1+$C34)</f>
        <v>0</v>
      </c>
      <c r="G34" s="187">
        <f t="shared" si="16"/>
        <v>0</v>
      </c>
      <c r="H34" s="187">
        <f t="shared" si="16"/>
        <v>0</v>
      </c>
      <c r="I34" s="187">
        <f t="shared" si="16"/>
        <v>0</v>
      </c>
      <c r="J34" s="187">
        <f t="shared" si="16"/>
        <v>0</v>
      </c>
      <c r="K34" s="187">
        <f t="shared" si="16"/>
        <v>0</v>
      </c>
      <c r="L34" s="187">
        <f t="shared" si="16"/>
        <v>0</v>
      </c>
      <c r="M34" s="187">
        <f t="shared" si="16"/>
        <v>0</v>
      </c>
      <c r="N34" s="187">
        <f t="shared" si="16"/>
        <v>0</v>
      </c>
      <c r="O34" s="187">
        <f t="shared" si="16"/>
        <v>0</v>
      </c>
      <c r="P34" s="187">
        <f t="shared" si="16"/>
        <v>0</v>
      </c>
      <c r="Q34" s="187">
        <f t="shared" si="16"/>
        <v>0</v>
      </c>
      <c r="R34" s="187">
        <f t="shared" si="16"/>
        <v>0</v>
      </c>
      <c r="S34" s="187">
        <f t="shared" si="16"/>
        <v>0</v>
      </c>
      <c r="T34" s="187">
        <f t="shared" si="16"/>
        <v>0</v>
      </c>
      <c r="U34" s="187">
        <f t="shared" si="16"/>
        <v>0</v>
      </c>
      <c r="V34" s="187">
        <f t="shared" si="16"/>
        <v>0</v>
      </c>
      <c r="W34" s="187">
        <f t="shared" si="16"/>
        <v>0</v>
      </c>
      <c r="X34" s="187">
        <f t="shared" si="16"/>
        <v>0</v>
      </c>
    </row>
    <row r="35" spans="1:24" hidden="1">
      <c r="A35" s="184" t="str">
        <f>'6.1stYrOpBudget'!A46</f>
        <v>Legal Expense - Property</v>
      </c>
      <c r="B35" s="22">
        <v>6340</v>
      </c>
      <c r="C35" s="185">
        <v>3.5000000000000003E-2</v>
      </c>
      <c r="D35" s="186"/>
      <c r="E35" s="187"/>
      <c r="F35" s="187">
        <f t="shared" ref="F35:X35" si="17">E35*(1+$C35)</f>
        <v>0</v>
      </c>
      <c r="G35" s="187">
        <f t="shared" si="17"/>
        <v>0</v>
      </c>
      <c r="H35" s="187">
        <f t="shared" si="17"/>
        <v>0</v>
      </c>
      <c r="I35" s="187">
        <f t="shared" si="17"/>
        <v>0</v>
      </c>
      <c r="J35" s="187">
        <f t="shared" si="17"/>
        <v>0</v>
      </c>
      <c r="K35" s="187">
        <f t="shared" si="17"/>
        <v>0</v>
      </c>
      <c r="L35" s="187">
        <f t="shared" si="17"/>
        <v>0</v>
      </c>
      <c r="M35" s="187">
        <f t="shared" si="17"/>
        <v>0</v>
      </c>
      <c r="N35" s="187">
        <f t="shared" si="17"/>
        <v>0</v>
      </c>
      <c r="O35" s="187">
        <f t="shared" si="17"/>
        <v>0</v>
      </c>
      <c r="P35" s="187">
        <f t="shared" si="17"/>
        <v>0</v>
      </c>
      <c r="Q35" s="187">
        <f t="shared" si="17"/>
        <v>0</v>
      </c>
      <c r="R35" s="187">
        <f t="shared" si="17"/>
        <v>0</v>
      </c>
      <c r="S35" s="187">
        <f t="shared" si="17"/>
        <v>0</v>
      </c>
      <c r="T35" s="187">
        <f t="shared" si="17"/>
        <v>0</v>
      </c>
      <c r="U35" s="187">
        <f t="shared" si="17"/>
        <v>0</v>
      </c>
      <c r="V35" s="187">
        <f t="shared" si="17"/>
        <v>0</v>
      </c>
      <c r="W35" s="187">
        <f t="shared" si="17"/>
        <v>0</v>
      </c>
      <c r="X35" s="187">
        <f t="shared" si="17"/>
        <v>0</v>
      </c>
    </row>
    <row r="36" spans="1:24" hidden="1">
      <c r="A36" s="184" t="str">
        <f>'6.1stYrOpBudget'!A47</f>
        <v>Audit Expense</v>
      </c>
      <c r="B36" s="22">
        <v>6350</v>
      </c>
      <c r="C36" s="185">
        <v>3.5000000000000003E-2</v>
      </c>
      <c r="D36" s="186"/>
      <c r="E36" s="187"/>
      <c r="F36" s="187">
        <f t="shared" ref="F36:X36" si="18">E36*(1+$C36)</f>
        <v>0</v>
      </c>
      <c r="G36" s="187">
        <f t="shared" si="18"/>
        <v>0</v>
      </c>
      <c r="H36" s="187">
        <f t="shared" si="18"/>
        <v>0</v>
      </c>
      <c r="I36" s="187">
        <f t="shared" si="18"/>
        <v>0</v>
      </c>
      <c r="J36" s="187">
        <f t="shared" si="18"/>
        <v>0</v>
      </c>
      <c r="K36" s="187">
        <f t="shared" si="18"/>
        <v>0</v>
      </c>
      <c r="L36" s="187">
        <f t="shared" si="18"/>
        <v>0</v>
      </c>
      <c r="M36" s="187">
        <f t="shared" si="18"/>
        <v>0</v>
      </c>
      <c r="N36" s="187">
        <f t="shared" si="18"/>
        <v>0</v>
      </c>
      <c r="O36" s="187">
        <f t="shared" si="18"/>
        <v>0</v>
      </c>
      <c r="P36" s="187">
        <f t="shared" si="18"/>
        <v>0</v>
      </c>
      <c r="Q36" s="187">
        <f t="shared" si="18"/>
        <v>0</v>
      </c>
      <c r="R36" s="187">
        <f t="shared" si="18"/>
        <v>0</v>
      </c>
      <c r="S36" s="187">
        <f t="shared" si="18"/>
        <v>0</v>
      </c>
      <c r="T36" s="187">
        <f t="shared" si="18"/>
        <v>0</v>
      </c>
      <c r="U36" s="187">
        <f t="shared" si="18"/>
        <v>0</v>
      </c>
      <c r="V36" s="187">
        <f t="shared" si="18"/>
        <v>0</v>
      </c>
      <c r="W36" s="187">
        <f t="shared" si="18"/>
        <v>0</v>
      </c>
      <c r="X36" s="187">
        <f t="shared" si="18"/>
        <v>0</v>
      </c>
    </row>
    <row r="37" spans="1:24" hidden="1">
      <c r="A37" s="184" t="str">
        <f>'6.1stYrOpBudget'!A48</f>
        <v>Bookkeeping/Accounting Services</v>
      </c>
      <c r="B37" s="22">
        <v>6351</v>
      </c>
      <c r="C37" s="185">
        <v>3.5000000000000003E-2</v>
      </c>
      <c r="D37" s="186"/>
      <c r="E37" s="187"/>
      <c r="F37" s="187">
        <f t="shared" ref="F37:X37" si="19">E37*(1+$C37)</f>
        <v>0</v>
      </c>
      <c r="G37" s="187">
        <f t="shared" si="19"/>
        <v>0</v>
      </c>
      <c r="H37" s="187">
        <f t="shared" si="19"/>
        <v>0</v>
      </c>
      <c r="I37" s="187">
        <f t="shared" si="19"/>
        <v>0</v>
      </c>
      <c r="J37" s="187">
        <f t="shared" si="19"/>
        <v>0</v>
      </c>
      <c r="K37" s="187">
        <f t="shared" si="19"/>
        <v>0</v>
      </c>
      <c r="L37" s="187">
        <f t="shared" si="19"/>
        <v>0</v>
      </c>
      <c r="M37" s="187">
        <f t="shared" si="19"/>
        <v>0</v>
      </c>
      <c r="N37" s="187">
        <f t="shared" si="19"/>
        <v>0</v>
      </c>
      <c r="O37" s="187">
        <f t="shared" si="19"/>
        <v>0</v>
      </c>
      <c r="P37" s="187">
        <f t="shared" si="19"/>
        <v>0</v>
      </c>
      <c r="Q37" s="187">
        <f t="shared" si="19"/>
        <v>0</v>
      </c>
      <c r="R37" s="187">
        <f t="shared" si="19"/>
        <v>0</v>
      </c>
      <c r="S37" s="187">
        <f t="shared" si="19"/>
        <v>0</v>
      </c>
      <c r="T37" s="187">
        <f t="shared" si="19"/>
        <v>0</v>
      </c>
      <c r="U37" s="187">
        <f t="shared" si="19"/>
        <v>0</v>
      </c>
      <c r="V37" s="187">
        <f t="shared" si="19"/>
        <v>0</v>
      </c>
      <c r="W37" s="187">
        <f t="shared" si="19"/>
        <v>0</v>
      </c>
      <c r="X37" s="187">
        <f t="shared" si="19"/>
        <v>0</v>
      </c>
    </row>
    <row r="38" spans="1:24" hidden="1">
      <c r="A38" s="184" t="str">
        <f>'6.1stYrOpBudget'!A49</f>
        <v>Bad Debts</v>
      </c>
      <c r="B38" s="22">
        <v>6370</v>
      </c>
      <c r="C38" s="185">
        <v>3.5000000000000003E-2</v>
      </c>
      <c r="D38" s="186"/>
      <c r="E38" s="187"/>
      <c r="F38" s="187">
        <f t="shared" ref="F38:X38" si="20">E38*(1+$C38)</f>
        <v>0</v>
      </c>
      <c r="G38" s="187">
        <f t="shared" si="20"/>
        <v>0</v>
      </c>
      <c r="H38" s="187">
        <f t="shared" si="20"/>
        <v>0</v>
      </c>
      <c r="I38" s="187">
        <f t="shared" si="20"/>
        <v>0</v>
      </c>
      <c r="J38" s="187">
        <f t="shared" si="20"/>
        <v>0</v>
      </c>
      <c r="K38" s="187">
        <f t="shared" si="20"/>
        <v>0</v>
      </c>
      <c r="L38" s="187">
        <f t="shared" si="20"/>
        <v>0</v>
      </c>
      <c r="M38" s="187">
        <f t="shared" si="20"/>
        <v>0</v>
      </c>
      <c r="N38" s="187">
        <f t="shared" si="20"/>
        <v>0</v>
      </c>
      <c r="O38" s="187">
        <f t="shared" si="20"/>
        <v>0</v>
      </c>
      <c r="P38" s="187">
        <f t="shared" si="20"/>
        <v>0</v>
      </c>
      <c r="Q38" s="187">
        <f t="shared" si="20"/>
        <v>0</v>
      </c>
      <c r="R38" s="187">
        <f t="shared" si="20"/>
        <v>0</v>
      </c>
      <c r="S38" s="187">
        <f t="shared" si="20"/>
        <v>0</v>
      </c>
      <c r="T38" s="187">
        <f t="shared" si="20"/>
        <v>0</v>
      </c>
      <c r="U38" s="187">
        <f t="shared" si="20"/>
        <v>0</v>
      </c>
      <c r="V38" s="187">
        <f t="shared" si="20"/>
        <v>0</v>
      </c>
      <c r="W38" s="187">
        <f t="shared" si="20"/>
        <v>0</v>
      </c>
      <c r="X38" s="187">
        <f t="shared" si="20"/>
        <v>0</v>
      </c>
    </row>
    <row r="39" spans="1:24" hidden="1">
      <c r="A39" s="184" t="str">
        <f>'6.1stYrOpBudget'!A50</f>
        <v>Miscellaneous</v>
      </c>
      <c r="B39" s="22">
        <v>6390</v>
      </c>
      <c r="C39" s="185">
        <v>3.5000000000000003E-2</v>
      </c>
      <c r="D39" s="186"/>
      <c r="E39" s="187"/>
      <c r="F39" s="187">
        <f t="shared" ref="F39:X39" si="21">E39*(1+$C39)</f>
        <v>0</v>
      </c>
      <c r="G39" s="187">
        <f t="shared" si="21"/>
        <v>0</v>
      </c>
      <c r="H39" s="187">
        <f t="shared" si="21"/>
        <v>0</v>
      </c>
      <c r="I39" s="187">
        <f t="shared" si="21"/>
        <v>0</v>
      </c>
      <c r="J39" s="187">
        <f t="shared" si="21"/>
        <v>0</v>
      </c>
      <c r="K39" s="187">
        <f t="shared" si="21"/>
        <v>0</v>
      </c>
      <c r="L39" s="187">
        <f t="shared" si="21"/>
        <v>0</v>
      </c>
      <c r="M39" s="187">
        <f t="shared" si="21"/>
        <v>0</v>
      </c>
      <c r="N39" s="187">
        <f t="shared" si="21"/>
        <v>0</v>
      </c>
      <c r="O39" s="187">
        <f t="shared" si="21"/>
        <v>0</v>
      </c>
      <c r="P39" s="187">
        <f t="shared" si="21"/>
        <v>0</v>
      </c>
      <c r="Q39" s="187">
        <f t="shared" si="21"/>
        <v>0</v>
      </c>
      <c r="R39" s="187">
        <f t="shared" si="21"/>
        <v>0</v>
      </c>
      <c r="S39" s="187">
        <f t="shared" si="21"/>
        <v>0</v>
      </c>
      <c r="T39" s="187">
        <f t="shared" si="21"/>
        <v>0</v>
      </c>
      <c r="U39" s="187">
        <f t="shared" si="21"/>
        <v>0</v>
      </c>
      <c r="V39" s="187">
        <f t="shared" si="21"/>
        <v>0</v>
      </c>
      <c r="W39" s="187">
        <f t="shared" si="21"/>
        <v>0</v>
      </c>
      <c r="X39" s="187">
        <f t="shared" si="21"/>
        <v>0</v>
      </c>
    </row>
    <row r="40" spans="1:24" hidden="1">
      <c r="A40" s="189" t="str">
        <f>'6.1stYrOpBudget'!B51</f>
        <v>Sub-total Administration Expenses</v>
      </c>
      <c r="B40" s="12"/>
      <c r="C40" s="12"/>
      <c r="D40" s="182"/>
      <c r="E40" s="190"/>
      <c r="F40" s="190">
        <f t="shared" ref="F40:P40" si="22">SUM(F32:F39)</f>
        <v>0</v>
      </c>
      <c r="G40" s="190">
        <f t="shared" si="22"/>
        <v>0</v>
      </c>
      <c r="H40" s="190">
        <f t="shared" si="22"/>
        <v>0</v>
      </c>
      <c r="I40" s="190">
        <f t="shared" si="22"/>
        <v>0</v>
      </c>
      <c r="J40" s="190">
        <f t="shared" si="22"/>
        <v>0</v>
      </c>
      <c r="K40" s="190">
        <f t="shared" si="22"/>
        <v>0</v>
      </c>
      <c r="L40" s="190">
        <f t="shared" si="22"/>
        <v>0</v>
      </c>
      <c r="M40" s="190">
        <f t="shared" si="22"/>
        <v>0</v>
      </c>
      <c r="N40" s="190">
        <f t="shared" si="22"/>
        <v>0</v>
      </c>
      <c r="O40" s="190">
        <f t="shared" si="22"/>
        <v>0</v>
      </c>
      <c r="P40" s="190">
        <f t="shared" si="22"/>
        <v>0</v>
      </c>
      <c r="Q40" s="190">
        <f t="shared" ref="Q40:X40" si="23">SUM(Q32:Q39)</f>
        <v>0</v>
      </c>
      <c r="R40" s="190">
        <f t="shared" si="23"/>
        <v>0</v>
      </c>
      <c r="S40" s="190">
        <f t="shared" si="23"/>
        <v>0</v>
      </c>
      <c r="T40" s="190">
        <f t="shared" si="23"/>
        <v>0</v>
      </c>
      <c r="U40" s="190">
        <f t="shared" si="23"/>
        <v>0</v>
      </c>
      <c r="V40" s="190">
        <f t="shared" si="23"/>
        <v>0</v>
      </c>
      <c r="W40" s="190">
        <f t="shared" si="23"/>
        <v>0</v>
      </c>
      <c r="X40" s="190">
        <f t="shared" si="23"/>
        <v>0</v>
      </c>
    </row>
    <row r="41" spans="1:24">
      <c r="A41" s="74" t="str">
        <f>'6.1stYrOpBudget'!A52</f>
        <v>Utilities</v>
      </c>
      <c r="B41" s="14"/>
      <c r="C41" s="14"/>
      <c r="D41" s="21"/>
      <c r="E41" s="125"/>
      <c r="F41" s="125"/>
      <c r="G41" s="125"/>
      <c r="H41" s="125"/>
      <c r="I41" s="125"/>
      <c r="J41" s="125"/>
      <c r="K41" s="125"/>
      <c r="L41" s="125"/>
      <c r="M41" s="125"/>
      <c r="N41" s="125"/>
      <c r="O41" s="125"/>
      <c r="P41" s="125"/>
      <c r="Q41" s="125"/>
      <c r="R41" s="125"/>
      <c r="S41" s="125"/>
      <c r="T41" s="125"/>
      <c r="U41" s="125"/>
      <c r="V41" s="125"/>
      <c r="W41" s="125"/>
      <c r="X41" s="125"/>
    </row>
    <row r="42" spans="1:24">
      <c r="A42" s="10" t="str">
        <f>'6.1stYrOpBudget'!A53</f>
        <v>Electricity</v>
      </c>
      <c r="B42" s="15">
        <v>6450</v>
      </c>
      <c r="C42" s="62">
        <v>3.5000000000000003E-2</v>
      </c>
      <c r="D42" s="64"/>
      <c r="E42" s="66"/>
      <c r="F42" s="178">
        <f t="shared" ref="F42:X42" si="24">E42*(1+$C42)</f>
        <v>0</v>
      </c>
      <c r="G42" s="178">
        <f t="shared" si="24"/>
        <v>0</v>
      </c>
      <c r="H42" s="178">
        <f t="shared" si="24"/>
        <v>0</v>
      </c>
      <c r="I42" s="178">
        <f t="shared" si="24"/>
        <v>0</v>
      </c>
      <c r="J42" s="178">
        <f t="shared" si="24"/>
        <v>0</v>
      </c>
      <c r="K42" s="178">
        <f t="shared" si="24"/>
        <v>0</v>
      </c>
      <c r="L42" s="178">
        <f t="shared" si="24"/>
        <v>0</v>
      </c>
      <c r="M42" s="178">
        <f t="shared" si="24"/>
        <v>0</v>
      </c>
      <c r="N42" s="178">
        <f t="shared" si="24"/>
        <v>0</v>
      </c>
      <c r="O42" s="178">
        <f t="shared" si="24"/>
        <v>0</v>
      </c>
      <c r="P42" s="178">
        <f t="shared" si="24"/>
        <v>0</v>
      </c>
      <c r="Q42" s="178">
        <f t="shared" si="24"/>
        <v>0</v>
      </c>
      <c r="R42" s="178">
        <f t="shared" si="24"/>
        <v>0</v>
      </c>
      <c r="S42" s="178">
        <f t="shared" si="24"/>
        <v>0</v>
      </c>
      <c r="T42" s="178">
        <f t="shared" si="24"/>
        <v>0</v>
      </c>
      <c r="U42" s="178">
        <f t="shared" si="24"/>
        <v>0</v>
      </c>
      <c r="V42" s="178">
        <f t="shared" si="24"/>
        <v>0</v>
      </c>
      <c r="W42" s="178">
        <f t="shared" si="24"/>
        <v>0</v>
      </c>
      <c r="X42" s="178">
        <f t="shared" si="24"/>
        <v>0</v>
      </c>
    </row>
    <row r="43" spans="1:24">
      <c r="A43" s="10" t="str">
        <f>'6.1stYrOpBudget'!A54</f>
        <v>Water</v>
      </c>
      <c r="B43" s="15">
        <v>6451</v>
      </c>
      <c r="C43" s="62">
        <v>3.5000000000000003E-2</v>
      </c>
      <c r="D43" s="64"/>
      <c r="E43" s="66"/>
      <c r="F43" s="178">
        <f t="shared" ref="F43:X43" si="25">E43*(1+$C43)</f>
        <v>0</v>
      </c>
      <c r="G43" s="178">
        <f t="shared" si="25"/>
        <v>0</v>
      </c>
      <c r="H43" s="178">
        <f t="shared" si="25"/>
        <v>0</v>
      </c>
      <c r="I43" s="178">
        <f t="shared" si="25"/>
        <v>0</v>
      </c>
      <c r="J43" s="178">
        <f t="shared" si="25"/>
        <v>0</v>
      </c>
      <c r="K43" s="178">
        <f t="shared" si="25"/>
        <v>0</v>
      </c>
      <c r="L43" s="178">
        <f t="shared" si="25"/>
        <v>0</v>
      </c>
      <c r="M43" s="178">
        <f t="shared" si="25"/>
        <v>0</v>
      </c>
      <c r="N43" s="178">
        <f t="shared" si="25"/>
        <v>0</v>
      </c>
      <c r="O43" s="178">
        <f t="shared" si="25"/>
        <v>0</v>
      </c>
      <c r="P43" s="178">
        <f t="shared" si="25"/>
        <v>0</v>
      </c>
      <c r="Q43" s="178">
        <f t="shared" si="25"/>
        <v>0</v>
      </c>
      <c r="R43" s="178">
        <f t="shared" si="25"/>
        <v>0</v>
      </c>
      <c r="S43" s="178">
        <f t="shared" si="25"/>
        <v>0</v>
      </c>
      <c r="T43" s="178">
        <f t="shared" si="25"/>
        <v>0</v>
      </c>
      <c r="U43" s="178">
        <f t="shared" si="25"/>
        <v>0</v>
      </c>
      <c r="V43" s="178">
        <f t="shared" si="25"/>
        <v>0</v>
      </c>
      <c r="W43" s="178">
        <f t="shared" si="25"/>
        <v>0</v>
      </c>
      <c r="X43" s="178">
        <f t="shared" si="25"/>
        <v>0</v>
      </c>
    </row>
    <row r="44" spans="1:24">
      <c r="A44" s="10" t="str">
        <f>'6.1stYrOpBudget'!A55</f>
        <v>Gas</v>
      </c>
      <c r="B44" s="15">
        <v>6452</v>
      </c>
      <c r="C44" s="62">
        <v>3.5000000000000003E-2</v>
      </c>
      <c r="D44" s="64"/>
      <c r="E44" s="66"/>
      <c r="F44" s="178">
        <f t="shared" ref="F44:X44" si="26">E44*(1+$C44)</f>
        <v>0</v>
      </c>
      <c r="G44" s="178">
        <f t="shared" si="26"/>
        <v>0</v>
      </c>
      <c r="H44" s="178">
        <f t="shared" si="26"/>
        <v>0</v>
      </c>
      <c r="I44" s="178">
        <f t="shared" si="26"/>
        <v>0</v>
      </c>
      <c r="J44" s="178">
        <f t="shared" si="26"/>
        <v>0</v>
      </c>
      <c r="K44" s="178">
        <f t="shared" si="26"/>
        <v>0</v>
      </c>
      <c r="L44" s="178">
        <f t="shared" si="26"/>
        <v>0</v>
      </c>
      <c r="M44" s="178">
        <f t="shared" si="26"/>
        <v>0</v>
      </c>
      <c r="N44" s="178">
        <f t="shared" si="26"/>
        <v>0</v>
      </c>
      <c r="O44" s="178">
        <f t="shared" si="26"/>
        <v>0</v>
      </c>
      <c r="P44" s="178">
        <f t="shared" si="26"/>
        <v>0</v>
      </c>
      <c r="Q44" s="178">
        <f t="shared" si="26"/>
        <v>0</v>
      </c>
      <c r="R44" s="178">
        <f t="shared" si="26"/>
        <v>0</v>
      </c>
      <c r="S44" s="178">
        <f t="shared" si="26"/>
        <v>0</v>
      </c>
      <c r="T44" s="178">
        <f t="shared" si="26"/>
        <v>0</v>
      </c>
      <c r="U44" s="178">
        <f t="shared" si="26"/>
        <v>0</v>
      </c>
      <c r="V44" s="178">
        <f t="shared" si="26"/>
        <v>0</v>
      </c>
      <c r="W44" s="178">
        <f t="shared" si="26"/>
        <v>0</v>
      </c>
      <c r="X44" s="178">
        <f t="shared" si="26"/>
        <v>0</v>
      </c>
    </row>
    <row r="45" spans="1:24">
      <c r="A45" s="10" t="str">
        <f>'6.1stYrOpBudget'!A56</f>
        <v>Sewer</v>
      </c>
      <c r="B45" s="15">
        <v>6453</v>
      </c>
      <c r="C45" s="62">
        <v>3.5000000000000003E-2</v>
      </c>
      <c r="D45" s="64"/>
      <c r="E45" s="66"/>
      <c r="F45" s="178">
        <f t="shared" ref="F45:X45" si="27">E45*(1+$C45)</f>
        <v>0</v>
      </c>
      <c r="G45" s="178">
        <f t="shared" si="27"/>
        <v>0</v>
      </c>
      <c r="H45" s="178">
        <f t="shared" si="27"/>
        <v>0</v>
      </c>
      <c r="I45" s="178">
        <f t="shared" si="27"/>
        <v>0</v>
      </c>
      <c r="J45" s="178">
        <f t="shared" si="27"/>
        <v>0</v>
      </c>
      <c r="K45" s="178">
        <f t="shared" si="27"/>
        <v>0</v>
      </c>
      <c r="L45" s="178">
        <f t="shared" si="27"/>
        <v>0</v>
      </c>
      <c r="M45" s="178">
        <f t="shared" si="27"/>
        <v>0</v>
      </c>
      <c r="N45" s="178">
        <f t="shared" si="27"/>
        <v>0</v>
      </c>
      <c r="O45" s="178">
        <f t="shared" si="27"/>
        <v>0</v>
      </c>
      <c r="P45" s="178">
        <f t="shared" si="27"/>
        <v>0</v>
      </c>
      <c r="Q45" s="178">
        <f t="shared" si="27"/>
        <v>0</v>
      </c>
      <c r="R45" s="178">
        <f t="shared" si="27"/>
        <v>0</v>
      </c>
      <c r="S45" s="178">
        <f t="shared" si="27"/>
        <v>0</v>
      </c>
      <c r="T45" s="178">
        <f t="shared" si="27"/>
        <v>0</v>
      </c>
      <c r="U45" s="178">
        <f t="shared" si="27"/>
        <v>0</v>
      </c>
      <c r="V45" s="178">
        <f t="shared" si="27"/>
        <v>0</v>
      </c>
      <c r="W45" s="178">
        <f t="shared" si="27"/>
        <v>0</v>
      </c>
      <c r="X45" s="178">
        <f t="shared" si="27"/>
        <v>0</v>
      </c>
    </row>
    <row r="46" spans="1:24">
      <c r="A46" s="27" t="str">
        <f>'6.1stYrOpBudget'!B57</f>
        <v>Sub-total Utilities</v>
      </c>
      <c r="B46" s="8"/>
      <c r="C46" s="8"/>
      <c r="D46" s="21"/>
      <c r="E46" s="175">
        <f>SUM(E42:E45)</f>
        <v>0</v>
      </c>
      <c r="F46" s="175">
        <f t="shared" ref="F46:P46" si="28">SUM(F42:F45)</f>
        <v>0</v>
      </c>
      <c r="G46" s="175">
        <f t="shared" si="28"/>
        <v>0</v>
      </c>
      <c r="H46" s="175">
        <f t="shared" si="28"/>
        <v>0</v>
      </c>
      <c r="I46" s="175">
        <f t="shared" si="28"/>
        <v>0</v>
      </c>
      <c r="J46" s="175">
        <f t="shared" si="28"/>
        <v>0</v>
      </c>
      <c r="K46" s="175">
        <f t="shared" si="28"/>
        <v>0</v>
      </c>
      <c r="L46" s="175">
        <f t="shared" si="28"/>
        <v>0</v>
      </c>
      <c r="M46" s="175">
        <f t="shared" si="28"/>
        <v>0</v>
      </c>
      <c r="N46" s="175">
        <f t="shared" si="28"/>
        <v>0</v>
      </c>
      <c r="O46" s="175">
        <f t="shared" si="28"/>
        <v>0</v>
      </c>
      <c r="P46" s="175">
        <f t="shared" si="28"/>
        <v>0</v>
      </c>
      <c r="Q46" s="175">
        <f t="shared" ref="Q46:X46" si="29">SUM(Q42:Q45)</f>
        <v>0</v>
      </c>
      <c r="R46" s="175">
        <f t="shared" si="29"/>
        <v>0</v>
      </c>
      <c r="S46" s="175">
        <f t="shared" si="29"/>
        <v>0</v>
      </c>
      <c r="T46" s="175">
        <f t="shared" si="29"/>
        <v>0</v>
      </c>
      <c r="U46" s="175">
        <f t="shared" si="29"/>
        <v>0</v>
      </c>
      <c r="V46" s="175">
        <f t="shared" si="29"/>
        <v>0</v>
      </c>
      <c r="W46" s="175">
        <f t="shared" si="29"/>
        <v>0</v>
      </c>
      <c r="X46" s="175">
        <f t="shared" si="29"/>
        <v>0</v>
      </c>
    </row>
    <row r="47" spans="1:24">
      <c r="A47" s="74" t="str">
        <f>'6.1stYrOpBudget'!A58</f>
        <v>Taxes and Licenses</v>
      </c>
      <c r="B47" s="14"/>
      <c r="C47" s="14"/>
      <c r="D47" s="21"/>
      <c r="E47" s="125"/>
      <c r="F47" s="125"/>
      <c r="G47" s="125"/>
      <c r="H47" s="125"/>
      <c r="I47" s="125"/>
      <c r="J47" s="125"/>
      <c r="K47" s="125"/>
      <c r="L47" s="125"/>
      <c r="M47" s="125"/>
      <c r="N47" s="125"/>
      <c r="O47" s="125"/>
      <c r="P47" s="125"/>
      <c r="Q47" s="125"/>
      <c r="R47" s="125"/>
      <c r="S47" s="125"/>
      <c r="T47" s="125"/>
      <c r="U47" s="125"/>
      <c r="V47" s="125"/>
      <c r="W47" s="125"/>
      <c r="X47" s="125"/>
    </row>
    <row r="48" spans="1:24">
      <c r="A48" s="191" t="str">
        <f>'6.1stYrOpBudget'!A59</f>
        <v>Real Estate Taxes</v>
      </c>
      <c r="B48" s="15">
        <v>6710</v>
      </c>
      <c r="C48" s="62">
        <v>3.5000000000000003E-2</v>
      </c>
      <c r="D48" s="64"/>
      <c r="E48" s="66"/>
      <c r="F48" s="178">
        <f t="shared" ref="F48:X48" si="30">E48*(1+$C48)</f>
        <v>0</v>
      </c>
      <c r="G48" s="178">
        <f t="shared" si="30"/>
        <v>0</v>
      </c>
      <c r="H48" s="178">
        <f t="shared" si="30"/>
        <v>0</v>
      </c>
      <c r="I48" s="178">
        <f t="shared" si="30"/>
        <v>0</v>
      </c>
      <c r="J48" s="178">
        <f t="shared" si="30"/>
        <v>0</v>
      </c>
      <c r="K48" s="178">
        <f t="shared" si="30"/>
        <v>0</v>
      </c>
      <c r="L48" s="178">
        <f t="shared" si="30"/>
        <v>0</v>
      </c>
      <c r="M48" s="178">
        <f t="shared" si="30"/>
        <v>0</v>
      </c>
      <c r="N48" s="178">
        <f t="shared" si="30"/>
        <v>0</v>
      </c>
      <c r="O48" s="178">
        <f t="shared" si="30"/>
        <v>0</v>
      </c>
      <c r="P48" s="178">
        <f t="shared" si="30"/>
        <v>0</v>
      </c>
      <c r="Q48" s="178">
        <f t="shared" si="30"/>
        <v>0</v>
      </c>
      <c r="R48" s="178">
        <f t="shared" si="30"/>
        <v>0</v>
      </c>
      <c r="S48" s="178">
        <f t="shared" si="30"/>
        <v>0</v>
      </c>
      <c r="T48" s="178">
        <f t="shared" si="30"/>
        <v>0</v>
      </c>
      <c r="U48" s="178">
        <f t="shared" si="30"/>
        <v>0</v>
      </c>
      <c r="V48" s="178">
        <f t="shared" si="30"/>
        <v>0</v>
      </c>
      <c r="W48" s="178">
        <f t="shared" si="30"/>
        <v>0</v>
      </c>
      <c r="X48" s="178">
        <f t="shared" si="30"/>
        <v>0</v>
      </c>
    </row>
    <row r="49" spans="1:24">
      <c r="A49" s="191" t="str">
        <f>'6.1stYrOpBudget'!A60</f>
        <v>Payroll Taxes</v>
      </c>
      <c r="B49" s="15">
        <v>6711</v>
      </c>
      <c r="C49" s="62">
        <v>3.5000000000000003E-2</v>
      </c>
      <c r="D49" s="64"/>
      <c r="E49" s="66"/>
      <c r="F49" s="178">
        <f t="shared" ref="F49:X49" si="31">E49*(1+$C49)</f>
        <v>0</v>
      </c>
      <c r="G49" s="178">
        <f t="shared" si="31"/>
        <v>0</v>
      </c>
      <c r="H49" s="178">
        <f t="shared" si="31"/>
        <v>0</v>
      </c>
      <c r="I49" s="178">
        <f t="shared" si="31"/>
        <v>0</v>
      </c>
      <c r="J49" s="178">
        <f t="shared" si="31"/>
        <v>0</v>
      </c>
      <c r="K49" s="178">
        <f t="shared" si="31"/>
        <v>0</v>
      </c>
      <c r="L49" s="178">
        <f t="shared" si="31"/>
        <v>0</v>
      </c>
      <c r="M49" s="178">
        <f t="shared" si="31"/>
        <v>0</v>
      </c>
      <c r="N49" s="178">
        <f t="shared" si="31"/>
        <v>0</v>
      </c>
      <c r="O49" s="178">
        <f t="shared" si="31"/>
        <v>0</v>
      </c>
      <c r="P49" s="178">
        <f t="shared" si="31"/>
        <v>0</v>
      </c>
      <c r="Q49" s="178">
        <f t="shared" si="31"/>
        <v>0</v>
      </c>
      <c r="R49" s="178">
        <f t="shared" si="31"/>
        <v>0</v>
      </c>
      <c r="S49" s="178">
        <f t="shared" si="31"/>
        <v>0</v>
      </c>
      <c r="T49" s="178">
        <f t="shared" si="31"/>
        <v>0</v>
      </c>
      <c r="U49" s="178">
        <f t="shared" si="31"/>
        <v>0</v>
      </c>
      <c r="V49" s="178">
        <f t="shared" si="31"/>
        <v>0</v>
      </c>
      <c r="W49" s="178">
        <f t="shared" si="31"/>
        <v>0</v>
      </c>
      <c r="X49" s="178">
        <f t="shared" si="31"/>
        <v>0</v>
      </c>
    </row>
    <row r="50" spans="1:24">
      <c r="A50" s="191" t="str">
        <f>'6.1stYrOpBudget'!A61</f>
        <v>Miscellaneous Taxes, Licenses and Permits</v>
      </c>
      <c r="B50" s="15">
        <v>6790</v>
      </c>
      <c r="C50" s="62">
        <v>3.5000000000000003E-2</v>
      </c>
      <c r="D50" s="64"/>
      <c r="E50" s="66"/>
      <c r="F50" s="178">
        <f t="shared" ref="F50:X50" si="32">E50*(1+$C50)</f>
        <v>0</v>
      </c>
      <c r="G50" s="178">
        <f t="shared" si="32"/>
        <v>0</v>
      </c>
      <c r="H50" s="178">
        <f t="shared" si="32"/>
        <v>0</v>
      </c>
      <c r="I50" s="178">
        <f t="shared" si="32"/>
        <v>0</v>
      </c>
      <c r="J50" s="178">
        <f t="shared" si="32"/>
        <v>0</v>
      </c>
      <c r="K50" s="178">
        <f t="shared" si="32"/>
        <v>0</v>
      </c>
      <c r="L50" s="178">
        <f t="shared" si="32"/>
        <v>0</v>
      </c>
      <c r="M50" s="178">
        <f t="shared" si="32"/>
        <v>0</v>
      </c>
      <c r="N50" s="178">
        <f t="shared" si="32"/>
        <v>0</v>
      </c>
      <c r="O50" s="178">
        <f t="shared" si="32"/>
        <v>0</v>
      </c>
      <c r="P50" s="178">
        <f t="shared" si="32"/>
        <v>0</v>
      </c>
      <c r="Q50" s="178">
        <f t="shared" si="32"/>
        <v>0</v>
      </c>
      <c r="R50" s="178">
        <f t="shared" si="32"/>
        <v>0</v>
      </c>
      <c r="S50" s="178">
        <f t="shared" si="32"/>
        <v>0</v>
      </c>
      <c r="T50" s="178">
        <f t="shared" si="32"/>
        <v>0</v>
      </c>
      <c r="U50" s="178">
        <f t="shared" si="32"/>
        <v>0</v>
      </c>
      <c r="V50" s="178">
        <f t="shared" si="32"/>
        <v>0</v>
      </c>
      <c r="W50" s="178">
        <f t="shared" si="32"/>
        <v>0</v>
      </c>
      <c r="X50" s="178">
        <f t="shared" si="32"/>
        <v>0</v>
      </c>
    </row>
    <row r="51" spans="1:24">
      <c r="A51" s="27" t="str">
        <f>'6.1stYrOpBudget'!B62</f>
        <v>Sub-total Taxes and Licenses</v>
      </c>
      <c r="B51" s="8"/>
      <c r="C51" s="8"/>
      <c r="D51" s="21"/>
      <c r="E51" s="175">
        <f>SUM(E48:E50)</f>
        <v>0</v>
      </c>
      <c r="F51" s="175">
        <f t="shared" ref="F51:P51" si="33">SUM(F48:F50)</f>
        <v>0</v>
      </c>
      <c r="G51" s="175">
        <f t="shared" si="33"/>
        <v>0</v>
      </c>
      <c r="H51" s="175">
        <f t="shared" si="33"/>
        <v>0</v>
      </c>
      <c r="I51" s="175">
        <f t="shared" si="33"/>
        <v>0</v>
      </c>
      <c r="J51" s="175">
        <f t="shared" si="33"/>
        <v>0</v>
      </c>
      <c r="K51" s="175">
        <f t="shared" si="33"/>
        <v>0</v>
      </c>
      <c r="L51" s="175">
        <f t="shared" si="33"/>
        <v>0</v>
      </c>
      <c r="M51" s="175">
        <f t="shared" si="33"/>
        <v>0</v>
      </c>
      <c r="N51" s="175">
        <f t="shared" si="33"/>
        <v>0</v>
      </c>
      <c r="O51" s="175">
        <f t="shared" si="33"/>
        <v>0</v>
      </c>
      <c r="P51" s="175">
        <f t="shared" si="33"/>
        <v>0</v>
      </c>
      <c r="Q51" s="175">
        <f t="shared" ref="Q51:X51" si="34">SUM(Q48:Q50)</f>
        <v>0</v>
      </c>
      <c r="R51" s="175">
        <f t="shared" si="34"/>
        <v>0</v>
      </c>
      <c r="S51" s="175">
        <f t="shared" si="34"/>
        <v>0</v>
      </c>
      <c r="T51" s="175">
        <f t="shared" si="34"/>
        <v>0</v>
      </c>
      <c r="U51" s="175">
        <f t="shared" si="34"/>
        <v>0</v>
      </c>
      <c r="V51" s="175">
        <f t="shared" si="34"/>
        <v>0</v>
      </c>
      <c r="W51" s="175">
        <f t="shared" si="34"/>
        <v>0</v>
      </c>
      <c r="X51" s="175">
        <f t="shared" si="34"/>
        <v>0</v>
      </c>
    </row>
    <row r="52" spans="1:24">
      <c r="A52" s="74" t="str">
        <f>'6.1stYrOpBudget'!A63</f>
        <v>Insurance</v>
      </c>
      <c r="B52" s="8"/>
      <c r="C52" s="8"/>
      <c r="D52" s="21"/>
      <c r="E52" s="125"/>
      <c r="F52" s="125"/>
      <c r="G52" s="125"/>
      <c r="H52" s="125"/>
      <c r="I52" s="125"/>
      <c r="J52" s="125"/>
      <c r="K52" s="125"/>
      <c r="L52" s="125"/>
      <c r="M52" s="125"/>
      <c r="N52" s="125"/>
      <c r="O52" s="125"/>
      <c r="P52" s="125"/>
      <c r="Q52" s="125"/>
      <c r="R52" s="125"/>
      <c r="S52" s="125"/>
      <c r="T52" s="125"/>
      <c r="U52" s="125"/>
      <c r="V52" s="125"/>
      <c r="W52" s="125"/>
      <c r="X52" s="125"/>
    </row>
    <row r="53" spans="1:24">
      <c r="A53" s="191" t="str">
        <f>'6.1stYrOpBudget'!A64</f>
        <v>Property and Liability Insurance</v>
      </c>
      <c r="B53" s="15">
        <v>6720</v>
      </c>
      <c r="C53" s="62">
        <v>3.5000000000000003E-2</v>
      </c>
      <c r="D53" s="64"/>
      <c r="E53" s="66"/>
      <c r="F53" s="178">
        <f t="shared" ref="F53:X53" si="35">E53*(1+$C53)</f>
        <v>0</v>
      </c>
      <c r="G53" s="178">
        <f t="shared" si="35"/>
        <v>0</v>
      </c>
      <c r="H53" s="178">
        <f t="shared" si="35"/>
        <v>0</v>
      </c>
      <c r="I53" s="178">
        <f t="shared" si="35"/>
        <v>0</v>
      </c>
      <c r="J53" s="178">
        <f t="shared" si="35"/>
        <v>0</v>
      </c>
      <c r="K53" s="178">
        <f t="shared" si="35"/>
        <v>0</v>
      </c>
      <c r="L53" s="178">
        <f t="shared" si="35"/>
        <v>0</v>
      </c>
      <c r="M53" s="178">
        <f t="shared" si="35"/>
        <v>0</v>
      </c>
      <c r="N53" s="178">
        <f t="shared" si="35"/>
        <v>0</v>
      </c>
      <c r="O53" s="178">
        <f t="shared" si="35"/>
        <v>0</v>
      </c>
      <c r="P53" s="178">
        <f t="shared" si="35"/>
        <v>0</v>
      </c>
      <c r="Q53" s="178">
        <f t="shared" si="35"/>
        <v>0</v>
      </c>
      <c r="R53" s="178">
        <f t="shared" si="35"/>
        <v>0</v>
      </c>
      <c r="S53" s="178">
        <f t="shared" si="35"/>
        <v>0</v>
      </c>
      <c r="T53" s="178">
        <f t="shared" si="35"/>
        <v>0</v>
      </c>
      <c r="U53" s="178">
        <f t="shared" si="35"/>
        <v>0</v>
      </c>
      <c r="V53" s="178">
        <f t="shared" si="35"/>
        <v>0</v>
      </c>
      <c r="W53" s="178">
        <f t="shared" si="35"/>
        <v>0</v>
      </c>
      <c r="X53" s="178">
        <f t="shared" si="35"/>
        <v>0</v>
      </c>
    </row>
    <row r="54" spans="1:24">
      <c r="A54" s="191" t="str">
        <f>'6.1stYrOpBudget'!A65</f>
        <v>Fidelity Bond Insurance</v>
      </c>
      <c r="B54" s="15">
        <v>6721</v>
      </c>
      <c r="C54" s="62">
        <v>3.5000000000000003E-2</v>
      </c>
      <c r="D54" s="64"/>
      <c r="E54" s="66"/>
      <c r="F54" s="178">
        <f t="shared" ref="F54:X54" si="36">E54*(1+$C54)</f>
        <v>0</v>
      </c>
      <c r="G54" s="178">
        <f t="shared" si="36"/>
        <v>0</v>
      </c>
      <c r="H54" s="178">
        <f t="shared" si="36"/>
        <v>0</v>
      </c>
      <c r="I54" s="178">
        <f t="shared" si="36"/>
        <v>0</v>
      </c>
      <c r="J54" s="178">
        <f t="shared" si="36"/>
        <v>0</v>
      </c>
      <c r="K54" s="178">
        <f t="shared" si="36"/>
        <v>0</v>
      </c>
      <c r="L54" s="178">
        <f t="shared" si="36"/>
        <v>0</v>
      </c>
      <c r="M54" s="178">
        <f t="shared" si="36"/>
        <v>0</v>
      </c>
      <c r="N54" s="178">
        <f t="shared" si="36"/>
        <v>0</v>
      </c>
      <c r="O54" s="178">
        <f t="shared" si="36"/>
        <v>0</v>
      </c>
      <c r="P54" s="178">
        <f t="shared" si="36"/>
        <v>0</v>
      </c>
      <c r="Q54" s="178">
        <f t="shared" si="36"/>
        <v>0</v>
      </c>
      <c r="R54" s="178">
        <f t="shared" si="36"/>
        <v>0</v>
      </c>
      <c r="S54" s="178">
        <f t="shared" si="36"/>
        <v>0</v>
      </c>
      <c r="T54" s="178">
        <f t="shared" si="36"/>
        <v>0</v>
      </c>
      <c r="U54" s="178">
        <f t="shared" si="36"/>
        <v>0</v>
      </c>
      <c r="V54" s="178">
        <f t="shared" si="36"/>
        <v>0</v>
      </c>
      <c r="W54" s="178">
        <f t="shared" si="36"/>
        <v>0</v>
      </c>
      <c r="X54" s="178">
        <f t="shared" si="36"/>
        <v>0</v>
      </c>
    </row>
    <row r="55" spans="1:24">
      <c r="A55" s="191" t="str">
        <f>'6.1stYrOpBudget'!A66</f>
        <v>Worker's Compensation</v>
      </c>
      <c r="B55" s="15">
        <v>6722</v>
      </c>
      <c r="C55" s="62">
        <v>3.5000000000000003E-2</v>
      </c>
      <c r="D55" s="64"/>
      <c r="E55" s="66"/>
      <c r="F55" s="178">
        <f t="shared" ref="F55:X55" si="37">E55*(1+$C55)</f>
        <v>0</v>
      </c>
      <c r="G55" s="178">
        <f t="shared" si="37"/>
        <v>0</v>
      </c>
      <c r="H55" s="178">
        <f t="shared" si="37"/>
        <v>0</v>
      </c>
      <c r="I55" s="178">
        <f t="shared" si="37"/>
        <v>0</v>
      </c>
      <c r="J55" s="178">
        <f t="shared" si="37"/>
        <v>0</v>
      </c>
      <c r="K55" s="178">
        <f t="shared" si="37"/>
        <v>0</v>
      </c>
      <c r="L55" s="178">
        <f t="shared" si="37"/>
        <v>0</v>
      </c>
      <c r="M55" s="178">
        <f t="shared" si="37"/>
        <v>0</v>
      </c>
      <c r="N55" s="178">
        <f t="shared" si="37"/>
        <v>0</v>
      </c>
      <c r="O55" s="178">
        <f t="shared" si="37"/>
        <v>0</v>
      </c>
      <c r="P55" s="178">
        <f t="shared" si="37"/>
        <v>0</v>
      </c>
      <c r="Q55" s="178">
        <f t="shared" si="37"/>
        <v>0</v>
      </c>
      <c r="R55" s="178">
        <f t="shared" si="37"/>
        <v>0</v>
      </c>
      <c r="S55" s="178">
        <f t="shared" si="37"/>
        <v>0</v>
      </c>
      <c r="T55" s="178">
        <f t="shared" si="37"/>
        <v>0</v>
      </c>
      <c r="U55" s="178">
        <f t="shared" si="37"/>
        <v>0</v>
      </c>
      <c r="V55" s="178">
        <f t="shared" si="37"/>
        <v>0</v>
      </c>
      <c r="W55" s="178">
        <f t="shared" si="37"/>
        <v>0</v>
      </c>
      <c r="X55" s="178">
        <f t="shared" si="37"/>
        <v>0</v>
      </c>
    </row>
    <row r="56" spans="1:24">
      <c r="A56" s="191" t="str">
        <f>'6.1stYrOpBudget'!A67</f>
        <v>Director's &amp; Officers' Liability Insurance</v>
      </c>
      <c r="B56" s="15">
        <v>6722</v>
      </c>
      <c r="C56" s="62">
        <v>3.5000000000000003E-2</v>
      </c>
      <c r="D56" s="64"/>
      <c r="E56" s="66"/>
      <c r="F56" s="178">
        <f t="shared" ref="F56:X56" si="38">E56*(1+$C56)</f>
        <v>0</v>
      </c>
      <c r="G56" s="178">
        <f t="shared" si="38"/>
        <v>0</v>
      </c>
      <c r="H56" s="178">
        <f t="shared" si="38"/>
        <v>0</v>
      </c>
      <c r="I56" s="178">
        <f t="shared" si="38"/>
        <v>0</v>
      </c>
      <c r="J56" s="178">
        <f t="shared" si="38"/>
        <v>0</v>
      </c>
      <c r="K56" s="178">
        <f t="shared" si="38"/>
        <v>0</v>
      </c>
      <c r="L56" s="178">
        <f t="shared" si="38"/>
        <v>0</v>
      </c>
      <c r="M56" s="178">
        <f t="shared" si="38"/>
        <v>0</v>
      </c>
      <c r="N56" s="178">
        <f t="shared" si="38"/>
        <v>0</v>
      </c>
      <c r="O56" s="178">
        <f t="shared" si="38"/>
        <v>0</v>
      </c>
      <c r="P56" s="178">
        <f t="shared" si="38"/>
        <v>0</v>
      </c>
      <c r="Q56" s="178">
        <f t="shared" si="38"/>
        <v>0</v>
      </c>
      <c r="R56" s="178">
        <f t="shared" si="38"/>
        <v>0</v>
      </c>
      <c r="S56" s="178">
        <f t="shared" si="38"/>
        <v>0</v>
      </c>
      <c r="T56" s="178">
        <f t="shared" si="38"/>
        <v>0</v>
      </c>
      <c r="U56" s="178">
        <f t="shared" si="38"/>
        <v>0</v>
      </c>
      <c r="V56" s="178">
        <f t="shared" si="38"/>
        <v>0</v>
      </c>
      <c r="W56" s="178">
        <f t="shared" si="38"/>
        <v>0</v>
      </c>
      <c r="X56" s="178">
        <f t="shared" si="38"/>
        <v>0</v>
      </c>
    </row>
    <row r="57" spans="1:24">
      <c r="A57" s="27" t="str">
        <f>'6.1stYrOpBudget'!B68</f>
        <v>Sub-total Insurance</v>
      </c>
      <c r="B57" s="8"/>
      <c r="C57" s="8"/>
      <c r="D57" s="21"/>
      <c r="E57" s="175">
        <f>SUM(E53:E56)</f>
        <v>0</v>
      </c>
      <c r="F57" s="175">
        <f t="shared" ref="F57:P57" si="39">SUM(F53:F56)</f>
        <v>0</v>
      </c>
      <c r="G57" s="175">
        <f t="shared" si="39"/>
        <v>0</v>
      </c>
      <c r="H57" s="175">
        <f t="shared" si="39"/>
        <v>0</v>
      </c>
      <c r="I57" s="175">
        <f t="shared" si="39"/>
        <v>0</v>
      </c>
      <c r="J57" s="175">
        <f t="shared" si="39"/>
        <v>0</v>
      </c>
      <c r="K57" s="175">
        <f t="shared" si="39"/>
        <v>0</v>
      </c>
      <c r="L57" s="175">
        <f t="shared" si="39"/>
        <v>0</v>
      </c>
      <c r="M57" s="175">
        <f t="shared" si="39"/>
        <v>0</v>
      </c>
      <c r="N57" s="175">
        <f t="shared" si="39"/>
        <v>0</v>
      </c>
      <c r="O57" s="175">
        <f t="shared" si="39"/>
        <v>0</v>
      </c>
      <c r="P57" s="175">
        <f t="shared" si="39"/>
        <v>0</v>
      </c>
      <c r="Q57" s="175">
        <f t="shared" ref="Q57:X57" si="40">SUM(Q53:Q56)</f>
        <v>0</v>
      </c>
      <c r="R57" s="175">
        <f t="shared" si="40"/>
        <v>0</v>
      </c>
      <c r="S57" s="175">
        <f t="shared" si="40"/>
        <v>0</v>
      </c>
      <c r="T57" s="175">
        <f t="shared" si="40"/>
        <v>0</v>
      </c>
      <c r="U57" s="175">
        <f t="shared" si="40"/>
        <v>0</v>
      </c>
      <c r="V57" s="175">
        <f t="shared" si="40"/>
        <v>0</v>
      </c>
      <c r="W57" s="175">
        <f t="shared" si="40"/>
        <v>0</v>
      </c>
      <c r="X57" s="175">
        <f t="shared" si="40"/>
        <v>0</v>
      </c>
    </row>
    <row r="58" spans="1:24">
      <c r="A58" s="74" t="str">
        <f>'6.1stYrOpBudget'!A69</f>
        <v>Maintenance &amp; Repair</v>
      </c>
      <c r="B58" s="14"/>
      <c r="C58" s="14"/>
      <c r="D58" s="21"/>
      <c r="E58" s="125"/>
      <c r="F58" s="125"/>
      <c r="G58" s="125"/>
      <c r="H58" s="125"/>
      <c r="I58" s="125"/>
      <c r="J58" s="125"/>
      <c r="K58" s="125"/>
      <c r="L58" s="125"/>
      <c r="M58" s="125"/>
      <c r="N58" s="125"/>
      <c r="O58" s="125"/>
      <c r="P58" s="125"/>
      <c r="Q58" s="125"/>
      <c r="R58" s="125"/>
      <c r="S58" s="125"/>
      <c r="T58" s="125"/>
      <c r="U58" s="125"/>
      <c r="V58" s="125"/>
      <c r="W58" s="125"/>
      <c r="X58" s="125"/>
    </row>
    <row r="59" spans="1:24">
      <c r="A59" s="191" t="str">
        <f>'6.1stYrOpBudget'!A70</f>
        <v>Payroll</v>
      </c>
      <c r="B59" s="15">
        <v>6510</v>
      </c>
      <c r="C59" s="62">
        <v>3.5000000000000003E-2</v>
      </c>
      <c r="D59" s="64"/>
      <c r="E59" s="66"/>
      <c r="F59" s="178">
        <f t="shared" ref="F59:X59" si="41">E59*(1+$C59)</f>
        <v>0</v>
      </c>
      <c r="G59" s="178">
        <f t="shared" si="41"/>
        <v>0</v>
      </c>
      <c r="H59" s="178">
        <f t="shared" si="41"/>
        <v>0</v>
      </c>
      <c r="I59" s="178">
        <f t="shared" si="41"/>
        <v>0</v>
      </c>
      <c r="J59" s="178">
        <f t="shared" si="41"/>
        <v>0</v>
      </c>
      <c r="K59" s="178">
        <f t="shared" si="41"/>
        <v>0</v>
      </c>
      <c r="L59" s="178">
        <f t="shared" si="41"/>
        <v>0</v>
      </c>
      <c r="M59" s="178">
        <f t="shared" si="41"/>
        <v>0</v>
      </c>
      <c r="N59" s="178">
        <f t="shared" si="41"/>
        <v>0</v>
      </c>
      <c r="O59" s="178">
        <f t="shared" si="41"/>
        <v>0</v>
      </c>
      <c r="P59" s="178">
        <f t="shared" si="41"/>
        <v>0</v>
      </c>
      <c r="Q59" s="178">
        <f t="shared" si="41"/>
        <v>0</v>
      </c>
      <c r="R59" s="178">
        <f t="shared" si="41"/>
        <v>0</v>
      </c>
      <c r="S59" s="178">
        <f t="shared" si="41"/>
        <v>0</v>
      </c>
      <c r="T59" s="178">
        <f t="shared" si="41"/>
        <v>0</v>
      </c>
      <c r="U59" s="178">
        <f t="shared" si="41"/>
        <v>0</v>
      </c>
      <c r="V59" s="178">
        <f t="shared" si="41"/>
        <v>0</v>
      </c>
      <c r="W59" s="178">
        <f t="shared" si="41"/>
        <v>0</v>
      </c>
      <c r="X59" s="178">
        <f t="shared" si="41"/>
        <v>0</v>
      </c>
    </row>
    <row r="60" spans="1:24">
      <c r="A60" s="191" t="str">
        <f>'6.1stYrOpBudget'!A71</f>
        <v>Supplies</v>
      </c>
      <c r="B60" s="15">
        <v>6515</v>
      </c>
      <c r="C60" s="62">
        <v>3.5000000000000003E-2</v>
      </c>
      <c r="D60" s="64"/>
      <c r="E60" s="66"/>
      <c r="F60" s="178">
        <f t="shared" ref="F60:X60" si="42">E60*(1+$C60)</f>
        <v>0</v>
      </c>
      <c r="G60" s="178">
        <f t="shared" si="42"/>
        <v>0</v>
      </c>
      <c r="H60" s="178">
        <f t="shared" si="42"/>
        <v>0</v>
      </c>
      <c r="I60" s="178">
        <f t="shared" si="42"/>
        <v>0</v>
      </c>
      <c r="J60" s="178">
        <f t="shared" si="42"/>
        <v>0</v>
      </c>
      <c r="K60" s="178">
        <f t="shared" si="42"/>
        <v>0</v>
      </c>
      <c r="L60" s="178">
        <f t="shared" si="42"/>
        <v>0</v>
      </c>
      <c r="M60" s="178">
        <f t="shared" si="42"/>
        <v>0</v>
      </c>
      <c r="N60" s="178">
        <f t="shared" si="42"/>
        <v>0</v>
      </c>
      <c r="O60" s="178">
        <f t="shared" si="42"/>
        <v>0</v>
      </c>
      <c r="P60" s="178">
        <f t="shared" si="42"/>
        <v>0</v>
      </c>
      <c r="Q60" s="178">
        <f t="shared" si="42"/>
        <v>0</v>
      </c>
      <c r="R60" s="178">
        <f t="shared" si="42"/>
        <v>0</v>
      </c>
      <c r="S60" s="178">
        <f t="shared" si="42"/>
        <v>0</v>
      </c>
      <c r="T60" s="178">
        <f t="shared" si="42"/>
        <v>0</v>
      </c>
      <c r="U60" s="178">
        <f t="shared" si="42"/>
        <v>0</v>
      </c>
      <c r="V60" s="178">
        <f t="shared" si="42"/>
        <v>0</v>
      </c>
      <c r="W60" s="178">
        <f t="shared" si="42"/>
        <v>0</v>
      </c>
      <c r="X60" s="178">
        <f t="shared" si="42"/>
        <v>0</v>
      </c>
    </row>
    <row r="61" spans="1:24">
      <c r="A61" s="191" t="str">
        <f>'6.1stYrOpBudget'!A72</f>
        <v>Contracts</v>
      </c>
      <c r="B61" s="15">
        <v>6520</v>
      </c>
      <c r="C61" s="62">
        <v>3.5000000000000003E-2</v>
      </c>
      <c r="D61" s="64"/>
      <c r="E61" s="66"/>
      <c r="F61" s="178">
        <f t="shared" ref="F61:X61" si="43">E61*(1+$C61)</f>
        <v>0</v>
      </c>
      <c r="G61" s="178">
        <f t="shared" si="43"/>
        <v>0</v>
      </c>
      <c r="H61" s="178">
        <f t="shared" si="43"/>
        <v>0</v>
      </c>
      <c r="I61" s="178">
        <f t="shared" si="43"/>
        <v>0</v>
      </c>
      <c r="J61" s="178">
        <f t="shared" si="43"/>
        <v>0</v>
      </c>
      <c r="K61" s="178">
        <f t="shared" si="43"/>
        <v>0</v>
      </c>
      <c r="L61" s="178">
        <f t="shared" si="43"/>
        <v>0</v>
      </c>
      <c r="M61" s="178">
        <f t="shared" si="43"/>
        <v>0</v>
      </c>
      <c r="N61" s="178">
        <f t="shared" si="43"/>
        <v>0</v>
      </c>
      <c r="O61" s="178">
        <f t="shared" si="43"/>
        <v>0</v>
      </c>
      <c r="P61" s="178">
        <f t="shared" si="43"/>
        <v>0</v>
      </c>
      <c r="Q61" s="178">
        <f t="shared" si="43"/>
        <v>0</v>
      </c>
      <c r="R61" s="178">
        <f t="shared" si="43"/>
        <v>0</v>
      </c>
      <c r="S61" s="178">
        <f t="shared" si="43"/>
        <v>0</v>
      </c>
      <c r="T61" s="178">
        <f t="shared" si="43"/>
        <v>0</v>
      </c>
      <c r="U61" s="178">
        <f t="shared" si="43"/>
        <v>0</v>
      </c>
      <c r="V61" s="178">
        <f t="shared" si="43"/>
        <v>0</v>
      </c>
      <c r="W61" s="178">
        <f t="shared" si="43"/>
        <v>0</v>
      </c>
      <c r="X61" s="178">
        <f t="shared" si="43"/>
        <v>0</v>
      </c>
    </row>
    <row r="62" spans="1:24">
      <c r="A62" s="191" t="str">
        <f>'6.1stYrOpBudget'!A73</f>
        <v>Garbage and Trash Removal</v>
      </c>
      <c r="B62" s="15">
        <v>6525</v>
      </c>
      <c r="C62" s="62">
        <v>3.5000000000000003E-2</v>
      </c>
      <c r="D62" s="64"/>
      <c r="E62" s="66"/>
      <c r="F62" s="178">
        <f t="shared" ref="F62:X62" si="44">E62*(1+$C62)</f>
        <v>0</v>
      </c>
      <c r="G62" s="178">
        <f t="shared" si="44"/>
        <v>0</v>
      </c>
      <c r="H62" s="178">
        <f t="shared" si="44"/>
        <v>0</v>
      </c>
      <c r="I62" s="178">
        <f t="shared" si="44"/>
        <v>0</v>
      </c>
      <c r="J62" s="178">
        <f t="shared" si="44"/>
        <v>0</v>
      </c>
      <c r="K62" s="178">
        <f t="shared" si="44"/>
        <v>0</v>
      </c>
      <c r="L62" s="178">
        <f t="shared" si="44"/>
        <v>0</v>
      </c>
      <c r="M62" s="178">
        <f t="shared" si="44"/>
        <v>0</v>
      </c>
      <c r="N62" s="178">
        <f t="shared" si="44"/>
        <v>0</v>
      </c>
      <c r="O62" s="178">
        <f t="shared" si="44"/>
        <v>0</v>
      </c>
      <c r="P62" s="178">
        <f t="shared" si="44"/>
        <v>0</v>
      </c>
      <c r="Q62" s="178">
        <f t="shared" si="44"/>
        <v>0</v>
      </c>
      <c r="R62" s="178">
        <f t="shared" si="44"/>
        <v>0</v>
      </c>
      <c r="S62" s="178">
        <f t="shared" si="44"/>
        <v>0</v>
      </c>
      <c r="T62" s="178">
        <f t="shared" si="44"/>
        <v>0</v>
      </c>
      <c r="U62" s="178">
        <f t="shared" si="44"/>
        <v>0</v>
      </c>
      <c r="V62" s="178">
        <f t="shared" si="44"/>
        <v>0</v>
      </c>
      <c r="W62" s="178">
        <f t="shared" si="44"/>
        <v>0</v>
      </c>
      <c r="X62" s="178">
        <f t="shared" si="44"/>
        <v>0</v>
      </c>
    </row>
    <row r="63" spans="1:24">
      <c r="A63" s="191" t="str">
        <f>'6.1stYrOpBudget'!A74</f>
        <v>Security Payroll/Contract</v>
      </c>
      <c r="B63" s="15">
        <v>6530</v>
      </c>
      <c r="C63" s="62">
        <v>3.5000000000000003E-2</v>
      </c>
      <c r="D63" s="64"/>
      <c r="E63" s="66"/>
      <c r="F63" s="178">
        <f t="shared" ref="F63:X63" si="45">E63*(1+$C63)</f>
        <v>0</v>
      </c>
      <c r="G63" s="178">
        <f t="shared" si="45"/>
        <v>0</v>
      </c>
      <c r="H63" s="178">
        <f t="shared" si="45"/>
        <v>0</v>
      </c>
      <c r="I63" s="178">
        <f t="shared" si="45"/>
        <v>0</v>
      </c>
      <c r="J63" s="178">
        <f t="shared" si="45"/>
        <v>0</v>
      </c>
      <c r="K63" s="178">
        <f t="shared" si="45"/>
        <v>0</v>
      </c>
      <c r="L63" s="178">
        <f t="shared" si="45"/>
        <v>0</v>
      </c>
      <c r="M63" s="178">
        <f t="shared" si="45"/>
        <v>0</v>
      </c>
      <c r="N63" s="178">
        <f t="shared" si="45"/>
        <v>0</v>
      </c>
      <c r="O63" s="178">
        <f t="shared" si="45"/>
        <v>0</v>
      </c>
      <c r="P63" s="178">
        <f t="shared" si="45"/>
        <v>0</v>
      </c>
      <c r="Q63" s="178">
        <f t="shared" si="45"/>
        <v>0</v>
      </c>
      <c r="R63" s="178">
        <f t="shared" si="45"/>
        <v>0</v>
      </c>
      <c r="S63" s="178">
        <f t="shared" si="45"/>
        <v>0</v>
      </c>
      <c r="T63" s="178">
        <f t="shared" si="45"/>
        <v>0</v>
      </c>
      <c r="U63" s="178">
        <f t="shared" si="45"/>
        <v>0</v>
      </c>
      <c r="V63" s="178">
        <f t="shared" si="45"/>
        <v>0</v>
      </c>
      <c r="W63" s="178">
        <f t="shared" si="45"/>
        <v>0</v>
      </c>
      <c r="X63" s="178">
        <f t="shared" si="45"/>
        <v>0</v>
      </c>
    </row>
    <row r="64" spans="1:24">
      <c r="A64" s="191" t="str">
        <f>'6.1stYrOpBudget'!A75</f>
        <v>HVAC Repairs and Maintenance</v>
      </c>
      <c r="B64" s="15">
        <v>6546</v>
      </c>
      <c r="C64" s="62">
        <v>3.5000000000000003E-2</v>
      </c>
      <c r="D64" s="64"/>
      <c r="E64" s="66"/>
      <c r="F64" s="178">
        <f t="shared" ref="F64:X64" si="46">E64*(1+$C64)</f>
        <v>0</v>
      </c>
      <c r="G64" s="178">
        <f t="shared" si="46"/>
        <v>0</v>
      </c>
      <c r="H64" s="178">
        <f t="shared" si="46"/>
        <v>0</v>
      </c>
      <c r="I64" s="178">
        <f t="shared" si="46"/>
        <v>0</v>
      </c>
      <c r="J64" s="178">
        <f t="shared" si="46"/>
        <v>0</v>
      </c>
      <c r="K64" s="178">
        <f t="shared" si="46"/>
        <v>0</v>
      </c>
      <c r="L64" s="178">
        <f t="shared" si="46"/>
        <v>0</v>
      </c>
      <c r="M64" s="178">
        <f t="shared" si="46"/>
        <v>0</v>
      </c>
      <c r="N64" s="178">
        <f t="shared" si="46"/>
        <v>0</v>
      </c>
      <c r="O64" s="178">
        <f t="shared" si="46"/>
        <v>0</v>
      </c>
      <c r="P64" s="178">
        <f t="shared" si="46"/>
        <v>0</v>
      </c>
      <c r="Q64" s="178">
        <f t="shared" si="46"/>
        <v>0</v>
      </c>
      <c r="R64" s="178">
        <f t="shared" si="46"/>
        <v>0</v>
      </c>
      <c r="S64" s="178">
        <f t="shared" si="46"/>
        <v>0</v>
      </c>
      <c r="T64" s="178">
        <f t="shared" si="46"/>
        <v>0</v>
      </c>
      <c r="U64" s="178">
        <f t="shared" si="46"/>
        <v>0</v>
      </c>
      <c r="V64" s="178">
        <f t="shared" si="46"/>
        <v>0</v>
      </c>
      <c r="W64" s="178">
        <f t="shared" si="46"/>
        <v>0</v>
      </c>
      <c r="X64" s="178">
        <f t="shared" si="46"/>
        <v>0</v>
      </c>
    </row>
    <row r="65" spans="1:52">
      <c r="A65" s="191" t="str">
        <f>'6.1stYrOpBudget'!A76</f>
        <v>Vehicle and Maintenance Equipment Operation and Repairs</v>
      </c>
      <c r="B65" s="15">
        <v>6570</v>
      </c>
      <c r="C65" s="62">
        <v>3.5000000000000003E-2</v>
      </c>
      <c r="D65" s="64"/>
      <c r="E65" s="66"/>
      <c r="F65" s="178">
        <f t="shared" ref="F65:X65" si="47">E65*(1+$C65)</f>
        <v>0</v>
      </c>
      <c r="G65" s="178">
        <f t="shared" si="47"/>
        <v>0</v>
      </c>
      <c r="H65" s="178">
        <f t="shared" si="47"/>
        <v>0</v>
      </c>
      <c r="I65" s="178">
        <f t="shared" si="47"/>
        <v>0</v>
      </c>
      <c r="J65" s="178">
        <f t="shared" si="47"/>
        <v>0</v>
      </c>
      <c r="K65" s="178">
        <f t="shared" si="47"/>
        <v>0</v>
      </c>
      <c r="L65" s="178">
        <f t="shared" si="47"/>
        <v>0</v>
      </c>
      <c r="M65" s="178">
        <f t="shared" si="47"/>
        <v>0</v>
      </c>
      <c r="N65" s="178">
        <f t="shared" si="47"/>
        <v>0</v>
      </c>
      <c r="O65" s="178">
        <f t="shared" si="47"/>
        <v>0</v>
      </c>
      <c r="P65" s="178">
        <f t="shared" si="47"/>
        <v>0</v>
      </c>
      <c r="Q65" s="178">
        <f t="shared" si="47"/>
        <v>0</v>
      </c>
      <c r="R65" s="178">
        <f t="shared" si="47"/>
        <v>0</v>
      </c>
      <c r="S65" s="178">
        <f t="shared" si="47"/>
        <v>0</v>
      </c>
      <c r="T65" s="178">
        <f t="shared" si="47"/>
        <v>0</v>
      </c>
      <c r="U65" s="178">
        <f t="shared" si="47"/>
        <v>0</v>
      </c>
      <c r="V65" s="178">
        <f t="shared" si="47"/>
        <v>0</v>
      </c>
      <c r="W65" s="178">
        <f t="shared" si="47"/>
        <v>0</v>
      </c>
      <c r="X65" s="178">
        <f t="shared" si="47"/>
        <v>0</v>
      </c>
    </row>
    <row r="66" spans="1:52">
      <c r="A66" s="191" t="str">
        <f>'6.1stYrOpBudget'!A77</f>
        <v>Miscellaneous Operating and Maintenance Expenses</v>
      </c>
      <c r="B66" s="15">
        <v>6590</v>
      </c>
      <c r="C66" s="62">
        <v>3.5000000000000003E-2</v>
      </c>
      <c r="D66" s="67"/>
      <c r="E66" s="66"/>
      <c r="F66" s="178">
        <f t="shared" ref="F66:X66" si="48">E66*(1+$C66)</f>
        <v>0</v>
      </c>
      <c r="G66" s="178">
        <f t="shared" si="48"/>
        <v>0</v>
      </c>
      <c r="H66" s="178">
        <f t="shared" si="48"/>
        <v>0</v>
      </c>
      <c r="I66" s="178">
        <f t="shared" si="48"/>
        <v>0</v>
      </c>
      <c r="J66" s="178">
        <f t="shared" si="48"/>
        <v>0</v>
      </c>
      <c r="K66" s="178">
        <f t="shared" si="48"/>
        <v>0</v>
      </c>
      <c r="L66" s="178">
        <f t="shared" si="48"/>
        <v>0</v>
      </c>
      <c r="M66" s="178">
        <f t="shared" si="48"/>
        <v>0</v>
      </c>
      <c r="N66" s="178">
        <f t="shared" si="48"/>
        <v>0</v>
      </c>
      <c r="O66" s="178">
        <f t="shared" si="48"/>
        <v>0</v>
      </c>
      <c r="P66" s="178">
        <f t="shared" si="48"/>
        <v>0</v>
      </c>
      <c r="Q66" s="178">
        <f t="shared" si="48"/>
        <v>0</v>
      </c>
      <c r="R66" s="178">
        <f t="shared" si="48"/>
        <v>0</v>
      </c>
      <c r="S66" s="178">
        <f t="shared" si="48"/>
        <v>0</v>
      </c>
      <c r="T66" s="178">
        <f t="shared" si="48"/>
        <v>0</v>
      </c>
      <c r="U66" s="178">
        <f t="shared" si="48"/>
        <v>0</v>
      </c>
      <c r="V66" s="178">
        <f t="shared" si="48"/>
        <v>0</v>
      </c>
      <c r="W66" s="178">
        <f t="shared" si="48"/>
        <v>0</v>
      </c>
      <c r="X66" s="178">
        <f t="shared" si="48"/>
        <v>0</v>
      </c>
    </row>
    <row r="67" spans="1:52">
      <c r="A67" s="27" t="str">
        <f>'6.1stYrOpBudget'!B78</f>
        <v>Sub-total Maintenance &amp; Repair Expenses</v>
      </c>
      <c r="B67" s="8"/>
      <c r="C67" s="8"/>
      <c r="D67" s="21"/>
      <c r="E67" s="175">
        <f>SUM(E59:E66)</f>
        <v>0</v>
      </c>
      <c r="F67" s="175">
        <f t="shared" ref="F67:P67" si="49">SUM(F59:F66)</f>
        <v>0</v>
      </c>
      <c r="G67" s="175">
        <f t="shared" si="49"/>
        <v>0</v>
      </c>
      <c r="H67" s="175">
        <f t="shared" si="49"/>
        <v>0</v>
      </c>
      <c r="I67" s="175">
        <f t="shared" si="49"/>
        <v>0</v>
      </c>
      <c r="J67" s="175">
        <f t="shared" si="49"/>
        <v>0</v>
      </c>
      <c r="K67" s="175">
        <f t="shared" si="49"/>
        <v>0</v>
      </c>
      <c r="L67" s="175">
        <f t="shared" si="49"/>
        <v>0</v>
      </c>
      <c r="M67" s="175">
        <f t="shared" si="49"/>
        <v>0</v>
      </c>
      <c r="N67" s="175">
        <f t="shared" si="49"/>
        <v>0</v>
      </c>
      <c r="O67" s="175">
        <f t="shared" si="49"/>
        <v>0</v>
      </c>
      <c r="P67" s="175">
        <f t="shared" si="49"/>
        <v>0</v>
      </c>
      <c r="Q67" s="175">
        <f t="shared" ref="Q67:X67" si="50">SUM(Q59:Q66)</f>
        <v>0</v>
      </c>
      <c r="R67" s="175">
        <f t="shared" si="50"/>
        <v>0</v>
      </c>
      <c r="S67" s="175">
        <f t="shared" si="50"/>
        <v>0</v>
      </c>
      <c r="T67" s="175">
        <f t="shared" si="50"/>
        <v>0</v>
      </c>
      <c r="U67" s="175">
        <f t="shared" si="50"/>
        <v>0</v>
      </c>
      <c r="V67" s="175">
        <f t="shared" si="50"/>
        <v>0</v>
      </c>
      <c r="W67" s="175">
        <f t="shared" si="50"/>
        <v>0</v>
      </c>
      <c r="X67" s="175">
        <f t="shared" si="50"/>
        <v>0</v>
      </c>
    </row>
    <row r="68" spans="1:52" s="6" customFormat="1" hidden="1">
      <c r="A68" s="192" t="str">
        <f>'6.1stYrOpBudget'!A80</f>
        <v>Supportive Services</v>
      </c>
      <c r="B68" s="8">
        <v>6900</v>
      </c>
      <c r="C68" s="185"/>
      <c r="D68" s="193"/>
      <c r="E68" s="178"/>
      <c r="F68" s="178"/>
      <c r="G68" s="178"/>
      <c r="H68" s="178"/>
      <c r="I68" s="178"/>
      <c r="J68" s="178"/>
      <c r="K68" s="178"/>
      <c r="L68" s="178"/>
      <c r="M68" s="178"/>
      <c r="N68" s="178"/>
      <c r="O68" s="178"/>
      <c r="P68" s="178"/>
      <c r="Q68" s="178"/>
      <c r="R68" s="178"/>
      <c r="S68" s="178"/>
      <c r="T68" s="178"/>
      <c r="U68" s="178"/>
      <c r="V68" s="178"/>
      <c r="W68" s="178"/>
      <c r="X68" s="178"/>
    </row>
    <row r="69" spans="1:52" s="6" customFormat="1" hidden="1">
      <c r="A69" s="194" t="str">
        <f>'6.1stYrOpBudget'!A81</f>
        <v>Commercial Expenses</v>
      </c>
      <c r="B69" s="195"/>
      <c r="C69" s="196"/>
      <c r="D69" s="197"/>
      <c r="E69" s="178"/>
      <c r="F69" s="178"/>
      <c r="G69" s="178"/>
      <c r="H69" s="178"/>
      <c r="I69" s="178"/>
      <c r="J69" s="178"/>
      <c r="K69" s="178"/>
      <c r="L69" s="178"/>
      <c r="M69" s="178"/>
      <c r="N69" s="178"/>
      <c r="O69" s="178"/>
      <c r="P69" s="178"/>
      <c r="Q69" s="178"/>
      <c r="R69" s="178"/>
      <c r="S69" s="178"/>
      <c r="T69" s="178"/>
      <c r="U69" s="178"/>
      <c r="V69" s="178"/>
      <c r="W69" s="178"/>
      <c r="X69" s="178"/>
    </row>
    <row r="70" spans="1:52">
      <c r="A70" s="11"/>
      <c r="B70" s="12"/>
      <c r="C70" s="12"/>
      <c r="D70" s="21"/>
      <c r="E70" s="125"/>
      <c r="F70" s="125"/>
      <c r="G70" s="125"/>
      <c r="H70" s="125"/>
      <c r="I70" s="125"/>
      <c r="J70" s="125"/>
      <c r="K70" s="125"/>
      <c r="L70" s="125"/>
      <c r="M70" s="125"/>
      <c r="N70" s="125"/>
      <c r="O70" s="125"/>
      <c r="P70" s="125"/>
      <c r="Q70" s="125"/>
      <c r="R70" s="125"/>
      <c r="S70" s="125"/>
      <c r="T70" s="125"/>
      <c r="U70" s="125"/>
      <c r="V70" s="125"/>
      <c r="W70" s="125"/>
      <c r="X70" s="125"/>
    </row>
    <row r="71" spans="1:52">
      <c r="A71" s="74" t="str">
        <f>'6.1stYrOpBudget'!A85</f>
        <v>Reserves/Ground Lease Base Rent/Bond Fees</v>
      </c>
      <c r="B71" s="12"/>
      <c r="C71" s="12"/>
      <c r="D71" s="21"/>
      <c r="E71" s="125"/>
      <c r="F71" s="125"/>
      <c r="G71" s="125"/>
      <c r="H71" s="125"/>
      <c r="I71" s="125"/>
      <c r="J71" s="125"/>
      <c r="K71" s="125"/>
      <c r="L71" s="125"/>
      <c r="M71" s="125"/>
      <c r="N71" s="125"/>
      <c r="O71" s="125"/>
      <c r="P71" s="125"/>
      <c r="Q71" s="125"/>
      <c r="R71" s="125"/>
      <c r="S71" s="125"/>
      <c r="T71" s="125"/>
      <c r="U71" s="125"/>
      <c r="V71" s="125"/>
      <c r="W71" s="125"/>
      <c r="X71" s="125"/>
    </row>
    <row r="72" spans="1:52" hidden="1">
      <c r="A72" s="198" t="str">
        <f>'6.1stYrOpBudget'!A86</f>
        <v xml:space="preserve">Ground Lease Base Rent </v>
      </c>
      <c r="B72" s="12"/>
      <c r="C72" s="12"/>
      <c r="D72" s="199"/>
      <c r="E72" s="178"/>
      <c r="F72" s="179"/>
      <c r="G72" s="179"/>
      <c r="H72" s="179"/>
      <c r="I72" s="179"/>
      <c r="J72" s="179"/>
      <c r="K72" s="179"/>
      <c r="L72" s="179"/>
      <c r="M72" s="179"/>
      <c r="N72" s="179"/>
      <c r="O72" s="179"/>
      <c r="P72" s="179"/>
      <c r="Q72" s="179"/>
      <c r="R72" s="179"/>
      <c r="S72" s="179"/>
      <c r="T72" s="179"/>
      <c r="U72" s="179"/>
      <c r="V72" s="179"/>
      <c r="W72" s="179"/>
      <c r="X72" s="179"/>
      <c r="Y72" s="179"/>
      <c r="AB72" s="179"/>
      <c r="AE72" s="179"/>
      <c r="AH72" s="179"/>
      <c r="AK72" s="179"/>
      <c r="AN72" s="179"/>
      <c r="AQ72" s="179"/>
      <c r="AT72" s="179"/>
      <c r="AW72" s="179"/>
      <c r="AZ72" s="179"/>
    </row>
    <row r="73" spans="1:52" hidden="1">
      <c r="A73" s="198" t="str">
        <f>'6.1stYrOpBudget'!A87</f>
        <v xml:space="preserve">Bond Monitoring Fee </v>
      </c>
      <c r="B73" s="12"/>
      <c r="C73" s="12"/>
      <c r="D73" s="199"/>
      <c r="E73" s="178"/>
      <c r="F73" s="179"/>
      <c r="G73" s="179"/>
      <c r="H73" s="179"/>
      <c r="I73" s="179"/>
      <c r="J73" s="179"/>
      <c r="K73" s="179"/>
      <c r="L73" s="179"/>
      <c r="M73" s="179"/>
      <c r="N73" s="179"/>
      <c r="O73" s="179"/>
      <c r="P73" s="179"/>
      <c r="Q73" s="179"/>
      <c r="R73" s="179"/>
      <c r="S73" s="179"/>
      <c r="T73" s="179"/>
      <c r="U73" s="179"/>
      <c r="V73" s="179"/>
      <c r="W73" s="179"/>
      <c r="X73" s="179"/>
      <c r="Y73" s="179"/>
      <c r="AB73" s="179"/>
      <c r="AE73" s="179"/>
      <c r="AH73" s="179"/>
      <c r="AK73" s="179"/>
      <c r="AN73" s="179"/>
      <c r="AQ73" s="179"/>
      <c r="AT73" s="179"/>
      <c r="AW73" s="179"/>
      <c r="AZ73" s="179"/>
    </row>
    <row r="74" spans="1:52" s="223" customFormat="1">
      <c r="A74" s="191" t="str">
        <f>'6.1stYrOpBudget'!A88</f>
        <v>Replacement Reserve Deposit</v>
      </c>
      <c r="B74" s="12"/>
      <c r="C74" s="12"/>
      <c r="D74" s="64"/>
      <c r="E74" s="66"/>
      <c r="F74" s="66"/>
      <c r="G74" s="66"/>
      <c r="H74" s="66"/>
      <c r="I74" s="66"/>
      <c r="J74" s="66"/>
      <c r="K74" s="66"/>
      <c r="L74" s="66"/>
      <c r="M74" s="66"/>
      <c r="N74" s="66"/>
      <c r="O74" s="66"/>
      <c r="P74" s="66"/>
      <c r="Q74" s="66"/>
      <c r="R74" s="66"/>
      <c r="S74" s="66"/>
      <c r="T74" s="66"/>
      <c r="U74" s="66"/>
      <c r="V74" s="66"/>
      <c r="W74" s="66"/>
      <c r="X74" s="66"/>
      <c r="Y74" s="18"/>
      <c r="AB74" s="18"/>
      <c r="AE74" s="18"/>
      <c r="AH74" s="18"/>
      <c r="AK74" s="18"/>
      <c r="AN74" s="18"/>
      <c r="AQ74" s="18"/>
      <c r="AT74" s="18"/>
      <c r="AW74" s="18"/>
      <c r="AZ74" s="18"/>
    </row>
    <row r="75" spans="1:52" s="223" customFormat="1">
      <c r="A75" s="191" t="str">
        <f>'6.1stYrOpBudget'!A89</f>
        <v>Operating Reserve Deposit</v>
      </c>
      <c r="B75" s="12"/>
      <c r="C75" s="12"/>
      <c r="D75" s="64"/>
      <c r="E75" s="66"/>
      <c r="F75" s="66"/>
      <c r="G75" s="66"/>
      <c r="H75" s="66"/>
      <c r="I75" s="66"/>
      <c r="J75" s="66"/>
      <c r="K75" s="66"/>
      <c r="L75" s="66"/>
      <c r="M75" s="66"/>
      <c r="N75" s="66"/>
      <c r="O75" s="66"/>
      <c r="P75" s="66"/>
      <c r="Q75" s="66"/>
      <c r="R75" s="66"/>
      <c r="S75" s="66"/>
      <c r="T75" s="66"/>
      <c r="U75" s="66"/>
      <c r="V75" s="66"/>
      <c r="W75" s="66"/>
      <c r="X75" s="66"/>
      <c r="Y75" s="18"/>
      <c r="AB75" s="18"/>
      <c r="AE75" s="18"/>
      <c r="AH75" s="18"/>
      <c r="AK75" s="18"/>
      <c r="AN75" s="18"/>
      <c r="AQ75" s="18"/>
      <c r="AT75" s="18"/>
      <c r="AW75" s="18"/>
      <c r="AZ75" s="18"/>
    </row>
    <row r="76" spans="1:52" s="223" customFormat="1">
      <c r="A76" s="191" t="str">
        <f>'6.1stYrOpBudget'!A90</f>
        <v>Other Required Reserve 1 Deposit</v>
      </c>
      <c r="B76" s="12"/>
      <c r="C76" s="12"/>
      <c r="D76" s="64"/>
      <c r="E76" s="66"/>
      <c r="F76" s="66"/>
      <c r="G76" s="66"/>
      <c r="H76" s="66"/>
      <c r="I76" s="66"/>
      <c r="J76" s="66"/>
      <c r="K76" s="66"/>
      <c r="L76" s="66"/>
      <c r="M76" s="66"/>
      <c r="N76" s="66"/>
      <c r="O76" s="66"/>
      <c r="P76" s="66"/>
      <c r="Q76" s="66"/>
      <c r="R76" s="66"/>
      <c r="S76" s="66"/>
      <c r="T76" s="66"/>
      <c r="U76" s="66"/>
      <c r="V76" s="66"/>
      <c r="W76" s="66"/>
      <c r="X76" s="66"/>
      <c r="Y76" s="18"/>
      <c r="AB76" s="18"/>
      <c r="AE76" s="18"/>
      <c r="AH76" s="18"/>
      <c r="AK76" s="18"/>
      <c r="AN76" s="18"/>
      <c r="AQ76" s="18"/>
      <c r="AT76" s="18"/>
      <c r="AW76" s="18"/>
      <c r="AZ76" s="18"/>
    </row>
    <row r="77" spans="1:52" s="223" customFormat="1">
      <c r="A77" s="191" t="str">
        <f>'6.1stYrOpBudget'!A91</f>
        <v>Other Required Reserve 2 Deposit</v>
      </c>
      <c r="B77" s="12"/>
      <c r="C77" s="12"/>
      <c r="D77" s="64"/>
      <c r="E77" s="66"/>
      <c r="F77" s="66"/>
      <c r="G77" s="66"/>
      <c r="H77" s="66"/>
      <c r="I77" s="66"/>
      <c r="J77" s="66"/>
      <c r="K77" s="66"/>
      <c r="L77" s="66"/>
      <c r="M77" s="66"/>
      <c r="N77" s="66"/>
      <c r="O77" s="66"/>
      <c r="P77" s="66"/>
      <c r="Q77" s="66"/>
      <c r="R77" s="66"/>
      <c r="S77" s="66"/>
      <c r="T77" s="66"/>
      <c r="U77" s="66"/>
      <c r="V77" s="66"/>
      <c r="W77" s="66"/>
      <c r="X77" s="66"/>
      <c r="Y77" s="18"/>
      <c r="AB77" s="18"/>
      <c r="AE77" s="18"/>
      <c r="AH77" s="18"/>
      <c r="AK77" s="18"/>
      <c r="AN77" s="18"/>
      <c r="AQ77" s="18"/>
      <c r="AT77" s="18"/>
      <c r="AW77" s="18"/>
      <c r="AZ77" s="18"/>
    </row>
    <row r="78" spans="1:52">
      <c r="A78" s="27" t="str">
        <f>'6.1stYrOpBudget'!B93</f>
        <v>Sub-total Reserves/Ground Lease Base Rent/Bond Fees</v>
      </c>
      <c r="B78" s="8"/>
      <c r="C78" s="8"/>
      <c r="D78" s="21"/>
      <c r="E78" s="228">
        <f>SUM(E74:E77)</f>
        <v>0</v>
      </c>
      <c r="F78" s="125">
        <f t="shared" ref="F78:Y78" si="51">SUM(F72:F77)</f>
        <v>0</v>
      </c>
      <c r="G78" s="125">
        <f t="shared" si="51"/>
        <v>0</v>
      </c>
      <c r="H78" s="125">
        <f t="shared" si="51"/>
        <v>0</v>
      </c>
      <c r="I78" s="125">
        <f t="shared" si="51"/>
        <v>0</v>
      </c>
      <c r="J78" s="125">
        <f t="shared" si="51"/>
        <v>0</v>
      </c>
      <c r="K78" s="125">
        <f t="shared" si="51"/>
        <v>0</v>
      </c>
      <c r="L78" s="125">
        <f t="shared" si="51"/>
        <v>0</v>
      </c>
      <c r="M78" s="125">
        <f t="shared" si="51"/>
        <v>0</v>
      </c>
      <c r="N78" s="125">
        <f t="shared" si="51"/>
        <v>0</v>
      </c>
      <c r="O78" s="125">
        <f t="shared" si="51"/>
        <v>0</v>
      </c>
      <c r="P78" s="125">
        <f t="shared" si="51"/>
        <v>0</v>
      </c>
      <c r="Q78" s="125">
        <f t="shared" si="51"/>
        <v>0</v>
      </c>
      <c r="R78" s="125">
        <f t="shared" si="51"/>
        <v>0</v>
      </c>
      <c r="S78" s="125">
        <f t="shared" si="51"/>
        <v>0</v>
      </c>
      <c r="T78" s="125">
        <f t="shared" si="51"/>
        <v>0</v>
      </c>
      <c r="U78" s="125">
        <f t="shared" si="51"/>
        <v>0</v>
      </c>
      <c r="V78" s="125">
        <f t="shared" si="51"/>
        <v>0</v>
      </c>
      <c r="W78" s="125">
        <f t="shared" si="51"/>
        <v>0</v>
      </c>
      <c r="X78" s="125">
        <f t="shared" si="51"/>
        <v>0</v>
      </c>
      <c r="Y78" s="125">
        <f t="shared" si="51"/>
        <v>0</v>
      </c>
      <c r="AB78" s="125">
        <f>SUM(AB72:AB77)</f>
        <v>0</v>
      </c>
      <c r="AE78" s="125">
        <f>SUM(AE72:AE77)</f>
        <v>0</v>
      </c>
      <c r="AH78" s="125">
        <f>SUM(AH72:AH77)</f>
        <v>0</v>
      </c>
      <c r="AK78" s="125">
        <f>SUM(AK72:AK77)</f>
        <v>0</v>
      </c>
      <c r="AN78" s="125">
        <f>SUM(AN72:AN77)</f>
        <v>0</v>
      </c>
      <c r="AQ78" s="125">
        <f>SUM(AQ72:AQ77)</f>
        <v>0</v>
      </c>
      <c r="AT78" s="125">
        <f>SUM(AT72:AT77)</f>
        <v>0</v>
      </c>
      <c r="AW78" s="125">
        <f>SUM(AW72:AW77)</f>
        <v>0</v>
      </c>
      <c r="AZ78" s="125">
        <f>SUM(AZ72:AZ77)</f>
        <v>0</v>
      </c>
    </row>
    <row r="79" spans="1:52" ht="6" customHeight="1">
      <c r="A79" s="11"/>
      <c r="B79" s="12"/>
      <c r="C79" s="12"/>
      <c r="D79" s="21"/>
      <c r="E79" s="175"/>
      <c r="F79" s="125"/>
      <c r="G79" s="125"/>
      <c r="H79" s="125"/>
      <c r="I79" s="125"/>
      <c r="J79" s="125"/>
      <c r="K79" s="125"/>
      <c r="L79" s="125"/>
      <c r="M79" s="125"/>
      <c r="N79" s="125"/>
      <c r="O79" s="125"/>
      <c r="P79" s="125"/>
      <c r="Q79" s="125"/>
      <c r="R79" s="125"/>
      <c r="S79" s="125"/>
      <c r="T79" s="125"/>
      <c r="U79" s="125"/>
      <c r="V79" s="125"/>
      <c r="W79" s="125"/>
      <c r="X79" s="125"/>
      <c r="Y79" s="125"/>
      <c r="AB79" s="125"/>
      <c r="AE79" s="125"/>
      <c r="AH79" s="125"/>
      <c r="AK79" s="125"/>
      <c r="AN79" s="125"/>
      <c r="AQ79" s="125"/>
      <c r="AT79" s="125"/>
      <c r="AW79" s="125"/>
      <c r="AZ79" s="125"/>
    </row>
    <row r="80" spans="1:52">
      <c r="A80" s="74" t="s">
        <v>1231</v>
      </c>
      <c r="B80" s="8"/>
      <c r="C80" s="8"/>
      <c r="D80" s="21"/>
      <c r="E80" s="175">
        <f>E23+E46+E51+E57+E67+E78</f>
        <v>0</v>
      </c>
      <c r="F80" s="175">
        <f>F23+F46+F51+F57+F67+F78</f>
        <v>0</v>
      </c>
      <c r="G80" s="175">
        <f t="shared" ref="G80:X80" si="52">G23+G46+G51+G57+G67+G78</f>
        <v>0</v>
      </c>
      <c r="H80" s="175">
        <f>H23+H46+H51+H57+H67+H78</f>
        <v>0</v>
      </c>
      <c r="I80" s="175">
        <f t="shared" si="52"/>
        <v>0</v>
      </c>
      <c r="J80" s="175">
        <f t="shared" si="52"/>
        <v>0</v>
      </c>
      <c r="K80" s="175">
        <f t="shared" si="52"/>
        <v>0</v>
      </c>
      <c r="L80" s="175">
        <f t="shared" si="52"/>
        <v>0</v>
      </c>
      <c r="M80" s="175">
        <f t="shared" si="52"/>
        <v>0</v>
      </c>
      <c r="N80" s="175">
        <f t="shared" si="52"/>
        <v>0</v>
      </c>
      <c r="O80" s="175">
        <f t="shared" si="52"/>
        <v>0</v>
      </c>
      <c r="P80" s="175">
        <f t="shared" si="52"/>
        <v>0</v>
      </c>
      <c r="Q80" s="175">
        <f t="shared" si="52"/>
        <v>0</v>
      </c>
      <c r="R80" s="175">
        <f t="shared" si="52"/>
        <v>0</v>
      </c>
      <c r="S80" s="175">
        <f t="shared" si="52"/>
        <v>0</v>
      </c>
      <c r="T80" s="175">
        <f t="shared" si="52"/>
        <v>0</v>
      </c>
      <c r="U80" s="175">
        <f t="shared" si="52"/>
        <v>0</v>
      </c>
      <c r="V80" s="175">
        <f t="shared" si="52"/>
        <v>0</v>
      </c>
      <c r="W80" s="175">
        <f t="shared" si="52"/>
        <v>0</v>
      </c>
      <c r="X80" s="175">
        <f t="shared" si="52"/>
        <v>0</v>
      </c>
    </row>
    <row r="81" spans="1:24" ht="6" customHeight="1">
      <c r="A81" s="11"/>
      <c r="B81" s="12"/>
      <c r="C81" s="12"/>
      <c r="D81" s="21"/>
      <c r="E81" s="125"/>
      <c r="F81" s="125"/>
      <c r="G81" s="125"/>
      <c r="H81" s="125"/>
      <c r="I81" s="125"/>
      <c r="J81" s="125"/>
      <c r="K81" s="125"/>
      <c r="L81" s="125"/>
      <c r="M81" s="125"/>
      <c r="N81" s="125"/>
      <c r="O81" s="125"/>
      <c r="P81" s="125"/>
      <c r="Q81" s="125"/>
      <c r="R81" s="125"/>
      <c r="S81" s="125"/>
      <c r="T81" s="125"/>
      <c r="U81" s="125"/>
      <c r="V81" s="125"/>
      <c r="W81" s="125"/>
      <c r="X81" s="125"/>
    </row>
    <row r="82" spans="1:24">
      <c r="A82" s="74" t="s">
        <v>1232</v>
      </c>
      <c r="B82" s="8"/>
      <c r="C82" s="8"/>
      <c r="D82" s="21"/>
      <c r="E82" s="222">
        <f t="shared" ref="E82:X82" si="53">E16-E80</f>
        <v>0</v>
      </c>
      <c r="F82" s="222">
        <f t="shared" si="53"/>
        <v>0</v>
      </c>
      <c r="G82" s="222">
        <f t="shared" si="53"/>
        <v>0</v>
      </c>
      <c r="H82" s="222">
        <f t="shared" si="53"/>
        <v>0</v>
      </c>
      <c r="I82" s="222">
        <f t="shared" si="53"/>
        <v>0</v>
      </c>
      <c r="J82" s="222">
        <f t="shared" si="53"/>
        <v>0</v>
      </c>
      <c r="K82" s="222">
        <f t="shared" si="53"/>
        <v>0</v>
      </c>
      <c r="L82" s="222">
        <f t="shared" si="53"/>
        <v>0</v>
      </c>
      <c r="M82" s="222">
        <f t="shared" si="53"/>
        <v>0</v>
      </c>
      <c r="N82" s="222">
        <f t="shared" si="53"/>
        <v>0</v>
      </c>
      <c r="O82" s="222">
        <f t="shared" si="53"/>
        <v>0</v>
      </c>
      <c r="P82" s="222">
        <f t="shared" si="53"/>
        <v>0</v>
      </c>
      <c r="Q82" s="222">
        <f t="shared" si="53"/>
        <v>0</v>
      </c>
      <c r="R82" s="222">
        <f t="shared" si="53"/>
        <v>0</v>
      </c>
      <c r="S82" s="222">
        <f t="shared" si="53"/>
        <v>0</v>
      </c>
      <c r="T82" s="222">
        <f t="shared" si="53"/>
        <v>0</v>
      </c>
      <c r="U82" s="222">
        <f t="shared" si="53"/>
        <v>0</v>
      </c>
      <c r="V82" s="222">
        <f t="shared" si="53"/>
        <v>0</v>
      </c>
      <c r="W82" s="222">
        <f t="shared" si="53"/>
        <v>0</v>
      </c>
      <c r="X82" s="222">
        <f t="shared" si="53"/>
        <v>0</v>
      </c>
    </row>
    <row r="83" spans="1:24" ht="6" customHeight="1">
      <c r="A83" s="6"/>
      <c r="B83" s="8"/>
      <c r="C83" s="8"/>
      <c r="D83" s="21"/>
      <c r="E83" s="125"/>
      <c r="F83" s="125"/>
      <c r="G83" s="125"/>
      <c r="H83" s="125"/>
      <c r="I83" s="125"/>
      <c r="J83" s="125"/>
      <c r="K83" s="125"/>
      <c r="L83" s="125"/>
      <c r="M83" s="125"/>
      <c r="N83" s="125"/>
      <c r="O83" s="125"/>
      <c r="P83" s="125"/>
      <c r="Q83" s="125"/>
      <c r="R83" s="125"/>
      <c r="S83" s="125"/>
      <c r="T83" s="125"/>
      <c r="U83" s="125"/>
      <c r="V83" s="125"/>
      <c r="W83" s="125"/>
      <c r="X83" s="125"/>
    </row>
    <row r="84" spans="1:24">
      <c r="A84" s="200" t="str">
        <f>'6.1stYrOpBudget'!A99</f>
        <v>DEBT SERVICE/MUST PAY PAYMENTS ("hard debt"/amortized loans)</v>
      </c>
      <c r="B84" s="9"/>
      <c r="C84" s="9"/>
      <c r="D84" s="21"/>
      <c r="E84" s="125"/>
      <c r="F84" s="125"/>
      <c r="G84" s="125"/>
      <c r="H84" s="125"/>
      <c r="I84" s="125"/>
      <c r="J84" s="125"/>
      <c r="K84" s="125"/>
      <c r="L84" s="125"/>
      <c r="M84" s="125"/>
      <c r="N84" s="125"/>
      <c r="O84" s="125"/>
      <c r="P84" s="125"/>
      <c r="Q84" s="125"/>
      <c r="R84" s="125"/>
      <c r="S84" s="125"/>
      <c r="T84" s="125"/>
      <c r="U84" s="125"/>
      <c r="V84" s="125"/>
      <c r="W84" s="125"/>
      <c r="X84" s="125"/>
    </row>
    <row r="85" spans="1:24" s="223" customFormat="1">
      <c r="A85" s="17" t="str">
        <f>'6.1stYrOpBudget'!A100</f>
        <v>Hard Debt - First Lender</v>
      </c>
      <c r="B85" s="9"/>
      <c r="C85" s="9"/>
      <c r="D85" s="64"/>
      <c r="E85" s="66"/>
      <c r="F85" s="66"/>
      <c r="G85" s="66"/>
      <c r="H85" s="66"/>
      <c r="I85" s="66"/>
      <c r="J85" s="66"/>
      <c r="K85" s="66"/>
      <c r="L85" s="66"/>
      <c r="M85" s="66"/>
      <c r="N85" s="66"/>
      <c r="O85" s="66"/>
      <c r="P85" s="66"/>
      <c r="Q85" s="66"/>
      <c r="R85" s="66"/>
      <c r="S85" s="66"/>
      <c r="T85" s="66"/>
      <c r="U85" s="66"/>
      <c r="V85" s="66"/>
      <c r="W85" s="66"/>
      <c r="X85" s="66"/>
    </row>
    <row r="86" spans="1:24" s="223" customFormat="1">
      <c r="A86" s="17" t="s">
        <v>277</v>
      </c>
      <c r="B86" s="9"/>
      <c r="C86" s="9"/>
      <c r="D86" s="64"/>
      <c r="E86" s="66"/>
      <c r="F86" s="66"/>
      <c r="G86" s="66"/>
      <c r="H86" s="66"/>
      <c r="I86" s="66"/>
      <c r="J86" s="66"/>
      <c r="K86" s="66"/>
      <c r="L86" s="66"/>
      <c r="M86" s="66"/>
      <c r="N86" s="66"/>
      <c r="O86" s="66"/>
      <c r="P86" s="66"/>
      <c r="Q86" s="66"/>
      <c r="R86" s="66"/>
      <c r="S86" s="66"/>
      <c r="T86" s="66"/>
      <c r="U86" s="66"/>
      <c r="V86" s="66"/>
      <c r="W86" s="66"/>
      <c r="X86" s="66"/>
    </row>
    <row r="87" spans="1:24" s="223" customFormat="1">
      <c r="A87" s="17" t="s">
        <v>278</v>
      </c>
      <c r="B87" s="9"/>
      <c r="C87" s="9"/>
      <c r="D87" s="64"/>
      <c r="E87" s="66"/>
      <c r="F87" s="66"/>
      <c r="G87" s="66"/>
      <c r="H87" s="66"/>
      <c r="I87" s="66"/>
      <c r="J87" s="66"/>
      <c r="K87" s="66"/>
      <c r="L87" s="66"/>
      <c r="M87" s="66"/>
      <c r="N87" s="66"/>
      <c r="O87" s="66"/>
      <c r="P87" s="66"/>
      <c r="Q87" s="66"/>
      <c r="R87" s="66"/>
      <c r="S87" s="66"/>
      <c r="T87" s="66"/>
      <c r="U87" s="66"/>
      <c r="V87" s="66"/>
      <c r="W87" s="66"/>
      <c r="X87" s="66"/>
    </row>
    <row r="88" spans="1:24" s="223" customFormat="1">
      <c r="A88" s="17" t="str">
        <f>'6.1stYrOpBudget'!A103</f>
        <v xml:space="preserve">Hard Debt - Fourth Lender </v>
      </c>
      <c r="B88" s="9"/>
      <c r="C88" s="9"/>
      <c r="D88" s="64"/>
      <c r="E88" s="66"/>
      <c r="F88" s="66"/>
      <c r="G88" s="66"/>
      <c r="H88" s="66"/>
      <c r="I88" s="66"/>
      <c r="J88" s="66"/>
      <c r="K88" s="66"/>
      <c r="L88" s="66"/>
      <c r="M88" s="66"/>
      <c r="N88" s="66"/>
      <c r="O88" s="66"/>
      <c r="P88" s="66"/>
      <c r="Q88" s="66"/>
      <c r="R88" s="66"/>
      <c r="S88" s="66"/>
      <c r="T88" s="66"/>
      <c r="U88" s="66"/>
      <c r="V88" s="66"/>
      <c r="W88" s="66"/>
      <c r="X88" s="66"/>
    </row>
    <row r="89" spans="1:24" hidden="1">
      <c r="A89" s="201" t="e">
        <f>'6.1stYrOpBudget'!#REF!</f>
        <v>#REF!</v>
      </c>
      <c r="B89" s="9"/>
      <c r="C89" s="9"/>
      <c r="D89" s="202"/>
      <c r="E89" s="203"/>
      <c r="F89" s="179"/>
      <c r="G89" s="179"/>
      <c r="H89" s="179"/>
      <c r="I89" s="179"/>
      <c r="J89" s="179"/>
      <c r="K89" s="179"/>
      <c r="L89" s="179"/>
      <c r="M89" s="179"/>
      <c r="N89" s="179"/>
      <c r="O89" s="179"/>
      <c r="P89" s="179"/>
      <c r="Q89" s="179"/>
      <c r="R89" s="179"/>
      <c r="S89" s="179"/>
      <c r="T89" s="179"/>
      <c r="U89" s="179"/>
      <c r="V89" s="179"/>
      <c r="W89" s="179"/>
      <c r="X89" s="179"/>
    </row>
    <row r="90" spans="1:24">
      <c r="A90" s="27" t="str">
        <f>'6.1stYrOpBudget'!B105</f>
        <v>TOTAL HARD DEBT SERVICE</v>
      </c>
      <c r="B90" s="9"/>
      <c r="C90" s="9"/>
      <c r="D90" s="204"/>
      <c r="E90" s="175">
        <f>SUM(E85:E88)</f>
        <v>0</v>
      </c>
      <c r="F90" s="175">
        <f t="shared" ref="F90:X90" si="54">SUM(F85:F89)</f>
        <v>0</v>
      </c>
      <c r="G90" s="175">
        <f t="shared" si="54"/>
        <v>0</v>
      </c>
      <c r="H90" s="175">
        <f t="shared" si="54"/>
        <v>0</v>
      </c>
      <c r="I90" s="175">
        <f t="shared" si="54"/>
        <v>0</v>
      </c>
      <c r="J90" s="175">
        <f t="shared" si="54"/>
        <v>0</v>
      </c>
      <c r="K90" s="175">
        <f t="shared" si="54"/>
        <v>0</v>
      </c>
      <c r="L90" s="175">
        <f t="shared" si="54"/>
        <v>0</v>
      </c>
      <c r="M90" s="175">
        <f t="shared" si="54"/>
        <v>0</v>
      </c>
      <c r="N90" s="175">
        <f t="shared" si="54"/>
        <v>0</v>
      </c>
      <c r="O90" s="175">
        <f t="shared" si="54"/>
        <v>0</v>
      </c>
      <c r="P90" s="175">
        <f t="shared" si="54"/>
        <v>0</v>
      </c>
      <c r="Q90" s="175">
        <f t="shared" si="54"/>
        <v>0</v>
      </c>
      <c r="R90" s="175">
        <f t="shared" si="54"/>
        <v>0</v>
      </c>
      <c r="S90" s="175">
        <f t="shared" si="54"/>
        <v>0</v>
      </c>
      <c r="T90" s="175">
        <f t="shared" si="54"/>
        <v>0</v>
      </c>
      <c r="U90" s="175">
        <f t="shared" si="54"/>
        <v>0</v>
      </c>
      <c r="V90" s="175">
        <f t="shared" si="54"/>
        <v>0</v>
      </c>
      <c r="W90" s="175">
        <f t="shared" si="54"/>
        <v>0</v>
      </c>
      <c r="X90" s="175">
        <f t="shared" si="54"/>
        <v>0</v>
      </c>
    </row>
    <row r="91" spans="1:24" ht="6" customHeight="1">
      <c r="A91" s="11"/>
      <c r="B91" s="9"/>
      <c r="C91" s="9"/>
      <c r="D91" s="21"/>
      <c r="E91" s="125"/>
      <c r="F91" s="125"/>
      <c r="G91" s="125"/>
      <c r="H91" s="125"/>
      <c r="I91" s="125"/>
      <c r="J91" s="125"/>
      <c r="K91" s="125"/>
      <c r="L91" s="125"/>
      <c r="M91" s="125"/>
      <c r="N91" s="125"/>
      <c r="O91" s="125"/>
      <c r="P91" s="125"/>
      <c r="Q91" s="125"/>
      <c r="R91" s="125"/>
      <c r="S91" s="125"/>
      <c r="T91" s="125"/>
      <c r="U91" s="125"/>
      <c r="V91" s="125"/>
      <c r="W91" s="125"/>
      <c r="X91" s="125"/>
    </row>
    <row r="92" spans="1:24" hidden="1">
      <c r="A92" s="6" t="e">
        <f>'6.1stYrOpBudget'!#REF!</f>
        <v>#REF!</v>
      </c>
      <c r="B92" s="9"/>
      <c r="C92" s="9"/>
      <c r="D92" s="21"/>
      <c r="E92" s="125"/>
      <c r="F92" s="125"/>
      <c r="G92" s="125"/>
      <c r="H92" s="125"/>
      <c r="I92" s="125"/>
      <c r="J92" s="125"/>
      <c r="K92" s="125"/>
      <c r="L92" s="125"/>
      <c r="M92" s="125"/>
      <c r="N92" s="125"/>
      <c r="O92" s="125"/>
      <c r="P92" s="125"/>
      <c r="Q92" s="125"/>
      <c r="R92" s="125"/>
      <c r="S92" s="125"/>
      <c r="T92" s="125"/>
      <c r="U92" s="125"/>
      <c r="V92" s="125"/>
      <c r="W92" s="125"/>
      <c r="X92" s="125"/>
    </row>
    <row r="93" spans="1:24" hidden="1">
      <c r="A93" s="10" t="e">
        <f>'6.1stYrOpBudget'!#REF!</f>
        <v>#REF!</v>
      </c>
      <c r="B93" s="8">
        <v>1320</v>
      </c>
      <c r="C93" s="8"/>
      <c r="D93" s="199"/>
      <c r="E93" s="178" t="e">
        <f>'6.1stYrOpBudget'!#REF!</f>
        <v>#REF!</v>
      </c>
      <c r="F93" s="179"/>
      <c r="G93" s="179"/>
      <c r="H93" s="179"/>
      <c r="I93" s="179"/>
      <c r="J93" s="179"/>
      <c r="K93" s="179"/>
      <c r="L93" s="179"/>
      <c r="M93" s="179"/>
      <c r="N93" s="179"/>
      <c r="O93" s="179"/>
      <c r="P93" s="179"/>
      <c r="Q93" s="179"/>
      <c r="R93" s="179"/>
      <c r="S93" s="179"/>
      <c r="T93" s="179"/>
      <c r="U93" s="179"/>
      <c r="V93" s="179"/>
      <c r="W93" s="179"/>
      <c r="X93" s="179"/>
    </row>
    <row r="94" spans="1:24" hidden="1">
      <c r="A94" s="10" t="e">
        <f>'6.1stYrOpBudget'!#REF!</f>
        <v>#REF!</v>
      </c>
      <c r="B94" s="8">
        <v>1365</v>
      </c>
      <c r="C94" s="8"/>
      <c r="D94" s="199"/>
      <c r="E94" s="178" t="e">
        <f>'6.1stYrOpBudget'!#REF!</f>
        <v>#REF!</v>
      </c>
      <c r="F94" s="179"/>
      <c r="G94" s="179"/>
      <c r="H94" s="179"/>
      <c r="I94" s="179"/>
      <c r="J94" s="179"/>
      <c r="K94" s="179"/>
      <c r="L94" s="179"/>
      <c r="M94" s="179"/>
      <c r="N94" s="179"/>
      <c r="O94" s="179"/>
      <c r="P94" s="179"/>
      <c r="Q94" s="179"/>
      <c r="R94" s="179"/>
      <c r="S94" s="179"/>
      <c r="T94" s="179"/>
      <c r="U94" s="179"/>
      <c r="V94" s="179"/>
      <c r="W94" s="179"/>
      <c r="X94" s="179"/>
    </row>
    <row r="95" spans="1:24" hidden="1">
      <c r="A95" s="10" t="e">
        <f>'6.1stYrOpBudget'!#REF!</f>
        <v>#REF!</v>
      </c>
      <c r="B95" s="8">
        <v>1365</v>
      </c>
      <c r="C95" s="8"/>
      <c r="D95" s="199"/>
      <c r="E95" s="178" t="e">
        <f>'6.1stYrOpBudget'!#REF!</f>
        <v>#REF!</v>
      </c>
      <c r="F95" s="179"/>
      <c r="G95" s="179"/>
      <c r="H95" s="179"/>
      <c r="I95" s="179"/>
      <c r="J95" s="179"/>
      <c r="K95" s="179"/>
      <c r="L95" s="179"/>
      <c r="M95" s="179"/>
      <c r="N95" s="179"/>
      <c r="O95" s="179"/>
      <c r="P95" s="179"/>
      <c r="Q95" s="179"/>
      <c r="R95" s="179"/>
      <c r="S95" s="179"/>
      <c r="T95" s="179"/>
      <c r="U95" s="179"/>
      <c r="V95" s="179"/>
      <c r="W95" s="179"/>
      <c r="X95" s="179"/>
    </row>
    <row r="96" spans="1:24" hidden="1">
      <c r="A96" s="11" t="e">
        <f>'6.1stYrOpBudget'!#REF!</f>
        <v>#REF!</v>
      </c>
      <c r="B96" s="8"/>
      <c r="C96" s="8"/>
      <c r="D96" s="21"/>
      <c r="E96" s="175" t="e">
        <f>'6.1stYrOpBudget'!#REF!</f>
        <v>#REF!</v>
      </c>
      <c r="F96" s="175">
        <f t="shared" ref="F96:X96" si="55">SUM(F93:F95)</f>
        <v>0</v>
      </c>
      <c r="G96" s="175">
        <f t="shared" si="55"/>
        <v>0</v>
      </c>
      <c r="H96" s="175">
        <f t="shared" si="55"/>
        <v>0</v>
      </c>
      <c r="I96" s="175">
        <f t="shared" si="55"/>
        <v>0</v>
      </c>
      <c r="J96" s="175">
        <f t="shared" si="55"/>
        <v>0</v>
      </c>
      <c r="K96" s="175">
        <f t="shared" si="55"/>
        <v>0</v>
      </c>
      <c r="L96" s="175">
        <f t="shared" si="55"/>
        <v>0</v>
      </c>
      <c r="M96" s="175">
        <f t="shared" si="55"/>
        <v>0</v>
      </c>
      <c r="N96" s="175">
        <f t="shared" si="55"/>
        <v>0</v>
      </c>
      <c r="O96" s="175">
        <f t="shared" si="55"/>
        <v>0</v>
      </c>
      <c r="P96" s="175">
        <f t="shared" si="55"/>
        <v>0</v>
      </c>
      <c r="Q96" s="175">
        <f t="shared" si="55"/>
        <v>0</v>
      </c>
      <c r="R96" s="175">
        <f t="shared" si="55"/>
        <v>0</v>
      </c>
      <c r="S96" s="175">
        <f t="shared" si="55"/>
        <v>0</v>
      </c>
      <c r="T96" s="175">
        <f t="shared" si="55"/>
        <v>0</v>
      </c>
      <c r="U96" s="175">
        <f t="shared" si="55"/>
        <v>0</v>
      </c>
      <c r="V96" s="175">
        <f t="shared" si="55"/>
        <v>0</v>
      </c>
      <c r="W96" s="175">
        <f t="shared" si="55"/>
        <v>0</v>
      </c>
      <c r="X96" s="175">
        <f t="shared" si="55"/>
        <v>0</v>
      </c>
    </row>
    <row r="97" spans="1:52" ht="6" hidden="1" customHeight="1">
      <c r="A97" s="11"/>
      <c r="B97" s="8"/>
      <c r="C97" s="8"/>
      <c r="D97" s="21"/>
      <c r="E97" s="125"/>
      <c r="F97" s="125"/>
      <c r="G97" s="125"/>
      <c r="H97" s="125"/>
      <c r="I97" s="125"/>
      <c r="J97" s="125"/>
      <c r="K97" s="125"/>
      <c r="L97" s="125"/>
      <c r="M97" s="125"/>
      <c r="N97" s="125"/>
      <c r="O97" s="125"/>
      <c r="P97" s="125"/>
      <c r="Q97" s="125"/>
      <c r="R97" s="125"/>
      <c r="S97" s="125"/>
      <c r="T97" s="125"/>
      <c r="U97" s="125"/>
      <c r="V97" s="125"/>
      <c r="W97" s="125"/>
      <c r="X97" s="125"/>
    </row>
    <row r="98" spans="1:52">
      <c r="A98" s="6" t="str">
        <f>'6.1stYrOpBudget'!A107</f>
        <v>CASH FLOW (NOI minus DEBT SERVICE)</v>
      </c>
      <c r="B98" s="8"/>
      <c r="C98" s="8"/>
      <c r="D98" s="21"/>
      <c r="E98" s="226">
        <f t="shared" ref="E98:Y98" si="56">E82-E90</f>
        <v>0</v>
      </c>
      <c r="F98" s="226">
        <f t="shared" si="56"/>
        <v>0</v>
      </c>
      <c r="G98" s="226">
        <f t="shared" si="56"/>
        <v>0</v>
      </c>
      <c r="H98" s="226">
        <f t="shared" si="56"/>
        <v>0</v>
      </c>
      <c r="I98" s="226">
        <f t="shared" si="56"/>
        <v>0</v>
      </c>
      <c r="J98" s="226">
        <f t="shared" si="56"/>
        <v>0</v>
      </c>
      <c r="K98" s="226">
        <f t="shared" si="56"/>
        <v>0</v>
      </c>
      <c r="L98" s="226">
        <f t="shared" si="56"/>
        <v>0</v>
      </c>
      <c r="M98" s="226">
        <f t="shared" si="56"/>
        <v>0</v>
      </c>
      <c r="N98" s="226">
        <f t="shared" si="56"/>
        <v>0</v>
      </c>
      <c r="O98" s="226">
        <f t="shared" si="56"/>
        <v>0</v>
      </c>
      <c r="P98" s="226">
        <f t="shared" si="56"/>
        <v>0</v>
      </c>
      <c r="Q98" s="226">
        <f t="shared" si="56"/>
        <v>0</v>
      </c>
      <c r="R98" s="226">
        <f t="shared" si="56"/>
        <v>0</v>
      </c>
      <c r="S98" s="226">
        <f t="shared" si="56"/>
        <v>0</v>
      </c>
      <c r="T98" s="226">
        <f t="shared" si="56"/>
        <v>0</v>
      </c>
      <c r="U98" s="226">
        <f t="shared" si="56"/>
        <v>0</v>
      </c>
      <c r="V98" s="226">
        <f t="shared" si="56"/>
        <v>0</v>
      </c>
      <c r="W98" s="226">
        <f t="shared" si="56"/>
        <v>0</v>
      </c>
      <c r="X98" s="226">
        <f t="shared" si="56"/>
        <v>0</v>
      </c>
      <c r="Y98" s="225">
        <f t="shared" si="56"/>
        <v>0</v>
      </c>
      <c r="AB98" s="205">
        <f>AB82-AB90</f>
        <v>0</v>
      </c>
      <c r="AE98" s="205">
        <f>AE82-AE90</f>
        <v>0</v>
      </c>
      <c r="AH98" s="205">
        <f>AH82-AH90</f>
        <v>0</v>
      </c>
      <c r="AK98" s="205">
        <f>AK82-AK90</f>
        <v>0</v>
      </c>
      <c r="AN98" s="205">
        <f>AN82-AN90</f>
        <v>0</v>
      </c>
      <c r="AQ98" s="205">
        <f>AQ82-AQ90</f>
        <v>0</v>
      </c>
      <c r="AT98" s="205">
        <f>AT82-AT90</f>
        <v>0</v>
      </c>
      <c r="AW98" s="205">
        <f>AW82-AW90</f>
        <v>0</v>
      </c>
      <c r="AZ98" s="205">
        <f>AZ82-AZ90</f>
        <v>0</v>
      </c>
    </row>
    <row r="99" spans="1:52" ht="6" customHeight="1">
      <c r="A99" s="6"/>
      <c r="B99" s="8"/>
      <c r="C99" s="8"/>
      <c r="D99" s="21"/>
      <c r="E99" s="125"/>
      <c r="F99" s="125"/>
      <c r="G99" s="125"/>
      <c r="H99" s="125"/>
      <c r="I99" s="125"/>
      <c r="J99" s="125"/>
      <c r="K99" s="125"/>
      <c r="L99" s="125"/>
      <c r="M99" s="125"/>
      <c r="N99" s="125"/>
      <c r="O99" s="125"/>
      <c r="P99" s="125"/>
      <c r="Q99" s="125"/>
      <c r="R99" s="125"/>
      <c r="S99" s="125"/>
      <c r="T99" s="125"/>
      <c r="U99" s="125"/>
      <c r="V99" s="125"/>
      <c r="W99" s="125"/>
      <c r="X99" s="125"/>
    </row>
    <row r="100" spans="1:52" ht="6" hidden="1" customHeight="1">
      <c r="A100" s="11"/>
      <c r="B100" s="8"/>
      <c r="C100" s="8"/>
      <c r="D100" s="21"/>
      <c r="E100" s="125"/>
      <c r="F100" s="125"/>
      <c r="G100" s="125"/>
      <c r="H100" s="125"/>
      <c r="I100" s="125"/>
      <c r="J100" s="125"/>
      <c r="K100" s="125"/>
      <c r="L100" s="125"/>
      <c r="M100" s="125"/>
      <c r="N100" s="125"/>
      <c r="O100" s="125"/>
      <c r="P100" s="125"/>
      <c r="Q100" s="125"/>
      <c r="R100" s="125"/>
      <c r="S100" s="125"/>
      <c r="T100" s="125"/>
      <c r="U100" s="125"/>
      <c r="V100" s="125"/>
      <c r="W100" s="125"/>
      <c r="X100" s="125"/>
    </row>
    <row r="101" spans="1:52" hidden="1">
      <c r="A101" s="181" t="str">
        <f>'6.1stYrOpBudget'!A114</f>
        <v xml:space="preserve">USES OF CASH FLOW BELOW  (This row also shows DSCR.)                       </v>
      </c>
      <c r="B101" s="8"/>
      <c r="C101" s="8"/>
      <c r="D101" s="21"/>
      <c r="E101" s="1989" t="str">
        <f>'6.1stYrOpBudget'!F$114</f>
        <v/>
      </c>
      <c r="F101" s="206" t="str">
        <f t="shared" ref="F101:Y101" si="57">IF(SUM(F$90)&gt;0,"DSCR:  "&amp;ROUND(F$82/SUM(F$90),2),"")</f>
        <v/>
      </c>
      <c r="G101" s="206" t="str">
        <f t="shared" si="57"/>
        <v/>
      </c>
      <c r="H101" s="206" t="str">
        <f t="shared" si="57"/>
        <v/>
      </c>
      <c r="I101" s="206" t="str">
        <f t="shared" si="57"/>
        <v/>
      </c>
      <c r="J101" s="206" t="str">
        <f t="shared" si="57"/>
        <v/>
      </c>
      <c r="K101" s="206" t="str">
        <f t="shared" si="57"/>
        <v/>
      </c>
      <c r="L101" s="206" t="str">
        <f t="shared" si="57"/>
        <v/>
      </c>
      <c r="M101" s="206" t="str">
        <f t="shared" si="57"/>
        <v/>
      </c>
      <c r="N101" s="206" t="str">
        <f t="shared" si="57"/>
        <v/>
      </c>
      <c r="O101" s="206" t="str">
        <f t="shared" si="57"/>
        <v/>
      </c>
      <c r="P101" s="206" t="str">
        <f t="shared" si="57"/>
        <v/>
      </c>
      <c r="Q101" s="206" t="str">
        <f t="shared" si="57"/>
        <v/>
      </c>
      <c r="R101" s="206" t="str">
        <f t="shared" si="57"/>
        <v/>
      </c>
      <c r="S101" s="206" t="str">
        <f t="shared" si="57"/>
        <v/>
      </c>
      <c r="T101" s="206" t="str">
        <f t="shared" si="57"/>
        <v/>
      </c>
      <c r="U101" s="206" t="str">
        <f t="shared" si="57"/>
        <v/>
      </c>
      <c r="V101" s="206" t="str">
        <f t="shared" si="57"/>
        <v/>
      </c>
      <c r="W101" s="206" t="str">
        <f t="shared" si="57"/>
        <v/>
      </c>
      <c r="X101" s="206" t="str">
        <f t="shared" si="57"/>
        <v/>
      </c>
      <c r="Y101" s="206" t="str">
        <f t="shared" si="57"/>
        <v/>
      </c>
      <c r="AB101" s="206" t="str">
        <f>IF(SUM(AB$90)&gt;0,"DSCR:  "&amp;ROUND(AB$82/SUM(AB$90),2),"")</f>
        <v/>
      </c>
      <c r="AE101" s="206" t="str">
        <f>IF(SUM(AE$90)&gt;0,"DSCR:  "&amp;ROUND(AE$82/SUM(AE$90),2),"")</f>
        <v/>
      </c>
      <c r="AH101" s="206" t="str">
        <f>IF(SUM(AH$90)&gt;0,"DSCR:  "&amp;ROUND(AH$82/SUM(AH$90),2),"")</f>
        <v/>
      </c>
      <c r="AK101" s="206" t="str">
        <f>IF(SUM(AK$90)&gt;0,"DSCR:  "&amp;ROUND(AK$82/SUM(AK$90),2),"")</f>
        <v/>
      </c>
      <c r="AN101" s="206" t="str">
        <f>IF(SUM(AN$90)&gt;0,"DSCR:  "&amp;ROUND(AN$82/SUM(AN$90),2),"")</f>
        <v/>
      </c>
      <c r="AQ101" s="206" t="str">
        <f>IF(SUM(AQ$90)&gt;0,"DSCR:  "&amp;ROUND(AQ$82/SUM(AQ$90),2),"")</f>
        <v/>
      </c>
      <c r="AT101" s="206" t="str">
        <f>IF(SUM(AT$90)&gt;0,"DSCR:  "&amp;ROUND(AT$82/SUM(AT$90),2),"")</f>
        <v/>
      </c>
      <c r="AW101" s="206" t="str">
        <f>IF(SUM(AW$90)&gt;0,"DSCR:  "&amp;ROUND(AW$82/SUM(AW$90),2),"")</f>
        <v/>
      </c>
      <c r="AZ101" s="206" t="str">
        <f>IF(SUM(AZ$90)&gt;0,"DSCR:  "&amp;ROUND(AZ$82/SUM(AZ$90),2),"")</f>
        <v/>
      </c>
    </row>
    <row r="102" spans="1:52" hidden="1">
      <c r="A102" s="239" t="s">
        <v>234</v>
      </c>
      <c r="B102" s="8"/>
      <c r="C102" s="8"/>
      <c r="D102" s="21"/>
      <c r="E102" s="125"/>
      <c r="F102" s="125"/>
      <c r="G102" s="125"/>
      <c r="H102" s="125"/>
      <c r="I102" s="125"/>
      <c r="J102" s="125"/>
      <c r="K102" s="125"/>
      <c r="L102" s="125"/>
      <c r="M102" s="125"/>
      <c r="N102" s="125"/>
      <c r="O102" s="125"/>
      <c r="P102" s="125"/>
      <c r="Q102" s="125"/>
      <c r="R102" s="125"/>
      <c r="S102" s="125"/>
      <c r="T102" s="125"/>
      <c r="U102" s="125"/>
      <c r="V102" s="125"/>
      <c r="W102" s="125"/>
      <c r="X102" s="125"/>
    </row>
    <row r="103" spans="1:52" hidden="1">
      <c r="A103" s="314"/>
      <c r="B103" s="8"/>
      <c r="C103" s="62"/>
      <c r="D103" s="316"/>
      <c r="E103" s="173"/>
      <c r="F103" s="173"/>
      <c r="G103" s="173"/>
      <c r="H103" s="173"/>
      <c r="I103" s="173"/>
      <c r="J103" s="173"/>
      <c r="K103" s="173"/>
      <c r="L103" s="173"/>
      <c r="M103" s="173"/>
      <c r="N103" s="173"/>
      <c r="O103" s="173"/>
      <c r="P103" s="173"/>
      <c r="Q103" s="173"/>
      <c r="R103" s="173"/>
      <c r="S103" s="173"/>
      <c r="T103" s="173"/>
      <c r="U103" s="173"/>
      <c r="V103" s="173"/>
      <c r="W103" s="173"/>
      <c r="X103" s="173"/>
      <c r="Y103" s="179"/>
      <c r="AB103" s="179"/>
      <c r="AE103" s="179"/>
      <c r="AH103" s="179"/>
      <c r="AK103" s="179"/>
      <c r="AN103" s="179"/>
      <c r="AQ103" s="179"/>
      <c r="AT103" s="179"/>
      <c r="AW103" s="179"/>
      <c r="AZ103" s="179"/>
    </row>
    <row r="104" spans="1:52" hidden="1">
      <c r="A104" s="314"/>
      <c r="B104" s="8"/>
      <c r="C104" s="62"/>
      <c r="D104" s="172"/>
      <c r="E104" s="173"/>
      <c r="F104" s="173"/>
      <c r="G104" s="173"/>
      <c r="H104" s="173"/>
      <c r="I104" s="173"/>
      <c r="J104" s="173"/>
      <c r="K104" s="173"/>
      <c r="L104" s="173"/>
      <c r="M104" s="173"/>
      <c r="N104" s="173"/>
      <c r="O104" s="173"/>
      <c r="P104" s="173"/>
      <c r="Q104" s="173"/>
      <c r="R104" s="173"/>
      <c r="S104" s="173"/>
      <c r="T104" s="173"/>
      <c r="U104" s="173"/>
      <c r="V104" s="173"/>
      <c r="W104" s="173"/>
      <c r="X104" s="173"/>
      <c r="Y104" s="179"/>
      <c r="AB104" s="179"/>
      <c r="AE104" s="179"/>
      <c r="AH104" s="179"/>
      <c r="AK104" s="179"/>
      <c r="AN104" s="179"/>
      <c r="AQ104" s="179"/>
      <c r="AT104" s="179"/>
      <c r="AW104" s="179"/>
      <c r="AZ104" s="179"/>
    </row>
    <row r="105" spans="1:52" hidden="1">
      <c r="A105" s="314"/>
      <c r="B105" s="8"/>
      <c r="C105" s="62"/>
      <c r="D105" s="316"/>
      <c r="E105" s="173"/>
      <c r="F105" s="173"/>
      <c r="G105" s="173"/>
      <c r="H105" s="173"/>
      <c r="I105" s="173"/>
      <c r="J105" s="173"/>
      <c r="K105" s="173"/>
      <c r="L105" s="173"/>
      <c r="M105" s="173"/>
      <c r="N105" s="173"/>
      <c r="O105" s="173"/>
      <c r="P105" s="173"/>
      <c r="Q105" s="173"/>
      <c r="R105" s="173"/>
      <c r="S105" s="173"/>
      <c r="T105" s="173"/>
      <c r="U105" s="173"/>
      <c r="V105" s="173"/>
      <c r="W105" s="173"/>
      <c r="X105" s="173"/>
      <c r="Y105" s="179"/>
      <c r="AB105" s="179"/>
      <c r="AE105" s="179"/>
      <c r="AH105" s="179"/>
      <c r="AK105" s="179"/>
      <c r="AN105" s="179"/>
      <c r="AQ105" s="179"/>
      <c r="AT105" s="179"/>
      <c r="AW105" s="179"/>
      <c r="AZ105" s="179"/>
    </row>
    <row r="106" spans="1:52" hidden="1">
      <c r="A106" s="315"/>
      <c r="B106" s="8"/>
      <c r="C106" s="62"/>
      <c r="D106" s="172"/>
      <c r="E106" s="173"/>
      <c r="F106" s="173"/>
      <c r="G106" s="173"/>
      <c r="H106" s="173"/>
      <c r="I106" s="173"/>
      <c r="J106" s="173"/>
      <c r="K106" s="173"/>
      <c r="L106" s="173"/>
      <c r="M106" s="173"/>
      <c r="N106" s="173"/>
      <c r="O106" s="173"/>
      <c r="P106" s="173"/>
      <c r="Q106" s="173"/>
      <c r="R106" s="173"/>
      <c r="S106" s="173"/>
      <c r="T106" s="173"/>
      <c r="U106" s="173"/>
      <c r="V106" s="173"/>
      <c r="W106" s="173"/>
      <c r="X106" s="173"/>
      <c r="Y106" s="179"/>
      <c r="AB106" s="179"/>
      <c r="AE106" s="179"/>
      <c r="AH106" s="179"/>
      <c r="AK106" s="179"/>
      <c r="AN106" s="179"/>
      <c r="AQ106" s="179"/>
      <c r="AT106" s="179"/>
      <c r="AW106" s="179"/>
      <c r="AZ106" s="179"/>
    </row>
    <row r="107" spans="1:52" hidden="1">
      <c r="A107" s="184" t="e">
        <f>'6.1stYrOpBudget'!#REF!</f>
        <v>#REF!</v>
      </c>
      <c r="B107" s="8"/>
      <c r="C107" s="8"/>
      <c r="D107" s="208"/>
      <c r="E107" s="178"/>
      <c r="F107" s="179"/>
      <c r="G107" s="179"/>
      <c r="H107" s="179"/>
      <c r="I107" s="179"/>
      <c r="J107" s="179"/>
      <c r="K107" s="179"/>
      <c r="L107" s="179"/>
      <c r="M107" s="179"/>
      <c r="N107" s="179"/>
      <c r="O107" s="179"/>
      <c r="P107" s="179"/>
      <c r="Q107" s="179"/>
      <c r="R107" s="179"/>
      <c r="S107" s="179"/>
      <c r="T107" s="179"/>
      <c r="U107" s="179"/>
      <c r="V107" s="179"/>
      <c r="W107" s="179"/>
      <c r="X107" s="179"/>
      <c r="Y107" s="179"/>
      <c r="AB107" s="179"/>
      <c r="AE107" s="179"/>
      <c r="AH107" s="179"/>
      <c r="AK107" s="179"/>
      <c r="AN107" s="179"/>
      <c r="AQ107" s="179"/>
      <c r="AT107" s="179"/>
      <c r="AW107" s="179"/>
      <c r="AZ107" s="179"/>
    </row>
    <row r="108" spans="1:52" hidden="1">
      <c r="A108" s="184" t="str">
        <f>'6.1stYrOpBudget'!A119</f>
        <v>Other Payments</v>
      </c>
      <c r="B108" s="8"/>
      <c r="C108" s="8"/>
      <c r="D108" s="208"/>
      <c r="E108" s="178"/>
      <c r="F108" s="179"/>
      <c r="G108" s="179"/>
      <c r="H108" s="179"/>
      <c r="I108" s="179"/>
      <c r="J108" s="179"/>
      <c r="K108" s="179"/>
      <c r="L108" s="179"/>
      <c r="M108" s="179"/>
      <c r="N108" s="179"/>
      <c r="O108" s="179"/>
      <c r="P108" s="179"/>
      <c r="Q108" s="179"/>
      <c r="R108" s="179"/>
      <c r="S108" s="179"/>
      <c r="T108" s="179"/>
      <c r="U108" s="179"/>
      <c r="V108" s="179"/>
      <c r="W108" s="179"/>
      <c r="X108" s="179"/>
      <c r="Y108" s="179"/>
      <c r="AB108" s="179"/>
      <c r="AE108" s="179"/>
      <c r="AH108" s="179"/>
      <c r="AK108" s="179"/>
      <c r="AN108" s="179"/>
      <c r="AQ108" s="179"/>
      <c r="AT108" s="179"/>
      <c r="AW108" s="179"/>
      <c r="AZ108" s="179"/>
    </row>
    <row r="109" spans="1:52" hidden="1">
      <c r="A109" s="184" t="str">
        <f>'6.1stYrOpBudget'!A120</f>
        <v xml:space="preserve">Non-amortizing Loan Pmnt - Lender 1 (select lender in comments field) </v>
      </c>
      <c r="B109" s="8"/>
      <c r="C109" s="8"/>
      <c r="D109" s="208"/>
      <c r="E109" s="178"/>
      <c r="F109" s="179"/>
      <c r="G109" s="179"/>
      <c r="H109" s="179"/>
      <c r="I109" s="179"/>
      <c r="J109" s="179"/>
      <c r="K109" s="179"/>
      <c r="L109" s="179"/>
      <c r="M109" s="179"/>
      <c r="N109" s="179"/>
      <c r="O109" s="179"/>
      <c r="P109" s="179"/>
      <c r="Q109" s="179"/>
      <c r="R109" s="179"/>
      <c r="S109" s="179"/>
      <c r="T109" s="179"/>
      <c r="U109" s="179"/>
      <c r="V109" s="179"/>
      <c r="W109" s="179"/>
      <c r="X109" s="179"/>
      <c r="Y109" s="179"/>
      <c r="AB109" s="179"/>
      <c r="AE109" s="179"/>
      <c r="AH109" s="179"/>
      <c r="AK109" s="179"/>
      <c r="AN109" s="179"/>
      <c r="AQ109" s="179"/>
      <c r="AT109" s="179"/>
      <c r="AW109" s="179"/>
      <c r="AZ109" s="179"/>
    </row>
    <row r="110" spans="1:52" hidden="1">
      <c r="A110" s="184" t="str">
        <f>'6.1stYrOpBudget'!A121</f>
        <v xml:space="preserve">Non-amortizing Loan Pmnt - Lender 2 (select lender in comments field) </v>
      </c>
      <c r="B110" s="8"/>
      <c r="C110" s="8"/>
      <c r="D110" s="208"/>
      <c r="E110" s="178"/>
      <c r="F110" s="179"/>
      <c r="G110" s="179"/>
      <c r="H110" s="179"/>
      <c r="I110" s="179"/>
      <c r="J110" s="179"/>
      <c r="K110" s="179"/>
      <c r="L110" s="179"/>
      <c r="M110" s="179"/>
      <c r="N110" s="179"/>
      <c r="O110" s="179"/>
      <c r="P110" s="179"/>
      <c r="Q110" s="179"/>
      <c r="R110" s="179"/>
      <c r="S110" s="179"/>
      <c r="T110" s="179"/>
      <c r="U110" s="179"/>
      <c r="V110" s="179"/>
      <c r="W110" s="179"/>
      <c r="X110" s="179"/>
      <c r="Y110" s="179"/>
      <c r="AB110" s="179"/>
      <c r="AE110" s="179"/>
      <c r="AH110" s="179"/>
      <c r="AK110" s="179"/>
      <c r="AN110" s="179"/>
      <c r="AQ110" s="179"/>
      <c r="AT110" s="179"/>
      <c r="AW110" s="179"/>
      <c r="AZ110" s="179"/>
    </row>
    <row r="111" spans="1:52" hidden="1">
      <c r="A111" s="184" t="e">
        <f>'6.1stYrOpBudget'!#REF!</f>
        <v>#REF!</v>
      </c>
      <c r="B111" s="8"/>
      <c r="C111" s="8"/>
      <c r="D111" s="208"/>
      <c r="E111" s="178"/>
      <c r="F111" s="179"/>
      <c r="G111" s="179"/>
      <c r="H111" s="179"/>
      <c r="I111" s="179"/>
      <c r="J111" s="179"/>
      <c r="K111" s="179"/>
      <c r="L111" s="179"/>
      <c r="M111" s="179"/>
      <c r="N111" s="179"/>
      <c r="O111" s="179"/>
      <c r="P111" s="179"/>
      <c r="Q111" s="179"/>
      <c r="R111" s="179"/>
      <c r="S111" s="179"/>
      <c r="T111" s="179"/>
      <c r="U111" s="179"/>
      <c r="V111" s="179"/>
      <c r="W111" s="179"/>
      <c r="X111" s="179"/>
      <c r="Y111" s="179"/>
      <c r="AB111" s="179"/>
      <c r="AE111" s="179"/>
      <c r="AH111" s="179"/>
      <c r="AK111" s="179"/>
      <c r="AN111" s="179"/>
      <c r="AQ111" s="179"/>
      <c r="AT111" s="179"/>
      <c r="AW111" s="179"/>
      <c r="AZ111" s="179"/>
    </row>
    <row r="112" spans="1:52" hidden="1">
      <c r="A112" s="184" t="e">
        <f>'6.1stYrOpBudget'!#REF!</f>
        <v>#REF!</v>
      </c>
      <c r="B112" s="8"/>
      <c r="C112" s="8"/>
      <c r="D112" s="208"/>
      <c r="E112" s="178"/>
      <c r="F112" s="179"/>
      <c r="G112" s="179"/>
      <c r="H112" s="179"/>
      <c r="I112" s="179"/>
      <c r="J112" s="179"/>
      <c r="K112" s="179"/>
      <c r="L112" s="179"/>
      <c r="M112" s="179"/>
      <c r="N112" s="179"/>
      <c r="O112" s="179"/>
      <c r="P112" s="179"/>
      <c r="Q112" s="179"/>
      <c r="R112" s="179"/>
      <c r="S112" s="179"/>
      <c r="T112" s="179"/>
      <c r="U112" s="179"/>
      <c r="V112" s="179"/>
      <c r="W112" s="179"/>
      <c r="X112" s="179"/>
      <c r="Y112" s="179"/>
      <c r="AB112" s="179"/>
      <c r="AE112" s="179"/>
      <c r="AH112" s="179"/>
      <c r="AK112" s="179"/>
      <c r="AN112" s="179"/>
      <c r="AQ112" s="179"/>
      <c r="AT112" s="179"/>
      <c r="AW112" s="179"/>
      <c r="AZ112" s="179"/>
    </row>
    <row r="113" spans="1:52" hidden="1">
      <c r="A113" s="184" t="e">
        <f>'6.1stYrOpBudget'!#REF!</f>
        <v>#REF!</v>
      </c>
      <c r="B113" s="8"/>
      <c r="C113" s="8"/>
      <c r="D113" s="208"/>
      <c r="E113" s="178"/>
      <c r="F113" s="179"/>
      <c r="G113" s="179"/>
      <c r="H113" s="179"/>
      <c r="I113" s="179"/>
      <c r="J113" s="179"/>
      <c r="K113" s="179"/>
      <c r="L113" s="179"/>
      <c r="M113" s="179"/>
      <c r="N113" s="179"/>
      <c r="O113" s="179"/>
      <c r="P113" s="179"/>
      <c r="Q113" s="179"/>
      <c r="R113" s="179"/>
      <c r="S113" s="179"/>
      <c r="T113" s="179"/>
      <c r="U113" s="179"/>
      <c r="V113" s="179"/>
      <c r="W113" s="179"/>
      <c r="X113" s="179"/>
      <c r="Y113" s="179"/>
      <c r="AB113" s="179"/>
      <c r="AE113" s="179"/>
      <c r="AH113" s="179"/>
      <c r="AK113" s="179"/>
      <c r="AN113" s="179"/>
      <c r="AQ113" s="179"/>
      <c r="AT113" s="179"/>
      <c r="AW113" s="179"/>
      <c r="AZ113" s="179"/>
    </row>
    <row r="114" spans="1:52" ht="16.8" hidden="1">
      <c r="A114" s="11" t="s">
        <v>236</v>
      </c>
      <c r="B114" s="8"/>
      <c r="C114" s="8"/>
      <c r="D114" s="21"/>
      <c r="E114" s="209">
        <f>SUM(E103:E106)</f>
        <v>0</v>
      </c>
      <c r="F114" s="209">
        <f t="shared" ref="F114:X114" si="58">SUM(F103:F106)</f>
        <v>0</v>
      </c>
      <c r="G114" s="209">
        <f t="shared" si="58"/>
        <v>0</v>
      </c>
      <c r="H114" s="209">
        <f t="shared" si="58"/>
        <v>0</v>
      </c>
      <c r="I114" s="209">
        <f t="shared" si="58"/>
        <v>0</v>
      </c>
      <c r="J114" s="209">
        <f t="shared" si="58"/>
        <v>0</v>
      </c>
      <c r="K114" s="209">
        <f t="shared" si="58"/>
        <v>0</v>
      </c>
      <c r="L114" s="209">
        <f t="shared" si="58"/>
        <v>0</v>
      </c>
      <c r="M114" s="209">
        <f t="shared" si="58"/>
        <v>0</v>
      </c>
      <c r="N114" s="209">
        <f t="shared" si="58"/>
        <v>0</v>
      </c>
      <c r="O114" s="209">
        <f t="shared" si="58"/>
        <v>0</v>
      </c>
      <c r="P114" s="209">
        <f t="shared" si="58"/>
        <v>0</v>
      </c>
      <c r="Q114" s="209">
        <f t="shared" si="58"/>
        <v>0</v>
      </c>
      <c r="R114" s="209">
        <f t="shared" si="58"/>
        <v>0</v>
      </c>
      <c r="S114" s="209">
        <f t="shared" si="58"/>
        <v>0</v>
      </c>
      <c r="T114" s="209">
        <f t="shared" si="58"/>
        <v>0</v>
      </c>
      <c r="U114" s="209">
        <f t="shared" si="58"/>
        <v>0</v>
      </c>
      <c r="V114" s="209">
        <f t="shared" si="58"/>
        <v>0</v>
      </c>
      <c r="W114" s="209">
        <f t="shared" si="58"/>
        <v>0</v>
      </c>
      <c r="X114" s="209">
        <f t="shared" si="58"/>
        <v>0</v>
      </c>
      <c r="Y114" s="209">
        <f>SUM(Y103:Y113)</f>
        <v>0</v>
      </c>
      <c r="AB114" s="209">
        <f>SUM(AB103:AB113)</f>
        <v>0</v>
      </c>
      <c r="AE114" s="209">
        <f>SUM(AE103:AE113)</f>
        <v>0</v>
      </c>
      <c r="AH114" s="209">
        <f>SUM(AH103:AH113)</f>
        <v>0</v>
      </c>
      <c r="AK114" s="209">
        <f>SUM(AK103:AK113)</f>
        <v>0</v>
      </c>
      <c r="AN114" s="209">
        <f>SUM(AN103:AN113)</f>
        <v>0</v>
      </c>
      <c r="AQ114" s="209">
        <f>SUM(AQ103:AQ113)</f>
        <v>0</v>
      </c>
      <c r="AT114" s="209">
        <f>SUM(AT103:AT113)</f>
        <v>0</v>
      </c>
      <c r="AW114" s="209">
        <f>SUM(AW103:AW113)</f>
        <v>0</v>
      </c>
      <c r="AZ114" s="209">
        <f>SUM(AZ103:AZ113)</f>
        <v>0</v>
      </c>
    </row>
    <row r="115" spans="1:52" ht="16.8" hidden="1">
      <c r="A115" s="189"/>
      <c r="B115" s="8"/>
      <c r="C115" s="8"/>
      <c r="D115" s="21"/>
      <c r="E115" s="209"/>
      <c r="F115" s="209"/>
      <c r="G115" s="209"/>
      <c r="H115" s="209"/>
      <c r="I115" s="209"/>
      <c r="J115" s="209"/>
      <c r="K115" s="209"/>
      <c r="L115" s="209"/>
      <c r="M115" s="209"/>
      <c r="N115" s="209"/>
      <c r="O115" s="209"/>
      <c r="P115" s="209"/>
      <c r="Q115" s="209"/>
      <c r="R115" s="209"/>
      <c r="S115" s="209"/>
      <c r="T115" s="209"/>
      <c r="U115" s="209"/>
      <c r="V115" s="209"/>
      <c r="W115" s="209"/>
      <c r="X115" s="209"/>
      <c r="Y115" s="209"/>
      <c r="AB115" s="209"/>
      <c r="AE115" s="209"/>
      <c r="AH115" s="209"/>
      <c r="AK115" s="209"/>
      <c r="AN115" s="209"/>
      <c r="AQ115" s="209"/>
      <c r="AT115" s="209"/>
      <c r="AW115" s="209"/>
      <c r="AZ115" s="209"/>
    </row>
    <row r="116" spans="1:52" hidden="1">
      <c r="A116" s="181" t="str">
        <f>'6.1stYrOpBudget'!A126</f>
        <v>RESIDUAL RECEIPTS (CASH FLOW minus PAYMENTS PRECEDING MOHCD)</v>
      </c>
      <c r="B116" s="8"/>
      <c r="C116" s="8"/>
      <c r="D116" s="21"/>
      <c r="E116" s="175"/>
      <c r="F116" s="175">
        <f t="shared" ref="F116:Y116" si="59">F98-F114</f>
        <v>0</v>
      </c>
      <c r="G116" s="175">
        <f t="shared" si="59"/>
        <v>0</v>
      </c>
      <c r="H116" s="175">
        <f t="shared" si="59"/>
        <v>0</v>
      </c>
      <c r="I116" s="175">
        <f t="shared" si="59"/>
        <v>0</v>
      </c>
      <c r="J116" s="175">
        <f t="shared" si="59"/>
        <v>0</v>
      </c>
      <c r="K116" s="175">
        <f t="shared" si="59"/>
        <v>0</v>
      </c>
      <c r="L116" s="175">
        <f t="shared" si="59"/>
        <v>0</v>
      </c>
      <c r="M116" s="175">
        <f t="shared" si="59"/>
        <v>0</v>
      </c>
      <c r="N116" s="175">
        <f t="shared" si="59"/>
        <v>0</v>
      </c>
      <c r="O116" s="175">
        <f t="shared" si="59"/>
        <v>0</v>
      </c>
      <c r="P116" s="175">
        <f t="shared" si="59"/>
        <v>0</v>
      </c>
      <c r="Q116" s="175">
        <f t="shared" si="59"/>
        <v>0</v>
      </c>
      <c r="R116" s="175">
        <f t="shared" si="59"/>
        <v>0</v>
      </c>
      <c r="S116" s="175">
        <f t="shared" si="59"/>
        <v>0</v>
      </c>
      <c r="T116" s="175">
        <f t="shared" si="59"/>
        <v>0</v>
      </c>
      <c r="U116" s="175">
        <f t="shared" si="59"/>
        <v>0</v>
      </c>
      <c r="V116" s="175">
        <f t="shared" si="59"/>
        <v>0</v>
      </c>
      <c r="W116" s="175">
        <f t="shared" si="59"/>
        <v>0</v>
      </c>
      <c r="X116" s="175">
        <f t="shared" si="59"/>
        <v>0</v>
      </c>
      <c r="Y116" s="175">
        <f t="shared" si="59"/>
        <v>0</v>
      </c>
      <c r="AB116" s="175">
        <f>AB98-AB114</f>
        <v>0</v>
      </c>
      <c r="AE116" s="175">
        <f>AE98-AE114</f>
        <v>0</v>
      </c>
      <c r="AH116" s="175">
        <f>AH98-AH114</f>
        <v>0</v>
      </c>
      <c r="AK116" s="175">
        <f>AK98-AK114</f>
        <v>0</v>
      </c>
      <c r="AN116" s="175">
        <f>AN98-AN114</f>
        <v>0</v>
      </c>
      <c r="AQ116" s="175">
        <f>AQ98-AQ114</f>
        <v>0</v>
      </c>
      <c r="AT116" s="175">
        <f>AT98-AT114</f>
        <v>0</v>
      </c>
      <c r="AW116" s="175">
        <f>AW98-AW114</f>
        <v>0</v>
      </c>
      <c r="AZ116" s="175">
        <f>AZ98-AZ114</f>
        <v>0</v>
      </c>
    </row>
    <row r="117" spans="1:52" hidden="1">
      <c r="A117" s="207" t="str">
        <f>'6.1stYrOpBudget'!A141</f>
        <v>MOHCD RESIDUAL RECEIPTS DEBT SERVICE</v>
      </c>
      <c r="B117" s="8"/>
      <c r="C117" s="8"/>
      <c r="D117" s="21"/>
      <c r="E117" s="175"/>
      <c r="F117" s="125"/>
      <c r="G117" s="125"/>
      <c r="H117" s="125"/>
      <c r="I117" s="125"/>
      <c r="J117" s="125"/>
      <c r="K117" s="125"/>
      <c r="L117" s="125"/>
      <c r="M117" s="125"/>
      <c r="N117" s="125"/>
      <c r="O117" s="125"/>
      <c r="P117" s="125"/>
      <c r="Q117" s="125"/>
      <c r="R117" s="125"/>
      <c r="S117" s="125"/>
      <c r="T117" s="125"/>
      <c r="U117" s="125"/>
      <c r="V117" s="125"/>
      <c r="W117" s="125"/>
      <c r="X117" s="125"/>
      <c r="Y117" s="125"/>
      <c r="AB117" s="125"/>
      <c r="AE117" s="125"/>
      <c r="AH117" s="125"/>
      <c r="AK117" s="125"/>
      <c r="AN117" s="125"/>
      <c r="AQ117" s="125"/>
      <c r="AT117" s="125"/>
      <c r="AW117" s="125"/>
      <c r="AZ117" s="125"/>
    </row>
    <row r="118" spans="1:52" hidden="1">
      <c r="A118" s="210" t="e">
        <f>'6.1stYrOpBudget'!#REF!</f>
        <v>#REF!</v>
      </c>
      <c r="B118" s="8"/>
      <c r="C118" s="8"/>
      <c r="D118" s="208"/>
      <c r="E118" s="178"/>
      <c r="F118" s="178">
        <f t="shared" ref="F118:Y118" si="60">F141</f>
        <v>0</v>
      </c>
      <c r="G118" s="178">
        <f t="shared" si="60"/>
        <v>0</v>
      </c>
      <c r="H118" s="178">
        <f t="shared" si="60"/>
        <v>0</v>
      </c>
      <c r="I118" s="178">
        <f t="shared" si="60"/>
        <v>0</v>
      </c>
      <c r="J118" s="178">
        <f t="shared" si="60"/>
        <v>0</v>
      </c>
      <c r="K118" s="178">
        <f t="shared" si="60"/>
        <v>0</v>
      </c>
      <c r="L118" s="178">
        <f t="shared" si="60"/>
        <v>0</v>
      </c>
      <c r="M118" s="178">
        <f t="shared" si="60"/>
        <v>0</v>
      </c>
      <c r="N118" s="178">
        <f t="shared" si="60"/>
        <v>0</v>
      </c>
      <c r="O118" s="178">
        <f t="shared" si="60"/>
        <v>0</v>
      </c>
      <c r="P118" s="178">
        <f t="shared" si="60"/>
        <v>0</v>
      </c>
      <c r="Q118" s="178">
        <f t="shared" si="60"/>
        <v>0</v>
      </c>
      <c r="R118" s="178">
        <f t="shared" si="60"/>
        <v>0</v>
      </c>
      <c r="S118" s="178">
        <f t="shared" si="60"/>
        <v>0</v>
      </c>
      <c r="T118" s="178">
        <f t="shared" si="60"/>
        <v>0</v>
      </c>
      <c r="U118" s="178">
        <f t="shared" si="60"/>
        <v>0</v>
      </c>
      <c r="V118" s="178">
        <f t="shared" si="60"/>
        <v>0</v>
      </c>
      <c r="W118" s="178">
        <f t="shared" si="60"/>
        <v>0</v>
      </c>
      <c r="X118" s="178">
        <f t="shared" si="60"/>
        <v>0</v>
      </c>
      <c r="Y118" s="178">
        <f t="shared" si="60"/>
        <v>0</v>
      </c>
      <c r="AB118" s="178">
        <f>AB141</f>
        <v>0</v>
      </c>
      <c r="AE118" s="178">
        <f>AE141</f>
        <v>0</v>
      </c>
      <c r="AH118" s="178">
        <f>AH141</f>
        <v>0</v>
      </c>
      <c r="AK118" s="178">
        <f>AK141</f>
        <v>0</v>
      </c>
      <c r="AN118" s="178">
        <f>AN141</f>
        <v>0</v>
      </c>
      <c r="AQ118" s="178">
        <f>AQ141</f>
        <v>0</v>
      </c>
      <c r="AT118" s="178">
        <f>AT141</f>
        <v>0</v>
      </c>
      <c r="AW118" s="178">
        <f>AW141</f>
        <v>0</v>
      </c>
      <c r="AZ118" s="178">
        <f>AZ141</f>
        <v>0</v>
      </c>
    </row>
    <row r="119" spans="1:52" hidden="1">
      <c r="A119" s="189" t="str">
        <f>'6.1stYrOpBudget'!A146</f>
        <v>REMAINING BALANCE AFTER MOHCD RESIDUAL RECEIPTS DEBT SERVICE</v>
      </c>
      <c r="B119" s="8"/>
      <c r="C119" s="8"/>
      <c r="D119" s="21"/>
      <c r="E119" s="175"/>
      <c r="F119" s="175">
        <f t="shared" ref="F119:Y119" si="61">F116-F118</f>
        <v>0</v>
      </c>
      <c r="G119" s="175">
        <f t="shared" si="61"/>
        <v>0</v>
      </c>
      <c r="H119" s="175">
        <f t="shared" si="61"/>
        <v>0</v>
      </c>
      <c r="I119" s="175">
        <f t="shared" si="61"/>
        <v>0</v>
      </c>
      <c r="J119" s="175">
        <f t="shared" si="61"/>
        <v>0</v>
      </c>
      <c r="K119" s="175">
        <f t="shared" si="61"/>
        <v>0</v>
      </c>
      <c r="L119" s="175">
        <f t="shared" si="61"/>
        <v>0</v>
      </c>
      <c r="M119" s="175">
        <f t="shared" si="61"/>
        <v>0</v>
      </c>
      <c r="N119" s="175">
        <f t="shared" si="61"/>
        <v>0</v>
      </c>
      <c r="O119" s="175">
        <f t="shared" si="61"/>
        <v>0</v>
      </c>
      <c r="P119" s="175">
        <f t="shared" si="61"/>
        <v>0</v>
      </c>
      <c r="Q119" s="175">
        <f t="shared" si="61"/>
        <v>0</v>
      </c>
      <c r="R119" s="175">
        <f t="shared" si="61"/>
        <v>0</v>
      </c>
      <c r="S119" s="175">
        <f t="shared" si="61"/>
        <v>0</v>
      </c>
      <c r="T119" s="175">
        <f t="shared" si="61"/>
        <v>0</v>
      </c>
      <c r="U119" s="175">
        <f t="shared" si="61"/>
        <v>0</v>
      </c>
      <c r="V119" s="175">
        <f t="shared" si="61"/>
        <v>0</v>
      </c>
      <c r="W119" s="175">
        <f t="shared" si="61"/>
        <v>0</v>
      </c>
      <c r="X119" s="175">
        <f t="shared" si="61"/>
        <v>0</v>
      </c>
      <c r="Y119" s="175">
        <f t="shared" si="61"/>
        <v>0</v>
      </c>
      <c r="AB119" s="175">
        <f>AB116-AB118</f>
        <v>0</v>
      </c>
      <c r="AE119" s="175">
        <f>AE116-AE118</f>
        <v>0</v>
      </c>
      <c r="AH119" s="175">
        <f>AH116-AH118</f>
        <v>0</v>
      </c>
      <c r="AK119" s="175">
        <f>AK116-AK118</f>
        <v>0</v>
      </c>
      <c r="AN119" s="175">
        <f>AN116-AN118</f>
        <v>0</v>
      </c>
      <c r="AQ119" s="175">
        <f>AQ116-AQ118</f>
        <v>0</v>
      </c>
      <c r="AT119" s="175">
        <f>AT116-AT118</f>
        <v>0</v>
      </c>
      <c r="AW119" s="175">
        <f>AW116-AW118</f>
        <v>0</v>
      </c>
      <c r="AZ119" s="175">
        <f>AZ116-AZ118</f>
        <v>0</v>
      </c>
    </row>
    <row r="120" spans="1:52" hidden="1">
      <c r="A120" s="207" t="e">
        <f>'6.1stYrOpBudget'!#REF!</f>
        <v>#REF!</v>
      </c>
      <c r="B120" s="8"/>
      <c r="D120" s="21"/>
      <c r="E120" s="125"/>
      <c r="F120" s="175"/>
      <c r="G120" s="175"/>
      <c r="H120" s="175"/>
      <c r="I120" s="175"/>
      <c r="J120" s="175"/>
      <c r="K120" s="175"/>
      <c r="L120" s="175"/>
      <c r="M120" s="175"/>
      <c r="N120" s="175"/>
      <c r="O120" s="175"/>
      <c r="P120" s="175"/>
      <c r="Q120" s="175"/>
      <c r="R120" s="175"/>
      <c r="S120" s="175"/>
      <c r="T120" s="175"/>
      <c r="U120" s="175"/>
      <c r="V120" s="175"/>
      <c r="W120" s="175"/>
      <c r="X120" s="175"/>
      <c r="Y120" s="175"/>
      <c r="AB120" s="175"/>
      <c r="AE120" s="175"/>
      <c r="AH120" s="175"/>
      <c r="AK120" s="175"/>
      <c r="AN120" s="175"/>
      <c r="AQ120" s="175"/>
      <c r="AT120" s="175"/>
      <c r="AW120" s="175"/>
      <c r="AZ120" s="175"/>
    </row>
    <row r="121" spans="1:52" hidden="1">
      <c r="A121" s="184" t="e">
        <f>'6.1stYrOpBudget'!#REF!</f>
        <v>#REF!</v>
      </c>
      <c r="D121" s="208"/>
      <c r="E121" s="178"/>
      <c r="F121" s="211"/>
      <c r="G121" s="211"/>
      <c r="H121" s="211"/>
      <c r="I121" s="211"/>
      <c r="J121" s="211"/>
      <c r="K121" s="211"/>
      <c r="L121" s="211"/>
      <c r="M121" s="211"/>
      <c r="N121" s="211"/>
      <c r="O121" s="211"/>
      <c r="P121" s="211"/>
      <c r="Q121" s="211"/>
      <c r="R121" s="211"/>
      <c r="S121" s="211"/>
      <c r="T121" s="211"/>
      <c r="U121" s="211"/>
      <c r="V121" s="211"/>
      <c r="W121" s="211"/>
      <c r="X121" s="211"/>
      <c r="Y121" s="211"/>
      <c r="AB121" s="211"/>
      <c r="AE121" s="211"/>
      <c r="AH121" s="211"/>
      <c r="AK121" s="211"/>
      <c r="AN121" s="211"/>
      <c r="AQ121" s="211"/>
      <c r="AT121" s="211"/>
      <c r="AW121" s="211"/>
      <c r="AZ121" s="211"/>
    </row>
    <row r="122" spans="1:52" hidden="1">
      <c r="A122" s="184" t="e">
        <f>'6.1stYrOpBudget'!#REF!</f>
        <v>#REF!</v>
      </c>
      <c r="D122" s="208"/>
      <c r="E122" s="212"/>
      <c r="F122" s="178">
        <f t="shared" ref="F122:Y122" si="62">F140</f>
        <v>0</v>
      </c>
      <c r="G122" s="178">
        <f t="shared" si="62"/>
        <v>0</v>
      </c>
      <c r="H122" s="178">
        <f t="shared" si="62"/>
        <v>0</v>
      </c>
      <c r="I122" s="178">
        <f t="shared" si="62"/>
        <v>0</v>
      </c>
      <c r="J122" s="178">
        <f t="shared" si="62"/>
        <v>0</v>
      </c>
      <c r="K122" s="178">
        <f t="shared" si="62"/>
        <v>0</v>
      </c>
      <c r="L122" s="178">
        <f t="shared" si="62"/>
        <v>0</v>
      </c>
      <c r="M122" s="178">
        <f t="shared" si="62"/>
        <v>0</v>
      </c>
      <c r="N122" s="178">
        <f t="shared" si="62"/>
        <v>0</v>
      </c>
      <c r="O122" s="178">
        <f t="shared" si="62"/>
        <v>0</v>
      </c>
      <c r="P122" s="178">
        <f t="shared" si="62"/>
        <v>0</v>
      </c>
      <c r="Q122" s="178">
        <f t="shared" si="62"/>
        <v>0</v>
      </c>
      <c r="R122" s="178">
        <f t="shared" si="62"/>
        <v>0</v>
      </c>
      <c r="S122" s="178">
        <f t="shared" si="62"/>
        <v>0</v>
      </c>
      <c r="T122" s="178">
        <f t="shared" si="62"/>
        <v>0</v>
      </c>
      <c r="U122" s="178">
        <f t="shared" si="62"/>
        <v>0</v>
      </c>
      <c r="V122" s="178">
        <f t="shared" si="62"/>
        <v>0</v>
      </c>
      <c r="W122" s="178">
        <f t="shared" si="62"/>
        <v>0</v>
      </c>
      <c r="X122" s="178">
        <f t="shared" si="62"/>
        <v>0</v>
      </c>
      <c r="Y122" s="178">
        <f t="shared" si="62"/>
        <v>0</v>
      </c>
      <c r="AB122" s="178">
        <f>AB140</f>
        <v>0</v>
      </c>
      <c r="AE122" s="178">
        <f>AE140</f>
        <v>0</v>
      </c>
      <c r="AH122" s="178">
        <f>AH140</f>
        <v>0</v>
      </c>
      <c r="AK122" s="178">
        <f>AK140</f>
        <v>0</v>
      </c>
      <c r="AN122" s="178">
        <f>AN140</f>
        <v>0</v>
      </c>
      <c r="AQ122" s="178">
        <f>AQ140</f>
        <v>0</v>
      </c>
      <c r="AT122" s="178">
        <f>AT140</f>
        <v>0</v>
      </c>
      <c r="AW122" s="178">
        <f>AW140</f>
        <v>0</v>
      </c>
      <c r="AZ122" s="178">
        <f>AZ140</f>
        <v>0</v>
      </c>
    </row>
    <row r="123" spans="1:52" hidden="1">
      <c r="A123" s="184" t="e">
        <f>'6.1stYrOpBudget'!#REF!</f>
        <v>#REF!</v>
      </c>
      <c r="D123" s="208"/>
      <c r="E123" s="178"/>
      <c r="F123" s="213"/>
      <c r="G123" s="213"/>
      <c r="H123" s="213"/>
      <c r="I123" s="213"/>
      <c r="J123" s="213"/>
      <c r="K123" s="213"/>
      <c r="L123" s="213"/>
      <c r="M123" s="213"/>
      <c r="N123" s="213"/>
      <c r="O123" s="213"/>
      <c r="P123" s="213"/>
      <c r="Q123" s="213"/>
      <c r="R123" s="213"/>
      <c r="S123" s="213"/>
      <c r="T123" s="213"/>
      <c r="U123" s="213"/>
      <c r="V123" s="213"/>
      <c r="W123" s="213"/>
      <c r="X123" s="213"/>
      <c r="Y123" s="213"/>
      <c r="AB123" s="213"/>
      <c r="AE123" s="213"/>
      <c r="AH123" s="213"/>
      <c r="AK123" s="213"/>
      <c r="AN123" s="213"/>
      <c r="AQ123" s="213"/>
      <c r="AT123" s="213"/>
      <c r="AW123" s="213"/>
      <c r="AZ123" s="213"/>
    </row>
    <row r="124" spans="1:52" hidden="1">
      <c r="A124" s="176" t="e">
        <f>'6.1stYrOpBudget'!#REF!</f>
        <v>#REF!</v>
      </c>
      <c r="D124" s="208"/>
      <c r="E124" s="178"/>
      <c r="F124" s="179"/>
      <c r="G124" s="179"/>
      <c r="H124" s="179"/>
      <c r="I124" s="179"/>
      <c r="J124" s="179"/>
      <c r="K124" s="179"/>
      <c r="L124" s="179"/>
      <c r="M124" s="179"/>
      <c r="N124" s="179"/>
      <c r="O124" s="179"/>
      <c r="P124" s="179"/>
      <c r="Q124" s="179"/>
      <c r="R124" s="179"/>
      <c r="S124" s="179"/>
      <c r="T124" s="179"/>
      <c r="U124" s="179"/>
      <c r="V124" s="179"/>
      <c r="W124" s="179"/>
      <c r="X124" s="179"/>
      <c r="Y124" s="179"/>
      <c r="AB124" s="179"/>
      <c r="AE124" s="179"/>
      <c r="AH124" s="179"/>
      <c r="AK124" s="179"/>
      <c r="AN124" s="179"/>
      <c r="AQ124" s="179"/>
      <c r="AT124" s="179"/>
      <c r="AW124" s="179"/>
      <c r="AZ124" s="179"/>
    </row>
    <row r="125" spans="1:52" hidden="1">
      <c r="A125" s="184" t="e">
        <f>'6.1stYrOpBudget'!#REF!</f>
        <v>#REF!</v>
      </c>
      <c r="D125" s="208"/>
      <c r="E125" s="178"/>
      <c r="F125" s="179"/>
      <c r="G125" s="179"/>
      <c r="H125" s="179"/>
      <c r="I125" s="179"/>
      <c r="J125" s="179"/>
      <c r="K125" s="179"/>
      <c r="L125" s="179"/>
      <c r="M125" s="179"/>
      <c r="N125" s="179"/>
      <c r="O125" s="179"/>
      <c r="P125" s="179"/>
      <c r="Q125" s="179"/>
      <c r="R125" s="179"/>
      <c r="S125" s="179"/>
      <c r="T125" s="179"/>
      <c r="U125" s="179"/>
      <c r="V125" s="179"/>
      <c r="W125" s="179"/>
      <c r="X125" s="179"/>
      <c r="Y125" s="179"/>
      <c r="AB125" s="179"/>
      <c r="AE125" s="179"/>
      <c r="AH125" s="179"/>
      <c r="AK125" s="179"/>
      <c r="AN125" s="179"/>
      <c r="AQ125" s="179"/>
      <c r="AT125" s="179"/>
      <c r="AW125" s="179"/>
      <c r="AZ125" s="179"/>
    </row>
    <row r="126" spans="1:52" hidden="1">
      <c r="A126" s="184" t="e">
        <f>'6.1stYrOpBudget'!#REF!</f>
        <v>#REF!</v>
      </c>
      <c r="D126" s="208"/>
      <c r="E126" s="178"/>
      <c r="F126" s="179"/>
      <c r="G126" s="179"/>
      <c r="H126" s="179"/>
      <c r="I126" s="179"/>
      <c r="J126" s="179"/>
      <c r="K126" s="179"/>
      <c r="L126" s="179"/>
      <c r="M126" s="179"/>
      <c r="N126" s="179"/>
      <c r="O126" s="179"/>
      <c r="P126" s="179"/>
      <c r="Q126" s="179"/>
      <c r="R126" s="179"/>
      <c r="S126" s="179"/>
      <c r="T126" s="179"/>
      <c r="U126" s="179"/>
      <c r="V126" s="179"/>
      <c r="W126" s="179"/>
      <c r="X126" s="179"/>
      <c r="Y126" s="179"/>
      <c r="AB126" s="179"/>
      <c r="AE126" s="179"/>
      <c r="AH126" s="179"/>
      <c r="AK126" s="179"/>
      <c r="AN126" s="179"/>
      <c r="AQ126" s="179"/>
      <c r="AT126" s="179"/>
      <c r="AW126" s="179"/>
      <c r="AZ126" s="179"/>
    </row>
    <row r="127" spans="1:52" hidden="1">
      <c r="A127" s="184" t="e">
        <f>'6.1stYrOpBudget'!#REF!</f>
        <v>#REF!</v>
      </c>
      <c r="D127" s="208"/>
      <c r="E127" s="178"/>
      <c r="F127" s="179"/>
      <c r="G127" s="179"/>
      <c r="H127" s="179"/>
      <c r="I127" s="179"/>
      <c r="J127" s="179"/>
      <c r="K127" s="179"/>
      <c r="L127" s="179"/>
      <c r="M127" s="179"/>
      <c r="N127" s="179"/>
      <c r="O127" s="179"/>
      <c r="P127" s="179"/>
      <c r="Q127" s="179"/>
      <c r="R127" s="179"/>
      <c r="S127" s="179"/>
      <c r="T127" s="179"/>
      <c r="U127" s="179"/>
      <c r="V127" s="179"/>
      <c r="W127" s="179"/>
      <c r="X127" s="179"/>
      <c r="Y127" s="179"/>
      <c r="AB127" s="179"/>
      <c r="AE127" s="179"/>
      <c r="AH127" s="179"/>
      <c r="AK127" s="179"/>
      <c r="AN127" s="179"/>
      <c r="AQ127" s="179"/>
      <c r="AT127" s="179"/>
      <c r="AW127" s="179"/>
      <c r="AZ127" s="179"/>
    </row>
    <row r="128" spans="1:52" hidden="1">
      <c r="A128" s="184" t="e">
        <f>'6.1stYrOpBudget'!#REF!</f>
        <v>#REF!</v>
      </c>
      <c r="D128" s="208"/>
      <c r="E128" s="178"/>
      <c r="F128" s="179"/>
      <c r="G128" s="179"/>
      <c r="H128" s="179"/>
      <c r="I128" s="179"/>
      <c r="J128" s="179"/>
      <c r="K128" s="179"/>
      <c r="L128" s="179"/>
      <c r="M128" s="179"/>
      <c r="N128" s="179"/>
      <c r="O128" s="179"/>
      <c r="P128" s="179"/>
      <c r="Q128" s="179"/>
      <c r="R128" s="179"/>
      <c r="S128" s="179"/>
      <c r="T128" s="179"/>
      <c r="U128" s="179"/>
      <c r="V128" s="179"/>
      <c r="W128" s="179"/>
      <c r="X128" s="179"/>
      <c r="Y128" s="179"/>
      <c r="AB128" s="179"/>
      <c r="AE128" s="179"/>
      <c r="AH128" s="179"/>
      <c r="AK128" s="179"/>
      <c r="AN128" s="179"/>
      <c r="AQ128" s="179"/>
      <c r="AT128" s="179"/>
      <c r="AW128" s="179"/>
      <c r="AZ128" s="179"/>
    </row>
    <row r="129" spans="1:52" ht="16.8" hidden="1">
      <c r="A129" s="189" t="e">
        <f>'6.1stYrOpBudget'!#REF!</f>
        <v>#REF!</v>
      </c>
      <c r="D129" s="21"/>
      <c r="E129" s="209"/>
      <c r="F129" s="209">
        <f t="shared" ref="F129:Y129" si="63">SUM(F121:F128)</f>
        <v>0</v>
      </c>
      <c r="G129" s="209">
        <f t="shared" si="63"/>
        <v>0</v>
      </c>
      <c r="H129" s="209">
        <f t="shared" si="63"/>
        <v>0</v>
      </c>
      <c r="I129" s="209">
        <f t="shared" si="63"/>
        <v>0</v>
      </c>
      <c r="J129" s="209">
        <f t="shared" si="63"/>
        <v>0</v>
      </c>
      <c r="K129" s="209">
        <f t="shared" si="63"/>
        <v>0</v>
      </c>
      <c r="L129" s="209">
        <f t="shared" si="63"/>
        <v>0</v>
      </c>
      <c r="M129" s="209">
        <f t="shared" si="63"/>
        <v>0</v>
      </c>
      <c r="N129" s="209">
        <f t="shared" si="63"/>
        <v>0</v>
      </c>
      <c r="O129" s="209">
        <f t="shared" si="63"/>
        <v>0</v>
      </c>
      <c r="P129" s="209">
        <f t="shared" si="63"/>
        <v>0</v>
      </c>
      <c r="Q129" s="209">
        <f t="shared" si="63"/>
        <v>0</v>
      </c>
      <c r="R129" s="209">
        <f t="shared" si="63"/>
        <v>0</v>
      </c>
      <c r="S129" s="209">
        <f t="shared" si="63"/>
        <v>0</v>
      </c>
      <c r="T129" s="209">
        <f t="shared" si="63"/>
        <v>0</v>
      </c>
      <c r="U129" s="209">
        <f t="shared" si="63"/>
        <v>0</v>
      </c>
      <c r="V129" s="209">
        <f t="shared" si="63"/>
        <v>0</v>
      </c>
      <c r="W129" s="209">
        <f t="shared" si="63"/>
        <v>0</v>
      </c>
      <c r="X129" s="209">
        <f t="shared" si="63"/>
        <v>0</v>
      </c>
      <c r="Y129" s="209">
        <f t="shared" si="63"/>
        <v>0</v>
      </c>
      <c r="AB129" s="209">
        <f>SUM(AB121:AB128)</f>
        <v>0</v>
      </c>
      <c r="AE129" s="209">
        <f>SUM(AE121:AE128)</f>
        <v>0</v>
      </c>
      <c r="AH129" s="209">
        <f>SUM(AH121:AH128)</f>
        <v>0</v>
      </c>
      <c r="AK129" s="209">
        <f>SUM(AK121:AK128)</f>
        <v>0</v>
      </c>
      <c r="AN129" s="209">
        <f>SUM(AN121:AN128)</f>
        <v>0</v>
      </c>
      <c r="AQ129" s="209">
        <f>SUM(AQ121:AQ128)</f>
        <v>0</v>
      </c>
      <c r="AT129" s="209">
        <f>SUM(AT121:AT128)</f>
        <v>0</v>
      </c>
      <c r="AW129" s="209">
        <f>SUM(AW121:AW128)</f>
        <v>0</v>
      </c>
      <c r="AZ129" s="209">
        <f>SUM(AZ121:AZ128)</f>
        <v>0</v>
      </c>
    </row>
    <row r="130" spans="1:52" hidden="1">
      <c r="A130" s="214" t="str">
        <f>'6.1stYrOpBudget'!A154</f>
        <v>REMAINDER (Should be zero unless there are distributions below)</v>
      </c>
      <c r="D130" s="21"/>
      <c r="E130" s="175"/>
      <c r="F130" s="175">
        <f t="shared" ref="F130:Y130" si="64">F119-F129</f>
        <v>0</v>
      </c>
      <c r="G130" s="175">
        <f t="shared" si="64"/>
        <v>0</v>
      </c>
      <c r="H130" s="175">
        <f t="shared" si="64"/>
        <v>0</v>
      </c>
      <c r="I130" s="175">
        <f t="shared" si="64"/>
        <v>0</v>
      </c>
      <c r="J130" s="175">
        <f t="shared" si="64"/>
        <v>0</v>
      </c>
      <c r="K130" s="175">
        <f t="shared" si="64"/>
        <v>0</v>
      </c>
      <c r="L130" s="175">
        <f t="shared" si="64"/>
        <v>0</v>
      </c>
      <c r="M130" s="175">
        <f t="shared" si="64"/>
        <v>0</v>
      </c>
      <c r="N130" s="175">
        <f t="shared" si="64"/>
        <v>0</v>
      </c>
      <c r="O130" s="175">
        <f t="shared" si="64"/>
        <v>0</v>
      </c>
      <c r="P130" s="175">
        <f t="shared" si="64"/>
        <v>0</v>
      </c>
      <c r="Q130" s="175">
        <f t="shared" si="64"/>
        <v>0</v>
      </c>
      <c r="R130" s="175">
        <f t="shared" si="64"/>
        <v>0</v>
      </c>
      <c r="S130" s="175">
        <f t="shared" si="64"/>
        <v>0</v>
      </c>
      <c r="T130" s="175">
        <f t="shared" si="64"/>
        <v>0</v>
      </c>
      <c r="U130" s="175">
        <f t="shared" si="64"/>
        <v>0</v>
      </c>
      <c r="V130" s="175">
        <f t="shared" si="64"/>
        <v>0</v>
      </c>
      <c r="W130" s="175">
        <f t="shared" si="64"/>
        <v>0</v>
      </c>
      <c r="X130" s="175">
        <f t="shared" si="64"/>
        <v>0</v>
      </c>
      <c r="Y130" s="175">
        <f t="shared" si="64"/>
        <v>0</v>
      </c>
      <c r="AB130" s="175">
        <f>AB119-AB129</f>
        <v>0</v>
      </c>
      <c r="AE130" s="175">
        <f>AE119-AE129</f>
        <v>0</v>
      </c>
      <c r="AH130" s="175">
        <f>AH119-AH129</f>
        <v>0</v>
      </c>
      <c r="AK130" s="175">
        <f>AK119-AK129</f>
        <v>0</v>
      </c>
      <c r="AN130" s="175">
        <f>AN119-AN129</f>
        <v>0</v>
      </c>
      <c r="AQ130" s="175">
        <f>AQ119-AQ129</f>
        <v>0</v>
      </c>
      <c r="AT130" s="175">
        <f>AT119-AT129</f>
        <v>0</v>
      </c>
      <c r="AW130" s="175">
        <f>AW119-AW129</f>
        <v>0</v>
      </c>
      <c r="AZ130" s="175">
        <f>AZ119-AZ129</f>
        <v>0</v>
      </c>
    </row>
    <row r="131" spans="1:52" hidden="1">
      <c r="A131" s="184" t="str">
        <f>'6.1stYrOpBudget'!A155</f>
        <v>Owner Distributions/Incentive Management Fee</v>
      </c>
      <c r="D131" s="208"/>
      <c r="E131" s="178"/>
      <c r="F131" s="30">
        <f t="shared" ref="F131:Y131" si="65">IF(F138&lt;=0,0, F138-SUM(F121,F123:F128))</f>
        <v>0</v>
      </c>
      <c r="G131" s="30">
        <f t="shared" si="65"/>
        <v>0</v>
      </c>
      <c r="H131" s="30">
        <f t="shared" si="65"/>
        <v>0</v>
      </c>
      <c r="I131" s="30">
        <f t="shared" si="65"/>
        <v>0</v>
      </c>
      <c r="J131" s="30">
        <f t="shared" si="65"/>
        <v>0</v>
      </c>
      <c r="K131" s="30">
        <f t="shared" si="65"/>
        <v>0</v>
      </c>
      <c r="L131" s="30">
        <f t="shared" si="65"/>
        <v>0</v>
      </c>
      <c r="M131" s="30">
        <f t="shared" si="65"/>
        <v>0</v>
      </c>
      <c r="N131" s="30">
        <f t="shared" si="65"/>
        <v>0</v>
      </c>
      <c r="O131" s="30">
        <f t="shared" si="65"/>
        <v>0</v>
      </c>
      <c r="P131" s="30">
        <f t="shared" si="65"/>
        <v>0</v>
      </c>
      <c r="Q131" s="30">
        <f t="shared" si="65"/>
        <v>0</v>
      </c>
      <c r="R131" s="30">
        <f t="shared" si="65"/>
        <v>0</v>
      </c>
      <c r="S131" s="30">
        <f t="shared" si="65"/>
        <v>0</v>
      </c>
      <c r="T131" s="30">
        <f t="shared" si="65"/>
        <v>0</v>
      </c>
      <c r="U131" s="30">
        <f t="shared" si="65"/>
        <v>0</v>
      </c>
      <c r="V131" s="30">
        <f t="shared" si="65"/>
        <v>0</v>
      </c>
      <c r="W131" s="30">
        <f t="shared" si="65"/>
        <v>0</v>
      </c>
      <c r="X131" s="30">
        <f t="shared" si="65"/>
        <v>0</v>
      </c>
      <c r="Y131" s="30">
        <f t="shared" si="65"/>
        <v>0</v>
      </c>
      <c r="AB131" s="30">
        <f>IF(AB138&lt;=0,0, AB138-SUM(AB121,AB123:AB128))</f>
        <v>0</v>
      </c>
      <c r="AE131" s="30">
        <f>IF(AE138&lt;=0,0, AE138-SUM(AE121,AE123:AE128))</f>
        <v>0</v>
      </c>
      <c r="AH131" s="30">
        <f>IF(AH138&lt;=0,0, AH138-SUM(AH121,AH123:AH128))</f>
        <v>0</v>
      </c>
      <c r="AK131" s="30">
        <f>IF(AK138&lt;=0,0, AK138-SUM(AK121,AK123:AK128))</f>
        <v>0</v>
      </c>
      <c r="AN131" s="30">
        <f>IF(AN138&lt;=0,0, AN138-SUM(AN121,AN123:AN128))</f>
        <v>0</v>
      </c>
      <c r="AQ131" s="30">
        <f>IF(AQ138&lt;=0,0, AQ138-SUM(AQ121,AQ123:AQ128))</f>
        <v>0</v>
      </c>
      <c r="AT131" s="30">
        <f>IF(AT138&lt;=0,0, AT138-SUM(AT121,AT123:AT128))</f>
        <v>0</v>
      </c>
      <c r="AW131" s="30">
        <f>IF(AW138&lt;=0,0, AW138-SUM(AW121,AW123:AW128))</f>
        <v>0</v>
      </c>
      <c r="AZ131" s="30">
        <f>IF(AZ138&lt;=0,0, AZ138-SUM(AZ121,AZ123:AZ128))</f>
        <v>0</v>
      </c>
    </row>
    <row r="132" spans="1:52" hidden="1">
      <c r="A132" s="184" t="str">
        <f>'6.1stYrOpBudget'!A156</f>
        <v>Other Distributions/Uses</v>
      </c>
      <c r="D132" s="208"/>
      <c r="E132" s="178"/>
      <c r="F132" s="179"/>
      <c r="G132" s="179"/>
      <c r="H132" s="179"/>
      <c r="I132" s="179"/>
      <c r="J132" s="179"/>
      <c r="K132" s="179"/>
      <c r="L132" s="179"/>
      <c r="M132" s="179"/>
      <c r="N132" s="179"/>
      <c r="O132" s="179"/>
      <c r="P132" s="179"/>
      <c r="Q132" s="179"/>
      <c r="R132" s="179"/>
      <c r="S132" s="179"/>
      <c r="T132" s="179"/>
      <c r="U132" s="179"/>
      <c r="V132" s="179"/>
      <c r="W132" s="179"/>
      <c r="X132" s="179"/>
      <c r="Y132" s="179"/>
      <c r="AB132" s="179"/>
      <c r="AE132" s="179"/>
      <c r="AH132" s="179"/>
      <c r="AK132" s="179"/>
      <c r="AN132" s="179"/>
      <c r="AQ132" s="179"/>
      <c r="AT132" s="179"/>
      <c r="AW132" s="179"/>
      <c r="AZ132" s="179"/>
    </row>
    <row r="133" spans="1:52" hidden="1">
      <c r="A133" s="181" t="str">
        <f>'6.1stYrOpBudget'!A157</f>
        <v>Final Balance (should be zero)</v>
      </c>
      <c r="D133" s="21"/>
      <c r="E133" s="175"/>
      <c r="F133" s="175">
        <f t="shared" ref="F133:Y133" si="66">F130-F131-F132</f>
        <v>0</v>
      </c>
      <c r="G133" s="175">
        <f t="shared" si="66"/>
        <v>0</v>
      </c>
      <c r="H133" s="175">
        <f t="shared" si="66"/>
        <v>0</v>
      </c>
      <c r="I133" s="175">
        <f t="shared" si="66"/>
        <v>0</v>
      </c>
      <c r="J133" s="175">
        <f t="shared" si="66"/>
        <v>0</v>
      </c>
      <c r="K133" s="175">
        <f t="shared" si="66"/>
        <v>0</v>
      </c>
      <c r="L133" s="175">
        <f t="shared" si="66"/>
        <v>0</v>
      </c>
      <c r="M133" s="175">
        <f t="shared" si="66"/>
        <v>0</v>
      </c>
      <c r="N133" s="175">
        <f t="shared" si="66"/>
        <v>0</v>
      </c>
      <c r="O133" s="175">
        <f t="shared" si="66"/>
        <v>0</v>
      </c>
      <c r="P133" s="175">
        <f t="shared" si="66"/>
        <v>0</v>
      </c>
      <c r="Q133" s="175">
        <f t="shared" si="66"/>
        <v>0</v>
      </c>
      <c r="R133" s="175">
        <f t="shared" si="66"/>
        <v>0</v>
      </c>
      <c r="S133" s="175">
        <f t="shared" si="66"/>
        <v>0</v>
      </c>
      <c r="T133" s="175">
        <f t="shared" si="66"/>
        <v>0</v>
      </c>
      <c r="U133" s="175">
        <f t="shared" si="66"/>
        <v>0</v>
      </c>
      <c r="V133" s="175">
        <f t="shared" si="66"/>
        <v>0</v>
      </c>
      <c r="W133" s="175">
        <f t="shared" si="66"/>
        <v>0</v>
      </c>
      <c r="X133" s="175">
        <f t="shared" si="66"/>
        <v>0</v>
      </c>
      <c r="Y133" s="175">
        <f t="shared" si="66"/>
        <v>0</v>
      </c>
      <c r="AB133" s="175">
        <f>AB130-AB131-AB132</f>
        <v>0</v>
      </c>
      <c r="AE133" s="175">
        <f>AE130-AE131-AE132</f>
        <v>0</v>
      </c>
      <c r="AH133" s="175">
        <f>AH130-AH131-AH132</f>
        <v>0</v>
      </c>
      <c r="AK133" s="175">
        <f>AK130-AK131-AK132</f>
        <v>0</v>
      </c>
      <c r="AN133" s="175">
        <f>AN130-AN131-AN132</f>
        <v>0</v>
      </c>
      <c r="AQ133" s="175">
        <f>AQ130-AQ131-AQ132</f>
        <v>0</v>
      </c>
      <c r="AT133" s="175">
        <f>AT130-AT131-AT132</f>
        <v>0</v>
      </c>
      <c r="AW133" s="175">
        <f>AW130-AW131-AW132</f>
        <v>0</v>
      </c>
      <c r="AZ133" s="175">
        <f>AZ130-AZ131-AZ132</f>
        <v>0</v>
      </c>
    </row>
    <row r="134" spans="1:52" ht="13.8" hidden="1">
      <c r="A134" s="156" t="e">
        <f>'6.1stYrOpBudget'!#REF!</f>
        <v>#REF!</v>
      </c>
      <c r="D134" s="21"/>
      <c r="E134" s="125"/>
      <c r="F134" s="175"/>
      <c r="G134" s="175"/>
      <c r="H134" s="175"/>
      <c r="I134" s="175"/>
      <c r="J134" s="175"/>
      <c r="K134" s="175"/>
      <c r="L134" s="175"/>
      <c r="M134" s="175"/>
      <c r="N134" s="175"/>
      <c r="O134" s="175"/>
      <c r="P134" s="175"/>
      <c r="Q134" s="175"/>
      <c r="R134" s="175"/>
      <c r="S134" s="175"/>
      <c r="T134" s="175"/>
      <c r="U134" s="175"/>
      <c r="V134" s="175"/>
      <c r="W134" s="175"/>
      <c r="X134" s="175"/>
      <c r="Y134" s="175"/>
      <c r="AB134" s="175"/>
      <c r="AE134" s="175"/>
      <c r="AH134" s="175"/>
      <c r="AK134" s="175"/>
      <c r="AN134" s="175"/>
      <c r="AQ134" s="175"/>
      <c r="AT134" s="175"/>
      <c r="AW134" s="175"/>
      <c r="AZ134" s="175"/>
    </row>
    <row r="135" spans="1:52" hidden="1">
      <c r="A135" s="215" t="e">
        <f>'6.1stYrOpBudget'!#REF!</f>
        <v>#REF!</v>
      </c>
      <c r="C135" s="216"/>
      <c r="D135" s="21"/>
      <c r="E135" s="217">
        <f>C135</f>
        <v>0</v>
      </c>
      <c r="F135" s="217">
        <f t="shared" ref="F135:Y135" si="67">$C135</f>
        <v>0</v>
      </c>
      <c r="G135" s="217">
        <f t="shared" si="67"/>
        <v>0</v>
      </c>
      <c r="H135" s="217">
        <f t="shared" si="67"/>
        <v>0</v>
      </c>
      <c r="I135" s="217">
        <f t="shared" si="67"/>
        <v>0</v>
      </c>
      <c r="J135" s="217">
        <f t="shared" si="67"/>
        <v>0</v>
      </c>
      <c r="K135" s="217">
        <f t="shared" si="67"/>
        <v>0</v>
      </c>
      <c r="L135" s="217">
        <f t="shared" si="67"/>
        <v>0</v>
      </c>
      <c r="M135" s="217">
        <f t="shared" si="67"/>
        <v>0</v>
      </c>
      <c r="N135" s="217">
        <f t="shared" si="67"/>
        <v>0</v>
      </c>
      <c r="O135" s="217">
        <f t="shared" si="67"/>
        <v>0</v>
      </c>
      <c r="P135" s="217">
        <f t="shared" si="67"/>
        <v>0</v>
      </c>
      <c r="Q135" s="217">
        <f t="shared" si="67"/>
        <v>0</v>
      </c>
      <c r="R135" s="217">
        <f t="shared" si="67"/>
        <v>0</v>
      </c>
      <c r="S135" s="217">
        <f t="shared" si="67"/>
        <v>0</v>
      </c>
      <c r="T135" s="217">
        <f t="shared" si="67"/>
        <v>0</v>
      </c>
      <c r="U135" s="217">
        <f t="shared" si="67"/>
        <v>0</v>
      </c>
      <c r="V135" s="217">
        <f t="shared" si="67"/>
        <v>0</v>
      </c>
      <c r="W135" s="217">
        <f t="shared" si="67"/>
        <v>0</v>
      </c>
      <c r="X135" s="217">
        <f t="shared" si="67"/>
        <v>0</v>
      </c>
      <c r="Y135" s="217">
        <f t="shared" si="67"/>
        <v>0</v>
      </c>
      <c r="AB135" s="217">
        <f>$C135</f>
        <v>0</v>
      </c>
      <c r="AE135" s="217">
        <f>$C135</f>
        <v>0</v>
      </c>
      <c r="AH135" s="217">
        <f>$C135</f>
        <v>0</v>
      </c>
      <c r="AK135" s="217">
        <f>$C135</f>
        <v>0</v>
      </c>
      <c r="AN135" s="217">
        <f>$C135</f>
        <v>0</v>
      </c>
      <c r="AQ135" s="217">
        <f>$C135</f>
        <v>0</v>
      </c>
      <c r="AT135" s="217">
        <f>$C135</f>
        <v>0</v>
      </c>
      <c r="AW135" s="217">
        <f>$C135</f>
        <v>0</v>
      </c>
      <c r="AZ135" s="217">
        <f>$C135</f>
        <v>0</v>
      </c>
    </row>
    <row r="136" spans="1:52" hidden="1">
      <c r="A136" s="218" t="e">
        <f>'6.1stYrOpBudget'!#REF!</f>
        <v>#REF!</v>
      </c>
      <c r="C136" s="219"/>
      <c r="D136" s="208"/>
      <c r="E136" s="178"/>
      <c r="F136" s="178" t="b">
        <f t="shared" ref="F136:Y136" si="68">IF($C135="yes", IF($C136&gt;0, $C136*F116, 0))</f>
        <v>0</v>
      </c>
      <c r="G136" s="178" t="b">
        <f t="shared" si="68"/>
        <v>0</v>
      </c>
      <c r="H136" s="178" t="b">
        <f t="shared" si="68"/>
        <v>0</v>
      </c>
      <c r="I136" s="178" t="b">
        <f t="shared" si="68"/>
        <v>0</v>
      </c>
      <c r="J136" s="178" t="b">
        <f t="shared" si="68"/>
        <v>0</v>
      </c>
      <c r="K136" s="178" t="b">
        <f t="shared" si="68"/>
        <v>0</v>
      </c>
      <c r="L136" s="178" t="b">
        <f t="shared" si="68"/>
        <v>0</v>
      </c>
      <c r="M136" s="178" t="b">
        <f t="shared" si="68"/>
        <v>0</v>
      </c>
      <c r="N136" s="178" t="b">
        <f t="shared" si="68"/>
        <v>0</v>
      </c>
      <c r="O136" s="178" t="b">
        <f t="shared" si="68"/>
        <v>0</v>
      </c>
      <c r="P136" s="178" t="b">
        <f t="shared" si="68"/>
        <v>0</v>
      </c>
      <c r="Q136" s="178" t="b">
        <f t="shared" si="68"/>
        <v>0</v>
      </c>
      <c r="R136" s="178" t="b">
        <f t="shared" si="68"/>
        <v>0</v>
      </c>
      <c r="S136" s="178" t="b">
        <f t="shared" si="68"/>
        <v>0</v>
      </c>
      <c r="T136" s="178" t="b">
        <f t="shared" si="68"/>
        <v>0</v>
      </c>
      <c r="U136" s="178" t="b">
        <f t="shared" si="68"/>
        <v>0</v>
      </c>
      <c r="V136" s="178" t="b">
        <f t="shared" si="68"/>
        <v>0</v>
      </c>
      <c r="W136" s="178" t="b">
        <f t="shared" si="68"/>
        <v>0</v>
      </c>
      <c r="X136" s="178" t="b">
        <f t="shared" si="68"/>
        <v>0</v>
      </c>
      <c r="Y136" s="178" t="b">
        <f t="shared" si="68"/>
        <v>0</v>
      </c>
      <c r="AB136" s="178" t="b">
        <f>IF($C135="yes", IF($C136&gt;0, $C136*AB116, 0))</f>
        <v>0</v>
      </c>
      <c r="AE136" s="178" t="b">
        <f>IF($C135="yes", IF($C136&gt;0, $C136*AE116, 0))</f>
        <v>0</v>
      </c>
      <c r="AH136" s="178" t="b">
        <f>IF($C135="yes", IF($C136&gt;0, $C136*AH116, 0))</f>
        <v>0</v>
      </c>
      <c r="AK136" s="178" t="b">
        <f>IF($C135="yes", IF($C136&gt;0, $C136*AK116, 0))</f>
        <v>0</v>
      </c>
      <c r="AN136" s="178" t="b">
        <f>IF($C135="yes", IF($C136&gt;0, $C136*AN116, 0))</f>
        <v>0</v>
      </c>
      <c r="AQ136" s="178" t="b">
        <f>IF($C135="yes", IF($C136&gt;0, $C136*AQ116, 0))</f>
        <v>0</v>
      </c>
      <c r="AT136" s="178" t="b">
        <f>IF($C135="yes", IF($C136&gt;0, $C136*AT116, 0))</f>
        <v>0</v>
      </c>
      <c r="AW136" s="178" t="b">
        <f>IF($C135="yes", IF($C136&gt;0, $C136*AW116, 0))</f>
        <v>0</v>
      </c>
      <c r="AZ136" s="178" t="b">
        <f>IF($C135="yes", IF($C136&gt;0, $C136*AZ116, 0))</f>
        <v>0</v>
      </c>
    </row>
    <row r="137" spans="1:52" hidden="1">
      <c r="A137" s="218" t="e">
        <f>'6.1stYrOpBudget'!#REF!</f>
        <v>#REF!</v>
      </c>
      <c r="C137" s="220"/>
      <c r="D137" s="208"/>
      <c r="E137" s="178"/>
      <c r="F137" s="178">
        <f t="shared" ref="F137:Y137" si="69">IF($C135="yes", $C137*$C$4,0)</f>
        <v>0</v>
      </c>
      <c r="G137" s="178">
        <f t="shared" si="69"/>
        <v>0</v>
      </c>
      <c r="H137" s="178">
        <f t="shared" si="69"/>
        <v>0</v>
      </c>
      <c r="I137" s="178">
        <f t="shared" si="69"/>
        <v>0</v>
      </c>
      <c r="J137" s="178">
        <f t="shared" si="69"/>
        <v>0</v>
      </c>
      <c r="K137" s="178">
        <f t="shared" si="69"/>
        <v>0</v>
      </c>
      <c r="L137" s="178">
        <f t="shared" si="69"/>
        <v>0</v>
      </c>
      <c r="M137" s="178">
        <f t="shared" si="69"/>
        <v>0</v>
      </c>
      <c r="N137" s="178">
        <f t="shared" si="69"/>
        <v>0</v>
      </c>
      <c r="O137" s="178">
        <f t="shared" si="69"/>
        <v>0</v>
      </c>
      <c r="P137" s="178">
        <f t="shared" si="69"/>
        <v>0</v>
      </c>
      <c r="Q137" s="178">
        <f t="shared" si="69"/>
        <v>0</v>
      </c>
      <c r="R137" s="178">
        <f t="shared" si="69"/>
        <v>0</v>
      </c>
      <c r="S137" s="178">
        <f t="shared" si="69"/>
        <v>0</v>
      </c>
      <c r="T137" s="178">
        <f t="shared" si="69"/>
        <v>0</v>
      </c>
      <c r="U137" s="178">
        <f t="shared" si="69"/>
        <v>0</v>
      </c>
      <c r="V137" s="178">
        <f t="shared" si="69"/>
        <v>0</v>
      </c>
      <c r="W137" s="178">
        <f t="shared" si="69"/>
        <v>0</v>
      </c>
      <c r="X137" s="178">
        <f t="shared" si="69"/>
        <v>0</v>
      </c>
      <c r="Y137" s="178">
        <f t="shared" si="69"/>
        <v>0</v>
      </c>
      <c r="AB137" s="178">
        <f>IF($C135="yes", $C137*$C$4,0)</f>
        <v>0</v>
      </c>
      <c r="AE137" s="178">
        <f>IF($C135="yes", $C137*$C$4,0)</f>
        <v>0</v>
      </c>
      <c r="AH137" s="178">
        <f>IF($C135="yes", $C137*$C$4,0)</f>
        <v>0</v>
      </c>
      <c r="AK137" s="178">
        <f>IF($C135="yes", $C137*$C$4,0)</f>
        <v>0</v>
      </c>
      <c r="AN137" s="178">
        <f>IF($C135="yes", $C137*$C$4,0)</f>
        <v>0</v>
      </c>
      <c r="AQ137" s="178">
        <f>IF($C135="yes", $C137*$C$4,0)</f>
        <v>0</v>
      </c>
      <c r="AT137" s="178">
        <f>IF($C135="yes", $C137*$C$4,0)</f>
        <v>0</v>
      </c>
      <c r="AW137" s="178">
        <f>IF($C135="yes", $C137*$C$4,0)</f>
        <v>0</v>
      </c>
      <c r="AZ137" s="178">
        <f>IF($C135="yes", $C137*$C$4,0)</f>
        <v>0</v>
      </c>
    </row>
    <row r="138" spans="1:52" hidden="1">
      <c r="A138" s="218" t="e">
        <f>'6.1stYrOpBudget'!#REF!</f>
        <v>#REF!</v>
      </c>
      <c r="D138" s="208"/>
      <c r="E138" s="178"/>
      <c r="F138" s="178">
        <f t="shared" ref="F138:Y138" si="70">IF(F136&lt;&gt;"", IF(F137&lt;F136,F137,F136), "")</f>
        <v>0</v>
      </c>
      <c r="G138" s="178">
        <f t="shared" si="70"/>
        <v>0</v>
      </c>
      <c r="H138" s="178">
        <f t="shared" si="70"/>
        <v>0</v>
      </c>
      <c r="I138" s="178">
        <f t="shared" si="70"/>
        <v>0</v>
      </c>
      <c r="J138" s="178">
        <f t="shared" si="70"/>
        <v>0</v>
      </c>
      <c r="K138" s="178">
        <f t="shared" si="70"/>
        <v>0</v>
      </c>
      <c r="L138" s="178">
        <f t="shared" si="70"/>
        <v>0</v>
      </c>
      <c r="M138" s="178">
        <f t="shared" si="70"/>
        <v>0</v>
      </c>
      <c r="N138" s="178">
        <f t="shared" si="70"/>
        <v>0</v>
      </c>
      <c r="O138" s="178">
        <f t="shared" si="70"/>
        <v>0</v>
      </c>
      <c r="P138" s="178">
        <f t="shared" si="70"/>
        <v>0</v>
      </c>
      <c r="Q138" s="178">
        <f t="shared" si="70"/>
        <v>0</v>
      </c>
      <c r="R138" s="178">
        <f t="shared" si="70"/>
        <v>0</v>
      </c>
      <c r="S138" s="178">
        <f t="shared" si="70"/>
        <v>0</v>
      </c>
      <c r="T138" s="178">
        <f t="shared" si="70"/>
        <v>0</v>
      </c>
      <c r="U138" s="178">
        <f t="shared" si="70"/>
        <v>0</v>
      </c>
      <c r="V138" s="178">
        <f t="shared" si="70"/>
        <v>0</v>
      </c>
      <c r="W138" s="178">
        <f t="shared" si="70"/>
        <v>0</v>
      </c>
      <c r="X138" s="178">
        <f t="shared" si="70"/>
        <v>0</v>
      </c>
      <c r="Y138" s="178">
        <f t="shared" si="70"/>
        <v>0</v>
      </c>
      <c r="AB138" s="178">
        <f>IF(AB136&lt;&gt;"", IF(AB137&lt;AB136,AB137,AB136), "")</f>
        <v>0</v>
      </c>
      <c r="AE138" s="178">
        <f>IF(AE136&lt;&gt;"", IF(AE137&lt;AE136,AE137,AE136), "")</f>
        <v>0</v>
      </c>
      <c r="AH138" s="178">
        <f>IF(AH136&lt;&gt;"", IF(AH137&lt;AH136,AH137,AH136), "")</f>
        <v>0</v>
      </c>
      <c r="AK138" s="178">
        <f>IF(AK136&lt;&gt;"", IF(AK137&lt;AK136,AK137,AK136), "")</f>
        <v>0</v>
      </c>
      <c r="AN138" s="178">
        <f>IF(AN136&lt;&gt;"", IF(AN137&lt;AN136,AN137,AN136), "")</f>
        <v>0</v>
      </c>
      <c r="AQ138" s="178">
        <f>IF(AQ136&lt;&gt;"", IF(AQ137&lt;AQ136,AQ137,AQ136), "")</f>
        <v>0</v>
      </c>
      <c r="AT138" s="178">
        <f>IF(AT136&lt;&gt;"", IF(AT137&lt;AT136,AT137,AT136), "")</f>
        <v>0</v>
      </c>
      <c r="AW138" s="178">
        <f>IF(AW136&lt;&gt;"", IF(AW137&lt;AW136,AW137,AW136), "")</f>
        <v>0</v>
      </c>
      <c r="AZ138" s="178">
        <f>IF(AZ136&lt;&gt;"", IF(AZ137&lt;AZ136,AZ137,AZ136), "")</f>
        <v>0</v>
      </c>
    </row>
    <row r="139" spans="1:52" hidden="1">
      <c r="A139" s="218" t="e">
        <f>'6.1stYrOpBudget'!#REF!</f>
        <v>#REF!</v>
      </c>
      <c r="D139" s="208"/>
      <c r="E139" s="178"/>
      <c r="F139" s="178">
        <f t="shared" ref="F139:Y139" si="71">IF(F138&gt;0, F116-F138, 0)</f>
        <v>0</v>
      </c>
      <c r="G139" s="178">
        <f t="shared" si="71"/>
        <v>0</v>
      </c>
      <c r="H139" s="178">
        <f t="shared" si="71"/>
        <v>0</v>
      </c>
      <c r="I139" s="178">
        <f t="shared" si="71"/>
        <v>0</v>
      </c>
      <c r="J139" s="178">
        <f t="shared" si="71"/>
        <v>0</v>
      </c>
      <c r="K139" s="178">
        <f t="shared" si="71"/>
        <v>0</v>
      </c>
      <c r="L139" s="178">
        <f t="shared" si="71"/>
        <v>0</v>
      </c>
      <c r="M139" s="178">
        <f t="shared" si="71"/>
        <v>0</v>
      </c>
      <c r="N139" s="178">
        <f t="shared" si="71"/>
        <v>0</v>
      </c>
      <c r="O139" s="178">
        <f t="shared" si="71"/>
        <v>0</v>
      </c>
      <c r="P139" s="178">
        <f t="shared" si="71"/>
        <v>0</v>
      </c>
      <c r="Q139" s="178">
        <f t="shared" si="71"/>
        <v>0</v>
      </c>
      <c r="R139" s="178">
        <f t="shared" si="71"/>
        <v>0</v>
      </c>
      <c r="S139" s="178">
        <f t="shared" si="71"/>
        <v>0</v>
      </c>
      <c r="T139" s="178">
        <f t="shared" si="71"/>
        <v>0</v>
      </c>
      <c r="U139" s="178">
        <f t="shared" si="71"/>
        <v>0</v>
      </c>
      <c r="V139" s="178">
        <f t="shared" si="71"/>
        <v>0</v>
      </c>
      <c r="W139" s="178">
        <f t="shared" si="71"/>
        <v>0</v>
      </c>
      <c r="X139" s="178">
        <f t="shared" si="71"/>
        <v>0</v>
      </c>
      <c r="Y139" s="178">
        <f t="shared" si="71"/>
        <v>0</v>
      </c>
      <c r="AB139" s="178">
        <f>IF(AB138&gt;0, AB116-AB138, 0)</f>
        <v>0</v>
      </c>
      <c r="AE139" s="178">
        <f>IF(AE138&gt;0, AE116-AE138, 0)</f>
        <v>0</v>
      </c>
      <c r="AH139" s="178">
        <f>IF(AH138&gt;0, AH116-AH138, 0)</f>
        <v>0</v>
      </c>
      <c r="AK139" s="178">
        <f>IF(AK138&gt;0, AK116-AK138, 0)</f>
        <v>0</v>
      </c>
      <c r="AN139" s="178">
        <f>IF(AN138&gt;0, AN116-AN138, 0)</f>
        <v>0</v>
      </c>
      <c r="AQ139" s="178">
        <f>IF(AQ138&gt;0, AQ116-AQ138, 0)</f>
        <v>0</v>
      </c>
      <c r="AT139" s="178">
        <f>IF(AT138&gt;0, AT116-AT138, 0)</f>
        <v>0</v>
      </c>
      <c r="AW139" s="178">
        <f>IF(AW138&gt;0, AW116-AW138, 0)</f>
        <v>0</v>
      </c>
      <c r="AZ139" s="178">
        <f>IF(AZ138&gt;0, AZ116-AZ138, 0)</f>
        <v>0</v>
      </c>
    </row>
    <row r="140" spans="1:52" hidden="1">
      <c r="A140" s="218" t="e">
        <f>'6.1stYrOpBudget'!#REF!</f>
        <v>#REF!</v>
      </c>
      <c r="D140" s="208"/>
      <c r="E140" s="178"/>
      <c r="F140" s="221"/>
      <c r="G140" s="221"/>
      <c r="H140" s="221"/>
      <c r="I140" s="221"/>
      <c r="J140" s="221"/>
      <c r="K140" s="221"/>
      <c r="L140" s="221"/>
      <c r="M140" s="221"/>
      <c r="N140" s="221"/>
      <c r="O140" s="221"/>
      <c r="P140" s="221"/>
      <c r="Q140" s="221"/>
      <c r="R140" s="221"/>
      <c r="S140" s="221"/>
      <c r="T140" s="221"/>
      <c r="U140" s="221"/>
      <c r="V140" s="221"/>
      <c r="W140" s="221"/>
      <c r="X140" s="221"/>
      <c r="Y140" s="221"/>
      <c r="AB140" s="221"/>
      <c r="AE140" s="221"/>
      <c r="AH140" s="221"/>
      <c r="AK140" s="221"/>
      <c r="AN140" s="221"/>
      <c r="AQ140" s="221"/>
      <c r="AT140" s="221"/>
      <c r="AW140" s="221"/>
      <c r="AZ140" s="221"/>
    </row>
    <row r="141" spans="1:52" hidden="1">
      <c r="A141" s="218" t="e">
        <f>'6.1stYrOpBudget'!#REF!</f>
        <v>#REF!</v>
      </c>
      <c r="D141" s="208"/>
      <c r="E141" s="178"/>
      <c r="F141" s="178">
        <f t="shared" ref="F141:Y141" si="72">F139-F140</f>
        <v>0</v>
      </c>
      <c r="G141" s="178">
        <f t="shared" si="72"/>
        <v>0</v>
      </c>
      <c r="H141" s="178">
        <f t="shared" si="72"/>
        <v>0</v>
      </c>
      <c r="I141" s="178">
        <f t="shared" si="72"/>
        <v>0</v>
      </c>
      <c r="J141" s="178">
        <f t="shared" si="72"/>
        <v>0</v>
      </c>
      <c r="K141" s="178">
        <f t="shared" si="72"/>
        <v>0</v>
      </c>
      <c r="L141" s="178">
        <f t="shared" si="72"/>
        <v>0</v>
      </c>
      <c r="M141" s="178">
        <f t="shared" si="72"/>
        <v>0</v>
      </c>
      <c r="N141" s="178">
        <f t="shared" si="72"/>
        <v>0</v>
      </c>
      <c r="O141" s="178">
        <f t="shared" si="72"/>
        <v>0</v>
      </c>
      <c r="P141" s="178">
        <f t="shared" si="72"/>
        <v>0</v>
      </c>
      <c r="Q141" s="178">
        <f t="shared" si="72"/>
        <v>0</v>
      </c>
      <c r="R141" s="178">
        <f t="shared" si="72"/>
        <v>0</v>
      </c>
      <c r="S141" s="178">
        <f t="shared" si="72"/>
        <v>0</v>
      </c>
      <c r="T141" s="178">
        <f t="shared" si="72"/>
        <v>0</v>
      </c>
      <c r="U141" s="178">
        <f t="shared" si="72"/>
        <v>0</v>
      </c>
      <c r="V141" s="178">
        <f t="shared" si="72"/>
        <v>0</v>
      </c>
      <c r="W141" s="178">
        <f t="shared" si="72"/>
        <v>0</v>
      </c>
      <c r="X141" s="178">
        <f t="shared" si="72"/>
        <v>0</v>
      </c>
      <c r="Y141" s="178">
        <f t="shared" si="72"/>
        <v>0</v>
      </c>
      <c r="AB141" s="178">
        <f>AB139-AB140</f>
        <v>0</v>
      </c>
      <c r="AE141" s="178">
        <f>AE139-AE140</f>
        <v>0</v>
      </c>
      <c r="AH141" s="178">
        <f>AH139-AH140</f>
        <v>0</v>
      </c>
      <c r="AK141" s="178">
        <f>AK139-AK140</f>
        <v>0</v>
      </c>
      <c r="AN141" s="178">
        <f>AN139-AN140</f>
        <v>0</v>
      </c>
      <c r="AQ141" s="178">
        <f>AQ139-AQ140</f>
        <v>0</v>
      </c>
      <c r="AT141" s="178">
        <f>AT139-AT140</f>
        <v>0</v>
      </c>
      <c r="AW141" s="178">
        <f>AW139-AW140</f>
        <v>0</v>
      </c>
      <c r="AZ141" s="178">
        <f>AZ139-AZ140</f>
        <v>0</v>
      </c>
    </row>
    <row r="142" spans="1:52">
      <c r="D142" s="21"/>
      <c r="E142" s="125"/>
      <c r="F142" s="175"/>
      <c r="G142" s="175"/>
      <c r="H142" s="175"/>
      <c r="I142" s="175"/>
      <c r="J142" s="175"/>
      <c r="K142" s="175"/>
      <c r="L142" s="175"/>
      <c r="M142" s="175"/>
      <c r="N142" s="175"/>
      <c r="O142" s="175"/>
      <c r="P142" s="175"/>
      <c r="Q142" s="175"/>
      <c r="R142" s="175"/>
      <c r="S142" s="175"/>
      <c r="T142" s="175"/>
      <c r="U142" s="175"/>
      <c r="V142" s="175"/>
      <c r="W142" s="175"/>
      <c r="X142" s="175"/>
      <c r="Y142" s="175"/>
      <c r="AB142" s="175"/>
      <c r="AE142" s="175"/>
      <c r="AH142" s="175"/>
      <c r="AK142" s="175"/>
      <c r="AN142" s="175"/>
      <c r="AQ142" s="175"/>
      <c r="AT142" s="175"/>
      <c r="AW142" s="175"/>
      <c r="AZ142" s="175"/>
    </row>
    <row r="143" spans="1:52">
      <c r="A143" s="6" t="s">
        <v>68</v>
      </c>
      <c r="D143" s="21"/>
      <c r="E143" s="125"/>
      <c r="F143" s="175"/>
      <c r="G143" s="175"/>
      <c r="H143" s="175"/>
      <c r="I143" s="175"/>
      <c r="J143" s="175"/>
      <c r="K143" s="175"/>
      <c r="L143" s="175"/>
      <c r="M143" s="175"/>
      <c r="N143" s="175"/>
      <c r="O143" s="175"/>
      <c r="P143" s="175"/>
      <c r="Q143" s="175"/>
      <c r="R143" s="175"/>
      <c r="S143" s="175"/>
      <c r="T143" s="175"/>
      <c r="U143" s="175"/>
      <c r="V143" s="175"/>
      <c r="W143" s="175"/>
      <c r="X143" s="175"/>
      <c r="Y143" s="175"/>
      <c r="AB143" s="175"/>
      <c r="AE143" s="175"/>
      <c r="AH143" s="175"/>
      <c r="AK143" s="175"/>
      <c r="AN143" s="175"/>
      <c r="AQ143" s="175"/>
      <c r="AT143" s="175"/>
      <c r="AW143" s="175"/>
      <c r="AZ143" s="175"/>
    </row>
    <row r="144" spans="1:52">
      <c r="A144" s="10" t="s">
        <v>72</v>
      </c>
      <c r="D144" s="63"/>
      <c r="E144" s="68"/>
      <c r="F144" s="224">
        <f>E148</f>
        <v>0</v>
      </c>
      <c r="G144" s="224">
        <f t="shared" ref="G144:Y144" si="73">F148</f>
        <v>0</v>
      </c>
      <c r="H144" s="224">
        <f t="shared" si="73"/>
        <v>0</v>
      </c>
      <c r="I144" s="224">
        <f t="shared" si="73"/>
        <v>0</v>
      </c>
      <c r="J144" s="224">
        <f t="shared" si="73"/>
        <v>0</v>
      </c>
      <c r="K144" s="224">
        <f t="shared" si="73"/>
        <v>0</v>
      </c>
      <c r="L144" s="224">
        <f t="shared" si="73"/>
        <v>0</v>
      </c>
      <c r="M144" s="224">
        <f t="shared" si="73"/>
        <v>0</v>
      </c>
      <c r="N144" s="224">
        <f t="shared" si="73"/>
        <v>0</v>
      </c>
      <c r="O144" s="224">
        <f t="shared" si="73"/>
        <v>0</v>
      </c>
      <c r="P144" s="224">
        <f t="shared" si="73"/>
        <v>0</v>
      </c>
      <c r="Q144" s="224">
        <f t="shared" si="73"/>
        <v>0</v>
      </c>
      <c r="R144" s="224">
        <f t="shared" si="73"/>
        <v>0</v>
      </c>
      <c r="S144" s="224">
        <f t="shared" si="73"/>
        <v>0</v>
      </c>
      <c r="T144" s="224">
        <f t="shared" si="73"/>
        <v>0</v>
      </c>
      <c r="U144" s="224">
        <f t="shared" si="73"/>
        <v>0</v>
      </c>
      <c r="V144" s="224">
        <f t="shared" si="73"/>
        <v>0</v>
      </c>
      <c r="W144" s="224">
        <f t="shared" si="73"/>
        <v>0</v>
      </c>
      <c r="X144" s="224">
        <f t="shared" si="73"/>
        <v>0</v>
      </c>
      <c r="Y144" s="221">
        <f t="shared" si="73"/>
        <v>0</v>
      </c>
      <c r="AB144" s="221">
        <f>Y148</f>
        <v>0</v>
      </c>
      <c r="AE144" s="221">
        <f>AB148</f>
        <v>0</v>
      </c>
      <c r="AH144" s="221">
        <f>AE148</f>
        <v>0</v>
      </c>
      <c r="AK144" s="221">
        <f>AH148</f>
        <v>0</v>
      </c>
      <c r="AN144" s="221">
        <f>AK148</f>
        <v>0</v>
      </c>
      <c r="AQ144" s="221">
        <f>AN148</f>
        <v>0</v>
      </c>
      <c r="AT144" s="221">
        <f>AQ148</f>
        <v>0</v>
      </c>
      <c r="AW144" s="221">
        <f>AT148</f>
        <v>0</v>
      </c>
      <c r="AZ144" s="221">
        <f>AW148</f>
        <v>0</v>
      </c>
    </row>
    <row r="145" spans="1:52">
      <c r="A145" s="10" t="s">
        <v>77</v>
      </c>
      <c r="D145" s="63"/>
      <c r="E145" s="224">
        <f>E74</f>
        <v>0</v>
      </c>
      <c r="F145" s="224">
        <f>F74</f>
        <v>0</v>
      </c>
      <c r="G145" s="224">
        <f t="shared" ref="G145:Y145" si="74">G74</f>
        <v>0</v>
      </c>
      <c r="H145" s="224">
        <f t="shared" si="74"/>
        <v>0</v>
      </c>
      <c r="I145" s="224">
        <f t="shared" si="74"/>
        <v>0</v>
      </c>
      <c r="J145" s="224">
        <f t="shared" si="74"/>
        <v>0</v>
      </c>
      <c r="K145" s="224">
        <f t="shared" si="74"/>
        <v>0</v>
      </c>
      <c r="L145" s="224">
        <f t="shared" si="74"/>
        <v>0</v>
      </c>
      <c r="M145" s="224">
        <f t="shared" si="74"/>
        <v>0</v>
      </c>
      <c r="N145" s="224">
        <f t="shared" si="74"/>
        <v>0</v>
      </c>
      <c r="O145" s="224">
        <f t="shared" si="74"/>
        <v>0</v>
      </c>
      <c r="P145" s="224">
        <f t="shared" si="74"/>
        <v>0</v>
      </c>
      <c r="Q145" s="224">
        <f t="shared" si="74"/>
        <v>0</v>
      </c>
      <c r="R145" s="224">
        <f t="shared" si="74"/>
        <v>0</v>
      </c>
      <c r="S145" s="224">
        <f t="shared" si="74"/>
        <v>0</v>
      </c>
      <c r="T145" s="224">
        <f t="shared" si="74"/>
        <v>0</v>
      </c>
      <c r="U145" s="224">
        <f t="shared" si="74"/>
        <v>0</v>
      </c>
      <c r="V145" s="224">
        <f t="shared" si="74"/>
        <v>0</v>
      </c>
      <c r="W145" s="224">
        <f t="shared" si="74"/>
        <v>0</v>
      </c>
      <c r="X145" s="224">
        <f t="shared" si="74"/>
        <v>0</v>
      </c>
      <c r="Y145" s="205">
        <f t="shared" si="74"/>
        <v>0</v>
      </c>
      <c r="AB145" s="205">
        <f>AB74</f>
        <v>0</v>
      </c>
      <c r="AE145" s="205">
        <f>AE74</f>
        <v>0</v>
      </c>
      <c r="AH145" s="205">
        <f>AH74</f>
        <v>0</v>
      </c>
      <c r="AK145" s="205">
        <f>AK74</f>
        <v>0</v>
      </c>
      <c r="AN145" s="205">
        <f>AN74</f>
        <v>0</v>
      </c>
      <c r="AQ145" s="205">
        <f>AQ74</f>
        <v>0</v>
      </c>
      <c r="AT145" s="205">
        <f>AT74</f>
        <v>0</v>
      </c>
      <c r="AW145" s="205">
        <f>AW74</f>
        <v>0</v>
      </c>
      <c r="AZ145" s="205">
        <f>AZ74</f>
        <v>0</v>
      </c>
    </row>
    <row r="146" spans="1:52">
      <c r="A146" s="10" t="s">
        <v>71</v>
      </c>
      <c r="D146" s="63"/>
      <c r="E146" s="68"/>
      <c r="F146" s="68"/>
      <c r="G146" s="68"/>
      <c r="H146" s="68"/>
      <c r="I146" s="68"/>
      <c r="J146" s="68"/>
      <c r="K146" s="68"/>
      <c r="L146" s="68"/>
      <c r="M146" s="68"/>
      <c r="N146" s="68"/>
      <c r="O146" s="68"/>
      <c r="P146" s="68"/>
      <c r="Q146" s="68"/>
      <c r="R146" s="68"/>
      <c r="S146" s="68"/>
      <c r="T146" s="68"/>
      <c r="U146" s="68"/>
      <c r="V146" s="68"/>
      <c r="W146" s="68"/>
      <c r="X146" s="68"/>
      <c r="Y146" s="221"/>
      <c r="AB146" s="221"/>
      <c r="AE146" s="221"/>
      <c r="AH146" s="221"/>
      <c r="AK146" s="221"/>
      <c r="AN146" s="221"/>
      <c r="AQ146" s="221"/>
      <c r="AT146" s="221"/>
      <c r="AW146" s="221"/>
      <c r="AZ146" s="221"/>
    </row>
    <row r="147" spans="1:52">
      <c r="A147" s="10" t="s">
        <v>69</v>
      </c>
      <c r="D147" s="63"/>
      <c r="E147" s="68"/>
      <c r="F147" s="68"/>
      <c r="G147" s="68"/>
      <c r="H147" s="68"/>
      <c r="I147" s="68"/>
      <c r="J147" s="68"/>
      <c r="K147" s="68"/>
      <c r="L147" s="68"/>
      <c r="M147" s="68"/>
      <c r="N147" s="68"/>
      <c r="O147" s="68"/>
      <c r="P147" s="68"/>
      <c r="Q147" s="68"/>
      <c r="R147" s="68"/>
      <c r="S147" s="68"/>
      <c r="T147" s="68"/>
      <c r="U147" s="68"/>
      <c r="V147" s="68"/>
      <c r="W147" s="68"/>
      <c r="X147" s="68"/>
      <c r="Y147" s="221"/>
      <c r="AB147" s="221"/>
      <c r="AE147" s="221"/>
      <c r="AH147" s="221"/>
      <c r="AK147" s="221"/>
      <c r="AN147" s="221"/>
      <c r="AQ147" s="221"/>
      <c r="AT147" s="221"/>
      <c r="AW147" s="221"/>
      <c r="AZ147" s="221"/>
    </row>
    <row r="148" spans="1:52">
      <c r="A148" s="27" t="s">
        <v>70</v>
      </c>
      <c r="D148" s="21"/>
      <c r="E148" s="222">
        <f>E144+E145-E146+E147</f>
        <v>0</v>
      </c>
      <c r="F148" s="175">
        <f>F144+F145-F146+F147</f>
        <v>0</v>
      </c>
      <c r="G148" s="175">
        <f t="shared" ref="G148:Y148" si="75">G144+G145-G146+G147</f>
        <v>0</v>
      </c>
      <c r="H148" s="175">
        <f t="shared" si="75"/>
        <v>0</v>
      </c>
      <c r="I148" s="175">
        <f t="shared" si="75"/>
        <v>0</v>
      </c>
      <c r="J148" s="175">
        <f t="shared" si="75"/>
        <v>0</v>
      </c>
      <c r="K148" s="175">
        <f t="shared" si="75"/>
        <v>0</v>
      </c>
      <c r="L148" s="175">
        <f t="shared" si="75"/>
        <v>0</v>
      </c>
      <c r="M148" s="175">
        <f t="shared" si="75"/>
        <v>0</v>
      </c>
      <c r="N148" s="175">
        <f t="shared" si="75"/>
        <v>0</v>
      </c>
      <c r="O148" s="175">
        <f t="shared" si="75"/>
        <v>0</v>
      </c>
      <c r="P148" s="175">
        <f t="shared" si="75"/>
        <v>0</v>
      </c>
      <c r="Q148" s="175">
        <f t="shared" si="75"/>
        <v>0</v>
      </c>
      <c r="R148" s="175">
        <f t="shared" si="75"/>
        <v>0</v>
      </c>
      <c r="S148" s="175">
        <f t="shared" si="75"/>
        <v>0</v>
      </c>
      <c r="T148" s="175">
        <f t="shared" si="75"/>
        <v>0</v>
      </c>
      <c r="U148" s="175">
        <f t="shared" si="75"/>
        <v>0</v>
      </c>
      <c r="V148" s="175">
        <f t="shared" si="75"/>
        <v>0</v>
      </c>
      <c r="W148" s="175">
        <f t="shared" si="75"/>
        <v>0</v>
      </c>
      <c r="X148" s="175">
        <f t="shared" si="75"/>
        <v>0</v>
      </c>
      <c r="Y148" s="175">
        <f t="shared" si="75"/>
        <v>0</v>
      </c>
      <c r="AB148" s="175">
        <f>AB144+AB145-AB146+AB147</f>
        <v>0</v>
      </c>
      <c r="AE148" s="175">
        <f>AE144+AE145-AE146+AE147</f>
        <v>0</v>
      </c>
      <c r="AH148" s="175">
        <f>AH144+AH145-AH146+AH147</f>
        <v>0</v>
      </c>
      <c r="AK148" s="175">
        <f>AK144+AK145-AK146+AK147</f>
        <v>0</v>
      </c>
      <c r="AN148" s="175">
        <f>AN144+AN145-AN146+AN147</f>
        <v>0</v>
      </c>
      <c r="AQ148" s="175">
        <f>AQ144+AQ145-AQ146+AQ147</f>
        <v>0</v>
      </c>
      <c r="AT148" s="175">
        <f>AT144+AT145-AT146+AT147</f>
        <v>0</v>
      </c>
      <c r="AW148" s="175">
        <f>AW144+AW145-AW146+AW147</f>
        <v>0</v>
      </c>
      <c r="AZ148" s="175">
        <f>AZ144+AZ145-AZ146+AZ147</f>
        <v>0</v>
      </c>
    </row>
    <row r="149" spans="1:52">
      <c r="A149" s="6" t="s">
        <v>73</v>
      </c>
      <c r="D149" s="21"/>
      <c r="E149" s="212"/>
      <c r="F149" s="175"/>
      <c r="G149" s="175"/>
      <c r="H149" s="175"/>
      <c r="I149" s="175"/>
      <c r="J149" s="175"/>
      <c r="K149" s="175"/>
      <c r="L149" s="175"/>
      <c r="M149" s="175"/>
      <c r="N149" s="175"/>
      <c r="O149" s="175"/>
      <c r="P149" s="175"/>
      <c r="Q149" s="175"/>
      <c r="R149" s="175"/>
      <c r="S149" s="175"/>
      <c r="T149" s="175"/>
      <c r="U149" s="175"/>
      <c r="V149" s="175"/>
      <c r="W149" s="175"/>
      <c r="X149" s="175"/>
      <c r="Y149" s="175"/>
      <c r="AB149" s="175"/>
      <c r="AE149" s="175"/>
      <c r="AH149" s="175"/>
      <c r="AK149" s="175"/>
      <c r="AN149" s="175"/>
      <c r="AQ149" s="175"/>
      <c r="AT149" s="175"/>
      <c r="AW149" s="175"/>
      <c r="AZ149" s="175"/>
    </row>
    <row r="150" spans="1:52">
      <c r="A150" s="10" t="s">
        <v>74</v>
      </c>
      <c r="D150" s="63"/>
      <c r="E150" s="68"/>
      <c r="F150" s="224">
        <f t="shared" ref="F150:Y150" si="76">E154</f>
        <v>0</v>
      </c>
      <c r="G150" s="224">
        <f t="shared" si="76"/>
        <v>0</v>
      </c>
      <c r="H150" s="224">
        <f t="shared" si="76"/>
        <v>0</v>
      </c>
      <c r="I150" s="224">
        <f t="shared" si="76"/>
        <v>0</v>
      </c>
      <c r="J150" s="224">
        <f t="shared" si="76"/>
        <v>0</v>
      </c>
      <c r="K150" s="224">
        <f t="shared" si="76"/>
        <v>0</v>
      </c>
      <c r="L150" s="224">
        <f t="shared" si="76"/>
        <v>0</v>
      </c>
      <c r="M150" s="224">
        <f t="shared" si="76"/>
        <v>0</v>
      </c>
      <c r="N150" s="224">
        <f t="shared" si="76"/>
        <v>0</v>
      </c>
      <c r="O150" s="224">
        <f t="shared" si="76"/>
        <v>0</v>
      </c>
      <c r="P150" s="224">
        <f t="shared" si="76"/>
        <v>0</v>
      </c>
      <c r="Q150" s="224">
        <f t="shared" si="76"/>
        <v>0</v>
      </c>
      <c r="R150" s="224">
        <f t="shared" si="76"/>
        <v>0</v>
      </c>
      <c r="S150" s="224">
        <f t="shared" si="76"/>
        <v>0</v>
      </c>
      <c r="T150" s="224">
        <f t="shared" si="76"/>
        <v>0</v>
      </c>
      <c r="U150" s="224">
        <f t="shared" si="76"/>
        <v>0</v>
      </c>
      <c r="V150" s="224">
        <f t="shared" si="76"/>
        <v>0</v>
      </c>
      <c r="W150" s="224">
        <f t="shared" si="76"/>
        <v>0</v>
      </c>
      <c r="X150" s="224">
        <f t="shared" si="76"/>
        <v>0</v>
      </c>
      <c r="Y150" s="221">
        <f t="shared" si="76"/>
        <v>0</v>
      </c>
      <c r="AB150" s="221">
        <f>Y154</f>
        <v>0</v>
      </c>
      <c r="AE150" s="221">
        <f>AB154</f>
        <v>0</v>
      </c>
      <c r="AH150" s="221">
        <f>AE154</f>
        <v>0</v>
      </c>
      <c r="AK150" s="221">
        <f>AH154</f>
        <v>0</v>
      </c>
      <c r="AN150" s="221">
        <f>AK154</f>
        <v>0</v>
      </c>
      <c r="AQ150" s="221">
        <f>AN154</f>
        <v>0</v>
      </c>
      <c r="AT150" s="221">
        <f>AQ154</f>
        <v>0</v>
      </c>
      <c r="AW150" s="221">
        <f>AT154</f>
        <v>0</v>
      </c>
      <c r="AZ150" s="221">
        <f>AW154</f>
        <v>0</v>
      </c>
    </row>
    <row r="151" spans="1:52">
      <c r="A151" s="10" t="s">
        <v>76</v>
      </c>
      <c r="D151" s="63"/>
      <c r="E151" s="224">
        <f t="shared" ref="E151:Y151" si="77">E75</f>
        <v>0</v>
      </c>
      <c r="F151" s="224">
        <f t="shared" si="77"/>
        <v>0</v>
      </c>
      <c r="G151" s="224">
        <f t="shared" si="77"/>
        <v>0</v>
      </c>
      <c r="H151" s="224">
        <f t="shared" si="77"/>
        <v>0</v>
      </c>
      <c r="I151" s="224">
        <f t="shared" si="77"/>
        <v>0</v>
      </c>
      <c r="J151" s="224">
        <f t="shared" si="77"/>
        <v>0</v>
      </c>
      <c r="K151" s="224">
        <f t="shared" si="77"/>
        <v>0</v>
      </c>
      <c r="L151" s="224">
        <f t="shared" si="77"/>
        <v>0</v>
      </c>
      <c r="M151" s="224">
        <f t="shared" si="77"/>
        <v>0</v>
      </c>
      <c r="N151" s="224">
        <f t="shared" si="77"/>
        <v>0</v>
      </c>
      <c r="O151" s="224">
        <f t="shared" si="77"/>
        <v>0</v>
      </c>
      <c r="P151" s="224">
        <f t="shared" si="77"/>
        <v>0</v>
      </c>
      <c r="Q151" s="224">
        <f t="shared" si="77"/>
        <v>0</v>
      </c>
      <c r="R151" s="224">
        <f t="shared" si="77"/>
        <v>0</v>
      </c>
      <c r="S151" s="224">
        <f t="shared" si="77"/>
        <v>0</v>
      </c>
      <c r="T151" s="224">
        <f t="shared" si="77"/>
        <v>0</v>
      </c>
      <c r="U151" s="224">
        <f t="shared" si="77"/>
        <v>0</v>
      </c>
      <c r="V151" s="224">
        <f t="shared" si="77"/>
        <v>0</v>
      </c>
      <c r="W151" s="224">
        <f t="shared" si="77"/>
        <v>0</v>
      </c>
      <c r="X151" s="224">
        <f t="shared" si="77"/>
        <v>0</v>
      </c>
      <c r="Y151" s="205">
        <f t="shared" si="77"/>
        <v>0</v>
      </c>
      <c r="AB151" s="205">
        <f>AB75</f>
        <v>0</v>
      </c>
      <c r="AE151" s="205">
        <f>AE75</f>
        <v>0</v>
      </c>
      <c r="AH151" s="205">
        <f>AH75</f>
        <v>0</v>
      </c>
      <c r="AK151" s="205">
        <f>AK75</f>
        <v>0</v>
      </c>
      <c r="AN151" s="205">
        <f>AN75</f>
        <v>0</v>
      </c>
      <c r="AQ151" s="205">
        <f>AQ75</f>
        <v>0</v>
      </c>
      <c r="AT151" s="205">
        <f>AT75</f>
        <v>0</v>
      </c>
      <c r="AW151" s="205">
        <f>AW75</f>
        <v>0</v>
      </c>
      <c r="AZ151" s="205">
        <f>AZ75</f>
        <v>0</v>
      </c>
    </row>
    <row r="152" spans="1:52" s="223" customFormat="1">
      <c r="A152" s="10" t="s">
        <v>75</v>
      </c>
      <c r="B152" s="5"/>
      <c r="C152" s="5"/>
      <c r="D152" s="63"/>
      <c r="E152" s="68"/>
      <c r="F152" s="68"/>
      <c r="G152" s="68"/>
      <c r="H152" s="68"/>
      <c r="I152" s="68"/>
      <c r="J152" s="68"/>
      <c r="K152" s="68"/>
      <c r="L152" s="68"/>
      <c r="M152" s="68"/>
      <c r="N152" s="68"/>
      <c r="O152" s="68"/>
      <c r="P152" s="68"/>
      <c r="Q152" s="68"/>
      <c r="R152" s="68"/>
      <c r="S152" s="68"/>
      <c r="T152" s="68"/>
      <c r="U152" s="68"/>
      <c r="V152" s="68"/>
      <c r="W152" s="68"/>
      <c r="X152" s="68"/>
      <c r="Y152" s="29"/>
      <c r="AB152" s="29"/>
      <c r="AE152" s="29"/>
      <c r="AH152" s="29"/>
      <c r="AK152" s="29"/>
      <c r="AN152" s="29"/>
      <c r="AQ152" s="29"/>
      <c r="AT152" s="29"/>
      <c r="AW152" s="29"/>
      <c r="AZ152" s="29"/>
    </row>
    <row r="153" spans="1:52" s="223" customFormat="1">
      <c r="A153" s="10" t="s">
        <v>78</v>
      </c>
      <c r="B153" s="5"/>
      <c r="C153" s="5"/>
      <c r="D153" s="63"/>
      <c r="E153" s="68"/>
      <c r="F153" s="68"/>
      <c r="G153" s="68"/>
      <c r="H153" s="68"/>
      <c r="I153" s="68"/>
      <c r="J153" s="68"/>
      <c r="K153" s="68"/>
      <c r="L153" s="68"/>
      <c r="M153" s="68"/>
      <c r="N153" s="68"/>
      <c r="O153" s="68"/>
      <c r="P153" s="68"/>
      <c r="Q153" s="68"/>
      <c r="R153" s="68"/>
      <c r="S153" s="68"/>
      <c r="T153" s="68"/>
      <c r="U153" s="68"/>
      <c r="V153" s="68"/>
      <c r="W153" s="68"/>
      <c r="X153" s="68"/>
      <c r="Y153" s="29"/>
      <c r="AB153" s="29"/>
      <c r="AE153" s="29"/>
      <c r="AH153" s="29"/>
      <c r="AK153" s="29"/>
      <c r="AN153" s="29"/>
      <c r="AQ153" s="29"/>
      <c r="AT153" s="29"/>
      <c r="AW153" s="29"/>
      <c r="AZ153" s="29"/>
    </row>
    <row r="154" spans="1:52">
      <c r="A154" s="27" t="s">
        <v>79</v>
      </c>
      <c r="D154" s="21"/>
      <c r="E154" s="222">
        <f t="shared" ref="E154:Y154" si="78">E150+E151-E152+E153</f>
        <v>0</v>
      </c>
      <c r="F154" s="175">
        <f t="shared" si="78"/>
        <v>0</v>
      </c>
      <c r="G154" s="175">
        <f t="shared" si="78"/>
        <v>0</v>
      </c>
      <c r="H154" s="175">
        <f t="shared" si="78"/>
        <v>0</v>
      </c>
      <c r="I154" s="175">
        <f t="shared" si="78"/>
        <v>0</v>
      </c>
      <c r="J154" s="175">
        <f t="shared" si="78"/>
        <v>0</v>
      </c>
      <c r="K154" s="175">
        <f t="shared" si="78"/>
        <v>0</v>
      </c>
      <c r="L154" s="175">
        <f t="shared" si="78"/>
        <v>0</v>
      </c>
      <c r="M154" s="175">
        <f t="shared" si="78"/>
        <v>0</v>
      </c>
      <c r="N154" s="175">
        <f t="shared" si="78"/>
        <v>0</v>
      </c>
      <c r="O154" s="175">
        <f t="shared" si="78"/>
        <v>0</v>
      </c>
      <c r="P154" s="175">
        <f t="shared" si="78"/>
        <v>0</v>
      </c>
      <c r="Q154" s="175">
        <f t="shared" si="78"/>
        <v>0</v>
      </c>
      <c r="R154" s="175">
        <f t="shared" si="78"/>
        <v>0</v>
      </c>
      <c r="S154" s="175">
        <f t="shared" si="78"/>
        <v>0</v>
      </c>
      <c r="T154" s="175">
        <f t="shared" si="78"/>
        <v>0</v>
      </c>
      <c r="U154" s="175">
        <f t="shared" si="78"/>
        <v>0</v>
      </c>
      <c r="V154" s="175">
        <f t="shared" si="78"/>
        <v>0</v>
      </c>
      <c r="W154" s="175">
        <f t="shared" si="78"/>
        <v>0</v>
      </c>
      <c r="X154" s="175">
        <f t="shared" si="78"/>
        <v>0</v>
      </c>
      <c r="Y154" s="175">
        <f t="shared" si="78"/>
        <v>0</v>
      </c>
      <c r="AB154" s="175">
        <f>AB150+AB151-AB152+AB153</f>
        <v>0</v>
      </c>
      <c r="AE154" s="175">
        <f>AE150+AE151-AE152+AE153</f>
        <v>0</v>
      </c>
      <c r="AH154" s="175">
        <f>AH150+AH151-AH152+AH153</f>
        <v>0</v>
      </c>
      <c r="AK154" s="175">
        <f>AK150+AK151-AK152+AK153</f>
        <v>0</v>
      </c>
      <c r="AN154" s="175">
        <f>AN150+AN151-AN152+AN153</f>
        <v>0</v>
      </c>
      <c r="AQ154" s="175">
        <f>AQ150+AQ151-AQ152+AQ153</f>
        <v>0</v>
      </c>
      <c r="AT154" s="175">
        <f>AT150+AT151-AT152+AT153</f>
        <v>0</v>
      </c>
      <c r="AW154" s="175">
        <f>AW150+AW151-AW152+AW153</f>
        <v>0</v>
      </c>
      <c r="AZ154" s="175">
        <f>AZ150+AZ151-AZ152+AZ153</f>
        <v>0</v>
      </c>
    </row>
    <row r="156" spans="1:52">
      <c r="A156" s="6" t="s">
        <v>136</v>
      </c>
      <c r="D156" s="21"/>
      <c r="E156" s="222"/>
      <c r="F156" s="175"/>
      <c r="G156" s="175"/>
      <c r="H156" s="175"/>
      <c r="I156" s="175"/>
      <c r="J156" s="175"/>
      <c r="K156" s="175"/>
      <c r="L156" s="175"/>
      <c r="M156" s="175"/>
      <c r="N156" s="175"/>
      <c r="O156" s="175"/>
      <c r="P156" s="175"/>
      <c r="Q156" s="175"/>
      <c r="R156" s="175"/>
      <c r="S156" s="175"/>
      <c r="T156" s="175"/>
      <c r="U156" s="175"/>
      <c r="V156" s="175"/>
      <c r="W156" s="175"/>
      <c r="X156" s="175"/>
      <c r="Y156" s="175"/>
      <c r="AB156" s="175"/>
      <c r="AE156" s="175"/>
      <c r="AH156" s="175"/>
      <c r="AK156" s="175"/>
      <c r="AN156" s="175"/>
      <c r="AQ156" s="175"/>
      <c r="AT156" s="175"/>
      <c r="AW156" s="175"/>
      <c r="AZ156" s="175"/>
    </row>
    <row r="157" spans="1:52">
      <c r="A157" s="10" t="s">
        <v>120</v>
      </c>
      <c r="D157" s="63"/>
      <c r="E157" s="68"/>
      <c r="F157" s="224">
        <f t="shared" ref="F157:Y157" si="79">E161</f>
        <v>0</v>
      </c>
      <c r="G157" s="224">
        <f t="shared" si="79"/>
        <v>0</v>
      </c>
      <c r="H157" s="224">
        <f t="shared" si="79"/>
        <v>0</v>
      </c>
      <c r="I157" s="224">
        <f t="shared" si="79"/>
        <v>0</v>
      </c>
      <c r="J157" s="224">
        <f t="shared" si="79"/>
        <v>0</v>
      </c>
      <c r="K157" s="224">
        <f t="shared" si="79"/>
        <v>0</v>
      </c>
      <c r="L157" s="224">
        <f t="shared" si="79"/>
        <v>0</v>
      </c>
      <c r="M157" s="224">
        <f t="shared" si="79"/>
        <v>0</v>
      </c>
      <c r="N157" s="224">
        <f t="shared" si="79"/>
        <v>0</v>
      </c>
      <c r="O157" s="224">
        <f t="shared" si="79"/>
        <v>0</v>
      </c>
      <c r="P157" s="224">
        <f t="shared" si="79"/>
        <v>0</v>
      </c>
      <c r="Q157" s="224">
        <f t="shared" si="79"/>
        <v>0</v>
      </c>
      <c r="R157" s="224">
        <f t="shared" si="79"/>
        <v>0</v>
      </c>
      <c r="S157" s="224">
        <f t="shared" si="79"/>
        <v>0</v>
      </c>
      <c r="T157" s="224">
        <f t="shared" si="79"/>
        <v>0</v>
      </c>
      <c r="U157" s="224">
        <f t="shared" si="79"/>
        <v>0</v>
      </c>
      <c r="V157" s="224">
        <f t="shared" si="79"/>
        <v>0</v>
      </c>
      <c r="W157" s="224">
        <f t="shared" si="79"/>
        <v>0</v>
      </c>
      <c r="X157" s="224">
        <f t="shared" si="79"/>
        <v>0</v>
      </c>
      <c r="Y157" s="221">
        <f t="shared" si="79"/>
        <v>0</v>
      </c>
      <c r="AB157" s="221">
        <f>Y161</f>
        <v>0</v>
      </c>
      <c r="AE157" s="221">
        <f>AB161</f>
        <v>0</v>
      </c>
      <c r="AH157" s="221">
        <f>AE161</f>
        <v>0</v>
      </c>
      <c r="AK157" s="221">
        <f>AH161</f>
        <v>0</v>
      </c>
      <c r="AN157" s="221">
        <f>AK161</f>
        <v>0</v>
      </c>
      <c r="AQ157" s="221">
        <f>AN161</f>
        <v>0</v>
      </c>
      <c r="AT157" s="221">
        <f>AQ161</f>
        <v>0</v>
      </c>
      <c r="AW157" s="221">
        <f>AT161</f>
        <v>0</v>
      </c>
      <c r="AZ157" s="221">
        <f>AW161</f>
        <v>0</v>
      </c>
    </row>
    <row r="158" spans="1:52">
      <c r="A158" s="10" t="s">
        <v>121</v>
      </c>
      <c r="D158" s="63"/>
      <c r="E158" s="224">
        <f t="shared" ref="E158:Y158" si="80">E76</f>
        <v>0</v>
      </c>
      <c r="F158" s="224">
        <f t="shared" si="80"/>
        <v>0</v>
      </c>
      <c r="G158" s="224">
        <f t="shared" si="80"/>
        <v>0</v>
      </c>
      <c r="H158" s="224">
        <f t="shared" si="80"/>
        <v>0</v>
      </c>
      <c r="I158" s="224">
        <f t="shared" si="80"/>
        <v>0</v>
      </c>
      <c r="J158" s="224">
        <f t="shared" si="80"/>
        <v>0</v>
      </c>
      <c r="K158" s="224">
        <f t="shared" si="80"/>
        <v>0</v>
      </c>
      <c r="L158" s="224">
        <f t="shared" si="80"/>
        <v>0</v>
      </c>
      <c r="M158" s="224">
        <f t="shared" si="80"/>
        <v>0</v>
      </c>
      <c r="N158" s="224">
        <f t="shared" si="80"/>
        <v>0</v>
      </c>
      <c r="O158" s="224">
        <f t="shared" si="80"/>
        <v>0</v>
      </c>
      <c r="P158" s="224">
        <f t="shared" si="80"/>
        <v>0</v>
      </c>
      <c r="Q158" s="224">
        <f t="shared" si="80"/>
        <v>0</v>
      </c>
      <c r="R158" s="224">
        <f t="shared" si="80"/>
        <v>0</v>
      </c>
      <c r="S158" s="224">
        <f t="shared" si="80"/>
        <v>0</v>
      </c>
      <c r="T158" s="224">
        <f t="shared" si="80"/>
        <v>0</v>
      </c>
      <c r="U158" s="224">
        <f t="shared" si="80"/>
        <v>0</v>
      </c>
      <c r="V158" s="224">
        <f t="shared" si="80"/>
        <v>0</v>
      </c>
      <c r="W158" s="224">
        <f t="shared" si="80"/>
        <v>0</v>
      </c>
      <c r="X158" s="224">
        <f t="shared" si="80"/>
        <v>0</v>
      </c>
      <c r="Y158" s="205">
        <f t="shared" si="80"/>
        <v>0</v>
      </c>
      <c r="AB158" s="205">
        <f>AB76</f>
        <v>0</v>
      </c>
      <c r="AE158" s="205">
        <f>AE76</f>
        <v>0</v>
      </c>
      <c r="AH158" s="205">
        <f>AH76</f>
        <v>0</v>
      </c>
      <c r="AK158" s="205">
        <f>AK76</f>
        <v>0</v>
      </c>
      <c r="AN158" s="205">
        <f>AN76</f>
        <v>0</v>
      </c>
      <c r="AQ158" s="205">
        <f>AQ76</f>
        <v>0</v>
      </c>
      <c r="AT158" s="205">
        <f>AT76</f>
        <v>0</v>
      </c>
      <c r="AW158" s="205">
        <f>AW76</f>
        <v>0</v>
      </c>
      <c r="AZ158" s="205">
        <f>AZ76</f>
        <v>0</v>
      </c>
    </row>
    <row r="159" spans="1:52">
      <c r="A159" s="10" t="s">
        <v>122</v>
      </c>
      <c r="D159" s="63"/>
      <c r="E159" s="68"/>
      <c r="F159" s="68"/>
      <c r="G159" s="68"/>
      <c r="H159" s="68"/>
      <c r="I159" s="68"/>
      <c r="J159" s="68"/>
      <c r="K159" s="68"/>
      <c r="L159" s="68"/>
      <c r="M159" s="68"/>
      <c r="N159" s="68"/>
      <c r="O159" s="68"/>
      <c r="P159" s="68"/>
      <c r="Q159" s="68"/>
      <c r="R159" s="68"/>
      <c r="S159" s="68"/>
      <c r="T159" s="68"/>
      <c r="U159" s="68"/>
      <c r="V159" s="68"/>
      <c r="W159" s="68"/>
      <c r="X159" s="68"/>
      <c r="Y159" s="221"/>
      <c r="AB159" s="221"/>
      <c r="AE159" s="221"/>
      <c r="AH159" s="221"/>
      <c r="AK159" s="221"/>
      <c r="AN159" s="221"/>
      <c r="AQ159" s="221"/>
      <c r="AT159" s="221"/>
      <c r="AW159" s="221"/>
      <c r="AZ159" s="221"/>
    </row>
    <row r="160" spans="1:52">
      <c r="A160" s="10" t="s">
        <v>123</v>
      </c>
      <c r="D160" s="63"/>
      <c r="E160" s="68"/>
      <c r="F160" s="68"/>
      <c r="G160" s="68"/>
      <c r="H160" s="68"/>
      <c r="I160" s="68"/>
      <c r="J160" s="68"/>
      <c r="K160" s="68"/>
      <c r="L160" s="68"/>
      <c r="M160" s="68"/>
      <c r="N160" s="68"/>
      <c r="O160" s="68"/>
      <c r="P160" s="68"/>
      <c r="Q160" s="68"/>
      <c r="R160" s="68"/>
      <c r="S160" s="68"/>
      <c r="T160" s="68"/>
      <c r="U160" s="68"/>
      <c r="V160" s="68"/>
      <c r="W160" s="68"/>
      <c r="X160" s="68"/>
      <c r="Y160" s="221"/>
      <c r="AB160" s="221"/>
      <c r="AE160" s="221"/>
      <c r="AH160" s="221"/>
      <c r="AK160" s="221"/>
      <c r="AN160" s="221"/>
      <c r="AQ160" s="221"/>
      <c r="AT160" s="221"/>
      <c r="AW160" s="221"/>
      <c r="AZ160" s="221"/>
    </row>
    <row r="161" spans="1:52">
      <c r="A161" s="27" t="s">
        <v>139</v>
      </c>
      <c r="D161" s="21"/>
      <c r="E161" s="222">
        <f t="shared" ref="E161:Y161" si="81">E157+E158-E159+E160</f>
        <v>0</v>
      </c>
      <c r="F161" s="175">
        <f t="shared" si="81"/>
        <v>0</v>
      </c>
      <c r="G161" s="175">
        <f t="shared" si="81"/>
        <v>0</v>
      </c>
      <c r="H161" s="175">
        <f t="shared" si="81"/>
        <v>0</v>
      </c>
      <c r="I161" s="175">
        <f t="shared" si="81"/>
        <v>0</v>
      </c>
      <c r="J161" s="175">
        <f t="shared" si="81"/>
        <v>0</v>
      </c>
      <c r="K161" s="175">
        <f t="shared" si="81"/>
        <v>0</v>
      </c>
      <c r="L161" s="175">
        <f t="shared" si="81"/>
        <v>0</v>
      </c>
      <c r="M161" s="175">
        <f t="shared" si="81"/>
        <v>0</v>
      </c>
      <c r="N161" s="175">
        <f t="shared" si="81"/>
        <v>0</v>
      </c>
      <c r="O161" s="175">
        <f t="shared" si="81"/>
        <v>0</v>
      </c>
      <c r="P161" s="175">
        <f t="shared" si="81"/>
        <v>0</v>
      </c>
      <c r="Q161" s="175">
        <f t="shared" si="81"/>
        <v>0</v>
      </c>
      <c r="R161" s="175">
        <f t="shared" si="81"/>
        <v>0</v>
      </c>
      <c r="S161" s="175">
        <f t="shared" si="81"/>
        <v>0</v>
      </c>
      <c r="T161" s="175">
        <f t="shared" si="81"/>
        <v>0</v>
      </c>
      <c r="U161" s="175">
        <f t="shared" si="81"/>
        <v>0</v>
      </c>
      <c r="V161" s="175">
        <f t="shared" si="81"/>
        <v>0</v>
      </c>
      <c r="W161" s="175">
        <f t="shared" si="81"/>
        <v>0</v>
      </c>
      <c r="X161" s="175">
        <f t="shared" si="81"/>
        <v>0</v>
      </c>
      <c r="Y161" s="175">
        <f t="shared" si="81"/>
        <v>0</v>
      </c>
      <c r="AB161" s="175">
        <f>AB157+AB158-AB159+AB160</f>
        <v>0</v>
      </c>
      <c r="AE161" s="175">
        <f>AE157+AE158-AE159+AE160</f>
        <v>0</v>
      </c>
      <c r="AH161" s="175">
        <f>AH157+AH158-AH159+AH160</f>
        <v>0</v>
      </c>
      <c r="AK161" s="175">
        <f>AK157+AK158-AK159+AK160</f>
        <v>0</v>
      </c>
      <c r="AN161" s="175">
        <f>AN157+AN158-AN159+AN160</f>
        <v>0</v>
      </c>
      <c r="AQ161" s="175">
        <f>AQ157+AQ158-AQ159+AQ160</f>
        <v>0</v>
      </c>
      <c r="AT161" s="175">
        <f>AT157+AT158-AT159+AT160</f>
        <v>0</v>
      </c>
      <c r="AW161" s="175">
        <f>AW157+AW158-AW159+AW160</f>
        <v>0</v>
      </c>
      <c r="AZ161" s="175">
        <f>AZ157+AZ158-AZ159+AZ160</f>
        <v>0</v>
      </c>
    </row>
    <row r="162" spans="1:52">
      <c r="A162" s="11"/>
      <c r="D162" s="21"/>
      <c r="E162" s="222"/>
      <c r="F162" s="175"/>
      <c r="G162" s="175"/>
      <c r="H162" s="175"/>
      <c r="I162" s="175"/>
      <c r="J162" s="175"/>
      <c r="K162" s="175"/>
      <c r="L162" s="175"/>
      <c r="M162" s="175"/>
      <c r="N162" s="175"/>
      <c r="O162" s="175"/>
      <c r="P162" s="175"/>
      <c r="Q162" s="175"/>
      <c r="R162" s="175"/>
      <c r="S162" s="175"/>
      <c r="T162" s="175"/>
      <c r="U162" s="175"/>
      <c r="V162" s="175"/>
      <c r="W162" s="175"/>
      <c r="X162" s="175"/>
      <c r="Y162" s="175"/>
      <c r="AB162" s="175"/>
      <c r="AE162" s="175"/>
      <c r="AH162" s="175"/>
      <c r="AK162" s="175"/>
      <c r="AN162" s="175"/>
      <c r="AQ162" s="175"/>
      <c r="AT162" s="175"/>
      <c r="AW162" s="175"/>
      <c r="AZ162" s="175"/>
    </row>
    <row r="163" spans="1:52">
      <c r="A163" s="6" t="s">
        <v>124</v>
      </c>
      <c r="D163" s="21"/>
      <c r="E163" s="222"/>
      <c r="F163" s="175"/>
      <c r="G163" s="175"/>
      <c r="H163" s="175"/>
      <c r="I163" s="175"/>
      <c r="J163" s="175"/>
      <c r="K163" s="175"/>
      <c r="L163" s="175"/>
      <c r="M163" s="175"/>
      <c r="N163" s="175"/>
      <c r="O163" s="175"/>
      <c r="P163" s="175"/>
      <c r="Q163" s="175"/>
      <c r="R163" s="175"/>
      <c r="S163" s="175"/>
      <c r="T163" s="175"/>
      <c r="U163" s="175"/>
      <c r="V163" s="175"/>
      <c r="W163" s="175"/>
      <c r="X163" s="175"/>
      <c r="Y163" s="175"/>
      <c r="AB163" s="175"/>
      <c r="AE163" s="175"/>
      <c r="AH163" s="175"/>
      <c r="AK163" s="175"/>
      <c r="AN163" s="175"/>
      <c r="AQ163" s="175"/>
      <c r="AT163" s="175"/>
      <c r="AW163" s="175"/>
      <c r="AZ163" s="175"/>
    </row>
    <row r="164" spans="1:52">
      <c r="A164" s="10" t="s">
        <v>125</v>
      </c>
      <c r="D164" s="63"/>
      <c r="E164" s="68"/>
      <c r="F164" s="224">
        <f t="shared" ref="F164:Y164" si="82">E168</f>
        <v>0</v>
      </c>
      <c r="G164" s="224">
        <f t="shared" si="82"/>
        <v>0</v>
      </c>
      <c r="H164" s="224">
        <f t="shared" si="82"/>
        <v>0</v>
      </c>
      <c r="I164" s="224">
        <f t="shared" si="82"/>
        <v>0</v>
      </c>
      <c r="J164" s="224">
        <f t="shared" si="82"/>
        <v>0</v>
      </c>
      <c r="K164" s="224">
        <f t="shared" si="82"/>
        <v>0</v>
      </c>
      <c r="L164" s="224">
        <f t="shared" si="82"/>
        <v>0</v>
      </c>
      <c r="M164" s="224">
        <f t="shared" si="82"/>
        <v>0</v>
      </c>
      <c r="N164" s="224">
        <f t="shared" si="82"/>
        <v>0</v>
      </c>
      <c r="O164" s="224">
        <f t="shared" si="82"/>
        <v>0</v>
      </c>
      <c r="P164" s="224">
        <f t="shared" si="82"/>
        <v>0</v>
      </c>
      <c r="Q164" s="224">
        <f t="shared" si="82"/>
        <v>0</v>
      </c>
      <c r="R164" s="224">
        <f t="shared" si="82"/>
        <v>0</v>
      </c>
      <c r="S164" s="224">
        <f t="shared" si="82"/>
        <v>0</v>
      </c>
      <c r="T164" s="224">
        <f t="shared" si="82"/>
        <v>0</v>
      </c>
      <c r="U164" s="224">
        <f t="shared" si="82"/>
        <v>0</v>
      </c>
      <c r="V164" s="224">
        <f t="shared" si="82"/>
        <v>0</v>
      </c>
      <c r="W164" s="224">
        <f t="shared" si="82"/>
        <v>0</v>
      </c>
      <c r="X164" s="224">
        <f t="shared" si="82"/>
        <v>0</v>
      </c>
      <c r="Y164" s="221">
        <f t="shared" si="82"/>
        <v>0</v>
      </c>
      <c r="AB164" s="221">
        <f>Y168</f>
        <v>0</v>
      </c>
      <c r="AE164" s="221">
        <f>AB168</f>
        <v>0</v>
      </c>
      <c r="AH164" s="221">
        <f>AE168</f>
        <v>0</v>
      </c>
      <c r="AK164" s="221">
        <f>AH168</f>
        <v>0</v>
      </c>
      <c r="AN164" s="221">
        <f>AK168</f>
        <v>0</v>
      </c>
      <c r="AQ164" s="221">
        <f>AN168</f>
        <v>0</v>
      </c>
      <c r="AT164" s="221">
        <f>AQ168</f>
        <v>0</v>
      </c>
      <c r="AW164" s="221">
        <f>AT168</f>
        <v>0</v>
      </c>
      <c r="AZ164" s="221">
        <f>AW168</f>
        <v>0</v>
      </c>
    </row>
    <row r="165" spans="1:52">
      <c r="A165" s="10" t="s">
        <v>126</v>
      </c>
      <c r="D165" s="63"/>
      <c r="E165" s="224">
        <f t="shared" ref="E165:Y165" si="83">E77</f>
        <v>0</v>
      </c>
      <c r="F165" s="224">
        <f t="shared" si="83"/>
        <v>0</v>
      </c>
      <c r="G165" s="224">
        <f t="shared" si="83"/>
        <v>0</v>
      </c>
      <c r="H165" s="224">
        <f t="shared" si="83"/>
        <v>0</v>
      </c>
      <c r="I165" s="224">
        <f t="shared" si="83"/>
        <v>0</v>
      </c>
      <c r="J165" s="224">
        <f t="shared" si="83"/>
        <v>0</v>
      </c>
      <c r="K165" s="224">
        <f t="shared" si="83"/>
        <v>0</v>
      </c>
      <c r="L165" s="224">
        <f t="shared" si="83"/>
        <v>0</v>
      </c>
      <c r="M165" s="224">
        <f t="shared" si="83"/>
        <v>0</v>
      </c>
      <c r="N165" s="224">
        <f t="shared" si="83"/>
        <v>0</v>
      </c>
      <c r="O165" s="224">
        <f t="shared" si="83"/>
        <v>0</v>
      </c>
      <c r="P165" s="224">
        <f t="shared" si="83"/>
        <v>0</v>
      </c>
      <c r="Q165" s="224">
        <f t="shared" si="83"/>
        <v>0</v>
      </c>
      <c r="R165" s="224">
        <f t="shared" si="83"/>
        <v>0</v>
      </c>
      <c r="S165" s="224">
        <f t="shared" si="83"/>
        <v>0</v>
      </c>
      <c r="T165" s="224">
        <f t="shared" si="83"/>
        <v>0</v>
      </c>
      <c r="U165" s="224">
        <f t="shared" si="83"/>
        <v>0</v>
      </c>
      <c r="V165" s="224">
        <f t="shared" si="83"/>
        <v>0</v>
      </c>
      <c r="W165" s="224">
        <f t="shared" si="83"/>
        <v>0</v>
      </c>
      <c r="X165" s="224">
        <f t="shared" si="83"/>
        <v>0</v>
      </c>
      <c r="Y165" s="205">
        <f t="shared" si="83"/>
        <v>0</v>
      </c>
      <c r="AB165" s="205">
        <f>AB77</f>
        <v>0</v>
      </c>
      <c r="AE165" s="205">
        <f>AE77</f>
        <v>0</v>
      </c>
      <c r="AH165" s="205">
        <f>AH77</f>
        <v>0</v>
      </c>
      <c r="AK165" s="205">
        <f>AK77</f>
        <v>0</v>
      </c>
      <c r="AN165" s="205">
        <f>AN77</f>
        <v>0</v>
      </c>
      <c r="AQ165" s="205">
        <f>AQ77</f>
        <v>0</v>
      </c>
      <c r="AT165" s="205">
        <f>AT77</f>
        <v>0</v>
      </c>
      <c r="AW165" s="205">
        <f>AW77</f>
        <v>0</v>
      </c>
      <c r="AZ165" s="205">
        <f>AZ77</f>
        <v>0</v>
      </c>
    </row>
    <row r="166" spans="1:52">
      <c r="A166" s="10" t="s">
        <v>127</v>
      </c>
      <c r="D166" s="63"/>
      <c r="E166" s="68"/>
      <c r="F166" s="68"/>
      <c r="G166" s="68"/>
      <c r="H166" s="68"/>
      <c r="I166" s="68"/>
      <c r="J166" s="68"/>
      <c r="K166" s="68"/>
      <c r="L166" s="68"/>
      <c r="M166" s="68"/>
      <c r="N166" s="68"/>
      <c r="O166" s="68"/>
      <c r="P166" s="68"/>
      <c r="Q166" s="68"/>
      <c r="R166" s="68"/>
      <c r="S166" s="68"/>
      <c r="T166" s="68"/>
      <c r="U166" s="68"/>
      <c r="V166" s="68"/>
      <c r="W166" s="68"/>
      <c r="X166" s="68"/>
      <c r="Y166" s="221"/>
      <c r="AB166" s="221"/>
      <c r="AE166" s="221"/>
      <c r="AH166" s="221"/>
      <c r="AK166" s="221"/>
      <c r="AN166" s="221"/>
      <c r="AQ166" s="221"/>
      <c r="AT166" s="221"/>
      <c r="AW166" s="221"/>
      <c r="AZ166" s="221"/>
    </row>
    <row r="167" spans="1:52">
      <c r="A167" s="10" t="s">
        <v>128</v>
      </c>
      <c r="D167" s="63"/>
      <c r="E167" s="68"/>
      <c r="F167" s="68"/>
      <c r="G167" s="68"/>
      <c r="H167" s="68"/>
      <c r="I167" s="68"/>
      <c r="J167" s="68"/>
      <c r="K167" s="68"/>
      <c r="L167" s="68"/>
      <c r="M167" s="68"/>
      <c r="N167" s="68"/>
      <c r="O167" s="68"/>
      <c r="P167" s="68"/>
      <c r="Q167" s="68"/>
      <c r="R167" s="68"/>
      <c r="S167" s="68"/>
      <c r="T167" s="68"/>
      <c r="U167" s="68"/>
      <c r="V167" s="68"/>
      <c r="W167" s="68"/>
      <c r="X167" s="68"/>
      <c r="Y167" s="221"/>
      <c r="AB167" s="221"/>
      <c r="AE167" s="221"/>
      <c r="AH167" s="221"/>
      <c r="AK167" s="221"/>
      <c r="AN167" s="221"/>
      <c r="AQ167" s="221"/>
      <c r="AT167" s="221"/>
      <c r="AW167" s="221"/>
      <c r="AZ167" s="221"/>
    </row>
    <row r="168" spans="1:52">
      <c r="A168" s="27" t="s">
        <v>140</v>
      </c>
      <c r="D168" s="21"/>
      <c r="E168" s="222">
        <f t="shared" ref="E168:Y168" si="84">E164+E165-E166+E167</f>
        <v>0</v>
      </c>
      <c r="F168" s="175">
        <f t="shared" si="84"/>
        <v>0</v>
      </c>
      <c r="G168" s="175">
        <f t="shared" si="84"/>
        <v>0</v>
      </c>
      <c r="H168" s="175">
        <f t="shared" si="84"/>
        <v>0</v>
      </c>
      <c r="I168" s="175">
        <f t="shared" si="84"/>
        <v>0</v>
      </c>
      <c r="J168" s="175">
        <f t="shared" si="84"/>
        <v>0</v>
      </c>
      <c r="K168" s="175">
        <f t="shared" si="84"/>
        <v>0</v>
      </c>
      <c r="L168" s="175">
        <f t="shared" si="84"/>
        <v>0</v>
      </c>
      <c r="M168" s="175">
        <f t="shared" si="84"/>
        <v>0</v>
      </c>
      <c r="N168" s="175">
        <f t="shared" si="84"/>
        <v>0</v>
      </c>
      <c r="O168" s="175">
        <f t="shared" si="84"/>
        <v>0</v>
      </c>
      <c r="P168" s="175">
        <f t="shared" si="84"/>
        <v>0</v>
      </c>
      <c r="Q168" s="175">
        <f t="shared" si="84"/>
        <v>0</v>
      </c>
      <c r="R168" s="175">
        <f t="shared" si="84"/>
        <v>0</v>
      </c>
      <c r="S168" s="175">
        <f t="shared" si="84"/>
        <v>0</v>
      </c>
      <c r="T168" s="175">
        <f t="shared" si="84"/>
        <v>0</v>
      </c>
      <c r="U168" s="175">
        <f t="shared" si="84"/>
        <v>0</v>
      </c>
      <c r="V168" s="175">
        <f t="shared" si="84"/>
        <v>0</v>
      </c>
      <c r="W168" s="175">
        <f t="shared" si="84"/>
        <v>0</v>
      </c>
      <c r="X168" s="175">
        <f t="shared" si="84"/>
        <v>0</v>
      </c>
      <c r="Y168" s="175">
        <f t="shared" si="84"/>
        <v>0</v>
      </c>
      <c r="AB168" s="175">
        <f>AB164+AB165-AB166+AB167</f>
        <v>0</v>
      </c>
      <c r="AE168" s="175">
        <f>AE164+AE165-AE166+AE167</f>
        <v>0</v>
      </c>
      <c r="AH168" s="175">
        <f>AH164+AH165-AH166+AH167</f>
        <v>0</v>
      </c>
      <c r="AK168" s="175">
        <f>AK164+AK165-AK166+AK167</f>
        <v>0</v>
      </c>
      <c r="AN168" s="175">
        <f>AN164+AN165-AN166+AN167</f>
        <v>0</v>
      </c>
      <c r="AQ168" s="175">
        <f>AQ164+AQ165-AQ166+AQ167</f>
        <v>0</v>
      </c>
      <c r="AT168" s="175">
        <f>AT164+AT165-AT166+AT167</f>
        <v>0</v>
      </c>
      <c r="AW168" s="175">
        <f>AW164+AW165-AW166+AW167</f>
        <v>0</v>
      </c>
      <c r="AZ168" s="175">
        <f>AZ164+AZ165-AZ166+AZ167</f>
        <v>0</v>
      </c>
    </row>
    <row r="169" spans="1:52" hidden="1"/>
    <row r="170" spans="1:52" hidden="1"/>
    <row r="171" spans="1:52" hidden="1"/>
    <row r="172" spans="1:52" hidden="1"/>
    <row r="173" spans="1:52" hidden="1"/>
    <row r="174" spans="1:52" hidden="1"/>
    <row r="175" spans="1:52" hidden="1"/>
    <row r="176" spans="1:52"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sheetData>
  <sheetProtection algorithmName="SHA-512" hashValue="t0aE9OkzLPcKp5ZigovHF5pKPbyKHEFIihQGsOSeZ3K7aNxyOIk4RGlBDQ5y5e7Z9BmZYLFzjYw38kxtU5yasQ==" saltValue="Dewxh/UGqf2xQExCKDbgig==" spinCount="100000" sheet="1" objects="1" scenarios="1"/>
  <customSheetViews>
    <customSheetView guid="{E6CC0A4E-F930-49CF-9945-EC2E8926E122}" fitToPage="1" printArea="1" topLeftCell="A76">
      <selection activeCell="A80" sqref="A80:A81"/>
      <colBreaks count="1" manualBreakCount="1">
        <brk id="14" min="1" max="170" man="1"/>
      </colBreaks>
      <pageMargins left="0.25" right="0.25" top="0.5" bottom="0.5" header="0.3" footer="0.3"/>
      <pageSetup paperSize="5" scale="48" fitToWidth="2" orientation="landscape" r:id="rId1"/>
      <headerFooter alignWithMargins="0">
        <oddHeader>&amp;CMOHCD Operating Budget - Commercial Operating Budget</oddHeader>
        <oddFooter>&amp;L&amp;F Tab: &amp;A</oddFooter>
      </headerFooter>
    </customSheetView>
    <customSheetView guid="{3FCD2E41-B3D6-4AD1-9CEC-423B2DF3E9BC}" fitToPage="1" printArea="1" topLeftCell="A76">
      <selection activeCell="A80" sqref="A80:A81"/>
      <colBreaks count="1" manualBreakCount="1">
        <brk id="14" min="1" max="170" man="1"/>
      </colBreaks>
      <pageMargins left="0.25" right="0.25" top="0.5" bottom="0.5" header="0.3" footer="0.3"/>
      <pageSetup paperSize="5" scale="48" fitToWidth="2" orientation="landscape" r:id="rId2"/>
      <headerFooter alignWithMargins="0">
        <oddHeader>&amp;CMOHCD Operating Budget - Commercial Operating Budget</oddHeader>
        <oddFooter>&amp;L&amp;F Tab: &amp;A</oddFooter>
      </headerFooter>
    </customSheetView>
    <customSheetView guid="{D9224301-6086-492A-A02E-C1000EC017A3}" fitToPage="1" printArea="1" topLeftCell="A76">
      <selection activeCell="A80" sqref="A80:A81"/>
      <colBreaks count="1" manualBreakCount="1">
        <brk id="14" min="1" max="170" man="1"/>
      </colBreaks>
      <pageMargins left="0.25" right="0.25" top="0.5" bottom="0.5" header="0.3" footer="0.3"/>
      <pageSetup paperSize="5" scale="48" fitToWidth="2" orientation="landscape" r:id="rId3"/>
      <headerFooter alignWithMargins="0">
        <oddHeader>&amp;CMOHCD Operating Budget - Commercial Operating Budget</oddHeader>
        <oddFooter>&amp;L&amp;F Tab: &amp;A</oddFooter>
      </headerFooter>
    </customSheetView>
    <customSheetView guid="{C8DD1FB6-7B01-40B9-BFB4-B21C0B0BB0A1}" fitToPage="1" printArea="1" topLeftCell="A2">
      <colBreaks count="1" manualBreakCount="1">
        <brk id="14" min="1" max="170" man="1"/>
      </colBreaks>
      <pageMargins left="0.25" right="0.25" top="0.5" bottom="0.5" header="0.3" footer="0.3"/>
      <pageSetup paperSize="5" scale="47" fitToWidth="2" orientation="landscape" r:id="rId4"/>
      <headerFooter alignWithMargins="0">
        <oddHeader>&amp;CMOHCD Operating Budget - Commercial Operating Budget</oddHeader>
        <oddFooter>&amp;L&amp;F Tab: &amp;A</oddFooter>
      </headerFooter>
    </customSheetView>
    <customSheetView guid="{332023D0-60C3-4A29-9DCC-CDA10E0C090D}" fitToPage="1" hiddenRows="1" hiddenColumns="1" topLeftCell="A2">
      <selection activeCell="D6" sqref="D6"/>
      <colBreaks count="1" manualBreakCount="1">
        <brk id="14" min="1" max="170" man="1"/>
      </colBreaks>
      <pageMargins left="0.25" right="0.25" top="0.5" bottom="0.5" header="0.3" footer="0.3"/>
      <pageSetup paperSize="5" scale="48" fitToWidth="2" orientation="landscape" r:id="rId5"/>
      <headerFooter alignWithMargins="0">
        <oddHeader>&amp;CMOHCD Operating Budget - Commercial Operating Budget</oddHeader>
        <oddFooter>&amp;L&amp;F Tab: &amp;A</oddFooter>
      </headerFooter>
    </customSheetView>
    <customSheetView guid="{B92ED4D4-4566-4043-8B76-FD708F820076}" showGridLines="0" fitToPage="1" hiddenRows="1" hiddenColumns="1" topLeftCell="A2">
      <selection activeCell="D6" sqref="D6"/>
      <colBreaks count="1" manualBreakCount="1">
        <brk id="14" min="1" max="170" man="1"/>
      </colBreaks>
      <pageMargins left="0.25" right="0.25" top="0.5" bottom="0.5" header="0.3" footer="0.3"/>
      <pageSetup paperSize="5" scale="47" fitToWidth="2" orientation="landscape" r:id="rId6"/>
      <headerFooter alignWithMargins="0">
        <oddHeader>&amp;CMOHCD Operating Budget - Commercial Operating Budget</oddHeader>
        <oddFooter>&amp;L&amp;F Tab: &amp;A</oddFooter>
      </headerFooter>
    </customSheetView>
  </customSheetViews>
  <mergeCells count="2">
    <mergeCell ref="A2:A3"/>
    <mergeCell ref="C2:C3"/>
  </mergeCells>
  <conditionalFormatting sqref="E13:X13">
    <cfRule type="expression" dxfId="69" priority="1">
      <formula>"sum($E$16:$BJ$16)&lt;&gt;sum('20Yr-Details'!e16:bj16)"</formula>
    </cfRule>
  </conditionalFormatting>
  <pageMargins left="0.25" right="0.25" top="0.5" bottom="0.5" header="0.3" footer="0.3"/>
  <pageSetup paperSize="5" scale="38" fitToWidth="2" orientation="landscape" r:id="rId7"/>
  <headerFooter alignWithMargins="0">
    <oddHeader>&amp;CMOHCD Proforma - Commercial Operating Budget</oddHeader>
    <oddFooter>&amp;R&amp;P of &amp;N</oddFooter>
  </headerFooter>
  <colBreaks count="1" manualBreakCount="1">
    <brk id="14" max="167"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6B3A23C-3CED-44EB-B476-C375B864D393}">
          <x14:formula1>
            <xm:f>Lists!$W$2:$W$4</xm:f>
          </x14:formula1>
          <xm:sqref>C2:C3</xm:sqref>
        </x14:dataValidation>
      </x14:dataValidations>
    </ext>
  </extLst>
</worksheet>
</file>

<file path=xl/worksheets/sheet11.xml><?xml version="1.0" encoding="utf-8"?>
<worksheet xmlns="http://schemas.openxmlformats.org/spreadsheetml/2006/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1D4BE-C98D-4A46-A2AE-6BEBFF139402}">
  <dimension ref="A1"/>
  <sheetViews>
    <sheetView workbookViewId="0"/>
  </sheetViews>
  <sheetFormatPr defaultRowHeight="13.2"/>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31122-9E4B-4E62-8181-4BAC84DBFCF4}">
  <sheetPr codeName="Sheet30">
    <tabColor theme="3" tint="0.59999389629810485"/>
    <pageSetUpPr fitToPage="1"/>
  </sheetPr>
  <dimension ref="A1:T63"/>
  <sheetViews>
    <sheetView showGridLines="0" topLeftCell="A27" zoomScaleNormal="100" workbookViewId="0">
      <selection activeCell="G47" sqref="G47"/>
    </sheetView>
  </sheetViews>
  <sheetFormatPr defaultColWidth="0" defaultRowHeight="13.2"/>
  <cols>
    <col min="1" max="1" width="5.6640625" style="5" customWidth="1"/>
    <col min="2" max="2" width="34.109375" style="5" bestFit="1" customWidth="1"/>
    <col min="3" max="3" width="31" style="5" bestFit="1" customWidth="1"/>
    <col min="4" max="4" width="14.44140625" style="5" customWidth="1"/>
    <col min="5" max="5" width="15.6640625" style="5" bestFit="1" customWidth="1"/>
    <col min="6" max="6" width="12.33203125" style="5" customWidth="1"/>
    <col min="7" max="7" width="25.5546875" style="5" bestFit="1" customWidth="1"/>
    <col min="8" max="8" width="16.44140625" style="223" customWidth="1"/>
    <col min="9" max="9" width="75.5546875" style="223" customWidth="1"/>
    <col min="10" max="10" width="8.88671875" style="223" customWidth="1"/>
    <col min="11" max="11" width="8.88671875" style="223" hidden="1" customWidth="1"/>
    <col min="12" max="20" width="0" style="223" hidden="1" customWidth="1"/>
    <col min="21" max="16384" width="9.109375" style="5" hidden="1"/>
  </cols>
  <sheetData>
    <row r="1" spans="1:9" ht="15.6">
      <c r="A1" s="816" t="s">
        <v>1645</v>
      </c>
    </row>
    <row r="2" spans="1:9" ht="13.8">
      <c r="A2" s="1988" t="s">
        <v>1690</v>
      </c>
      <c r="C2" s="1957"/>
    </row>
    <row r="3" spans="1:9" ht="42" thickBot="1">
      <c r="A3" s="223"/>
      <c r="C3" s="1957" t="s">
        <v>1541</v>
      </c>
      <c r="D3" s="1985" t="s">
        <v>1638</v>
      </c>
      <c r="E3" s="1985" t="s">
        <v>1635</v>
      </c>
      <c r="F3" s="1986" t="s">
        <v>1542</v>
      </c>
      <c r="G3" s="1957" t="s">
        <v>1543</v>
      </c>
      <c r="I3" s="1957" t="s">
        <v>1647</v>
      </c>
    </row>
    <row r="4" spans="1:9" ht="13.8">
      <c r="A4" s="223"/>
      <c r="B4" s="2285" t="s">
        <v>20</v>
      </c>
      <c r="C4" s="1994"/>
      <c r="D4" s="1909" t="str">
        <f>IF(E4&gt;0, E4/2080, "")</f>
        <v/>
      </c>
      <c r="E4" s="1960"/>
      <c r="F4" s="1961"/>
      <c r="G4" s="1962" t="str">
        <f>IF(E4&gt;0, E4*F4, "")</f>
        <v/>
      </c>
      <c r="I4" s="262"/>
    </row>
    <row r="5" spans="1:9" ht="13.8">
      <c r="A5" s="223"/>
      <c r="B5" s="2286"/>
      <c r="C5" s="1994"/>
      <c r="D5" s="1909" t="str">
        <f t="shared" ref="D5:D11" si="0">IF(E5&gt;0, E5/2080, "")</f>
        <v/>
      </c>
      <c r="E5" s="1960"/>
      <c r="F5" s="1961"/>
      <c r="G5" s="1962" t="str">
        <f t="shared" ref="G5:G11" si="1">IF(E5&gt;0, E5*F5, "")</f>
        <v/>
      </c>
      <c r="I5" s="262"/>
    </row>
    <row r="6" spans="1:9" ht="13.8">
      <c r="A6" s="223"/>
      <c r="B6" s="2286"/>
      <c r="C6" s="1994"/>
      <c r="D6" s="1909" t="str">
        <f t="shared" si="0"/>
        <v/>
      </c>
      <c r="E6" s="1960"/>
      <c r="F6" s="1961"/>
      <c r="G6" s="1962" t="str">
        <f t="shared" si="1"/>
        <v/>
      </c>
      <c r="I6" s="262"/>
    </row>
    <row r="7" spans="1:9" ht="13.8">
      <c r="A7" s="223"/>
      <c r="B7" s="2286"/>
      <c r="C7" s="1994"/>
      <c r="D7" s="1909" t="str">
        <f t="shared" si="0"/>
        <v/>
      </c>
      <c r="E7" s="1960"/>
      <c r="F7" s="1961"/>
      <c r="G7" s="1962" t="str">
        <f t="shared" si="1"/>
        <v/>
      </c>
      <c r="I7" s="262"/>
    </row>
    <row r="8" spans="1:9" ht="13.8">
      <c r="A8" s="223"/>
      <c r="B8" s="2286"/>
      <c r="C8" s="1994"/>
      <c r="D8" s="1909" t="str">
        <f t="shared" si="0"/>
        <v/>
      </c>
      <c r="E8" s="1960"/>
      <c r="F8" s="1961"/>
      <c r="G8" s="1962" t="str">
        <f t="shared" si="1"/>
        <v/>
      </c>
      <c r="I8" s="262"/>
    </row>
    <row r="9" spans="1:9" ht="13.8">
      <c r="A9" s="223"/>
      <c r="B9" s="2286"/>
      <c r="C9" s="1994"/>
      <c r="D9" s="1909" t="str">
        <f t="shared" si="0"/>
        <v/>
      </c>
      <c r="E9" s="1960"/>
      <c r="F9" s="1961"/>
      <c r="G9" s="1962" t="str">
        <f t="shared" si="1"/>
        <v/>
      </c>
      <c r="I9" s="262"/>
    </row>
    <row r="10" spans="1:9" ht="13.8">
      <c r="A10" s="223"/>
      <c r="B10" s="2286"/>
      <c r="C10" s="1994"/>
      <c r="D10" s="1909" t="str">
        <f t="shared" si="0"/>
        <v/>
      </c>
      <c r="E10" s="1960"/>
      <c r="F10" s="1961"/>
      <c r="G10" s="1962" t="str">
        <f t="shared" si="1"/>
        <v/>
      </c>
      <c r="I10" s="262"/>
    </row>
    <row r="11" spans="1:9" ht="13.8">
      <c r="A11" s="223"/>
      <c r="B11" s="2287"/>
      <c r="C11" s="1994"/>
      <c r="D11" s="1909" t="str">
        <f t="shared" si="0"/>
        <v/>
      </c>
      <c r="E11" s="1960"/>
      <c r="F11" s="1961"/>
      <c r="G11" s="1962" t="str">
        <f t="shared" si="1"/>
        <v/>
      </c>
      <c r="I11" s="262"/>
    </row>
    <row r="12" spans="1:9" ht="14.4" thickBot="1">
      <c r="A12" s="223"/>
      <c r="B12" s="1963"/>
      <c r="C12" s="1964" t="s">
        <v>1639</v>
      </c>
      <c r="D12" s="1908" t="e">
        <f>AVERAGE(D4:D11)</f>
        <v>#DIV/0!</v>
      </c>
      <c r="E12" s="1965" t="s">
        <v>1640</v>
      </c>
      <c r="F12" s="1966">
        <f>SUM(F4:F11)</f>
        <v>0</v>
      </c>
      <c r="G12" s="1967">
        <f>SUM(G4:G11)</f>
        <v>0</v>
      </c>
      <c r="H12" s="1956" t="str">
        <f>"'&lt;---populates cell "&amp;ADDRESS(MATCH($B4,'6.1stYrOpBudget'!$A$1:$A$81,0),6)&amp;" on Ws6"</f>
        <v>'&lt;---populates cell $F$36 on Ws6</v>
      </c>
      <c r="I12" s="1968"/>
    </row>
    <row r="13" spans="1:9" ht="13.8">
      <c r="A13" s="223"/>
      <c r="B13" s="2285" t="s">
        <v>21</v>
      </c>
      <c r="C13" s="1994"/>
      <c r="D13" s="1909" t="str">
        <f t="shared" ref="D13:D18" si="2">IF(E13&gt;0, E13/2080, "")</f>
        <v/>
      </c>
      <c r="E13" s="1960"/>
      <c r="F13" s="1961"/>
      <c r="G13" s="1962" t="str">
        <f t="shared" ref="G13:G18" si="3">IF(E13&gt;0, E13*F13, "")</f>
        <v/>
      </c>
      <c r="I13" s="262"/>
    </row>
    <row r="14" spans="1:9" ht="13.8">
      <c r="A14" s="223"/>
      <c r="B14" s="2286"/>
      <c r="C14" s="1994"/>
      <c r="D14" s="1909" t="str">
        <f t="shared" si="2"/>
        <v/>
      </c>
      <c r="E14" s="1960"/>
      <c r="F14" s="1961"/>
      <c r="G14" s="1962" t="str">
        <f t="shared" si="3"/>
        <v/>
      </c>
      <c r="I14" s="262"/>
    </row>
    <row r="15" spans="1:9" ht="13.8">
      <c r="A15" s="223"/>
      <c r="B15" s="2286"/>
      <c r="C15" s="1994"/>
      <c r="D15" s="1909" t="str">
        <f t="shared" si="2"/>
        <v/>
      </c>
      <c r="E15" s="1960"/>
      <c r="F15" s="1961"/>
      <c r="G15" s="1962" t="str">
        <f t="shared" si="3"/>
        <v/>
      </c>
      <c r="I15" s="262"/>
    </row>
    <row r="16" spans="1:9" ht="13.8">
      <c r="A16" s="223"/>
      <c r="B16" s="2286"/>
      <c r="C16" s="1994"/>
      <c r="D16" s="1909" t="str">
        <f t="shared" si="2"/>
        <v/>
      </c>
      <c r="E16" s="1960"/>
      <c r="F16" s="1961"/>
      <c r="G16" s="1962" t="str">
        <f t="shared" si="3"/>
        <v/>
      </c>
      <c r="I16" s="262"/>
    </row>
    <row r="17" spans="1:10" ht="13.8">
      <c r="A17" s="223"/>
      <c r="B17" s="2286"/>
      <c r="C17" s="1994"/>
      <c r="D17" s="1909" t="str">
        <f t="shared" si="2"/>
        <v/>
      </c>
      <c r="E17" s="1960"/>
      <c r="F17" s="1961"/>
      <c r="G17" s="1962" t="str">
        <f t="shared" si="3"/>
        <v/>
      </c>
      <c r="I17" s="262"/>
    </row>
    <row r="18" spans="1:10" ht="13.8">
      <c r="A18" s="223"/>
      <c r="B18" s="2287"/>
      <c r="C18" s="1994"/>
      <c r="D18" s="1909" t="str">
        <f t="shared" si="2"/>
        <v/>
      </c>
      <c r="E18" s="1960"/>
      <c r="F18" s="1961"/>
      <c r="G18" s="1962" t="str">
        <f t="shared" si="3"/>
        <v/>
      </c>
      <c r="I18" s="262"/>
    </row>
    <row r="19" spans="1:10" ht="14.4" thickBot="1">
      <c r="A19" s="223"/>
      <c r="B19" s="1963"/>
      <c r="C19" s="1964" t="s">
        <v>1639</v>
      </c>
      <c r="D19" s="1908" t="e">
        <f>AVERAGE(D13:D18)</f>
        <v>#DIV/0!</v>
      </c>
      <c r="E19" s="1965" t="s">
        <v>1640</v>
      </c>
      <c r="F19" s="1966">
        <f>SUM(F13:F18)</f>
        <v>0</v>
      </c>
      <c r="G19" s="1967">
        <f>SUM(G13:G18)</f>
        <v>0</v>
      </c>
      <c r="H19" s="1956" t="str">
        <f>"'&lt;---populates cell "&amp;ADDRESS(MATCH($B13,'6.1stYrOpBudget'!$A$1:$A$81,0),6)&amp;" on Ws6"</f>
        <v>'&lt;---populates cell $F$37 on Ws6</v>
      </c>
      <c r="I19" s="5"/>
    </row>
    <row r="20" spans="1:10" ht="13.8">
      <c r="A20" s="223"/>
      <c r="B20" s="2285" t="s">
        <v>1544</v>
      </c>
      <c r="C20" s="1994"/>
      <c r="D20" s="1909" t="str">
        <f t="shared" ref="D20:D32" si="4">IF(E20&gt;0, E20/2080, "")</f>
        <v/>
      </c>
      <c r="E20" s="1960"/>
      <c r="F20" s="1961"/>
      <c r="G20" s="1962" t="str">
        <f t="shared" ref="G20:G25" si="5">IF(E20&gt;0, E20*F20, "")</f>
        <v/>
      </c>
      <c r="I20" s="262"/>
    </row>
    <row r="21" spans="1:10" ht="13.8">
      <c r="A21" s="223"/>
      <c r="B21" s="2286"/>
      <c r="C21" s="1994"/>
      <c r="D21" s="1909" t="str">
        <f t="shared" si="4"/>
        <v/>
      </c>
      <c r="E21" s="1960"/>
      <c r="F21" s="1961"/>
      <c r="G21" s="1962" t="str">
        <f t="shared" si="5"/>
        <v/>
      </c>
      <c r="I21" s="262"/>
    </row>
    <row r="22" spans="1:10" ht="13.8">
      <c r="A22" s="223"/>
      <c r="B22" s="2286"/>
      <c r="C22" s="1994"/>
      <c r="D22" s="1909" t="str">
        <f t="shared" si="4"/>
        <v/>
      </c>
      <c r="E22" s="1960"/>
      <c r="F22" s="1961"/>
      <c r="G22" s="1962" t="str">
        <f t="shared" si="5"/>
        <v/>
      </c>
      <c r="I22" s="262"/>
    </row>
    <row r="23" spans="1:10" ht="13.8">
      <c r="A23" s="223"/>
      <c r="B23" s="2286"/>
      <c r="C23" s="1994"/>
      <c r="D23" s="1909" t="str">
        <f t="shared" si="4"/>
        <v/>
      </c>
      <c r="E23" s="1960"/>
      <c r="F23" s="1961"/>
      <c r="G23" s="1962" t="str">
        <f t="shared" si="5"/>
        <v/>
      </c>
      <c r="I23" s="262"/>
    </row>
    <row r="24" spans="1:10" ht="13.8">
      <c r="A24" s="223"/>
      <c r="B24" s="2286"/>
      <c r="C24" s="1994"/>
      <c r="D24" s="1909" t="str">
        <f t="shared" si="4"/>
        <v/>
      </c>
      <c r="E24" s="1960"/>
      <c r="F24" s="1961"/>
      <c r="G24" s="1962" t="str">
        <f t="shared" si="5"/>
        <v/>
      </c>
      <c r="I24" s="262"/>
    </row>
    <row r="25" spans="1:10" ht="13.8">
      <c r="A25" s="223"/>
      <c r="B25" s="2287"/>
      <c r="C25" s="1994"/>
      <c r="D25" s="1909" t="str">
        <f t="shared" si="4"/>
        <v/>
      </c>
      <c r="E25" s="1960"/>
      <c r="F25" s="1961"/>
      <c r="G25" s="1962" t="str">
        <f t="shared" si="5"/>
        <v/>
      </c>
      <c r="H25" s="1969"/>
      <c r="I25" s="262"/>
    </row>
    <row r="26" spans="1:10" ht="14.4" thickBot="1">
      <c r="A26" s="223"/>
      <c r="B26" s="1963"/>
      <c r="C26" s="1964" t="s">
        <v>1639</v>
      </c>
      <c r="D26" s="1908" t="e">
        <f>AVERAGE(D20:D25)</f>
        <v>#DIV/0!</v>
      </c>
      <c r="E26" s="1965" t="s">
        <v>1640</v>
      </c>
      <c r="F26" s="1966">
        <f>SUM(F20:F25)</f>
        <v>0</v>
      </c>
      <c r="G26" s="1967">
        <f>SUM(G20:G25)</f>
        <v>0</v>
      </c>
      <c r="H26" s="5"/>
      <c r="I26" s="5"/>
    </row>
    <row r="27" spans="1:10" ht="13.8">
      <c r="A27" s="223"/>
      <c r="B27" s="2285" t="s">
        <v>1545</v>
      </c>
      <c r="C27" s="1994"/>
      <c r="D27" s="1909" t="str">
        <f t="shared" si="4"/>
        <v/>
      </c>
      <c r="E27" s="1960"/>
      <c r="F27" s="1961"/>
      <c r="G27" s="1962" t="str">
        <f t="shared" ref="G27:G32" si="6">IF(E27&gt;0, E27*F27, "")</f>
        <v/>
      </c>
      <c r="I27" s="262"/>
      <c r="J27" s="1970"/>
    </row>
    <row r="28" spans="1:10" ht="13.8">
      <c r="A28" s="223"/>
      <c r="B28" s="2286"/>
      <c r="C28" s="1994"/>
      <c r="D28" s="1909" t="str">
        <f t="shared" si="4"/>
        <v/>
      </c>
      <c r="E28" s="1960"/>
      <c r="F28" s="1961"/>
      <c r="G28" s="1962" t="str">
        <f t="shared" si="6"/>
        <v/>
      </c>
      <c r="I28" s="262"/>
    </row>
    <row r="29" spans="1:10" ht="13.8">
      <c r="A29" s="223"/>
      <c r="B29" s="2286"/>
      <c r="C29" s="1994"/>
      <c r="D29" s="1909" t="str">
        <f t="shared" si="4"/>
        <v/>
      </c>
      <c r="E29" s="1960"/>
      <c r="F29" s="1961"/>
      <c r="G29" s="1962" t="str">
        <f t="shared" si="6"/>
        <v/>
      </c>
      <c r="I29" s="262"/>
    </row>
    <row r="30" spans="1:10" ht="13.8">
      <c r="A30" s="223"/>
      <c r="B30" s="2286"/>
      <c r="C30" s="1994"/>
      <c r="D30" s="1909" t="str">
        <f t="shared" si="4"/>
        <v/>
      </c>
      <c r="E30" s="1960"/>
      <c r="F30" s="1961"/>
      <c r="G30" s="1962" t="str">
        <f t="shared" si="6"/>
        <v/>
      </c>
      <c r="I30" s="262"/>
    </row>
    <row r="31" spans="1:10" ht="13.8">
      <c r="A31" s="223"/>
      <c r="B31" s="2286"/>
      <c r="C31" s="1994"/>
      <c r="D31" s="1909" t="str">
        <f t="shared" si="4"/>
        <v/>
      </c>
      <c r="E31" s="1960"/>
      <c r="F31" s="1961"/>
      <c r="G31" s="1962" t="str">
        <f t="shared" si="6"/>
        <v/>
      </c>
      <c r="H31" s="1969"/>
      <c r="I31" s="262"/>
    </row>
    <row r="32" spans="1:10" ht="13.8">
      <c r="A32" s="223"/>
      <c r="B32" s="2287"/>
      <c r="C32" s="1994"/>
      <c r="D32" s="1909" t="str">
        <f t="shared" si="4"/>
        <v/>
      </c>
      <c r="E32" s="1960"/>
      <c r="F32" s="1961"/>
      <c r="G32" s="1962" t="str">
        <f t="shared" si="6"/>
        <v/>
      </c>
      <c r="H32" s="1969"/>
      <c r="I32" s="262"/>
    </row>
    <row r="33" spans="1:11" ht="14.4" thickBot="1">
      <c r="A33" s="223"/>
      <c r="B33" s="1963"/>
      <c r="C33" s="1964" t="s">
        <v>1639</v>
      </c>
      <c r="D33" s="1908" t="e">
        <f>AVERAGE(D27:D32)</f>
        <v>#DIV/0!</v>
      </c>
      <c r="E33" s="1965" t="s">
        <v>1640</v>
      </c>
      <c r="F33" s="1966">
        <f>SUM(F27:F32)</f>
        <v>0</v>
      </c>
      <c r="G33" s="1967">
        <f>SUM(G27:G32)</f>
        <v>0</v>
      </c>
      <c r="H33" s="5"/>
      <c r="I33" s="1968"/>
    </row>
    <row r="34" spans="1:11" ht="14.4" thickBot="1">
      <c r="A34" s="223"/>
      <c r="B34" s="1971" t="s">
        <v>1546</v>
      </c>
      <c r="C34" s="1964" t="s">
        <v>1642</v>
      </c>
      <c r="D34" s="1910" t="e">
        <f>AVERAGE(D33,D26)</f>
        <v>#DIV/0!</v>
      </c>
      <c r="E34" s="1972" t="s">
        <v>1641</v>
      </c>
      <c r="F34" s="1973">
        <f>F33+F26</f>
        <v>0</v>
      </c>
      <c r="G34" s="1974">
        <f>G33+G26</f>
        <v>0</v>
      </c>
      <c r="H34" s="1956" t="str">
        <f>"'&lt;---populates cell "&amp;ADDRESS(MATCH("Payroll",'6.1stYrOpBudget'!$A$1:$A$81,0),6)&amp;" on Ws6"</f>
        <v>'&lt;---populates cell $F$70 on Ws6</v>
      </c>
      <c r="I34" s="5"/>
    </row>
    <row r="35" spans="1:11" ht="13.8">
      <c r="A35" s="223"/>
      <c r="B35" s="2285" t="s">
        <v>50</v>
      </c>
      <c r="C35" s="1994"/>
      <c r="D35" s="1909" t="str">
        <f t="shared" ref="D35:D44" si="7">IF(E35&gt;0, E35/2080, "")</f>
        <v/>
      </c>
      <c r="E35" s="1960"/>
      <c r="F35" s="1961"/>
      <c r="G35" s="1962" t="str">
        <f t="shared" ref="G35:G36" si="8">IF(E35&gt;0, E35*F35, "")</f>
        <v/>
      </c>
      <c r="I35" s="262"/>
    </row>
    <row r="36" spans="1:11" ht="13.8">
      <c r="A36" s="223"/>
      <c r="B36" s="2286"/>
      <c r="C36" s="1994"/>
      <c r="D36" s="1909" t="str">
        <f t="shared" si="7"/>
        <v/>
      </c>
      <c r="E36" s="1960"/>
      <c r="F36" s="1961"/>
      <c r="G36" s="1962" t="str">
        <f t="shared" si="8"/>
        <v/>
      </c>
      <c r="I36" s="262"/>
    </row>
    <row r="37" spans="1:11" ht="13.8">
      <c r="A37" s="223"/>
      <c r="B37" s="2286"/>
      <c r="C37" s="1994"/>
      <c r="D37" s="1909" t="str">
        <f t="shared" si="7"/>
        <v/>
      </c>
      <c r="E37" s="1960"/>
      <c r="F37" s="1961"/>
      <c r="G37" s="1962" t="str">
        <f t="shared" ref="G37:G44" si="9">IF(E37&gt;0, E37*F37, "")</f>
        <v/>
      </c>
      <c r="I37" s="262"/>
    </row>
    <row r="38" spans="1:11" ht="13.8">
      <c r="A38" s="223"/>
      <c r="B38" s="2286"/>
      <c r="C38" s="1994"/>
      <c r="D38" s="1909" t="str">
        <f t="shared" si="7"/>
        <v/>
      </c>
      <c r="E38" s="1960"/>
      <c r="F38" s="1961"/>
      <c r="G38" s="1962" t="str">
        <f t="shared" si="9"/>
        <v/>
      </c>
      <c r="I38" s="262"/>
    </row>
    <row r="39" spans="1:11" ht="13.8">
      <c r="A39" s="223"/>
      <c r="B39" s="2286"/>
      <c r="C39" s="1994"/>
      <c r="D39" s="1909" t="str">
        <f t="shared" si="7"/>
        <v/>
      </c>
      <c r="E39" s="1960"/>
      <c r="F39" s="1961"/>
      <c r="G39" s="1962" t="str">
        <f t="shared" si="9"/>
        <v/>
      </c>
      <c r="I39" s="262"/>
    </row>
    <row r="40" spans="1:11" ht="13.8">
      <c r="A40" s="223"/>
      <c r="B40" s="2286"/>
      <c r="C40" s="1994"/>
      <c r="D40" s="1909" t="str">
        <f t="shared" si="7"/>
        <v/>
      </c>
      <c r="E40" s="1960"/>
      <c r="F40" s="1961"/>
      <c r="G40" s="1962" t="str">
        <f t="shared" si="9"/>
        <v/>
      </c>
      <c r="I40" s="262"/>
    </row>
    <row r="41" spans="1:11" ht="13.8">
      <c r="A41" s="223"/>
      <c r="B41" s="2286"/>
      <c r="C41" s="1994"/>
      <c r="D41" s="1909" t="str">
        <f t="shared" si="7"/>
        <v/>
      </c>
      <c r="E41" s="1960"/>
      <c r="F41" s="1961"/>
      <c r="G41" s="1962" t="str">
        <f t="shared" si="9"/>
        <v/>
      </c>
      <c r="I41" s="262"/>
    </row>
    <row r="42" spans="1:11" ht="13.8">
      <c r="A42" s="223"/>
      <c r="B42" s="2286"/>
      <c r="C42" s="1994"/>
      <c r="D42" s="1909" t="str">
        <f t="shared" si="7"/>
        <v/>
      </c>
      <c r="E42" s="1960"/>
      <c r="F42" s="1961"/>
      <c r="G42" s="1962" t="str">
        <f t="shared" si="9"/>
        <v/>
      </c>
      <c r="I42" s="262"/>
    </row>
    <row r="43" spans="1:11" ht="13.8">
      <c r="A43" s="223"/>
      <c r="B43" s="2286"/>
      <c r="C43" s="1994"/>
      <c r="D43" s="1909" t="str">
        <f t="shared" si="7"/>
        <v/>
      </c>
      <c r="E43" s="1960"/>
      <c r="F43" s="1961"/>
      <c r="G43" s="1962" t="str">
        <f t="shared" si="9"/>
        <v/>
      </c>
      <c r="I43" s="262"/>
    </row>
    <row r="44" spans="1:11" ht="13.8">
      <c r="A44" s="223"/>
      <c r="B44" s="2287"/>
      <c r="C44" s="1994"/>
      <c r="D44" s="1909" t="str">
        <f t="shared" si="7"/>
        <v/>
      </c>
      <c r="E44" s="1960"/>
      <c r="F44" s="1961"/>
      <c r="G44" s="1962" t="str">
        <f t="shared" si="9"/>
        <v/>
      </c>
      <c r="I44" s="1975"/>
    </row>
    <row r="45" spans="1:11" ht="14.4" thickBot="1">
      <c r="A45" s="223"/>
      <c r="B45" s="1963"/>
      <c r="C45" s="1976" t="s">
        <v>1639</v>
      </c>
      <c r="D45" s="1908" t="e">
        <f>AVERAGE(D35:D44)</f>
        <v>#DIV/0!</v>
      </c>
      <c r="E45" s="1977">
        <f>SUM(E35:E44)</f>
        <v>0</v>
      </c>
      <c r="F45" s="1978">
        <f>SUM(F36:F44)</f>
        <v>0</v>
      </c>
      <c r="G45" s="1979">
        <f>SUM(G35:G44)</f>
        <v>0</v>
      </c>
      <c r="H45" s="1956" t="str">
        <f>"'&lt;---populates cell "&amp;ADDRESS(MATCH($B35,'6.1stYrOpBudget'!$A$1:$A$81,0),6)&amp;" on Ws6"</f>
        <v>'&lt;---populates cell $F$74 on Ws6</v>
      </c>
      <c r="I45" s="1980"/>
      <c r="J45" s="1980"/>
      <c r="K45" s="1980"/>
    </row>
    <row r="46" spans="1:11" ht="14.4" thickBot="1">
      <c r="A46" s="223"/>
      <c r="B46" s="2278" t="s">
        <v>1644</v>
      </c>
      <c r="C46" s="2279"/>
      <c r="D46" s="2279"/>
      <c r="E46" s="2280"/>
      <c r="F46" s="1981">
        <f>F12+F19+F26+F33+F45</f>
        <v>0</v>
      </c>
      <c r="G46" s="1982">
        <f>G12+G19+G26+G33+G45</f>
        <v>0</v>
      </c>
      <c r="I46" s="1983"/>
    </row>
    <row r="47" spans="1:11">
      <c r="A47" s="223"/>
    </row>
    <row r="48" spans="1:11" ht="13.8">
      <c r="A48" s="319" t="s">
        <v>1636</v>
      </c>
    </row>
    <row r="49" spans="1:9" ht="42" thickBot="1">
      <c r="A49" s="1911"/>
      <c r="C49" s="1957" t="s">
        <v>1541</v>
      </c>
      <c r="D49" s="1958" t="s">
        <v>1638</v>
      </c>
      <c r="E49" s="1958" t="s">
        <v>1635</v>
      </c>
      <c r="F49" s="1959" t="s">
        <v>1542</v>
      </c>
      <c r="G49" s="1957" t="s">
        <v>1543</v>
      </c>
    </row>
    <row r="50" spans="1:9">
      <c r="A50" s="223"/>
      <c r="B50" s="2284" t="s">
        <v>1637</v>
      </c>
      <c r="C50" s="1991"/>
      <c r="D50" s="1909" t="str">
        <f t="shared" ref="D50:D60" si="10">IF(E50&gt;0, E50/2080, "")</f>
        <v/>
      </c>
      <c r="E50" s="1960"/>
      <c r="F50" s="1961"/>
      <c r="G50" s="1962" t="str">
        <f t="shared" ref="G50:G60" si="11">IF(E50&gt;0, E50*F50, "")</f>
        <v/>
      </c>
      <c r="I50" s="262"/>
    </row>
    <row r="51" spans="1:9">
      <c r="A51" s="223"/>
      <c r="B51" s="2282"/>
      <c r="C51" s="1991"/>
      <c r="D51" s="1909" t="str">
        <f t="shared" si="10"/>
        <v/>
      </c>
      <c r="E51" s="1960"/>
      <c r="F51" s="1961"/>
      <c r="G51" s="1962" t="str">
        <f t="shared" si="11"/>
        <v/>
      </c>
      <c r="I51" s="262"/>
    </row>
    <row r="52" spans="1:9">
      <c r="A52" s="223"/>
      <c r="B52" s="2282"/>
      <c r="C52" s="1991"/>
      <c r="D52" s="1909" t="str">
        <f t="shared" si="10"/>
        <v/>
      </c>
      <c r="E52" s="1960"/>
      <c r="F52" s="1961"/>
      <c r="G52" s="1962" t="str">
        <f t="shared" si="11"/>
        <v/>
      </c>
      <c r="I52" s="262"/>
    </row>
    <row r="53" spans="1:9">
      <c r="A53" s="223"/>
      <c r="B53" s="2283"/>
      <c r="C53" s="1991"/>
      <c r="D53" s="1909" t="str">
        <f t="shared" si="10"/>
        <v/>
      </c>
      <c r="E53" s="1960"/>
      <c r="F53" s="1961"/>
      <c r="G53" s="1962" t="str">
        <f t="shared" si="11"/>
        <v/>
      </c>
      <c r="I53" s="262"/>
    </row>
    <row r="54" spans="1:9" ht="14.4" thickBot="1">
      <c r="A54" s="223"/>
      <c r="B54" s="1963"/>
      <c r="C54" s="1964" t="s">
        <v>1639</v>
      </c>
      <c r="D54" s="1910" t="e">
        <f>AVERAGE(D50:D53)</f>
        <v>#DIV/0!</v>
      </c>
      <c r="E54" s="1965" t="s">
        <v>1640</v>
      </c>
      <c r="F54" s="1966">
        <f>SUM(F50:F53)</f>
        <v>0</v>
      </c>
      <c r="G54" s="1984">
        <f>SUM(G50:G53)</f>
        <v>0</v>
      </c>
      <c r="H54" s="1956" t="str">
        <f>"'&lt;---populates cell "&amp;ADDRESS(MATCH("Supportive Services",'6.1stYrOpBudget'!$A$1:$A$81,0),6)&amp;" on Ws6"</f>
        <v>'&lt;---populates cell $F$80 on Ws6</v>
      </c>
    </row>
    <row r="55" spans="1:9">
      <c r="A55" s="223"/>
      <c r="B55" s="2281" t="s">
        <v>1692</v>
      </c>
      <c r="C55" s="1991"/>
      <c r="D55" s="1909" t="str">
        <f t="shared" si="10"/>
        <v/>
      </c>
      <c r="E55" s="1960"/>
      <c r="F55" s="1961"/>
      <c r="G55" s="1962" t="str">
        <f t="shared" si="11"/>
        <v/>
      </c>
      <c r="I55" s="262"/>
    </row>
    <row r="56" spans="1:9">
      <c r="A56" s="223"/>
      <c r="B56" s="2282"/>
      <c r="C56" s="1991"/>
      <c r="D56" s="1909" t="str">
        <f t="shared" si="10"/>
        <v/>
      </c>
      <c r="E56" s="1960"/>
      <c r="F56" s="1961"/>
      <c r="G56" s="1962" t="str">
        <f t="shared" si="11"/>
        <v/>
      </c>
      <c r="I56" s="262"/>
    </row>
    <row r="57" spans="1:9">
      <c r="A57" s="223"/>
      <c r="B57" s="2282"/>
      <c r="C57" s="1991"/>
      <c r="D57" s="1909" t="str">
        <f t="shared" si="10"/>
        <v/>
      </c>
      <c r="E57" s="1960"/>
      <c r="F57" s="1961"/>
      <c r="G57" s="1962" t="str">
        <f t="shared" si="11"/>
        <v/>
      </c>
      <c r="I57" s="262"/>
    </row>
    <row r="58" spans="1:9">
      <c r="A58" s="223"/>
      <c r="B58" s="2282"/>
      <c r="C58" s="1991"/>
      <c r="D58" s="1909" t="str">
        <f t="shared" si="10"/>
        <v/>
      </c>
      <c r="E58" s="1960"/>
      <c r="F58" s="1961"/>
      <c r="G58" s="1962" t="str">
        <f t="shared" si="11"/>
        <v/>
      </c>
      <c r="I58" s="262"/>
    </row>
    <row r="59" spans="1:9">
      <c r="A59" s="223"/>
      <c r="B59" s="2282"/>
      <c r="C59" s="1991"/>
      <c r="D59" s="1909" t="str">
        <f t="shared" si="10"/>
        <v/>
      </c>
      <c r="E59" s="1960"/>
      <c r="F59" s="1961"/>
      <c r="G59" s="1962" t="str">
        <f t="shared" si="11"/>
        <v/>
      </c>
      <c r="I59" s="262"/>
    </row>
    <row r="60" spans="1:9">
      <c r="A60" s="223"/>
      <c r="B60" s="2283"/>
      <c r="C60" s="1991"/>
      <c r="D60" s="1909" t="str">
        <f t="shared" si="10"/>
        <v/>
      </c>
      <c r="E60" s="1960"/>
      <c r="F60" s="1961"/>
      <c r="G60" s="1962" t="str">
        <f t="shared" si="11"/>
        <v/>
      </c>
      <c r="I60" s="262"/>
    </row>
    <row r="61" spans="1:9" ht="14.4" thickBot="1">
      <c r="A61" s="223"/>
      <c r="B61" s="1963"/>
      <c r="C61" s="1964" t="s">
        <v>1639</v>
      </c>
      <c r="D61" s="1910" t="e">
        <f>AVERAGE(D55:D60)</f>
        <v>#DIV/0!</v>
      </c>
      <c r="E61" s="1965" t="s">
        <v>1640</v>
      </c>
      <c r="F61" s="1966">
        <f>SUM(F55:F60)</f>
        <v>0</v>
      </c>
      <c r="G61" s="1984">
        <f>SUM(G55:G60)</f>
        <v>0</v>
      </c>
    </row>
    <row r="62" spans="1:9" ht="13.8" thickBot="1">
      <c r="A62" s="223"/>
    </row>
    <row r="63" spans="1:9" ht="14.4" thickBot="1">
      <c r="B63" s="2278" t="s">
        <v>1643</v>
      </c>
      <c r="C63" s="2279"/>
      <c r="D63" s="2279"/>
      <c r="E63" s="2280"/>
      <c r="F63" s="1981">
        <f>SUM(F61,F54)</f>
        <v>0</v>
      </c>
      <c r="G63" s="1982">
        <f>SUM(G61,G54)</f>
        <v>0</v>
      </c>
      <c r="I63" s="1983"/>
    </row>
  </sheetData>
  <mergeCells count="9">
    <mergeCell ref="B63:E63"/>
    <mergeCell ref="B55:B60"/>
    <mergeCell ref="B50:B53"/>
    <mergeCell ref="B46:E46"/>
    <mergeCell ref="B4:B11"/>
    <mergeCell ref="B35:B44"/>
    <mergeCell ref="B27:B32"/>
    <mergeCell ref="B20:B25"/>
    <mergeCell ref="B13:B18"/>
  </mergeCells>
  <pageMargins left="0.7" right="0.7" top="0.75" bottom="0.75" header="0.3" footer="0.3"/>
  <pageSetup scale="41"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88B63-66F1-4615-A7B2-0CA65E314462}">
  <sheetPr codeName="Sheet33">
    <tabColor theme="3" tint="0.59999389629810485"/>
  </sheetPr>
  <dimension ref="A1:AC162"/>
  <sheetViews>
    <sheetView showGridLines="0" topLeftCell="A73" workbookViewId="0">
      <selection activeCell="O88" sqref="O88"/>
    </sheetView>
  </sheetViews>
  <sheetFormatPr defaultColWidth="0" defaultRowHeight="13.2"/>
  <cols>
    <col min="1" max="1" width="51.44140625" customWidth="1"/>
    <col min="2" max="2" width="12.6640625" customWidth="1"/>
    <col min="3" max="5" width="9.109375" hidden="1" customWidth="1"/>
    <col min="6" max="6" width="15" customWidth="1"/>
    <col min="7" max="7" width="27.109375" customWidth="1"/>
    <col min="8" max="8" width="38.33203125" customWidth="1"/>
    <col min="9" max="9" width="15.88671875" customWidth="1"/>
    <col min="10" max="10" width="66.109375" hidden="1" customWidth="1"/>
    <col min="11" max="13" width="9.109375" hidden="1" customWidth="1"/>
    <col min="14" max="14" width="14.44140625" customWidth="1"/>
    <col min="15" max="15" width="10.44140625" customWidth="1"/>
    <col min="16" max="16" width="24.33203125" customWidth="1"/>
    <col min="17" max="17" width="24.33203125" hidden="1" customWidth="1"/>
    <col min="18" max="18" width="10.109375" hidden="1" customWidth="1"/>
    <col min="19" max="19" width="10" hidden="1" customWidth="1"/>
    <col min="20" max="20" width="11.109375" hidden="1" customWidth="1"/>
    <col min="21" max="21" width="19.109375" hidden="1" customWidth="1"/>
    <col min="22" max="22" width="23.6640625" hidden="1" customWidth="1"/>
    <col min="23" max="23" width="16.5546875" hidden="1" customWidth="1"/>
    <col min="24" max="24" width="8.6640625" hidden="1" customWidth="1"/>
    <col min="25" max="16384" width="9.109375" hidden="1"/>
  </cols>
  <sheetData>
    <row r="1" spans="1:29" hidden="1"/>
    <row r="2" spans="1:29" hidden="1"/>
    <row r="3" spans="1:29" ht="13.8" hidden="1" thickBot="1"/>
    <row r="4" spans="1:29" ht="40.200000000000003">
      <c r="A4" s="816" t="s">
        <v>2</v>
      </c>
      <c r="B4" s="818" t="str">
        <f>IF('1.GeneralProjectInfo'!$D$3&lt;&gt;"",'1.GeneralProjectInfo'!$D$3,"")</f>
        <v/>
      </c>
      <c r="C4" s="8"/>
      <c r="D4" s="1241" t="str">
        <f>IF(AND('1.GeneralProjectInfo'!$E$58&gt;0,'1.GeneralProjectInfo'!$E$66&gt;0),"LOSP and S+C Units","LOSP Units")</f>
        <v>LOSP Units</v>
      </c>
      <c r="E4" s="1241" t="str">
        <f>IF(AND('1.GeneralProjectInfo'!$E$58&gt;0,'1.GeneralProjectInfo'!$E$66&gt;0),"Non-LOSP Units","Non-LOSP Units")</f>
        <v>Non-LOSP Units</v>
      </c>
      <c r="F4" s="16"/>
      <c r="G4" s="816" t="s">
        <v>65</v>
      </c>
      <c r="H4" s="2327" t="str">
        <f>IF('1.GeneralProjectInfo'!$A$13&lt;&gt;"",'1.GeneralProjectInfo'!$A$13,"")</f>
        <v/>
      </c>
      <c r="I4" s="2327"/>
      <c r="J4" s="5"/>
      <c r="K4" s="5"/>
      <c r="L4" s="5"/>
      <c r="M4" s="5"/>
      <c r="N4" s="5"/>
      <c r="O4" s="5"/>
      <c r="P4" s="5"/>
      <c r="Q4" s="5"/>
      <c r="R4" s="5"/>
      <c r="S4" s="5"/>
      <c r="T4" s="5"/>
      <c r="U4" s="5"/>
      <c r="V4" s="458" t="s">
        <v>430</v>
      </c>
      <c r="W4" s="459" t="e">
        <f ca="1">V28</f>
        <v>#REF!</v>
      </c>
      <c r="X4" s="464" t="e">
        <f ca="1">IF(W4&lt;0,"1st Yr Income is LESS than Income from last AMR","1st Yr Income is MORE than Income from last AMR")</f>
        <v>#REF!</v>
      </c>
      <c r="Y4" s="460"/>
      <c r="Z4" s="466"/>
      <c r="AA4" s="466"/>
      <c r="AB4" s="466"/>
      <c r="AC4" s="460"/>
    </row>
    <row r="5" spans="1:29" ht="16.2" thickBot="1">
      <c r="A5" s="816" t="s">
        <v>997</v>
      </c>
      <c r="B5" s="817">
        <f>'1.GeneralProjectInfo'!$A$17</f>
        <v>0</v>
      </c>
      <c r="C5" s="118" t="s">
        <v>56</v>
      </c>
      <c r="D5" s="747">
        <f>IF(AND('1.GeneralProjectInfo'!$E$58&gt;0,'1.GeneralProjectInfo'!$E$66&gt;0),'1.GeneralProjectInfo'!$E$58+'1.GeneralProjectInfo'!$E$66,'1.GeneralProjectInfo'!E58)</f>
        <v>0</v>
      </c>
      <c r="E5" s="748">
        <f>B5-D5</f>
        <v>0</v>
      </c>
      <c r="F5" s="16"/>
      <c r="G5" s="816" t="s">
        <v>66</v>
      </c>
      <c r="H5" s="2327" t="str">
        <f>IF('1.GeneralProjectInfo'!$E$13&lt;&gt;"",CONCATENATE('1.GeneralProjectInfo'!$E$13," ",'1.GeneralProjectInfo'!$G$13," ",'1.GeneralProjectInfo'!$I$13),"")</f>
        <v/>
      </c>
      <c r="I5" s="2327"/>
      <c r="J5" s="5"/>
      <c r="K5" s="5"/>
      <c r="L5" s="5"/>
      <c r="M5" s="5"/>
      <c r="N5" s="5"/>
      <c r="O5" s="5"/>
      <c r="P5" s="5"/>
      <c r="Q5" s="5"/>
      <c r="R5" s="5"/>
      <c r="S5" s="5"/>
      <c r="T5" s="5"/>
      <c r="U5" s="5"/>
      <c r="V5" s="461" t="s">
        <v>431</v>
      </c>
      <c r="W5" s="462" t="e">
        <f ca="1">V83</f>
        <v>#REF!</v>
      </c>
      <c r="X5" s="465" t="e">
        <f ca="1">IF(W5&lt;0,"1st Yr Expenses is LESS than Income from last AMR","1st Yr Expenses is MORE than Income from last AMR")</f>
        <v>#REF!</v>
      </c>
      <c r="Y5" s="463"/>
      <c r="Z5" s="467"/>
      <c r="AA5" s="467"/>
      <c r="AB5" s="467"/>
      <c r="AC5" s="463"/>
    </row>
    <row r="6" spans="1:29" ht="28.2">
      <c r="A6" s="746" t="s">
        <v>591</v>
      </c>
      <c r="B6" s="816" t="str">
        <f>IF('1.GeneralProjectInfo'!$D$4&lt;&gt;"",'1.GeneralProjectInfo'!$D$4,"")</f>
        <v/>
      </c>
      <c r="C6" s="5"/>
      <c r="D6" s="2328" t="s">
        <v>699</v>
      </c>
      <c r="E6" s="2328"/>
      <c r="F6" s="16"/>
      <c r="G6" s="816" t="s">
        <v>59</v>
      </c>
      <c r="H6" s="2327" t="str">
        <f>IF('1.GeneralProjectInfo'!$D$19&lt;&gt;"",'1.GeneralProjectInfo'!$D$19,"")</f>
        <v/>
      </c>
      <c r="I6" s="2327"/>
      <c r="J6" s="5"/>
      <c r="K6" s="5"/>
      <c r="L6" s="5"/>
      <c r="M6" s="5"/>
      <c r="N6" s="5"/>
      <c r="O6" s="5"/>
      <c r="P6" s="5"/>
      <c r="Q6" s="5"/>
      <c r="R6" s="5"/>
      <c r="S6" s="5"/>
      <c r="T6" s="5"/>
      <c r="U6" s="2326" t="str">
        <f>"Most Current AMR Data 
(RY "&amp;'Fiscal Staging Area'!$B$4&amp;")"</f>
        <v>Most Current AMR Data 
(RY )</v>
      </c>
      <c r="V6" s="5"/>
      <c r="W6" s="5"/>
      <c r="X6" s="456"/>
      <c r="Y6" s="5"/>
      <c r="Z6" s="5"/>
      <c r="AA6" s="5"/>
      <c r="AB6" s="5"/>
      <c r="AC6" s="5"/>
    </row>
    <row r="7" spans="1:29" ht="15" customHeight="1">
      <c r="A7" s="74" t="str">
        <f>IF(SmallSites=TRUE,"Small Sites Project","")</f>
        <v/>
      </c>
      <c r="B7" s="256"/>
      <c r="C7" s="119"/>
      <c r="D7" s="750">
        <f>ROUND(IF(D5&gt;0, D5/B5, 0),2)</f>
        <v>0</v>
      </c>
      <c r="E7" s="749">
        <f>IF(E5&lt;&gt;0, 1-D7, 0)</f>
        <v>0</v>
      </c>
      <c r="F7" s="5"/>
      <c r="G7" s="332" t="str">
        <f>IF(OR('3a.NewProj-Rent&amp;UnitMix'!$C$9="TCAC",'3a.NewProj-Rent&amp;UnitMix'!$C$19="TCAC",'3a.NewProj-Rent&amp;UnitMix'!$C$29="TCAC",'3a.NewProj-Rent&amp;UnitMix'!$C$39="TCAC"),"TCAC Income Limits In Use!","")</f>
        <v/>
      </c>
      <c r="H7" s="5"/>
      <c r="I7" s="389" t="str">
        <f>IF(SUM($S$100:$S$157)&gt;0,"Correct errors noted in Col N!","")</f>
        <v>Correct errors noted in Col N!</v>
      </c>
      <c r="J7" s="27"/>
      <c r="K7" s="27"/>
      <c r="L7" s="27"/>
      <c r="M7" s="27"/>
      <c r="N7" s="5"/>
      <c r="O7" s="27"/>
      <c r="P7" s="27"/>
      <c r="Q7" s="27"/>
      <c r="R7" s="5"/>
      <c r="S7" s="145" t="s">
        <v>281</v>
      </c>
      <c r="T7" s="145"/>
      <c r="U7" s="2326"/>
      <c r="V7" s="2326" t="s">
        <v>1242</v>
      </c>
      <c r="W7" s="2326" t="s">
        <v>428</v>
      </c>
      <c r="X7" s="456"/>
      <c r="Y7" s="5"/>
      <c r="Z7" s="5"/>
      <c r="AA7" s="5"/>
      <c r="AB7" s="5"/>
      <c r="AC7" s="5"/>
    </row>
    <row r="8" spans="1:29" ht="13.8">
      <c r="A8" s="711" t="s">
        <v>60</v>
      </c>
      <c r="B8" s="319"/>
      <c r="C8" s="120"/>
      <c r="D8" s="120" t="s">
        <v>319</v>
      </c>
      <c r="E8" s="120" t="s">
        <v>610</v>
      </c>
      <c r="F8" s="121" t="s">
        <v>117</v>
      </c>
      <c r="G8" s="122" t="s">
        <v>0</v>
      </c>
      <c r="H8" s="123"/>
      <c r="I8" s="123"/>
      <c r="J8" s="27"/>
      <c r="K8" s="27"/>
      <c r="L8" s="27"/>
      <c r="M8" s="27"/>
      <c r="N8" s="27" t="s">
        <v>590</v>
      </c>
      <c r="O8" s="27" t="s">
        <v>870</v>
      </c>
      <c r="P8" s="27"/>
      <c r="Q8" s="27"/>
      <c r="R8" s="5"/>
      <c r="S8" s="10"/>
      <c r="T8" s="5"/>
      <c r="U8" s="2326"/>
      <c r="V8" s="2326"/>
      <c r="W8" s="2326"/>
      <c r="X8" s="456"/>
      <c r="Y8" s="6" t="s">
        <v>342</v>
      </c>
      <c r="Z8" s="5"/>
      <c r="AA8" s="5"/>
      <c r="AB8" s="5"/>
      <c r="AC8" s="5"/>
    </row>
    <row r="9" spans="1:29" ht="15" customHeight="1">
      <c r="A9" s="2288" t="s">
        <v>9</v>
      </c>
      <c r="B9" s="2289"/>
      <c r="C9" s="124">
        <v>5120</v>
      </c>
      <c r="D9" s="292"/>
      <c r="E9" s="291">
        <f>F9-D9</f>
        <v>0</v>
      </c>
      <c r="F9" s="302">
        <f>IF(AND('1.GeneralProjectInfo'!$N$8=TRUE,'1.GeneralProjectInfo'!$N$9=FALSE,SmallSites=FALSE),'3a.NewProj-Rent&amp;UnitMix'!$O$151,IF(AND('1.GeneralProjectInfo'!$N$8=FALSE,'1.GeneralProjectInfo'!$N$9=TRUE,SmallSites=FALSE),'3b.ExistingProj-RentRoll'!$AF$7,IF(SmallSites=TRUE,'3b.ExistingProj-RentRoll'!AM8,0)))</f>
        <v>0</v>
      </c>
      <c r="G9" s="2302" t="str">
        <f>IF('1.GeneralProjectInfo'!$N$8+'1.GeneralProjectInfo'!$N$9=0,"",IF('1.GeneralProjectInfo'!$N$8=TRUE,"Links from 'New Proj - Rent &amp; Unit Mix' Worksheet",IF('1.GeneralProjectInfo'!$N$9=TRUE,"Links from 'Existing Proj - Rent Info' Worksheet")))</f>
        <v>Links from 'New Proj - Rent &amp; Unit Mix' Worksheet</v>
      </c>
      <c r="H9" s="2303"/>
      <c r="I9" s="2304"/>
      <c r="J9" s="734" t="s">
        <v>695</v>
      </c>
      <c r="K9" s="734"/>
      <c r="L9" s="734" t="s">
        <v>610</v>
      </c>
      <c r="M9" s="735" t="s">
        <v>696</v>
      </c>
      <c r="N9" s="394" t="str">
        <f>IFERROR(ROUND($F9/$B$5,0),"")</f>
        <v/>
      </c>
      <c r="O9" s="394" t="str">
        <f>IFERROR(ROUND($F9/$B$5/12,0),"")</f>
        <v/>
      </c>
      <c r="P9" s="726"/>
      <c r="Q9" s="726"/>
      <c r="R9" s="5"/>
      <c r="S9" s="5"/>
      <c r="T9" s="5"/>
      <c r="U9" s="125" t="e">
        <f t="shared" ref="U9:U20" ca="1" si="0">HLOOKUP(Y9,CYAMR,2,FALSE)</f>
        <v>#REF!</v>
      </c>
      <c r="V9" s="125" t="e">
        <f ca="1">F9-U9</f>
        <v>#REF!</v>
      </c>
      <c r="W9" s="457" t="e">
        <f ca="1">(F9-U9)/U9</f>
        <v>#REF!</v>
      </c>
      <c r="X9" s="457"/>
      <c r="Y9" s="413" t="s">
        <v>329</v>
      </c>
      <c r="Z9" s="5"/>
      <c r="AA9" s="5"/>
      <c r="AB9" s="5"/>
      <c r="AC9" s="5"/>
    </row>
    <row r="10" spans="1:29" ht="15" customHeight="1">
      <c r="A10" s="2052" t="s">
        <v>1660</v>
      </c>
      <c r="B10" s="2053"/>
      <c r="C10" s="124"/>
      <c r="D10" s="775"/>
      <c r="E10" s="302">
        <f>SOS!F6</f>
        <v>0</v>
      </c>
      <c r="F10" s="302">
        <f>E10</f>
        <v>0</v>
      </c>
      <c r="G10" s="2302" t="str">
        <f>G8</f>
        <v>Comments</v>
      </c>
      <c r="H10" s="2303"/>
      <c r="I10" s="2304"/>
      <c r="J10" s="734"/>
      <c r="K10" s="734"/>
      <c r="L10" s="734"/>
      <c r="M10" s="735"/>
      <c r="N10" s="394"/>
      <c r="O10" s="394"/>
      <c r="P10" s="726"/>
      <c r="Q10" s="726"/>
      <c r="R10" s="5"/>
      <c r="S10" s="5"/>
      <c r="T10" s="5"/>
      <c r="U10" s="125"/>
      <c r="V10" s="125"/>
      <c r="W10" s="457"/>
      <c r="X10" s="457"/>
      <c r="Y10" s="413"/>
      <c r="Z10" s="5"/>
      <c r="AA10" s="5"/>
      <c r="AB10" s="5"/>
      <c r="AC10" s="5"/>
    </row>
    <row r="11" spans="1:29" ht="15" customHeight="1">
      <c r="A11" s="2288" t="s">
        <v>1661</v>
      </c>
      <c r="B11" s="2289"/>
      <c r="C11" s="124"/>
      <c r="D11" s="775"/>
      <c r="E11" s="302">
        <f>IF(AND('1.GeneralProjectInfo'!$N$8=TRUE,'1.GeneralProjectInfo'!$N$9=FALSE),'3a.NewProj-Rent&amp;UnitMix'!O155*12,IF(AND('1.GeneralProjectInfo'!$N$8=FALSE,'1.GeneralProjectInfo'!$N$9=TRUE),'3b.ExistingProj-RentRoll'!$K$8,0))</f>
        <v>0</v>
      </c>
      <c r="F11" s="302">
        <f>E11</f>
        <v>0</v>
      </c>
      <c r="G11" s="2302" t="str">
        <f>G9</f>
        <v>Links from 'New Proj - Rent &amp; Unit Mix' Worksheet</v>
      </c>
      <c r="H11" s="2303"/>
      <c r="I11" s="2304"/>
      <c r="J11" s="735" t="str">
        <f>A11</f>
        <v>Residential - Tenant Assistance Payments (Other Non-LOSP)</v>
      </c>
      <c r="K11" s="760"/>
      <c r="L11" s="729" t="str">
        <f>IF(K11&lt;&gt;"", 1-K11, "")</f>
        <v/>
      </c>
      <c r="M11" s="736"/>
      <c r="N11" s="754" t="str">
        <f>IFERROR(ROUND($F11/$B$5,0),"")</f>
        <v/>
      </c>
      <c r="O11" s="394" t="str">
        <f>IFERROR(ROUND($F11/$B$5/12,0),"")</f>
        <v/>
      </c>
      <c r="P11" s="727"/>
      <c r="Q11" s="727"/>
      <c r="R11" s="5"/>
      <c r="S11" s="5"/>
      <c r="T11" s="5"/>
      <c r="U11" s="125" t="e">
        <f t="shared" ca="1" si="0"/>
        <v>#REF!</v>
      </c>
      <c r="V11" s="125" t="e">
        <f t="shared" ref="V11:V74" ca="1" si="1">F11-U11</f>
        <v>#REF!</v>
      </c>
      <c r="W11" s="457" t="e">
        <f ca="1">(F11-U11)/U11</f>
        <v>#REF!</v>
      </c>
      <c r="X11" s="457"/>
      <c r="Y11" s="413" t="s">
        <v>330</v>
      </c>
      <c r="Z11" s="5"/>
      <c r="AA11" s="5"/>
      <c r="AB11" s="5"/>
      <c r="AC11" s="5"/>
    </row>
    <row r="12" spans="1:29" ht="49.5" customHeight="1">
      <c r="A12" s="2288" t="s">
        <v>740</v>
      </c>
      <c r="B12" s="2289"/>
      <c r="C12" s="811"/>
      <c r="D12" s="2049">
        <f>IFERROR(IF(-(SUM(D9:D11,D14:D20,D22,D25:D26,D111)-SUM(D83,D93,D105,D124))&gt;0,-(SUM(D9:D11,D14:D20,D22,D25:D26,D111)-SUM(D83,D93,D105,D124)),0),0)</f>
        <v>0</v>
      </c>
      <c r="E12" s="775"/>
      <c r="F12" s="302">
        <f>D12</f>
        <v>0</v>
      </c>
      <c r="G12" s="2305"/>
      <c r="H12" s="2306"/>
      <c r="I12" s="2307"/>
      <c r="J12" s="157"/>
      <c r="K12" s="730"/>
      <c r="L12" s="731"/>
      <c r="M12" s="223"/>
      <c r="N12" s="754" t="str">
        <f>IFERROR(ROUND($D12/$D$5,0),"")</f>
        <v/>
      </c>
      <c r="O12" s="727"/>
      <c r="P12" s="727"/>
      <c r="Q12" s="727"/>
      <c r="R12" s="5"/>
      <c r="S12" s="5"/>
      <c r="T12" s="5"/>
      <c r="U12" s="2325" t="s">
        <v>1728</v>
      </c>
      <c r="V12" s="2325"/>
      <c r="W12" s="2325"/>
      <c r="X12" s="2325"/>
      <c r="Y12" s="2325"/>
      <c r="Z12" s="2325"/>
      <c r="AA12" s="2325"/>
      <c r="AB12" s="5"/>
      <c r="AC12" s="5"/>
    </row>
    <row r="13" spans="1:29" ht="15" customHeight="1">
      <c r="A13" s="2288" t="s">
        <v>15</v>
      </c>
      <c r="B13" s="2289"/>
      <c r="C13" s="124">
        <v>5140</v>
      </c>
      <c r="D13" s="775"/>
      <c r="E13" s="775"/>
      <c r="F13" s="302">
        <f>SUM('5.CommOp.Budget'!$E$7:$E$11)*'5.CommOp.Budget'!$C$2</f>
        <v>0</v>
      </c>
      <c r="G13" s="2317" t="str">
        <f>"from 'Commercial Op. Budget' Worksheet; Commercial to Residential allocation: "&amp; '5.CommOp.Budget'!$C$2 *100 &amp;"%"</f>
        <v>from 'Commercial Op. Budget' Worksheet; Commercial to Residential allocation: 100%</v>
      </c>
      <c r="H13" s="2318"/>
      <c r="I13" s="2319"/>
      <c r="J13" s="394"/>
      <c r="K13" s="394"/>
      <c r="L13" s="394"/>
      <c r="M13" s="394"/>
      <c r="N13" s="394" t="str">
        <f t="shared" ref="N13:N22" si="2">IFERROR(ROUND($F13/$B$5,0),"")</f>
        <v/>
      </c>
      <c r="O13" s="394"/>
      <c r="P13" s="394"/>
      <c r="Q13" s="394"/>
      <c r="R13" s="5"/>
      <c r="S13" s="5"/>
      <c r="T13" s="5"/>
      <c r="U13" s="125" t="e">
        <f t="shared" ca="1" si="0"/>
        <v>#REF!</v>
      </c>
      <c r="V13" s="125" t="e">
        <f t="shared" ca="1" si="1"/>
        <v>#REF!</v>
      </c>
      <c r="W13" s="457" t="e">
        <f t="shared" ref="W13:W21" ca="1" si="3">(F13-U13)/U13</f>
        <v>#REF!</v>
      </c>
      <c r="X13" s="457"/>
      <c r="Y13" s="413" t="s">
        <v>331</v>
      </c>
      <c r="Z13" s="5"/>
      <c r="AA13" s="5"/>
      <c r="AB13" s="5"/>
      <c r="AC13" s="5"/>
    </row>
    <row r="14" spans="1:29" ht="15" customHeight="1">
      <c r="A14" s="2288" t="s">
        <v>176</v>
      </c>
      <c r="B14" s="2289"/>
      <c r="C14" s="124">
        <v>5170</v>
      </c>
      <c r="D14" s="291">
        <f>$D$7*F14</f>
        <v>0</v>
      </c>
      <c r="E14" s="302">
        <f t="shared" ref="E14:E20" si="4">F14-D14</f>
        <v>0</v>
      </c>
      <c r="F14" s="302">
        <f>'2.Utilities&amp;OtherIncome'!$E$22</f>
        <v>0</v>
      </c>
      <c r="G14" s="2305" t="s">
        <v>700</v>
      </c>
      <c r="H14" s="2306"/>
      <c r="I14" s="2307"/>
      <c r="J14" s="394"/>
      <c r="K14" s="394"/>
      <c r="L14" s="394"/>
      <c r="M14" s="394"/>
      <c r="N14" s="394" t="str">
        <f t="shared" si="2"/>
        <v/>
      </c>
      <c r="O14" s="394"/>
      <c r="P14" s="394"/>
      <c r="Q14" s="394"/>
      <c r="R14" s="5"/>
      <c r="S14" s="5"/>
      <c r="T14" s="5"/>
      <c r="U14" s="125" t="e">
        <f t="shared" ca="1" si="0"/>
        <v>#REF!</v>
      </c>
      <c r="V14" s="125" t="e">
        <f t="shared" ca="1" si="1"/>
        <v>#REF!</v>
      </c>
      <c r="W14" s="457" t="e">
        <f t="shared" ca="1" si="3"/>
        <v>#REF!</v>
      </c>
      <c r="X14" s="457"/>
      <c r="Y14" s="413" t="s">
        <v>332</v>
      </c>
      <c r="Z14" s="5"/>
      <c r="AA14" s="5"/>
      <c r="AB14" s="5"/>
      <c r="AC14" s="5"/>
    </row>
    <row r="15" spans="1:29" ht="15" customHeight="1">
      <c r="A15" s="2288" t="s">
        <v>10</v>
      </c>
      <c r="B15" s="2289"/>
      <c r="C15" s="124">
        <v>5190</v>
      </c>
      <c r="D15" s="291">
        <f t="shared" ref="D15:D20" si="5">$D$7*F15</f>
        <v>0</v>
      </c>
      <c r="E15" s="302">
        <f t="shared" si="4"/>
        <v>0</v>
      </c>
      <c r="F15" s="302">
        <f>'2.Utilities&amp;OtherIncome'!$E$33</f>
        <v>0</v>
      </c>
      <c r="G15" s="2305" t="s">
        <v>700</v>
      </c>
      <c r="H15" s="2306"/>
      <c r="I15" s="2307"/>
      <c r="J15" s="734" t="s">
        <v>695</v>
      </c>
      <c r="K15" s="734"/>
      <c r="L15" s="734" t="s">
        <v>610</v>
      </c>
      <c r="M15" s="735" t="s">
        <v>696</v>
      </c>
      <c r="N15" s="394" t="str">
        <f t="shared" si="2"/>
        <v/>
      </c>
      <c r="O15" s="394"/>
      <c r="P15" s="394"/>
      <c r="Q15" s="394"/>
      <c r="R15" s="5"/>
      <c r="S15" s="5"/>
      <c r="T15" s="5"/>
      <c r="U15" s="125" t="e">
        <f t="shared" ca="1" si="0"/>
        <v>#REF!</v>
      </c>
      <c r="V15" s="125" t="e">
        <f t="shared" ca="1" si="1"/>
        <v>#REF!</v>
      </c>
      <c r="W15" s="457" t="e">
        <f t="shared" ca="1" si="3"/>
        <v>#REF!</v>
      </c>
      <c r="X15" s="457"/>
      <c r="Y15" s="413" t="s">
        <v>333</v>
      </c>
      <c r="Z15" s="5"/>
      <c r="AA15" s="5"/>
      <c r="AB15" s="5"/>
      <c r="AC15" s="5"/>
    </row>
    <row r="16" spans="1:29" ht="15" customHeight="1">
      <c r="A16" s="2288" t="s">
        <v>11</v>
      </c>
      <c r="B16" s="2289"/>
      <c r="C16" s="124">
        <v>5300</v>
      </c>
      <c r="D16" s="291">
        <f>IF(K16&lt;&gt;"",K16*F16,$D$7*F16)</f>
        <v>0</v>
      </c>
      <c r="E16" s="302">
        <f t="shared" si="4"/>
        <v>0</v>
      </c>
      <c r="F16" s="364"/>
      <c r="G16" s="2305"/>
      <c r="H16" s="2306"/>
      <c r="I16" s="2307"/>
      <c r="J16" s="905" t="str">
        <f>A16</f>
        <v>Supportive Services Income</v>
      </c>
      <c r="K16" s="760"/>
      <c r="L16" s="729" t="str">
        <f>IF(K16&lt;&gt;"", 1-K16, "")</f>
        <v/>
      </c>
      <c r="M16" s="736"/>
      <c r="N16" s="394" t="str">
        <f t="shared" si="2"/>
        <v/>
      </c>
      <c r="O16" s="394"/>
      <c r="P16" s="394"/>
      <c r="Q16" s="394"/>
      <c r="R16" s="5"/>
      <c r="S16" s="5"/>
      <c r="T16" s="5"/>
      <c r="U16" s="125" t="e">
        <f t="shared" ca="1" si="0"/>
        <v>#REF!</v>
      </c>
      <c r="V16" s="125" t="e">
        <f t="shared" ca="1" si="1"/>
        <v>#REF!</v>
      </c>
      <c r="W16" s="457" t="e">
        <f t="shared" ca="1" si="3"/>
        <v>#REF!</v>
      </c>
      <c r="X16" s="457"/>
      <c r="Y16" s="413" t="s">
        <v>334</v>
      </c>
      <c r="Z16" s="5"/>
      <c r="AA16" s="5"/>
      <c r="AB16" s="5"/>
      <c r="AC16" s="5"/>
    </row>
    <row r="17" spans="1:29" ht="15" customHeight="1">
      <c r="A17" s="2288" t="s">
        <v>12</v>
      </c>
      <c r="B17" s="2289"/>
      <c r="C17" s="124">
        <v>5400</v>
      </c>
      <c r="D17" s="291">
        <f t="shared" si="5"/>
        <v>0</v>
      </c>
      <c r="E17" s="302">
        <f t="shared" si="4"/>
        <v>0</v>
      </c>
      <c r="F17" s="302">
        <f>'2.Utilities&amp;OtherIncome'!$E$48</f>
        <v>0</v>
      </c>
      <c r="G17" s="2305" t="s">
        <v>700</v>
      </c>
      <c r="H17" s="2306"/>
      <c r="I17" s="2307"/>
      <c r="J17" s="394"/>
      <c r="K17" s="394"/>
      <c r="L17" s="394"/>
      <c r="M17" s="394"/>
      <c r="N17" s="394" t="str">
        <f t="shared" si="2"/>
        <v/>
      </c>
      <c r="O17" s="394"/>
      <c r="P17" s="394"/>
      <c r="Q17" s="394"/>
      <c r="R17" s="5"/>
      <c r="S17" s="5"/>
      <c r="T17" s="5"/>
      <c r="U17" s="125" t="e">
        <f t="shared" ca="1" si="0"/>
        <v>#REF!</v>
      </c>
      <c r="V17" s="125" t="e">
        <f t="shared" ca="1" si="1"/>
        <v>#REF!</v>
      </c>
      <c r="W17" s="457" t="e">
        <f t="shared" ca="1" si="3"/>
        <v>#REF!</v>
      </c>
      <c r="X17" s="457"/>
      <c r="Y17" s="413" t="s">
        <v>335</v>
      </c>
      <c r="Z17" s="5"/>
      <c r="AA17" s="5"/>
      <c r="AB17" s="5"/>
      <c r="AC17" s="5"/>
    </row>
    <row r="18" spans="1:29" ht="15" customHeight="1">
      <c r="A18" s="2288" t="s">
        <v>13</v>
      </c>
      <c r="B18" s="2289"/>
      <c r="C18" s="124">
        <v>5910</v>
      </c>
      <c r="D18" s="291">
        <f t="shared" si="5"/>
        <v>0</v>
      </c>
      <c r="E18" s="302">
        <f t="shared" si="4"/>
        <v>0</v>
      </c>
      <c r="F18" s="302">
        <f>'2.Utilities&amp;OtherIncome'!$E$38</f>
        <v>0</v>
      </c>
      <c r="G18" s="2305" t="s">
        <v>700</v>
      </c>
      <c r="H18" s="2306"/>
      <c r="I18" s="2307"/>
      <c r="J18" s="737" t="s">
        <v>697</v>
      </c>
      <c r="K18" s="737" t="s">
        <v>319</v>
      </c>
      <c r="L18" s="738" t="s">
        <v>610</v>
      </c>
      <c r="M18" s="2322" t="s">
        <v>698</v>
      </c>
      <c r="N18" s="394" t="str">
        <f t="shared" si="2"/>
        <v/>
      </c>
      <c r="O18" s="728"/>
      <c r="P18" s="728"/>
      <c r="Q18" s="728"/>
      <c r="R18" s="728"/>
      <c r="S18" s="5"/>
      <c r="T18" s="5"/>
      <c r="U18" s="125" t="e">
        <f t="shared" ca="1" si="0"/>
        <v>#REF!</v>
      </c>
      <c r="V18" s="125" t="e">
        <f t="shared" ca="1" si="1"/>
        <v>#REF!</v>
      </c>
      <c r="W18" s="457" t="e">
        <f t="shared" ca="1" si="3"/>
        <v>#REF!</v>
      </c>
      <c r="X18" s="457"/>
      <c r="Y18" s="413" t="s">
        <v>336</v>
      </c>
      <c r="Z18" s="5"/>
      <c r="AA18" s="5"/>
      <c r="AB18" s="5"/>
      <c r="AC18" s="5"/>
    </row>
    <row r="19" spans="1:29" ht="15" customHeight="1">
      <c r="A19" s="2288" t="s">
        <v>14</v>
      </c>
      <c r="B19" s="2289"/>
      <c r="C19" s="124">
        <v>5920</v>
      </c>
      <c r="D19" s="292">
        <f t="shared" si="5"/>
        <v>0</v>
      </c>
      <c r="E19" s="302">
        <f t="shared" si="4"/>
        <v>0</v>
      </c>
      <c r="F19" s="302">
        <f>'2.Utilities&amp;OtherIncome'!$L$25</f>
        <v>0</v>
      </c>
      <c r="G19" s="2305" t="s">
        <v>700</v>
      </c>
      <c r="H19" s="2306"/>
      <c r="I19" s="2307"/>
      <c r="J19" s="739" t="str">
        <f>A19</f>
        <v>Tenant Charges</v>
      </c>
      <c r="K19" s="732" t="str">
        <f>IF(F19&lt;&gt;0,D19/F19,"")</f>
        <v/>
      </c>
      <c r="L19" s="732" t="str">
        <f>IF(F19&lt;&gt;0,1-K19,"")</f>
        <v/>
      </c>
      <c r="M19" s="2323"/>
      <c r="N19" s="394" t="str">
        <f t="shared" si="2"/>
        <v/>
      </c>
      <c r="O19" s="728"/>
      <c r="P19" s="728"/>
      <c r="Q19" s="728"/>
      <c r="R19" s="728"/>
      <c r="S19" s="5"/>
      <c r="T19" s="5"/>
      <c r="U19" s="125" t="e">
        <f t="shared" ca="1" si="0"/>
        <v>#REF!</v>
      </c>
      <c r="V19" s="125" t="e">
        <f t="shared" ca="1" si="1"/>
        <v>#REF!</v>
      </c>
      <c r="W19" s="457" t="e">
        <f t="shared" ca="1" si="3"/>
        <v>#REF!</v>
      </c>
      <c r="X19" s="457"/>
      <c r="Y19" s="413" t="s">
        <v>337</v>
      </c>
      <c r="Z19" s="5"/>
      <c r="AA19" s="5"/>
      <c r="AB19" s="5"/>
      <c r="AC19" s="5"/>
    </row>
    <row r="20" spans="1:29" ht="15" customHeight="1">
      <c r="A20" s="2288" t="s">
        <v>188</v>
      </c>
      <c r="B20" s="2289"/>
      <c r="C20" s="124">
        <v>5990</v>
      </c>
      <c r="D20" s="291">
        <f t="shared" si="5"/>
        <v>0</v>
      </c>
      <c r="E20" s="302">
        <f t="shared" si="4"/>
        <v>0</v>
      </c>
      <c r="F20" s="302">
        <f>'2.Utilities&amp;OtherIncome'!$L$38</f>
        <v>0</v>
      </c>
      <c r="G20" s="2305" t="s">
        <v>700</v>
      </c>
      <c r="H20" s="2306"/>
      <c r="I20" s="2307"/>
      <c r="J20" s="394"/>
      <c r="K20" s="394"/>
      <c r="L20" s="394"/>
      <c r="M20" s="394"/>
      <c r="N20" s="394" t="str">
        <f t="shared" si="2"/>
        <v/>
      </c>
      <c r="O20" s="394"/>
      <c r="P20" s="394"/>
      <c r="Q20" s="394"/>
      <c r="R20" s="5"/>
      <c r="S20" s="5"/>
      <c r="T20" s="5"/>
      <c r="U20" s="125" t="e">
        <f t="shared" ca="1" si="0"/>
        <v>#REF!</v>
      </c>
      <c r="V20" s="125" t="e">
        <f t="shared" ca="1" si="1"/>
        <v>#REF!</v>
      </c>
      <c r="W20" s="457" t="e">
        <f t="shared" ca="1" si="3"/>
        <v>#REF!</v>
      </c>
      <c r="X20" s="457"/>
      <c r="Y20" s="413" t="s">
        <v>338</v>
      </c>
      <c r="Z20" s="5"/>
      <c r="AA20" s="5"/>
      <c r="AB20" s="5"/>
      <c r="AC20" s="5"/>
    </row>
    <row r="21" spans="1:29" ht="15" customHeight="1">
      <c r="A21" s="2288" t="s">
        <v>184</v>
      </c>
      <c r="B21" s="2289"/>
      <c r="C21" s="124"/>
      <c r="D21" s="775"/>
      <c r="E21" s="775"/>
      <c r="F21" s="293">
        <f>'5.CommOp.Budget'!$E$12*'5.CommOp.Budget'!$C$2</f>
        <v>0</v>
      </c>
      <c r="G21" s="2317" t="str">
        <f>"from 'Commercial Op. Budget' Worksheet; Commercial to Residential allocation: "&amp; '5.CommOp.Budget'!$C$2 *100 &amp;"%"</f>
        <v>from 'Commercial Op. Budget' Worksheet; Commercial to Residential allocation: 100%</v>
      </c>
      <c r="H21" s="2318"/>
      <c r="I21" s="2319"/>
      <c r="J21" s="740" t="s">
        <v>695</v>
      </c>
      <c r="K21" s="740"/>
      <c r="L21" s="740" t="s">
        <v>610</v>
      </c>
      <c r="M21" s="741" t="s">
        <v>696</v>
      </c>
      <c r="N21" s="394" t="str">
        <f t="shared" si="2"/>
        <v/>
      </c>
      <c r="O21" s="394"/>
      <c r="P21" s="394"/>
      <c r="Q21" s="394"/>
      <c r="R21" s="5"/>
      <c r="S21" s="5"/>
      <c r="T21" s="5"/>
      <c r="U21" s="125" t="e">
        <f ca="1">'Fiscal Staging Area'!B9</f>
        <v>#REF!</v>
      </c>
      <c r="V21" s="125" t="e">
        <f t="shared" ca="1" si="1"/>
        <v>#REF!</v>
      </c>
      <c r="W21" s="457" t="e">
        <f t="shared" ca="1" si="3"/>
        <v>#REF!</v>
      </c>
      <c r="X21" s="457"/>
      <c r="Y21" s="454" t="s">
        <v>339</v>
      </c>
      <c r="Z21" s="5"/>
      <c r="AA21" s="5"/>
      <c r="AB21" s="5"/>
      <c r="AC21" s="5"/>
    </row>
    <row r="22" spans="1:29" ht="15" customHeight="1">
      <c r="A22" s="2288" t="s">
        <v>269</v>
      </c>
      <c r="B22" s="2289"/>
      <c r="C22" s="124"/>
      <c r="D22" s="291">
        <f>IF(K22&lt;&gt;"",K22*F22,$D$7*F22)</f>
        <v>0</v>
      </c>
      <c r="E22" s="302">
        <f>F22-D22</f>
        <v>0</v>
      </c>
      <c r="F22" s="364"/>
      <c r="G22" s="2305"/>
      <c r="H22" s="2306"/>
      <c r="I22" s="2307"/>
      <c r="J22" s="741" t="str">
        <f>A22</f>
        <v>Withdrawal from Capitalized Reserve (deposit to operating account)</v>
      </c>
      <c r="K22" s="760"/>
      <c r="L22" s="733" t="str">
        <f>IF(K22&lt;&gt;"", 1-K22, "")</f>
        <v/>
      </c>
      <c r="M22" s="742"/>
      <c r="N22" s="394" t="str">
        <f t="shared" si="2"/>
        <v/>
      </c>
      <c r="O22" s="394"/>
      <c r="P22" s="394"/>
      <c r="Q22" s="394"/>
      <c r="R22" s="5"/>
      <c r="S22" s="5"/>
      <c r="T22" s="5"/>
      <c r="U22" s="5"/>
      <c r="V22" s="5"/>
      <c r="W22" s="5"/>
      <c r="X22" s="5"/>
      <c r="Y22" s="10"/>
      <c r="Z22" s="5"/>
      <c r="AA22" s="5"/>
      <c r="AB22" s="5"/>
      <c r="AC22" s="5"/>
    </row>
    <row r="23" spans="1:29" ht="15" hidden="1" customHeight="1">
      <c r="A23" s="128" t="s">
        <v>304</v>
      </c>
      <c r="B23" s="128"/>
      <c r="C23" s="124"/>
      <c r="D23" s="759"/>
      <c r="E23" s="759"/>
      <c r="F23" s="403" t="s">
        <v>308</v>
      </c>
      <c r="G23" s="401"/>
      <c r="H23" s="401"/>
      <c r="I23" s="402"/>
      <c r="J23" s="394"/>
      <c r="K23" s="394"/>
      <c r="L23" s="394"/>
      <c r="M23" s="394"/>
      <c r="N23" s="394"/>
      <c r="O23" s="394"/>
      <c r="P23" s="394"/>
      <c r="Q23" s="394"/>
      <c r="R23" s="5"/>
      <c r="S23" s="5"/>
      <c r="T23" s="5"/>
      <c r="U23" s="5"/>
      <c r="V23" s="5" t="e">
        <f t="shared" si="1"/>
        <v>#VALUE!</v>
      </c>
      <c r="W23" s="5"/>
      <c r="X23" s="5"/>
      <c r="Y23" s="5"/>
      <c r="Z23" s="5"/>
      <c r="AA23" s="5"/>
      <c r="AB23" s="5"/>
      <c r="AC23" s="5"/>
    </row>
    <row r="24" spans="1:29" ht="15" customHeight="1">
      <c r="A24" s="5"/>
      <c r="B24" s="1082" t="s">
        <v>3</v>
      </c>
      <c r="C24" s="126"/>
      <c r="D24" s="294">
        <f>SUM(D9:D22)</f>
        <v>0</v>
      </c>
      <c r="E24" s="294">
        <f>SUM(E9:E22)</f>
        <v>0</v>
      </c>
      <c r="F24" s="294">
        <f>SUM(F9:F22)</f>
        <v>0</v>
      </c>
      <c r="G24" s="127"/>
      <c r="H24" s="127"/>
      <c r="I24" s="128"/>
      <c r="J24" s="394"/>
      <c r="K24" s="394"/>
      <c r="L24" s="394"/>
      <c r="M24" s="394"/>
      <c r="N24" s="394"/>
      <c r="O24" s="394"/>
      <c r="P24" s="394"/>
      <c r="Q24" s="394"/>
      <c r="R24" s="5"/>
      <c r="S24" s="5"/>
      <c r="T24" s="5"/>
      <c r="U24" s="455" t="e">
        <f ca="1">SUM(U9:U22)</f>
        <v>#REF!</v>
      </c>
      <c r="V24" s="175" t="e">
        <f t="shared" ca="1" si="1"/>
        <v>#REF!</v>
      </c>
      <c r="W24" s="457" t="e">
        <f ca="1">(F24-U24)/U24</f>
        <v>#REF!</v>
      </c>
      <c r="X24" s="457"/>
      <c r="Y24" s="5"/>
      <c r="Z24" s="5"/>
      <c r="AA24" s="5"/>
      <c r="AB24" s="5"/>
      <c r="AC24" s="5"/>
    </row>
    <row r="25" spans="1:29" ht="15" customHeight="1">
      <c r="A25" s="2288" t="s">
        <v>195</v>
      </c>
      <c r="B25" s="2289"/>
      <c r="C25" s="124"/>
      <c r="D25" s="292">
        <f>-0.05*D9</f>
        <v>0</v>
      </c>
      <c r="E25" s="292">
        <f>-0.05*E9</f>
        <v>0</v>
      </c>
      <c r="F25" s="292">
        <f>-0.05*F9</f>
        <v>0</v>
      </c>
      <c r="G25" s="2324" t="str">
        <f>IF($F$9&gt;0,"Vacancy loss is "&amp;ROUND(-F25/F9*100,1)&amp;"% of Tenant Rents.","")</f>
        <v/>
      </c>
      <c r="H25" s="2308"/>
      <c r="I25" s="2309"/>
      <c r="J25" s="394"/>
      <c r="K25" s="394"/>
      <c r="L25" s="394"/>
      <c r="M25" s="394"/>
      <c r="N25" s="394" t="str">
        <f>IFERROR(ROUND($F25/$B$5,0),"")</f>
        <v/>
      </c>
      <c r="O25" s="394"/>
      <c r="P25" s="394"/>
      <c r="Q25" s="394"/>
      <c r="R25" s="5"/>
      <c r="S25" s="5"/>
      <c r="T25" s="5"/>
      <c r="U25" s="125" t="e">
        <f ca="1">HLOOKUP(Y25,CYAMR,2,FALSE)</f>
        <v>#REF!</v>
      </c>
      <c r="V25" s="125" t="e">
        <f t="shared" ca="1" si="1"/>
        <v>#REF!</v>
      </c>
      <c r="W25" s="457" t="e">
        <f ca="1">(F25-U25)/U25</f>
        <v>#REF!</v>
      </c>
      <c r="X25" s="457"/>
      <c r="Y25" s="414" t="s">
        <v>340</v>
      </c>
      <c r="Z25" s="5"/>
      <c r="AA25" s="5"/>
      <c r="AB25" s="5"/>
      <c r="AC25" s="5"/>
    </row>
    <row r="26" spans="1:29" ht="15" customHeight="1">
      <c r="A26" s="2288" t="s">
        <v>309</v>
      </c>
      <c r="B26" s="2289"/>
      <c r="C26" s="124"/>
      <c r="D26" s="292">
        <f t="shared" ref="D26:F26" si="6">-0.05*D11</f>
        <v>0</v>
      </c>
      <c r="E26" s="292">
        <f t="shared" si="6"/>
        <v>0</v>
      </c>
      <c r="F26" s="292">
        <f t="shared" si="6"/>
        <v>0</v>
      </c>
      <c r="G26" s="2324" t="str">
        <f>IF($F$9&gt;0,"Vacancy loss is "&amp;ROUND(-F26/F11*100,1)&amp;"% of Tenant Assistance Payments.","")</f>
        <v/>
      </c>
      <c r="H26" s="2308"/>
      <c r="I26" s="2309"/>
      <c r="J26" s="394"/>
      <c r="K26" s="394"/>
      <c r="L26" s="394"/>
      <c r="M26" s="394"/>
      <c r="N26" s="394" t="str">
        <f>IFERROR(ROUND($F26/$B$5,0),"")</f>
        <v/>
      </c>
      <c r="O26" s="394"/>
      <c r="P26" s="394"/>
      <c r="Q26" s="394"/>
      <c r="R26" s="5"/>
      <c r="S26" s="5"/>
      <c r="T26" s="5"/>
      <c r="U26" s="5"/>
      <c r="V26" s="5"/>
      <c r="W26" s="5"/>
      <c r="X26" s="5"/>
      <c r="Y26" s="10"/>
      <c r="Z26" s="5"/>
      <c r="AA26" s="5"/>
      <c r="AB26" s="5"/>
      <c r="AC26" s="5"/>
    </row>
    <row r="27" spans="1:29" ht="15" customHeight="1">
      <c r="A27" s="2288" t="s">
        <v>85</v>
      </c>
      <c r="B27" s="2289"/>
      <c r="C27" s="124"/>
      <c r="D27" s="751"/>
      <c r="E27" s="751"/>
      <c r="F27" s="291">
        <f>'5.CommOp.Budget'!$E$15*'5.CommOp.Budget'!$C$2</f>
        <v>0</v>
      </c>
      <c r="G27" s="2317" t="str">
        <f>"from 'Commercial Op. Budget' Worksheet; Commercial to Residential allocation: "&amp; '5.CommOp.Budget'!$C$2 *100 &amp;"%"</f>
        <v>from 'Commercial Op. Budget' Worksheet; Commercial to Residential allocation: 100%</v>
      </c>
      <c r="H27" s="2318"/>
      <c r="I27" s="2319"/>
      <c r="J27" s="394"/>
      <c r="K27" s="394"/>
      <c r="L27" s="394"/>
      <c r="M27" s="394"/>
      <c r="N27" s="394" t="str">
        <f>IFERROR(ROUND($F27/$B$5,0),"")</f>
        <v/>
      </c>
      <c r="O27" s="394"/>
      <c r="P27" s="394"/>
      <c r="Q27" s="394"/>
      <c r="R27" s="5"/>
      <c r="S27" s="5"/>
      <c r="T27" s="5"/>
      <c r="U27" s="455"/>
      <c r="V27" s="125">
        <f t="shared" si="1"/>
        <v>0</v>
      </c>
      <c r="W27" s="457" t="e">
        <f>(F27-U27)/U27</f>
        <v>#DIV/0!</v>
      </c>
      <c r="X27" s="457"/>
      <c r="Y27" s="413" t="s">
        <v>341</v>
      </c>
      <c r="Z27" s="5"/>
      <c r="AA27" s="5"/>
      <c r="AB27" s="5"/>
      <c r="AC27" s="5"/>
    </row>
    <row r="28" spans="1:29" ht="15" customHeight="1">
      <c r="A28" s="5"/>
      <c r="B28" s="1082" t="s">
        <v>62</v>
      </c>
      <c r="C28" s="126"/>
      <c r="D28" s="295">
        <f>D24+D25+D26+D27</f>
        <v>0</v>
      </c>
      <c r="E28" s="295">
        <f>E24+E25+E26+E27</f>
        <v>0</v>
      </c>
      <c r="F28" s="295">
        <f>F24+F25+F26+F27</f>
        <v>0</v>
      </c>
      <c r="G28" s="129" t="str">
        <f>IF($B$5&lt;&gt;0,"PUPA:","")</f>
        <v/>
      </c>
      <c r="H28" s="130" t="str">
        <f>IF($B$5&lt;&gt;0,ROUND($F28/$B$5,0),"")</f>
        <v/>
      </c>
      <c r="I28" s="130"/>
      <c r="J28" s="394"/>
      <c r="K28" s="394"/>
      <c r="L28" s="394"/>
      <c r="M28" s="394"/>
      <c r="N28" s="394"/>
      <c r="O28" s="394"/>
      <c r="P28" s="394"/>
      <c r="Q28" s="394"/>
      <c r="R28" s="5"/>
      <c r="S28" s="5"/>
      <c r="T28" s="5"/>
      <c r="U28" s="455" t="e">
        <f ca="1">SUM(U24:U27)</f>
        <v>#REF!</v>
      </c>
      <c r="V28" s="455" t="e">
        <f t="shared" ca="1" si="1"/>
        <v>#REF!</v>
      </c>
      <c r="W28" s="457" t="e">
        <f ca="1">(F28-U28)/U28</f>
        <v>#REF!</v>
      </c>
      <c r="X28" s="5"/>
      <c r="Y28" s="5"/>
      <c r="Z28" s="5"/>
      <c r="AA28" s="5"/>
      <c r="AB28" s="5"/>
      <c r="AC28" s="5"/>
    </row>
    <row r="29" spans="1:29" ht="15" customHeight="1">
      <c r="A29" s="128"/>
      <c r="B29" s="128"/>
      <c r="C29" s="124"/>
      <c r="D29" s="124"/>
      <c r="E29" s="124"/>
      <c r="F29" s="131"/>
      <c r="G29" s="128"/>
      <c r="H29" s="128"/>
      <c r="I29" s="128"/>
      <c r="J29" s="394"/>
      <c r="K29" s="394"/>
      <c r="L29" s="394"/>
      <c r="M29" s="394"/>
      <c r="N29" s="394"/>
      <c r="O29" s="394"/>
      <c r="P29" s="394"/>
      <c r="Q29" s="394"/>
      <c r="R29" s="5"/>
      <c r="S29" s="5"/>
      <c r="T29" s="5"/>
      <c r="U29" s="5"/>
      <c r="V29" s="5"/>
      <c r="W29" s="5"/>
      <c r="X29" s="5"/>
      <c r="Y29" s="5"/>
      <c r="Z29" s="5"/>
      <c r="AA29" s="5"/>
      <c r="AB29" s="5"/>
      <c r="AC29" s="5"/>
    </row>
    <row r="30" spans="1:29" ht="15" customHeight="1">
      <c r="A30" s="319" t="s">
        <v>61</v>
      </c>
      <c r="B30" s="319"/>
      <c r="C30" s="120"/>
      <c r="D30" s="120"/>
      <c r="E30" s="120"/>
      <c r="F30" s="132"/>
      <c r="G30" s="122"/>
      <c r="H30" s="123"/>
      <c r="I30" s="123"/>
      <c r="J30" s="394"/>
      <c r="K30" s="394"/>
      <c r="L30" s="394"/>
      <c r="M30" s="394"/>
      <c r="N30" s="394"/>
      <c r="O30" s="394"/>
      <c r="P30" s="394"/>
      <c r="Q30" s="394"/>
      <c r="R30" s="5"/>
      <c r="S30" s="5"/>
      <c r="T30" s="5"/>
      <c r="U30" s="5"/>
      <c r="V30" s="5"/>
      <c r="W30" s="5"/>
      <c r="X30" s="5"/>
      <c r="Y30" s="5"/>
      <c r="Z30" s="5"/>
      <c r="AA30" s="5"/>
      <c r="AB30" s="5"/>
      <c r="AC30" s="5"/>
    </row>
    <row r="31" spans="1:29" ht="15" customHeight="1">
      <c r="A31" s="319" t="s">
        <v>16</v>
      </c>
      <c r="B31" s="319"/>
      <c r="C31" s="133"/>
      <c r="D31" s="133"/>
      <c r="E31" s="133"/>
      <c r="F31" s="121"/>
      <c r="G31" s="134"/>
      <c r="H31" s="135"/>
      <c r="I31" s="123"/>
      <c r="J31" s="740" t="s">
        <v>695</v>
      </c>
      <c r="K31" s="740"/>
      <c r="L31" s="740" t="s">
        <v>610</v>
      </c>
      <c r="M31" s="741" t="s">
        <v>696</v>
      </c>
      <c r="N31" s="394"/>
      <c r="O31" s="394"/>
      <c r="P31" s="394"/>
      <c r="Q31" s="394"/>
      <c r="R31" s="5"/>
      <c r="S31" s="5"/>
      <c r="T31" s="5"/>
      <c r="U31" s="5"/>
      <c r="V31" s="5"/>
      <c r="W31" s="5"/>
      <c r="X31" s="5"/>
      <c r="Y31" s="5"/>
      <c r="Z31" s="5"/>
      <c r="AA31" s="5"/>
      <c r="AB31" s="5"/>
      <c r="AC31" s="5"/>
    </row>
    <row r="32" spans="1:29" ht="15" customHeight="1">
      <c r="A32" s="2288" t="s">
        <v>8</v>
      </c>
      <c r="B32" s="2289"/>
      <c r="C32" s="136">
        <v>6320</v>
      </c>
      <c r="D32" s="302">
        <f>IF(K32&lt;&gt;"",K32*F32,$D$7*F32)</f>
        <v>0</v>
      </c>
      <c r="E32" s="302">
        <f>F32-D32</f>
        <v>0</v>
      </c>
      <c r="F32" s="292"/>
      <c r="G32" s="2305" t="s">
        <v>729</v>
      </c>
      <c r="H32" s="2306"/>
      <c r="I32" s="2307"/>
      <c r="J32" s="741" t="str">
        <f>A32</f>
        <v>Management Fee</v>
      </c>
      <c r="K32" s="760"/>
      <c r="L32" s="733" t="str">
        <f>IF(K32&lt;&gt;"", 1-K32, "")</f>
        <v/>
      </c>
      <c r="M32" s="742"/>
      <c r="N32" s="394" t="str">
        <f>IFERROR(ROUND($F32/$B$5,0),"")</f>
        <v/>
      </c>
      <c r="O32" s="394" t="str">
        <f>IFERROR(ROUND($F32/$B$5/12,0),"")</f>
        <v/>
      </c>
      <c r="P32" s="394"/>
      <c r="Q32" s="394"/>
      <c r="R32" s="5"/>
      <c r="S32" s="5"/>
      <c r="T32" s="5"/>
      <c r="U32" s="125" t="e">
        <f ca="1">HLOOKUP(Y32,CYAMR,2,FALSE)</f>
        <v>#REF!</v>
      </c>
      <c r="V32" s="125" t="e">
        <f t="shared" ca="1" si="1"/>
        <v>#REF!</v>
      </c>
      <c r="W32" s="457" t="e">
        <f ca="1">(F32-U32)/U32</f>
        <v>#REF!</v>
      </c>
      <c r="X32" s="457"/>
      <c r="Y32" s="413" t="s">
        <v>343</v>
      </c>
      <c r="Z32" s="5"/>
      <c r="AA32" s="5"/>
      <c r="AB32" s="5"/>
      <c r="AC32" s="5"/>
    </row>
    <row r="33" spans="1:29" ht="15" customHeight="1">
      <c r="A33" s="2288" t="s">
        <v>17</v>
      </c>
      <c r="B33" s="2289"/>
      <c r="C33" s="136"/>
      <c r="D33" s="302">
        <f>IF(K33&lt;&gt;"",K33*F33,$D$7*F33)</f>
        <v>0</v>
      </c>
      <c r="E33" s="302">
        <f>F33-D33</f>
        <v>0</v>
      </c>
      <c r="F33" s="292"/>
      <c r="G33" s="2305"/>
      <c r="H33" s="2306"/>
      <c r="I33" s="2307"/>
      <c r="J33" s="741" t="str">
        <f>A33</f>
        <v>Asset Management Fee</v>
      </c>
      <c r="K33" s="760"/>
      <c r="L33" s="733" t="str">
        <f>IF(K33&lt;&gt;"", 1-K33, "")</f>
        <v/>
      </c>
      <c r="M33" s="742"/>
      <c r="N33" s="394" t="str">
        <f>IFERROR(ROUND($F33/$B$5,0),"")</f>
        <v/>
      </c>
      <c r="O33" s="394"/>
      <c r="P33" s="394"/>
      <c r="Q33" s="394"/>
      <c r="R33" s="5"/>
      <c r="S33" s="5"/>
      <c r="T33" s="5"/>
      <c r="U33" s="125" t="e">
        <f ca="1">HLOOKUP(Y33,CYAMR,2,FALSE)</f>
        <v>#REF!</v>
      </c>
      <c r="V33" s="125" t="e">
        <f t="shared" ca="1" si="1"/>
        <v>#REF!</v>
      </c>
      <c r="W33" s="457" t="e">
        <f ca="1">(F33-U33)/U33</f>
        <v>#REF!</v>
      </c>
      <c r="X33" s="457"/>
      <c r="Y33" s="413" t="s">
        <v>344</v>
      </c>
      <c r="Z33" s="5"/>
      <c r="AA33" s="5"/>
      <c r="AB33" s="5"/>
      <c r="AC33" s="5"/>
    </row>
    <row r="34" spans="1:29" ht="15" customHeight="1">
      <c r="A34" s="5"/>
      <c r="B34" s="1082" t="s">
        <v>63</v>
      </c>
      <c r="C34" s="126"/>
      <c r="D34" s="295">
        <f>SUM(D32:D33)</f>
        <v>0</v>
      </c>
      <c r="E34" s="295">
        <f>SUM(E32:E33)</f>
        <v>0</v>
      </c>
      <c r="F34" s="295">
        <f>SUM(F32:F33)</f>
        <v>0</v>
      </c>
      <c r="G34" s="129" t="str">
        <f>IF($B$5&lt;&gt;0,"PUPA:","")</f>
        <v/>
      </c>
      <c r="H34" s="130" t="str">
        <f>IF($B$5&lt;&gt;0,ROUND($F34/$B$5,0),"")</f>
        <v/>
      </c>
      <c r="I34" s="130"/>
      <c r="J34" s="5"/>
      <c r="K34" s="5"/>
      <c r="L34" s="5"/>
      <c r="M34" s="5"/>
      <c r="N34" s="394"/>
      <c r="O34" s="394"/>
      <c r="P34" s="394"/>
      <c r="Q34" s="394"/>
      <c r="R34" s="5"/>
      <c r="S34" s="5"/>
      <c r="T34" s="5"/>
      <c r="U34" s="455" t="e">
        <f ca="1">SUM(U32:U33)</f>
        <v>#REF!</v>
      </c>
      <c r="V34" s="175" t="e">
        <f t="shared" ca="1" si="1"/>
        <v>#REF!</v>
      </c>
      <c r="W34" s="457" t="e">
        <f ca="1">(F34-U34)/U34</f>
        <v>#REF!</v>
      </c>
      <c r="X34" s="457"/>
      <c r="Y34" s="5"/>
      <c r="Z34" s="5"/>
      <c r="AA34" s="5"/>
      <c r="AB34" s="5"/>
      <c r="AC34" s="5"/>
    </row>
    <row r="35" spans="1:29" ht="15" customHeight="1">
      <c r="A35" s="319" t="s">
        <v>19</v>
      </c>
      <c r="B35" s="319"/>
      <c r="C35" s="133"/>
      <c r="D35" s="133"/>
      <c r="E35" s="133"/>
      <c r="F35" s="296"/>
      <c r="G35" s="137"/>
      <c r="H35" s="137"/>
      <c r="I35" s="128"/>
      <c r="J35" s="740" t="s">
        <v>695</v>
      </c>
      <c r="K35" s="740"/>
      <c r="L35" s="740" t="s">
        <v>610</v>
      </c>
      <c r="M35" s="741" t="s">
        <v>696</v>
      </c>
      <c r="N35" s="394"/>
      <c r="O35" s="394"/>
      <c r="P35" s="394"/>
      <c r="Q35" s="394"/>
      <c r="R35" s="5"/>
      <c r="S35" s="5"/>
      <c r="T35" s="5"/>
      <c r="U35" s="5"/>
      <c r="V35" s="5"/>
      <c r="W35" s="5"/>
      <c r="X35" s="5"/>
      <c r="Y35" s="5"/>
      <c r="Z35" s="5"/>
      <c r="AA35" s="5"/>
      <c r="AB35" s="5"/>
      <c r="AC35" s="5"/>
    </row>
    <row r="36" spans="1:29" ht="15" customHeight="1">
      <c r="A36" s="2288" t="s">
        <v>20</v>
      </c>
      <c r="B36" s="2289"/>
      <c r="C36" s="136">
        <v>6310</v>
      </c>
      <c r="D36" s="302">
        <f>IF(K36&lt;&gt;"",K36*F36,$D$7*F36)</f>
        <v>0</v>
      </c>
      <c r="E36" s="302">
        <f>F36-D36</f>
        <v>0</v>
      </c>
      <c r="F36" s="1987">
        <f>'6a. Staffing'!G12</f>
        <v>0</v>
      </c>
      <c r="G36" s="2317" t="s">
        <v>1646</v>
      </c>
      <c r="H36" s="2318"/>
      <c r="I36" s="2319"/>
      <c r="J36" s="741" t="str">
        <f>A36</f>
        <v>Office Salaries</v>
      </c>
      <c r="K36" s="760"/>
      <c r="L36" s="733" t="str">
        <f>IF(K36&lt;&gt;"", 1-K36, "")</f>
        <v/>
      </c>
      <c r="M36" s="742"/>
      <c r="N36" s="394" t="str">
        <f>IFERROR(ROUND($F36/$B$5,0),"")</f>
        <v/>
      </c>
      <c r="O36" s="394"/>
      <c r="P36" s="394"/>
      <c r="Q36" s="394"/>
      <c r="R36" s="5"/>
      <c r="S36" s="5"/>
      <c r="T36" s="5"/>
      <c r="U36" s="125" t="e">
        <f ca="1">HLOOKUP(Y36,CYAMR,2,FALSE)</f>
        <v>#REF!</v>
      </c>
      <c r="V36" s="125" t="e">
        <f t="shared" ca="1" si="1"/>
        <v>#REF!</v>
      </c>
      <c r="W36" s="457" t="e">
        <f t="shared" ref="W36:W41" ca="1" si="7">(F36-U36)/U36</f>
        <v>#REF!</v>
      </c>
      <c r="X36" s="457"/>
      <c r="Y36" s="413" t="s">
        <v>345</v>
      </c>
      <c r="Z36" s="5"/>
      <c r="AA36" s="5"/>
      <c r="AB36" s="5"/>
      <c r="AC36" s="5"/>
    </row>
    <row r="37" spans="1:29" ht="15" customHeight="1">
      <c r="A37" s="2288" t="s">
        <v>21</v>
      </c>
      <c r="B37" s="2289"/>
      <c r="C37" s="136">
        <v>6330</v>
      </c>
      <c r="D37" s="302">
        <f>IF(K37&lt;&gt;"",K37*F37,$D$7*F37)</f>
        <v>0</v>
      </c>
      <c r="E37" s="302">
        <f>F37-D37</f>
        <v>0</v>
      </c>
      <c r="F37" s="291">
        <f>'6a. Staffing'!G19</f>
        <v>0</v>
      </c>
      <c r="G37" s="2317" t="s">
        <v>1646</v>
      </c>
      <c r="H37" s="2318"/>
      <c r="I37" s="2319"/>
      <c r="J37" s="741" t="str">
        <f>A37</f>
        <v>Manager's Salary</v>
      </c>
      <c r="K37" s="760"/>
      <c r="L37" s="733" t="str">
        <f>IF(K37&lt;&gt;"", 1-K37, "")</f>
        <v/>
      </c>
      <c r="M37" s="742"/>
      <c r="N37" s="394" t="str">
        <f>IFERROR(ROUND($F37/$B$5,0),"")</f>
        <v/>
      </c>
      <c r="O37" s="394"/>
      <c r="P37" s="394"/>
      <c r="Q37" s="394"/>
      <c r="R37" s="5"/>
      <c r="S37" s="5"/>
      <c r="T37" s="5"/>
      <c r="U37" s="125" t="e">
        <f ca="1">HLOOKUP(Y37,CYAMR,2,FALSE)</f>
        <v>#REF!</v>
      </c>
      <c r="V37" s="125" t="e">
        <f t="shared" ca="1" si="1"/>
        <v>#REF!</v>
      </c>
      <c r="W37" s="457" t="e">
        <f t="shared" ca="1" si="7"/>
        <v>#REF!</v>
      </c>
      <c r="X37" s="457"/>
      <c r="Y37" s="413" t="s">
        <v>346</v>
      </c>
      <c r="Z37" s="5"/>
      <c r="AA37" s="5"/>
      <c r="AB37" s="5"/>
      <c r="AC37" s="5"/>
    </row>
    <row r="38" spans="1:29" ht="15" customHeight="1">
      <c r="A38" s="2288" t="s">
        <v>22</v>
      </c>
      <c r="B38" s="2289"/>
      <c r="C38" s="136">
        <v>6723</v>
      </c>
      <c r="D38" s="302">
        <f>IF(K38&lt;&gt;"",K38*F38,$D$7*F38)</f>
        <v>0</v>
      </c>
      <c r="E38" s="302">
        <f>F38-D38</f>
        <v>0</v>
      </c>
      <c r="F38" s="292"/>
      <c r="G38" s="2305"/>
      <c r="H38" s="2306"/>
      <c r="I38" s="2307"/>
      <c r="J38" s="741" t="str">
        <f>A38</f>
        <v>Health Insurance and Other Benefits</v>
      </c>
      <c r="K38" s="760"/>
      <c r="L38" s="733" t="str">
        <f>IF(K38&lt;&gt;"", 1-K38, "")</f>
        <v/>
      </c>
      <c r="M38" s="742"/>
      <c r="N38" s="394" t="str">
        <f>IFERROR(ROUND($F38/$B$5,0),"")</f>
        <v/>
      </c>
      <c r="O38" s="394"/>
      <c r="P38" s="394"/>
      <c r="Q38" s="394"/>
      <c r="R38" s="5"/>
      <c r="S38" s="5"/>
      <c r="T38" s="5"/>
      <c r="U38" s="125" t="e">
        <f ca="1">HLOOKUP(Y38,CYAMR,2,FALSE)</f>
        <v>#REF!</v>
      </c>
      <c r="V38" s="125" t="e">
        <f t="shared" ca="1" si="1"/>
        <v>#REF!</v>
      </c>
      <c r="W38" s="457" t="e">
        <f t="shared" ca="1" si="7"/>
        <v>#REF!</v>
      </c>
      <c r="X38" s="457"/>
      <c r="Y38" s="413" t="s">
        <v>347</v>
      </c>
      <c r="Z38" s="5"/>
      <c r="AA38" s="5"/>
      <c r="AB38" s="5"/>
      <c r="AC38" s="5"/>
    </row>
    <row r="39" spans="1:29" ht="15" customHeight="1">
      <c r="A39" s="2288" t="s">
        <v>23</v>
      </c>
      <c r="B39" s="2289"/>
      <c r="C39" s="136"/>
      <c r="D39" s="302">
        <f>IF(K39&lt;&gt;"",K39*F39,$D$7*F39)</f>
        <v>0</v>
      </c>
      <c r="E39" s="302">
        <f>F39-D39</f>
        <v>0</v>
      </c>
      <c r="F39" s="292"/>
      <c r="G39" s="2305"/>
      <c r="H39" s="2306"/>
      <c r="I39" s="2307"/>
      <c r="J39" s="741" t="str">
        <f>A39</f>
        <v>Other Salaries/Benefits</v>
      </c>
      <c r="K39" s="760"/>
      <c r="L39" s="733" t="str">
        <f>IF(K39&lt;&gt;"", 1-K39, "")</f>
        <v/>
      </c>
      <c r="M39" s="742"/>
      <c r="N39" s="394" t="str">
        <f>IFERROR(ROUND($F39/$B$5,0),"")</f>
        <v/>
      </c>
      <c r="O39" s="394"/>
      <c r="P39" s="394"/>
      <c r="Q39" s="394"/>
      <c r="R39" s="5"/>
      <c r="S39" s="5"/>
      <c r="T39" s="5"/>
      <c r="U39" s="125" t="e">
        <f ca="1">HLOOKUP(Y39,CYAMR,2,FALSE)</f>
        <v>#REF!</v>
      </c>
      <c r="V39" s="125" t="e">
        <f t="shared" ca="1" si="1"/>
        <v>#REF!</v>
      </c>
      <c r="W39" s="457" t="e">
        <f t="shared" ca="1" si="7"/>
        <v>#REF!</v>
      </c>
      <c r="X39" s="457"/>
      <c r="Y39" s="413" t="s">
        <v>348</v>
      </c>
      <c r="Z39" s="5"/>
      <c r="AA39" s="5"/>
      <c r="AB39" s="5"/>
      <c r="AC39" s="5"/>
    </row>
    <row r="40" spans="1:29" ht="15" customHeight="1">
      <c r="A40" s="2288" t="s">
        <v>18</v>
      </c>
      <c r="B40" s="2289"/>
      <c r="C40" s="136">
        <v>6331</v>
      </c>
      <c r="D40" s="302">
        <f>IF(K40&lt;&gt;"",K40*F40,$D$7*F40)</f>
        <v>0</v>
      </c>
      <c r="E40" s="302">
        <f>F40-D40</f>
        <v>0</v>
      </c>
      <c r="F40" s="292"/>
      <c r="G40" s="2305"/>
      <c r="H40" s="2306"/>
      <c r="I40" s="2307"/>
      <c r="J40" s="741" t="str">
        <f>A40</f>
        <v>Administrative Rent-Free Unit</v>
      </c>
      <c r="K40" s="760"/>
      <c r="L40" s="733" t="str">
        <f>IF(K40&lt;&gt;"", 1-K40, "")</f>
        <v/>
      </c>
      <c r="M40" s="742"/>
      <c r="N40" s="394" t="str">
        <f>IFERROR(ROUND($F40/$B$5,0),"")</f>
        <v/>
      </c>
      <c r="O40" s="394"/>
      <c r="P40" s="394"/>
      <c r="Q40" s="394"/>
      <c r="R40" s="5"/>
      <c r="S40" s="5"/>
      <c r="T40" s="5"/>
      <c r="U40" s="125" t="e">
        <f ca="1">HLOOKUP(Y40,CYAMR,2,FALSE)</f>
        <v>#REF!</v>
      </c>
      <c r="V40" s="125" t="e">
        <f t="shared" ca="1" si="1"/>
        <v>#REF!</v>
      </c>
      <c r="W40" s="457" t="e">
        <f t="shared" ca="1" si="7"/>
        <v>#REF!</v>
      </c>
      <c r="X40" s="457"/>
      <c r="Y40" s="413" t="s">
        <v>349</v>
      </c>
      <c r="Z40" s="5"/>
      <c r="AA40" s="5"/>
      <c r="AB40" s="5"/>
      <c r="AC40" s="5"/>
    </row>
    <row r="41" spans="1:29" ht="15" customHeight="1">
      <c r="A41" s="5"/>
      <c r="B41" s="1082" t="s">
        <v>35</v>
      </c>
      <c r="C41" s="126"/>
      <c r="D41" s="295">
        <f>SUM(D36:D40)</f>
        <v>0</v>
      </c>
      <c r="E41" s="295">
        <f>SUM(E36:E40)</f>
        <v>0</v>
      </c>
      <c r="F41" s="295">
        <f>SUM(F36:F40)</f>
        <v>0</v>
      </c>
      <c r="G41" s="129" t="str">
        <f>IF($B$5&lt;&gt;0,"PUPA:","")</f>
        <v/>
      </c>
      <c r="H41" s="130" t="str">
        <f>IF($B$5&lt;&gt;0,ROUND($F41/$B$5,0),"")</f>
        <v/>
      </c>
      <c r="I41" s="130"/>
      <c r="J41" s="394"/>
      <c r="K41" s="394"/>
      <c r="L41" s="394"/>
      <c r="M41" s="394"/>
      <c r="N41" s="394"/>
      <c r="O41" s="394"/>
      <c r="P41" s="394"/>
      <c r="Q41" s="394"/>
      <c r="R41" s="5"/>
      <c r="S41" s="5"/>
      <c r="T41" s="5"/>
      <c r="U41" s="455" t="e">
        <f ca="1">SUM(U36:U40)</f>
        <v>#REF!</v>
      </c>
      <c r="V41" s="175" t="e">
        <f t="shared" ca="1" si="1"/>
        <v>#REF!</v>
      </c>
      <c r="W41" s="457" t="e">
        <f t="shared" ca="1" si="7"/>
        <v>#REF!</v>
      </c>
      <c r="X41" s="457"/>
      <c r="Y41" s="5"/>
      <c r="Z41" s="5"/>
      <c r="AA41" s="5"/>
      <c r="AB41" s="5"/>
      <c r="AC41" s="5"/>
    </row>
    <row r="42" spans="1:29" ht="15" customHeight="1">
      <c r="A42" s="319" t="s">
        <v>24</v>
      </c>
      <c r="B42" s="319"/>
      <c r="C42" s="133"/>
      <c r="D42" s="133"/>
      <c r="E42" s="133"/>
      <c r="F42" s="296"/>
      <c r="G42" s="137"/>
      <c r="H42" s="137"/>
      <c r="I42" s="128"/>
      <c r="J42" s="394"/>
      <c r="K42" s="394"/>
      <c r="L42" s="394"/>
      <c r="M42" s="394"/>
      <c r="N42" s="394"/>
      <c r="O42" s="394"/>
      <c r="P42" s="394"/>
      <c r="Q42" s="394"/>
      <c r="R42" s="5"/>
      <c r="S42" s="5"/>
      <c r="T42" s="5"/>
      <c r="U42" s="5"/>
      <c r="V42" s="5"/>
      <c r="W42" s="5"/>
      <c r="X42" s="5"/>
      <c r="Y42" s="5"/>
      <c r="Z42" s="5"/>
      <c r="AA42" s="5"/>
      <c r="AB42" s="5"/>
      <c r="AC42" s="5"/>
    </row>
    <row r="43" spans="1:29" ht="15" customHeight="1">
      <c r="A43" s="2288" t="s">
        <v>25</v>
      </c>
      <c r="B43" s="2289"/>
      <c r="C43" s="136">
        <v>6210</v>
      </c>
      <c r="D43" s="302">
        <f t="shared" ref="D43:D50" si="8">$D$7*F43</f>
        <v>0</v>
      </c>
      <c r="E43" s="302">
        <f t="shared" ref="E43:E50" si="9">F43-D43</f>
        <v>0</v>
      </c>
      <c r="F43" s="292"/>
      <c r="G43" s="2305"/>
      <c r="H43" s="2306"/>
      <c r="I43" s="2307"/>
      <c r="J43" s="394"/>
      <c r="K43" s="394"/>
      <c r="L43" s="394"/>
      <c r="M43" s="394"/>
      <c r="N43" s="394" t="str">
        <f t="shared" ref="N43:N50" si="10">IFERROR(ROUND($F43/$B$5,0),"")</f>
        <v/>
      </c>
      <c r="O43" s="394"/>
      <c r="P43" s="394"/>
      <c r="Q43" s="394"/>
      <c r="R43" s="5"/>
      <c r="S43" s="5"/>
      <c r="T43" s="5"/>
      <c r="U43" s="125" t="e">
        <f t="shared" ref="U43:U50" ca="1" si="11">HLOOKUP(Y43,CYAMR,2,FALSE)</f>
        <v>#REF!</v>
      </c>
      <c r="V43" s="125" t="e">
        <f t="shared" ca="1" si="1"/>
        <v>#REF!</v>
      </c>
      <c r="W43" s="457" t="e">
        <f t="shared" ref="W43:W51" ca="1" si="12">(F43-U43)/U43</f>
        <v>#REF!</v>
      </c>
      <c r="X43" s="457"/>
      <c r="Y43" s="413" t="s">
        <v>350</v>
      </c>
      <c r="Z43" s="5"/>
      <c r="AA43" s="5"/>
      <c r="AB43" s="5"/>
      <c r="AC43" s="5"/>
    </row>
    <row r="44" spans="1:29" ht="15" customHeight="1">
      <c r="A44" s="2288" t="s">
        <v>26</v>
      </c>
      <c r="B44" s="2289"/>
      <c r="C44" s="136">
        <v>6311</v>
      </c>
      <c r="D44" s="302">
        <f t="shared" si="8"/>
        <v>0</v>
      </c>
      <c r="E44" s="302">
        <f t="shared" si="9"/>
        <v>0</v>
      </c>
      <c r="F44" s="292"/>
      <c r="G44" s="2305"/>
      <c r="H44" s="2306"/>
      <c r="I44" s="2307"/>
      <c r="J44" s="394"/>
      <c r="K44" s="394"/>
      <c r="L44" s="394"/>
      <c r="M44" s="394"/>
      <c r="N44" s="394" t="str">
        <f t="shared" si="10"/>
        <v/>
      </c>
      <c r="O44" s="394"/>
      <c r="P44" s="394"/>
      <c r="Q44" s="394"/>
      <c r="R44" s="5"/>
      <c r="S44" s="5"/>
      <c r="T44" s="5"/>
      <c r="U44" s="125" t="e">
        <f t="shared" ca="1" si="11"/>
        <v>#REF!</v>
      </c>
      <c r="V44" s="125" t="e">
        <f t="shared" ca="1" si="1"/>
        <v>#REF!</v>
      </c>
      <c r="W44" s="457" t="e">
        <f t="shared" ca="1" si="12"/>
        <v>#REF!</v>
      </c>
      <c r="X44" s="457"/>
      <c r="Y44" s="413" t="s">
        <v>351</v>
      </c>
      <c r="Z44" s="5"/>
      <c r="AA44" s="5"/>
      <c r="AB44" s="5"/>
      <c r="AC44" s="5"/>
    </row>
    <row r="45" spans="1:29" ht="15" customHeight="1">
      <c r="A45" s="2288" t="s">
        <v>27</v>
      </c>
      <c r="B45" s="2289"/>
      <c r="C45" s="136">
        <v>6312</v>
      </c>
      <c r="D45" s="302">
        <f t="shared" si="8"/>
        <v>0</v>
      </c>
      <c r="E45" s="302">
        <f t="shared" si="9"/>
        <v>0</v>
      </c>
      <c r="F45" s="292"/>
      <c r="G45" s="2305"/>
      <c r="H45" s="2306"/>
      <c r="I45" s="2307"/>
      <c r="J45" s="737" t="s">
        <v>697</v>
      </c>
      <c r="K45" s="737" t="s">
        <v>319</v>
      </c>
      <c r="L45" s="738" t="s">
        <v>610</v>
      </c>
      <c r="M45" s="2322" t="s">
        <v>698</v>
      </c>
      <c r="N45" s="394" t="str">
        <f t="shared" si="10"/>
        <v/>
      </c>
      <c r="O45" s="394"/>
      <c r="P45" s="394"/>
      <c r="Q45" s="394"/>
      <c r="R45" s="5"/>
      <c r="S45" s="5"/>
      <c r="T45" s="5"/>
      <c r="U45" s="125" t="e">
        <f t="shared" ca="1" si="11"/>
        <v>#REF!</v>
      </c>
      <c r="V45" s="125" t="e">
        <f t="shared" ca="1" si="1"/>
        <v>#REF!</v>
      </c>
      <c r="W45" s="457" t="e">
        <f t="shared" ca="1" si="12"/>
        <v>#REF!</v>
      </c>
      <c r="X45" s="457"/>
      <c r="Y45" s="413" t="s">
        <v>352</v>
      </c>
      <c r="Z45" s="5"/>
      <c r="AA45" s="5"/>
      <c r="AB45" s="5"/>
      <c r="AC45" s="5"/>
    </row>
    <row r="46" spans="1:29" ht="15" customHeight="1">
      <c r="A46" s="2288" t="s">
        <v>28</v>
      </c>
      <c r="B46" s="2289"/>
      <c r="C46" s="136">
        <v>6340</v>
      </c>
      <c r="D46" s="292">
        <f t="shared" si="8"/>
        <v>0</v>
      </c>
      <c r="E46" s="302">
        <f t="shared" si="9"/>
        <v>0</v>
      </c>
      <c r="F46" s="292"/>
      <c r="G46" s="2305"/>
      <c r="H46" s="2306"/>
      <c r="I46" s="2307"/>
      <c r="J46" s="739" t="str">
        <f>A46</f>
        <v>Legal Expense - Property</v>
      </c>
      <c r="K46" s="732" t="str">
        <f>IF(F46&lt;&gt;0,D46/F46,"")</f>
        <v/>
      </c>
      <c r="L46" s="732" t="str">
        <f>IF(F46&lt;&gt;0,1-K46,"")</f>
        <v/>
      </c>
      <c r="M46" s="2323"/>
      <c r="N46" s="394" t="str">
        <f t="shared" si="10"/>
        <v/>
      </c>
      <c r="O46" s="394"/>
      <c r="P46" s="394">
        <v>0</v>
      </c>
      <c r="Q46" s="394"/>
      <c r="R46" s="5"/>
      <c r="S46" s="5"/>
      <c r="T46" s="5"/>
      <c r="U46" s="125" t="e">
        <f t="shared" ca="1" si="11"/>
        <v>#REF!</v>
      </c>
      <c r="V46" s="125" t="e">
        <f t="shared" ca="1" si="1"/>
        <v>#REF!</v>
      </c>
      <c r="W46" s="457" t="e">
        <f t="shared" ca="1" si="12"/>
        <v>#REF!</v>
      </c>
      <c r="X46" s="457"/>
      <c r="Y46" s="413" t="s">
        <v>353</v>
      </c>
      <c r="Z46" s="5"/>
      <c r="AA46" s="5"/>
      <c r="AB46" s="5"/>
      <c r="AC46" s="5"/>
    </row>
    <row r="47" spans="1:29" ht="15" customHeight="1">
      <c r="A47" s="2288" t="s">
        <v>29</v>
      </c>
      <c r="B47" s="2289"/>
      <c r="C47" s="136">
        <v>6350</v>
      </c>
      <c r="D47" s="302">
        <f t="shared" si="8"/>
        <v>0</v>
      </c>
      <c r="E47" s="302">
        <f t="shared" si="9"/>
        <v>0</v>
      </c>
      <c r="F47" s="292"/>
      <c r="G47" s="2305"/>
      <c r="H47" s="2306"/>
      <c r="I47" s="2307"/>
      <c r="J47" s="394"/>
      <c r="K47" s="394"/>
      <c r="L47" s="394"/>
      <c r="M47" s="394"/>
      <c r="N47" s="394" t="str">
        <f t="shared" si="10"/>
        <v/>
      </c>
      <c r="O47" s="394"/>
      <c r="P47" s="394"/>
      <c r="Q47" s="394"/>
      <c r="R47" s="5"/>
      <c r="S47" s="5"/>
      <c r="T47" s="5"/>
      <c r="U47" s="125" t="e">
        <f t="shared" ca="1" si="11"/>
        <v>#REF!</v>
      </c>
      <c r="V47" s="125" t="e">
        <f t="shared" ca="1" si="1"/>
        <v>#REF!</v>
      </c>
      <c r="W47" s="457" t="e">
        <f t="shared" ca="1" si="12"/>
        <v>#REF!</v>
      </c>
      <c r="X47" s="457"/>
      <c r="Y47" s="413" t="s">
        <v>354</v>
      </c>
      <c r="Z47" s="5"/>
      <c r="AA47" s="5"/>
      <c r="AB47" s="5"/>
      <c r="AC47" s="5"/>
    </row>
    <row r="48" spans="1:29" ht="15" customHeight="1">
      <c r="A48" s="2288" t="s">
        <v>30</v>
      </c>
      <c r="B48" s="2289"/>
      <c r="C48" s="136">
        <v>6351</v>
      </c>
      <c r="D48" s="302">
        <f t="shared" si="8"/>
        <v>0</v>
      </c>
      <c r="E48" s="302">
        <f t="shared" si="9"/>
        <v>0</v>
      </c>
      <c r="F48" s="292"/>
      <c r="G48" s="2305"/>
      <c r="H48" s="2306"/>
      <c r="I48" s="2307"/>
      <c r="J48" s="737" t="s">
        <v>697</v>
      </c>
      <c r="K48" s="737" t="s">
        <v>319</v>
      </c>
      <c r="L48" s="738" t="s">
        <v>610</v>
      </c>
      <c r="M48" s="2322" t="s">
        <v>698</v>
      </c>
      <c r="N48" s="394" t="str">
        <f t="shared" si="10"/>
        <v/>
      </c>
      <c r="O48" s="394"/>
      <c r="P48" s="394"/>
      <c r="Q48" s="394"/>
      <c r="R48" s="5"/>
      <c r="S48" s="5"/>
      <c r="T48" s="5"/>
      <c r="U48" s="125" t="e">
        <f t="shared" ca="1" si="11"/>
        <v>#REF!</v>
      </c>
      <c r="V48" s="125" t="e">
        <f t="shared" ca="1" si="1"/>
        <v>#REF!</v>
      </c>
      <c r="W48" s="457" t="e">
        <f t="shared" ca="1" si="12"/>
        <v>#REF!</v>
      </c>
      <c r="X48" s="457"/>
      <c r="Y48" s="413" t="s">
        <v>355</v>
      </c>
      <c r="Z48" s="5"/>
      <c r="AA48" s="5"/>
      <c r="AB48" s="5"/>
      <c r="AC48" s="5"/>
    </row>
    <row r="49" spans="1:29" ht="15" customHeight="1">
      <c r="A49" s="2288" t="s">
        <v>31</v>
      </c>
      <c r="B49" s="2289"/>
      <c r="C49" s="136">
        <v>6370</v>
      </c>
      <c r="D49" s="292">
        <f>$D$7*F49</f>
        <v>0</v>
      </c>
      <c r="E49" s="302">
        <f t="shared" si="9"/>
        <v>0</v>
      </c>
      <c r="F49" s="292"/>
      <c r="G49" s="2305"/>
      <c r="H49" s="2306"/>
      <c r="I49" s="2307"/>
      <c r="J49" s="739" t="str">
        <f>A49</f>
        <v>Bad Debts</v>
      </c>
      <c r="K49" s="732" t="str">
        <f>IF(F49&lt;&gt;0,D49/F49,"")</f>
        <v/>
      </c>
      <c r="L49" s="732" t="str">
        <f>IF(F49&lt;&gt;0,1-K49,"")</f>
        <v/>
      </c>
      <c r="M49" s="2323"/>
      <c r="N49" s="394" t="str">
        <f t="shared" si="10"/>
        <v/>
      </c>
      <c r="O49" s="394"/>
      <c r="P49" s="394"/>
      <c r="Q49" s="394"/>
      <c r="R49" s="5"/>
      <c r="S49" s="5"/>
      <c r="T49" s="5"/>
      <c r="U49" s="125" t="e">
        <f t="shared" ca="1" si="11"/>
        <v>#REF!</v>
      </c>
      <c r="V49" s="125" t="e">
        <f t="shared" ca="1" si="1"/>
        <v>#REF!</v>
      </c>
      <c r="W49" s="457" t="e">
        <f t="shared" ca="1" si="12"/>
        <v>#REF!</v>
      </c>
      <c r="X49" s="457"/>
      <c r="Y49" s="413" t="s">
        <v>356</v>
      </c>
      <c r="Z49" s="5"/>
      <c r="AA49" s="5"/>
      <c r="AB49" s="5"/>
      <c r="AC49" s="5"/>
    </row>
    <row r="50" spans="1:29" ht="15" customHeight="1">
      <c r="A50" s="2288" t="s">
        <v>32</v>
      </c>
      <c r="B50" s="2289"/>
      <c r="C50" s="136">
        <v>6390</v>
      </c>
      <c r="D50" s="302">
        <f t="shared" si="8"/>
        <v>0</v>
      </c>
      <c r="E50" s="302">
        <f t="shared" si="9"/>
        <v>0</v>
      </c>
      <c r="F50" s="292"/>
      <c r="G50" s="2305"/>
      <c r="H50" s="2306"/>
      <c r="I50" s="2307"/>
      <c r="J50" s="394"/>
      <c r="K50" s="394"/>
      <c r="L50" s="394"/>
      <c r="M50" s="394"/>
      <c r="N50" s="394" t="str">
        <f t="shared" si="10"/>
        <v/>
      </c>
      <c r="O50" s="394"/>
      <c r="P50" s="394"/>
      <c r="Q50" s="394"/>
      <c r="R50" s="5"/>
      <c r="S50" s="5"/>
      <c r="T50" s="5"/>
      <c r="U50" s="125" t="e">
        <f t="shared" ca="1" si="11"/>
        <v>#REF!</v>
      </c>
      <c r="V50" s="125" t="e">
        <f t="shared" ca="1" si="1"/>
        <v>#REF!</v>
      </c>
      <c r="W50" s="457" t="e">
        <f t="shared" ca="1" si="12"/>
        <v>#REF!</v>
      </c>
      <c r="X50" s="457"/>
      <c r="Y50" s="413" t="s">
        <v>357</v>
      </c>
      <c r="Z50" s="5"/>
      <c r="AA50" s="5"/>
      <c r="AB50" s="5"/>
      <c r="AC50" s="5"/>
    </row>
    <row r="51" spans="1:29" ht="15" customHeight="1">
      <c r="A51" s="5"/>
      <c r="B51" s="1082" t="s">
        <v>34</v>
      </c>
      <c r="C51" s="126"/>
      <c r="D51" s="295">
        <f>SUM(D43:D50)</f>
        <v>0</v>
      </c>
      <c r="E51" s="295">
        <f>SUM(E43:E50)</f>
        <v>0</v>
      </c>
      <c r="F51" s="295">
        <f>SUM(F43:F50)</f>
        <v>0</v>
      </c>
      <c r="G51" s="129" t="str">
        <f>IF($B$5&lt;&gt;0,"PUPA:","")</f>
        <v/>
      </c>
      <c r="H51" s="130" t="str">
        <f>IF($B$5&lt;&gt;0,ROUND($F51/$B$5,0),"")</f>
        <v/>
      </c>
      <c r="I51" s="130"/>
      <c r="J51" s="394"/>
      <c r="K51" s="394"/>
      <c r="L51" s="394"/>
      <c r="M51" s="394"/>
      <c r="N51" s="394"/>
      <c r="O51" s="394"/>
      <c r="P51" s="394"/>
      <c r="Q51" s="394"/>
      <c r="R51" s="5"/>
      <c r="S51" s="5"/>
      <c r="T51" s="5"/>
      <c r="U51" s="455" t="e">
        <f ca="1">SUM(U43:U50)</f>
        <v>#REF!</v>
      </c>
      <c r="V51" s="175" t="e">
        <f t="shared" ca="1" si="1"/>
        <v>#REF!</v>
      </c>
      <c r="W51" s="457" t="e">
        <f t="shared" ca="1" si="12"/>
        <v>#REF!</v>
      </c>
      <c r="X51" s="457"/>
      <c r="Y51" s="5"/>
      <c r="Z51" s="5"/>
      <c r="AA51" s="5"/>
      <c r="AB51" s="5"/>
      <c r="AC51" s="5"/>
    </row>
    <row r="52" spans="1:29" ht="15" customHeight="1">
      <c r="A52" s="139" t="s">
        <v>4</v>
      </c>
      <c r="B52" s="139"/>
      <c r="C52" s="133"/>
      <c r="D52" s="133"/>
      <c r="E52" s="133"/>
      <c r="F52" s="296"/>
      <c r="G52" s="128"/>
      <c r="H52" s="128"/>
      <c r="I52" s="128"/>
      <c r="J52" s="737" t="s">
        <v>697</v>
      </c>
      <c r="K52" s="737" t="s">
        <v>319</v>
      </c>
      <c r="L52" s="738" t="s">
        <v>610</v>
      </c>
      <c r="M52" s="2322" t="s">
        <v>698</v>
      </c>
      <c r="N52" s="394"/>
      <c r="O52" s="394"/>
      <c r="P52" s="394"/>
      <c r="Q52" s="394"/>
      <c r="R52" s="5"/>
      <c r="S52" s="5"/>
      <c r="T52" s="5"/>
      <c r="U52" s="5"/>
      <c r="V52" s="5"/>
      <c r="W52" s="5"/>
      <c r="X52" s="5"/>
      <c r="Y52" s="5"/>
      <c r="Z52" s="5"/>
      <c r="AA52" s="5"/>
      <c r="AB52" s="5"/>
      <c r="AC52" s="5"/>
    </row>
    <row r="53" spans="1:29" ht="15" customHeight="1">
      <c r="A53" s="2288" t="s">
        <v>6</v>
      </c>
      <c r="B53" s="2289"/>
      <c r="C53" s="136">
        <v>6450</v>
      </c>
      <c r="D53" s="292">
        <f>$D$7*F53</f>
        <v>0</v>
      </c>
      <c r="E53" s="302">
        <f>F53-D53</f>
        <v>0</v>
      </c>
      <c r="F53" s="292"/>
      <c r="G53" s="2305"/>
      <c r="H53" s="2306"/>
      <c r="I53" s="2307"/>
      <c r="J53" s="739" t="str">
        <f>A53</f>
        <v>Electricity</v>
      </c>
      <c r="K53" s="732" t="str">
        <f>IF(F53&lt;&gt;0,D53/F53,"")</f>
        <v/>
      </c>
      <c r="L53" s="732" t="str">
        <f>IF(F53&lt;&gt;0,1-K53,"")</f>
        <v/>
      </c>
      <c r="M53" s="2323"/>
      <c r="N53" s="394" t="str">
        <f>IFERROR(ROUND($F53/$B$5,0),"")</f>
        <v/>
      </c>
      <c r="O53" s="394" t="str">
        <f>IFERROR(ROUND($F53/$B$5/12,0),"")</f>
        <v/>
      </c>
      <c r="P53" s="394"/>
      <c r="Q53" s="394"/>
      <c r="R53" s="5"/>
      <c r="S53" s="5"/>
      <c r="T53" s="5"/>
      <c r="U53" s="125" t="e">
        <f ca="1">HLOOKUP(Y53,CYAMR,2,FALSE)</f>
        <v>#REF!</v>
      </c>
      <c r="V53" s="125" t="e">
        <f t="shared" ca="1" si="1"/>
        <v>#REF!</v>
      </c>
      <c r="W53" s="457" t="e">
        <f ca="1">(F53-U53)/U53</f>
        <v>#REF!</v>
      </c>
      <c r="X53" s="457"/>
      <c r="Y53" s="413" t="s">
        <v>358</v>
      </c>
      <c r="Z53" s="5"/>
      <c r="AA53" s="5"/>
      <c r="AB53" s="5"/>
      <c r="AC53" s="5"/>
    </row>
    <row r="54" spans="1:29" ht="15" customHeight="1">
      <c r="A54" s="2288" t="s">
        <v>7</v>
      </c>
      <c r="B54" s="2289"/>
      <c r="C54" s="136">
        <v>6451</v>
      </c>
      <c r="D54" s="302">
        <f>$D$7*F54</f>
        <v>0</v>
      </c>
      <c r="E54" s="302">
        <f>F54-D54</f>
        <v>0</v>
      </c>
      <c r="F54" s="292"/>
      <c r="G54" s="2305"/>
      <c r="H54" s="2306"/>
      <c r="I54" s="2307"/>
      <c r="J54" s="394"/>
      <c r="K54" s="394"/>
      <c r="L54" s="394"/>
      <c r="M54" s="394"/>
      <c r="N54" s="394" t="str">
        <f>IFERROR(ROUND($F54/$B$5,0),"")</f>
        <v/>
      </c>
      <c r="O54" s="394" t="str">
        <f>IFERROR(ROUND($F54/$B$5/12,0),"")</f>
        <v/>
      </c>
      <c r="P54" s="394"/>
      <c r="Q54" s="394"/>
      <c r="R54" s="5"/>
      <c r="S54" s="5"/>
      <c r="T54" s="5"/>
      <c r="U54" s="125" t="e">
        <f ca="1">HLOOKUP(Y54,CYAMR,2,FALSE)</f>
        <v>#REF!</v>
      </c>
      <c r="V54" s="125" t="e">
        <f t="shared" ca="1" si="1"/>
        <v>#REF!</v>
      </c>
      <c r="W54" s="457" t="e">
        <f ca="1">(F54-U54)/U54</f>
        <v>#REF!</v>
      </c>
      <c r="X54" s="457"/>
      <c r="Y54" s="413" t="s">
        <v>359</v>
      </c>
      <c r="Z54" s="5"/>
      <c r="AA54" s="5"/>
      <c r="AB54" s="5"/>
      <c r="AC54" s="5"/>
    </row>
    <row r="55" spans="1:29" ht="15" customHeight="1">
      <c r="A55" s="2288" t="s">
        <v>5</v>
      </c>
      <c r="B55" s="2289"/>
      <c r="C55" s="136">
        <v>6452</v>
      </c>
      <c r="D55" s="302">
        <f>$D$7*F55</f>
        <v>0</v>
      </c>
      <c r="E55" s="302">
        <f>F55-D55</f>
        <v>0</v>
      </c>
      <c r="F55" s="292"/>
      <c r="G55" s="2305"/>
      <c r="H55" s="2306"/>
      <c r="I55" s="2307"/>
      <c r="J55" s="394"/>
      <c r="K55" s="394"/>
      <c r="L55" s="394"/>
      <c r="M55" s="394"/>
      <c r="N55" s="394" t="str">
        <f>IFERROR(ROUND($F55/$B$5,0),"")</f>
        <v/>
      </c>
      <c r="O55" s="394" t="str">
        <f>IFERROR(ROUND($F55/$B$5/12,0),"")</f>
        <v/>
      </c>
      <c r="P55" s="394"/>
      <c r="Q55" s="394"/>
      <c r="R55" s="5"/>
      <c r="S55" s="5"/>
      <c r="T55" s="5"/>
      <c r="U55" s="125" t="e">
        <f ca="1">HLOOKUP(Y55,CYAMR,2,FALSE)</f>
        <v>#REF!</v>
      </c>
      <c r="V55" s="125" t="e">
        <f t="shared" ca="1" si="1"/>
        <v>#REF!</v>
      </c>
      <c r="W55" s="457" t="e">
        <f ca="1">(F55-U55)/U55</f>
        <v>#REF!</v>
      </c>
      <c r="X55" s="457"/>
      <c r="Y55" s="413" t="s">
        <v>360</v>
      </c>
      <c r="Z55" s="5"/>
      <c r="AA55" s="5"/>
      <c r="AB55" s="5"/>
      <c r="AC55" s="5"/>
    </row>
    <row r="56" spans="1:29" ht="15" customHeight="1">
      <c r="A56" s="2288" t="s">
        <v>33</v>
      </c>
      <c r="B56" s="2289"/>
      <c r="C56" s="136">
        <v>6453</v>
      </c>
      <c r="D56" s="302">
        <f>$D$7*F56</f>
        <v>0</v>
      </c>
      <c r="E56" s="302">
        <f>F56-D56</f>
        <v>0</v>
      </c>
      <c r="F56" s="292"/>
      <c r="G56" s="2305"/>
      <c r="H56" s="2306"/>
      <c r="I56" s="2307"/>
      <c r="J56" s="394"/>
      <c r="K56" s="394"/>
      <c r="L56" s="394"/>
      <c r="M56" s="394"/>
      <c r="N56" s="394" t="str">
        <f>IFERROR(ROUND($F56/$B$5,0),"")</f>
        <v/>
      </c>
      <c r="O56" s="394" t="str">
        <f>IFERROR(ROUND($F56/$B$5/12,0),"")</f>
        <v/>
      </c>
      <c r="P56" s="394"/>
      <c r="Q56" s="394"/>
      <c r="R56" s="5"/>
      <c r="S56" s="5"/>
      <c r="T56" s="5"/>
      <c r="U56" s="125" t="e">
        <f ca="1">HLOOKUP(Y56,CYAMR,2,FALSE)</f>
        <v>#REF!</v>
      </c>
      <c r="V56" s="125" t="e">
        <f t="shared" ca="1" si="1"/>
        <v>#REF!</v>
      </c>
      <c r="W56" s="457" t="e">
        <f ca="1">(F56-U56)/U56</f>
        <v>#REF!</v>
      </c>
      <c r="X56" s="457"/>
      <c r="Y56" s="413" t="s">
        <v>361</v>
      </c>
      <c r="Z56" s="5"/>
      <c r="AA56" s="5"/>
      <c r="AB56" s="5"/>
      <c r="AC56" s="5"/>
    </row>
    <row r="57" spans="1:29" ht="15" customHeight="1">
      <c r="A57" s="5"/>
      <c r="B57" s="1082" t="s">
        <v>57</v>
      </c>
      <c r="C57" s="126"/>
      <c r="D57" s="295">
        <f>SUM(D53:D56)</f>
        <v>0</v>
      </c>
      <c r="E57" s="295">
        <f>SUM(E53:E56)</f>
        <v>0</v>
      </c>
      <c r="F57" s="295">
        <f>SUM(F53:F56)</f>
        <v>0</v>
      </c>
      <c r="G57" s="129" t="str">
        <f>IF($B$5&lt;&gt;0,"PUPA:","")</f>
        <v/>
      </c>
      <c r="H57" s="130" t="str">
        <f>IF($B$5&lt;&gt;0,ROUND($F57/$B$5,0),"")</f>
        <v/>
      </c>
      <c r="I57" s="130"/>
      <c r="J57" s="394"/>
      <c r="K57" s="394"/>
      <c r="L57" s="394"/>
      <c r="M57" s="394"/>
      <c r="N57" s="394"/>
      <c r="O57" s="394"/>
      <c r="P57" s="394"/>
      <c r="Q57" s="394"/>
      <c r="R57" s="5"/>
      <c r="S57" s="5"/>
      <c r="T57" s="5"/>
      <c r="U57" s="455" t="e">
        <f ca="1">SUM(U53:U56)</f>
        <v>#REF!</v>
      </c>
      <c r="V57" s="175" t="e">
        <f t="shared" ca="1" si="1"/>
        <v>#REF!</v>
      </c>
      <c r="W57" s="457" t="e">
        <f ca="1">(F57-U57)/U57</f>
        <v>#REF!</v>
      </c>
      <c r="X57" s="457"/>
      <c r="Y57" s="5"/>
      <c r="Z57" s="5"/>
      <c r="AA57" s="5"/>
      <c r="AB57" s="5"/>
      <c r="AC57" s="5"/>
    </row>
    <row r="58" spans="1:29" ht="15" customHeight="1">
      <c r="A58" s="139" t="s">
        <v>40</v>
      </c>
      <c r="B58" s="139"/>
      <c r="C58" s="133"/>
      <c r="D58" s="133"/>
      <c r="E58" s="133"/>
      <c r="F58" s="296"/>
      <c r="G58" s="128"/>
      <c r="H58" s="128"/>
      <c r="I58" s="128"/>
      <c r="J58" s="740" t="s">
        <v>695</v>
      </c>
      <c r="K58" s="740"/>
      <c r="L58" s="740" t="s">
        <v>610</v>
      </c>
      <c r="M58" s="741" t="s">
        <v>696</v>
      </c>
      <c r="N58" s="394"/>
      <c r="O58" s="394"/>
      <c r="P58" s="394"/>
      <c r="Q58" s="394"/>
      <c r="R58" s="5"/>
      <c r="S58" s="5"/>
      <c r="T58" s="5"/>
      <c r="U58" s="5"/>
      <c r="V58" s="5"/>
      <c r="W58" s="5"/>
      <c r="X58" s="5"/>
      <c r="Y58" s="5"/>
      <c r="Z58" s="5"/>
      <c r="AA58" s="5"/>
      <c r="AB58" s="5"/>
      <c r="AC58" s="5"/>
    </row>
    <row r="59" spans="1:29" ht="15" customHeight="1">
      <c r="A59" s="2288" t="s">
        <v>36</v>
      </c>
      <c r="B59" s="2289"/>
      <c r="C59" s="136">
        <v>6710</v>
      </c>
      <c r="D59" s="302">
        <f>IF(K59&lt;&gt;"",K59*F59,$D$7*F59)</f>
        <v>0</v>
      </c>
      <c r="E59" s="302">
        <f>F59-D59</f>
        <v>0</v>
      </c>
      <c r="F59" s="292"/>
      <c r="G59" s="2305"/>
      <c r="H59" s="2306"/>
      <c r="I59" s="2307"/>
      <c r="J59" s="741" t="str">
        <f>A59</f>
        <v>Real Estate Taxes</v>
      </c>
      <c r="K59" s="760"/>
      <c r="L59" s="733" t="str">
        <f>IF(K59&lt;&gt;"", 1-K59, "")</f>
        <v/>
      </c>
      <c r="M59" s="742"/>
      <c r="N59" s="394" t="str">
        <f>IFERROR(ROUND($F59/$B$5,0),"")</f>
        <v/>
      </c>
      <c r="O59" s="394"/>
      <c r="P59" s="394"/>
      <c r="Q59" s="394"/>
      <c r="R59" s="5"/>
      <c r="S59" s="5"/>
      <c r="T59" s="5"/>
      <c r="U59" s="125" t="e">
        <f ca="1">HLOOKUP(Y59,CYAMR,2,FALSE)</f>
        <v>#REF!</v>
      </c>
      <c r="V59" s="125" t="e">
        <f t="shared" ca="1" si="1"/>
        <v>#REF!</v>
      </c>
      <c r="W59" s="457" t="e">
        <f ca="1">(F59-U59)/U59</f>
        <v>#REF!</v>
      </c>
      <c r="X59" s="457"/>
      <c r="Y59" s="413" t="s">
        <v>362</v>
      </c>
      <c r="Z59" s="5"/>
      <c r="AA59" s="5"/>
      <c r="AB59" s="5"/>
      <c r="AC59" s="5"/>
    </row>
    <row r="60" spans="1:29" ht="15" customHeight="1">
      <c r="A60" s="2288" t="s">
        <v>37</v>
      </c>
      <c r="B60" s="2289"/>
      <c r="C60" s="136">
        <v>6711</v>
      </c>
      <c r="D60" s="302">
        <f>IF(K60&lt;&gt;"",K60*F60,$D$7*F60)</f>
        <v>0</v>
      </c>
      <c r="E60" s="302">
        <f>F60-D60</f>
        <v>0</v>
      </c>
      <c r="F60" s="292"/>
      <c r="G60" s="2305"/>
      <c r="H60" s="2306"/>
      <c r="I60" s="2307"/>
      <c r="J60" s="741" t="str">
        <f>A60</f>
        <v>Payroll Taxes</v>
      </c>
      <c r="K60" s="760"/>
      <c r="L60" s="733" t="str">
        <f>IF(K60&lt;&gt;"", 1-K60, "")</f>
        <v/>
      </c>
      <c r="M60" s="742"/>
      <c r="N60" s="394" t="str">
        <f>IFERROR(ROUND($F60/$B$5,0),"")</f>
        <v/>
      </c>
      <c r="O60" s="394"/>
      <c r="P60" s="394"/>
      <c r="Q60" s="394"/>
      <c r="R60" s="5"/>
      <c r="S60" s="5"/>
      <c r="T60" s="5"/>
      <c r="U60" s="125" t="e">
        <f ca="1">HLOOKUP(Y60,CYAMR,2,FALSE)</f>
        <v>#REF!</v>
      </c>
      <c r="V60" s="125" t="e">
        <f t="shared" ca="1" si="1"/>
        <v>#REF!</v>
      </c>
      <c r="W60" s="457" t="e">
        <f ca="1">(F60-U60)/U60</f>
        <v>#REF!</v>
      </c>
      <c r="X60" s="457"/>
      <c r="Y60" s="413" t="s">
        <v>363</v>
      </c>
      <c r="Z60" s="5"/>
      <c r="AA60" s="5"/>
      <c r="AB60" s="5"/>
      <c r="AC60" s="5"/>
    </row>
    <row r="61" spans="1:29" ht="15" customHeight="1">
      <c r="A61" s="2288" t="s">
        <v>38</v>
      </c>
      <c r="B61" s="2289"/>
      <c r="C61" s="136">
        <v>6790</v>
      </c>
      <c r="D61" s="302">
        <f>$D$7*F61</f>
        <v>0</v>
      </c>
      <c r="E61" s="302">
        <f>F61-D61</f>
        <v>0</v>
      </c>
      <c r="F61" s="292"/>
      <c r="G61" s="2305"/>
      <c r="H61" s="2306"/>
      <c r="I61" s="2307"/>
      <c r="J61" s="394"/>
      <c r="K61" s="394"/>
      <c r="L61" s="394"/>
      <c r="M61" s="394"/>
      <c r="N61" s="394" t="str">
        <f>IFERROR(ROUND($F61/$B$5,0),"")</f>
        <v/>
      </c>
      <c r="O61" s="394"/>
      <c r="P61" s="394"/>
      <c r="Q61" s="394"/>
      <c r="R61" s="5"/>
      <c r="S61" s="5"/>
      <c r="T61" s="5"/>
      <c r="U61" s="125" t="e">
        <f ca="1">HLOOKUP(Y61,CYAMR,2,FALSE)</f>
        <v>#REF!</v>
      </c>
      <c r="V61" s="125" t="e">
        <f t="shared" ca="1" si="1"/>
        <v>#REF!</v>
      </c>
      <c r="W61" s="457" t="e">
        <f ca="1">(F61-U61)/U61</f>
        <v>#REF!</v>
      </c>
      <c r="X61" s="457"/>
      <c r="Y61" s="413" t="s">
        <v>364</v>
      </c>
      <c r="Z61" s="5"/>
      <c r="AA61" s="5"/>
      <c r="AB61" s="5"/>
      <c r="AC61" s="5"/>
    </row>
    <row r="62" spans="1:29" ht="15" customHeight="1">
      <c r="A62" s="5"/>
      <c r="B62" s="1082" t="s">
        <v>39</v>
      </c>
      <c r="C62" s="126"/>
      <c r="D62" s="295">
        <f>SUM(D59:D61)</f>
        <v>0</v>
      </c>
      <c r="E62" s="295">
        <f>SUM(E59:E61)</f>
        <v>0</v>
      </c>
      <c r="F62" s="295">
        <f>SUM(F59:F61)</f>
        <v>0</v>
      </c>
      <c r="G62" s="129" t="str">
        <f>IF($B$5&lt;&gt;0,"PUPA:","")</f>
        <v/>
      </c>
      <c r="H62" s="130" t="str">
        <f>IF($B$5&lt;&gt;0,ROUND($F62/$B$5,0),"")</f>
        <v/>
      </c>
      <c r="I62" s="130"/>
      <c r="J62" s="394"/>
      <c r="K62" s="394"/>
      <c r="L62" s="394"/>
      <c r="M62" s="394"/>
      <c r="N62" s="394"/>
      <c r="O62" s="394"/>
      <c r="P62" s="394"/>
      <c r="Q62" s="394"/>
      <c r="R62" s="5"/>
      <c r="S62" s="5"/>
      <c r="T62" s="5"/>
      <c r="U62" s="455" t="e">
        <f ca="1">SUM(U59:U61)</f>
        <v>#REF!</v>
      </c>
      <c r="V62" s="175" t="e">
        <f t="shared" ca="1" si="1"/>
        <v>#REF!</v>
      </c>
      <c r="W62" s="457" t="e">
        <f ca="1">(F62-U62)/U62</f>
        <v>#REF!</v>
      </c>
      <c r="X62" s="457"/>
      <c r="Y62" s="5"/>
      <c r="Z62" s="5"/>
      <c r="AA62" s="5"/>
      <c r="AB62" s="5"/>
      <c r="AC62" s="5"/>
    </row>
    <row r="63" spans="1:29" ht="15" customHeight="1">
      <c r="A63" s="139" t="s">
        <v>1</v>
      </c>
      <c r="B63" s="139"/>
      <c r="C63" s="124"/>
      <c r="D63" s="124"/>
      <c r="E63" s="124"/>
      <c r="F63" s="296"/>
      <c r="G63" s="128"/>
      <c r="H63" s="128"/>
      <c r="I63" s="128"/>
      <c r="J63" s="394"/>
      <c r="K63" s="394"/>
      <c r="L63" s="394"/>
      <c r="M63" s="394"/>
      <c r="N63" s="394"/>
      <c r="O63" s="394"/>
      <c r="P63" s="394"/>
      <c r="Q63" s="394"/>
      <c r="R63" s="5"/>
      <c r="S63" s="5"/>
      <c r="T63" s="5"/>
      <c r="U63" s="5"/>
      <c r="V63" s="5"/>
      <c r="W63" s="5"/>
      <c r="X63" s="5"/>
      <c r="Y63" s="5"/>
      <c r="Z63" s="5"/>
      <c r="AA63" s="5"/>
      <c r="AB63" s="5"/>
      <c r="AC63" s="5"/>
    </row>
    <row r="64" spans="1:29" ht="15" customHeight="1">
      <c r="A64" s="2288" t="s">
        <v>41</v>
      </c>
      <c r="B64" s="2289"/>
      <c r="C64" s="136">
        <v>6720</v>
      </c>
      <c r="D64" s="302">
        <f>$D$7*F64</f>
        <v>0</v>
      </c>
      <c r="E64" s="302">
        <f>F64-D64</f>
        <v>0</v>
      </c>
      <c r="F64" s="292"/>
      <c r="G64" s="2305"/>
      <c r="H64" s="2306"/>
      <c r="I64" s="2307"/>
      <c r="J64" s="394"/>
      <c r="K64" s="394"/>
      <c r="L64" s="394"/>
      <c r="M64" s="394"/>
      <c r="N64" s="394" t="str">
        <f>IFERROR(ROUND($F64/$B$5,0),"")</f>
        <v/>
      </c>
      <c r="O64" s="394"/>
      <c r="P64" s="394"/>
      <c r="Q64" s="394"/>
      <c r="R64" s="5"/>
      <c r="S64" s="5"/>
      <c r="T64" s="5"/>
      <c r="U64" s="125" t="e">
        <f ca="1">HLOOKUP(Y64,CYAMR,2,FALSE)</f>
        <v>#REF!</v>
      </c>
      <c r="V64" s="125" t="e">
        <f t="shared" ca="1" si="1"/>
        <v>#REF!</v>
      </c>
      <c r="W64" s="457" t="e">
        <f ca="1">(F64-U64)/U64</f>
        <v>#REF!</v>
      </c>
      <c r="X64" s="457"/>
      <c r="Y64" s="413" t="s">
        <v>365</v>
      </c>
      <c r="Z64" s="5"/>
      <c r="AA64" s="5"/>
      <c r="AB64" s="5"/>
      <c r="AC64" s="5"/>
    </row>
    <row r="65" spans="1:29" ht="15" customHeight="1">
      <c r="A65" s="2288" t="s">
        <v>42</v>
      </c>
      <c r="B65" s="2289"/>
      <c r="C65" s="136">
        <v>6721</v>
      </c>
      <c r="D65" s="302">
        <f>$D$7*F65</f>
        <v>0</v>
      </c>
      <c r="E65" s="302">
        <f>F65-D65</f>
        <v>0</v>
      </c>
      <c r="F65" s="292"/>
      <c r="G65" s="2305"/>
      <c r="H65" s="2306"/>
      <c r="I65" s="2307"/>
      <c r="J65" s="740" t="s">
        <v>695</v>
      </c>
      <c r="K65" s="740"/>
      <c r="L65" s="740" t="s">
        <v>610</v>
      </c>
      <c r="M65" s="741" t="s">
        <v>696</v>
      </c>
      <c r="N65" s="394" t="str">
        <f>IFERROR(ROUND($F65/$B$5,0),"")</f>
        <v/>
      </c>
      <c r="O65" s="394"/>
      <c r="P65" s="394"/>
      <c r="Q65" s="394"/>
      <c r="R65" s="5"/>
      <c r="S65" s="5"/>
      <c r="T65" s="5"/>
      <c r="U65" s="125" t="e">
        <f ca="1">HLOOKUP(Y65,CYAMR,2,FALSE)</f>
        <v>#REF!</v>
      </c>
      <c r="V65" s="125" t="e">
        <f t="shared" ca="1" si="1"/>
        <v>#REF!</v>
      </c>
      <c r="W65" s="457" t="e">
        <f ca="1">(F65-U65)/U65</f>
        <v>#REF!</v>
      </c>
      <c r="X65" s="457"/>
      <c r="Y65" s="413" t="s">
        <v>366</v>
      </c>
      <c r="Z65" s="5"/>
      <c r="AA65" s="5"/>
      <c r="AB65" s="5"/>
      <c r="AC65" s="5"/>
    </row>
    <row r="66" spans="1:29" ht="15" customHeight="1">
      <c r="A66" s="2288" t="s">
        <v>43</v>
      </c>
      <c r="B66" s="2289"/>
      <c r="C66" s="136">
        <v>6722</v>
      </c>
      <c r="D66" s="302">
        <f>IF(K66&lt;&gt;"",K66*F66,$D$7*F66)</f>
        <v>0</v>
      </c>
      <c r="E66" s="302">
        <f>F66-D66</f>
        <v>0</v>
      </c>
      <c r="F66" s="292"/>
      <c r="G66" s="2305"/>
      <c r="H66" s="2306"/>
      <c r="I66" s="2307"/>
      <c r="J66" s="741" t="str">
        <f>A66</f>
        <v>Worker's Compensation</v>
      </c>
      <c r="K66" s="760"/>
      <c r="L66" s="733" t="str">
        <f>IF(K66&lt;&gt;"", 1-K66, "")</f>
        <v/>
      </c>
      <c r="M66" s="742"/>
      <c r="N66" s="394" t="str">
        <f>IFERROR(ROUND($F66/$B$5,0),"")</f>
        <v/>
      </c>
      <c r="O66" s="394"/>
      <c r="P66" s="394"/>
      <c r="Q66" s="394"/>
      <c r="R66" s="5"/>
      <c r="S66" s="5"/>
      <c r="T66" s="5"/>
      <c r="U66" s="125" t="e">
        <f ca="1">HLOOKUP(Y66,CYAMR,2,FALSE)</f>
        <v>#REF!</v>
      </c>
      <c r="V66" s="125" t="e">
        <f t="shared" ca="1" si="1"/>
        <v>#REF!</v>
      </c>
      <c r="W66" s="457" t="e">
        <f ca="1">(F66-U66)/U66</f>
        <v>#REF!</v>
      </c>
      <c r="X66" s="457"/>
      <c r="Y66" s="413" t="s">
        <v>367</v>
      </c>
      <c r="Z66" s="5"/>
      <c r="AA66" s="5"/>
      <c r="AB66" s="5"/>
      <c r="AC66" s="5"/>
    </row>
    <row r="67" spans="1:29" ht="15" customHeight="1">
      <c r="A67" s="2288" t="s">
        <v>80</v>
      </c>
      <c r="B67" s="2289"/>
      <c r="C67" s="136">
        <v>6722</v>
      </c>
      <c r="D67" s="302">
        <f>$D$7*F67</f>
        <v>0</v>
      </c>
      <c r="E67" s="302">
        <f>F67-D67</f>
        <v>0</v>
      </c>
      <c r="F67" s="292"/>
      <c r="G67" s="2305"/>
      <c r="H67" s="2306"/>
      <c r="I67" s="2307"/>
      <c r="J67" s="394"/>
      <c r="K67" s="394"/>
      <c r="L67" s="394"/>
      <c r="M67" s="394"/>
      <c r="N67" s="394" t="str">
        <f>IFERROR(ROUND($F67/$B$5,0),"")</f>
        <v/>
      </c>
      <c r="O67" s="394"/>
      <c r="P67" s="394"/>
      <c r="Q67" s="394"/>
      <c r="R67" s="5"/>
      <c r="S67" s="5"/>
      <c r="T67" s="5"/>
      <c r="U67" s="125" t="e">
        <f ca="1">HLOOKUP(Y67,CYAMR,2,FALSE)</f>
        <v>#REF!</v>
      </c>
      <c r="V67" s="125" t="e">
        <f t="shared" ca="1" si="1"/>
        <v>#REF!</v>
      </c>
      <c r="W67" s="457" t="e">
        <f ca="1">(F67-U67)/U67</f>
        <v>#REF!</v>
      </c>
      <c r="X67" s="457"/>
      <c r="Y67" s="413" t="s">
        <v>368</v>
      </c>
      <c r="Z67" s="5"/>
      <c r="AA67" s="5"/>
      <c r="AB67" s="5"/>
      <c r="AC67" s="5"/>
    </row>
    <row r="68" spans="1:29" ht="15" customHeight="1">
      <c r="A68" s="5"/>
      <c r="B68" s="1082" t="s">
        <v>44</v>
      </c>
      <c r="C68" s="126"/>
      <c r="D68" s="295">
        <f>SUM(D64:D67)</f>
        <v>0</v>
      </c>
      <c r="E68" s="295">
        <f>SUM(E64:E67)</f>
        <v>0</v>
      </c>
      <c r="F68" s="295">
        <f>SUM(F64:F67)</f>
        <v>0</v>
      </c>
      <c r="G68" s="129" t="str">
        <f>IF($B$5&lt;&gt;0,"PUPA:","")</f>
        <v/>
      </c>
      <c r="H68" s="130" t="str">
        <f>IF($B$5&lt;&gt;0,ROUND($F68/$B$5,0),"")</f>
        <v/>
      </c>
      <c r="I68" s="130"/>
      <c r="J68" s="394"/>
      <c r="K68" s="394"/>
      <c r="L68" s="394"/>
      <c r="M68" s="394"/>
      <c r="N68" s="394"/>
      <c r="O68" s="394"/>
      <c r="P68" s="394"/>
      <c r="Q68" s="394"/>
      <c r="R68" s="5"/>
      <c r="S68" s="5"/>
      <c r="T68" s="5"/>
      <c r="U68" s="455" t="e">
        <f ca="1">SUM(U64:U67)</f>
        <v>#REF!</v>
      </c>
      <c r="V68" s="175" t="e">
        <f t="shared" ca="1" si="1"/>
        <v>#REF!</v>
      </c>
      <c r="W68" s="457" t="e">
        <f ca="1">(F68-U68)/U68</f>
        <v>#REF!</v>
      </c>
      <c r="X68" s="457"/>
      <c r="Y68" s="5"/>
      <c r="Z68" s="5"/>
      <c r="AA68" s="5"/>
      <c r="AB68" s="5"/>
      <c r="AC68" s="5"/>
    </row>
    <row r="69" spans="1:29" ht="15" customHeight="1">
      <c r="A69" s="139" t="s">
        <v>45</v>
      </c>
      <c r="B69" s="139"/>
      <c r="C69" s="133"/>
      <c r="D69" s="133"/>
      <c r="E69" s="133"/>
      <c r="F69" s="296"/>
      <c r="G69" s="138"/>
      <c r="H69" s="128"/>
      <c r="I69" s="128"/>
      <c r="J69" s="740" t="s">
        <v>695</v>
      </c>
      <c r="K69" s="740" t="s">
        <v>319</v>
      </c>
      <c r="L69" s="740" t="s">
        <v>610</v>
      </c>
      <c r="M69" s="741" t="s">
        <v>696</v>
      </c>
      <c r="N69" s="394"/>
      <c r="O69" s="394"/>
      <c r="P69" s="394"/>
      <c r="Q69" s="394"/>
      <c r="R69" s="5"/>
      <c r="S69" s="5"/>
      <c r="T69" s="5"/>
      <c r="U69" s="5"/>
      <c r="V69" s="5"/>
      <c r="W69" s="5"/>
      <c r="X69" s="5"/>
      <c r="Y69" s="5"/>
      <c r="Z69" s="5"/>
      <c r="AA69" s="5"/>
      <c r="AB69" s="5"/>
      <c r="AC69" s="5"/>
    </row>
    <row r="70" spans="1:29" ht="15" customHeight="1">
      <c r="A70" s="2288" t="s">
        <v>46</v>
      </c>
      <c r="B70" s="2289"/>
      <c r="C70" s="136">
        <v>6510</v>
      </c>
      <c r="D70" s="302">
        <f>IF(K70&lt;&gt;"",K70*F70,$D$7*F70)</f>
        <v>0</v>
      </c>
      <c r="E70" s="302">
        <f t="shared" ref="E70:E77" si="13">F70-D70</f>
        <v>0</v>
      </c>
      <c r="F70" s="291">
        <f>'6a. Staffing'!G34</f>
        <v>0</v>
      </c>
      <c r="G70" s="2302" t="s">
        <v>1646</v>
      </c>
      <c r="H70" s="2303"/>
      <c r="I70" s="2304"/>
      <c r="J70" s="741" t="str">
        <f>A70</f>
        <v>Payroll</v>
      </c>
      <c r="K70" s="760"/>
      <c r="L70" s="733" t="str">
        <f>IF(K70&lt;&gt;"", 1-K70, "")</f>
        <v/>
      </c>
      <c r="M70" s="742"/>
      <c r="N70" s="394" t="str">
        <f t="shared" ref="N70:N77" si="14">IFERROR(ROUND($F70/$B$5,0),"")</f>
        <v/>
      </c>
      <c r="O70" s="394"/>
      <c r="P70" s="394"/>
      <c r="Q70" s="394"/>
      <c r="R70" s="5"/>
      <c r="S70" s="5"/>
      <c r="T70" s="5"/>
      <c r="U70" s="125" t="e">
        <f t="shared" ref="U70:U77" ca="1" si="15">HLOOKUP(Y70,CYAMR,2,FALSE)</f>
        <v>#REF!</v>
      </c>
      <c r="V70" s="125" t="e">
        <f t="shared" ca="1" si="1"/>
        <v>#REF!</v>
      </c>
      <c r="W70" s="457" t="e">
        <f t="shared" ref="W70:W78" ca="1" si="16">(F70-U70)/U70</f>
        <v>#REF!</v>
      </c>
      <c r="X70" s="457"/>
      <c r="Y70" s="413" t="s">
        <v>369</v>
      </c>
      <c r="Z70" s="5"/>
      <c r="AA70" s="5"/>
      <c r="AB70" s="5"/>
      <c r="AC70" s="5"/>
    </row>
    <row r="71" spans="1:29" ht="15" customHeight="1">
      <c r="A71" s="2288" t="s">
        <v>47</v>
      </c>
      <c r="B71" s="2289"/>
      <c r="C71" s="136">
        <v>6515</v>
      </c>
      <c r="D71" s="292">
        <f>$D$7*F71</f>
        <v>0</v>
      </c>
      <c r="E71" s="302">
        <f t="shared" si="13"/>
        <v>0</v>
      </c>
      <c r="F71" s="292"/>
      <c r="G71" s="2305"/>
      <c r="H71" s="2306"/>
      <c r="I71" s="2307"/>
      <c r="J71" s="739" t="str">
        <f>A71</f>
        <v>Supplies</v>
      </c>
      <c r="K71" s="732"/>
      <c r="L71" s="732" t="str">
        <f>IF(F71&lt;&gt;0,1-K71,"")</f>
        <v/>
      </c>
      <c r="M71" s="1662" t="s">
        <v>1370</v>
      </c>
      <c r="N71" s="394" t="str">
        <f t="shared" si="14"/>
        <v/>
      </c>
      <c r="O71" s="394"/>
      <c r="P71" s="394"/>
      <c r="Q71" s="394"/>
      <c r="R71" s="5"/>
      <c r="S71" s="5"/>
      <c r="T71" s="5"/>
      <c r="U71" s="125" t="e">
        <f t="shared" ca="1" si="15"/>
        <v>#REF!</v>
      </c>
      <c r="V71" s="125" t="e">
        <f t="shared" ca="1" si="1"/>
        <v>#REF!</v>
      </c>
      <c r="W71" s="457" t="e">
        <f t="shared" ca="1" si="16"/>
        <v>#REF!</v>
      </c>
      <c r="X71" s="457"/>
      <c r="Y71" s="413" t="s">
        <v>370</v>
      </c>
      <c r="Z71" s="5"/>
      <c r="AA71" s="5"/>
      <c r="AB71" s="5"/>
      <c r="AC71" s="5"/>
    </row>
    <row r="72" spans="1:29" ht="15" customHeight="1">
      <c r="A72" s="2288" t="s">
        <v>48</v>
      </c>
      <c r="B72" s="2289"/>
      <c r="C72" s="136">
        <v>6520</v>
      </c>
      <c r="D72" s="302">
        <f>IF(K72&lt;&gt;"",K72*F72,$D$7*F72)</f>
        <v>0</v>
      </c>
      <c r="E72" s="302">
        <f t="shared" si="13"/>
        <v>0</v>
      </c>
      <c r="F72" s="292"/>
      <c r="G72" s="2305"/>
      <c r="H72" s="2306"/>
      <c r="I72" s="2307"/>
      <c r="J72" s="741" t="str">
        <f>A72</f>
        <v>Contracts</v>
      </c>
      <c r="K72" s="760"/>
      <c r="L72" s="733" t="str">
        <f>IF(K72&lt;&gt;"", 1-K72, "")</f>
        <v/>
      </c>
      <c r="M72" s="742"/>
      <c r="N72" s="394" t="str">
        <f t="shared" si="14"/>
        <v/>
      </c>
      <c r="O72" s="394"/>
      <c r="P72" s="394"/>
      <c r="Q72" s="394"/>
      <c r="R72" s="5"/>
      <c r="S72" s="5"/>
      <c r="T72" s="5"/>
      <c r="U72" s="125" t="e">
        <f t="shared" ca="1" si="15"/>
        <v>#REF!</v>
      </c>
      <c r="V72" s="125" t="e">
        <f t="shared" ca="1" si="1"/>
        <v>#REF!</v>
      </c>
      <c r="W72" s="457" t="e">
        <f t="shared" ca="1" si="16"/>
        <v>#REF!</v>
      </c>
      <c r="X72" s="457"/>
      <c r="Y72" s="413" t="s">
        <v>371</v>
      </c>
      <c r="Z72" s="5"/>
      <c r="AA72" s="5"/>
      <c r="AB72" s="5"/>
      <c r="AC72" s="5"/>
    </row>
    <row r="73" spans="1:29" ht="15" customHeight="1">
      <c r="A73" s="2288" t="s">
        <v>49</v>
      </c>
      <c r="B73" s="2289"/>
      <c r="C73" s="136">
        <v>6525</v>
      </c>
      <c r="D73" s="302">
        <f>$D$7*F73</f>
        <v>0</v>
      </c>
      <c r="E73" s="302">
        <f t="shared" si="13"/>
        <v>0</v>
      </c>
      <c r="F73" s="292"/>
      <c r="G73" s="2305"/>
      <c r="H73" s="2306"/>
      <c r="I73" s="2307"/>
      <c r="J73" s="740" t="s">
        <v>695</v>
      </c>
      <c r="K73" s="740"/>
      <c r="L73" s="740" t="s">
        <v>610</v>
      </c>
      <c r="M73" s="741" t="s">
        <v>696</v>
      </c>
      <c r="N73" s="394" t="str">
        <f t="shared" si="14"/>
        <v/>
      </c>
      <c r="O73" s="394"/>
      <c r="P73" s="394"/>
      <c r="Q73" s="394"/>
      <c r="R73" s="5"/>
      <c r="S73" s="5"/>
      <c r="T73" s="5"/>
      <c r="U73" s="125" t="e">
        <f t="shared" ca="1" si="15"/>
        <v>#REF!</v>
      </c>
      <c r="V73" s="125" t="e">
        <f t="shared" ca="1" si="1"/>
        <v>#REF!</v>
      </c>
      <c r="W73" s="457" t="e">
        <f t="shared" ca="1" si="16"/>
        <v>#REF!</v>
      </c>
      <c r="X73" s="457"/>
      <c r="Y73" s="413" t="s">
        <v>372</v>
      </c>
      <c r="Z73" s="5"/>
      <c r="AA73" s="5"/>
      <c r="AB73" s="5"/>
      <c r="AC73" s="5"/>
    </row>
    <row r="74" spans="1:29" ht="15" customHeight="1">
      <c r="A74" s="2288" t="s">
        <v>50</v>
      </c>
      <c r="B74" s="2289"/>
      <c r="C74" s="136">
        <v>6530</v>
      </c>
      <c r="D74" s="302">
        <f>IF(K74&lt;&gt;"",K74*F74,$D$7*F74)</f>
        <v>0</v>
      </c>
      <c r="E74" s="302">
        <f t="shared" si="13"/>
        <v>0</v>
      </c>
      <c r="F74" s="291">
        <f>'6a. Staffing'!G45</f>
        <v>0</v>
      </c>
      <c r="G74" s="2302" t="s">
        <v>1646</v>
      </c>
      <c r="H74" s="2303"/>
      <c r="I74" s="2304"/>
      <c r="J74" s="741" t="str">
        <f>A74</f>
        <v>Security Payroll/Contract</v>
      </c>
      <c r="K74" s="760"/>
      <c r="L74" s="733" t="str">
        <f>IF(K74&lt;&gt;"", 1-K74, "")</f>
        <v/>
      </c>
      <c r="M74" s="742"/>
      <c r="N74" s="394" t="str">
        <f t="shared" si="14"/>
        <v/>
      </c>
      <c r="O74" s="394"/>
      <c r="P74" s="394"/>
      <c r="Q74" s="394"/>
      <c r="R74" s="5"/>
      <c r="S74" s="5"/>
      <c r="T74" s="5"/>
      <c r="U74" s="125" t="e">
        <f t="shared" ca="1" si="15"/>
        <v>#REF!</v>
      </c>
      <c r="V74" s="125" t="e">
        <f t="shared" ca="1" si="1"/>
        <v>#REF!</v>
      </c>
      <c r="W74" s="457" t="e">
        <f t="shared" ca="1" si="16"/>
        <v>#REF!</v>
      </c>
      <c r="X74" s="457"/>
      <c r="Y74" s="413" t="s">
        <v>373</v>
      </c>
      <c r="Z74" s="5"/>
      <c r="AA74" s="5"/>
      <c r="AB74" s="5"/>
      <c r="AC74" s="5"/>
    </row>
    <row r="75" spans="1:29" ht="15" customHeight="1">
      <c r="A75" s="2288" t="s">
        <v>51</v>
      </c>
      <c r="B75" s="2289"/>
      <c r="C75" s="136">
        <v>6546</v>
      </c>
      <c r="D75" s="302">
        <f>$D$7*F75</f>
        <v>0</v>
      </c>
      <c r="E75" s="302">
        <f t="shared" si="13"/>
        <v>0</v>
      </c>
      <c r="F75" s="292"/>
      <c r="G75" s="2305"/>
      <c r="H75" s="2306"/>
      <c r="I75" s="2307"/>
      <c r="J75" s="394"/>
      <c r="K75" s="394"/>
      <c r="L75" s="394"/>
      <c r="M75" s="394"/>
      <c r="N75" s="394" t="str">
        <f t="shared" si="14"/>
        <v/>
      </c>
      <c r="O75" s="394"/>
      <c r="P75" s="394"/>
      <c r="Q75" s="394"/>
      <c r="R75" s="5"/>
      <c r="S75" s="5"/>
      <c r="T75" s="5"/>
      <c r="U75" s="125" t="e">
        <f t="shared" ca="1" si="15"/>
        <v>#REF!</v>
      </c>
      <c r="V75" s="125" t="e">
        <f t="shared" ref="V75:V83" ca="1" si="17">F75-U75</f>
        <v>#REF!</v>
      </c>
      <c r="W75" s="457" t="e">
        <f t="shared" ca="1" si="16"/>
        <v>#REF!</v>
      </c>
      <c r="X75" s="457"/>
      <c r="Y75" s="413" t="s">
        <v>374</v>
      </c>
      <c r="Z75" s="5"/>
      <c r="AA75" s="5"/>
      <c r="AB75" s="5"/>
      <c r="AC75" s="5"/>
    </row>
    <row r="76" spans="1:29" ht="15" customHeight="1">
      <c r="A76" s="2288" t="s">
        <v>52</v>
      </c>
      <c r="B76" s="2289"/>
      <c r="C76" s="136">
        <v>6570</v>
      </c>
      <c r="D76" s="302">
        <f>$D$7*F76</f>
        <v>0</v>
      </c>
      <c r="E76" s="302">
        <f t="shared" si="13"/>
        <v>0</v>
      </c>
      <c r="F76" s="292"/>
      <c r="G76" s="2305"/>
      <c r="H76" s="2306"/>
      <c r="I76" s="2307"/>
      <c r="J76" s="394"/>
      <c r="K76" s="394"/>
      <c r="L76" s="394"/>
      <c r="M76" s="394"/>
      <c r="N76" s="394" t="str">
        <f t="shared" si="14"/>
        <v/>
      </c>
      <c r="O76" s="394"/>
      <c r="P76" s="394"/>
      <c r="Q76" s="394"/>
      <c r="R76" s="5"/>
      <c r="S76" s="5"/>
      <c r="T76" s="5"/>
      <c r="U76" s="125" t="e">
        <f t="shared" ca="1" si="15"/>
        <v>#REF!</v>
      </c>
      <c r="V76" s="125" t="e">
        <f t="shared" ca="1" si="17"/>
        <v>#REF!</v>
      </c>
      <c r="W76" s="457" t="e">
        <f t="shared" ca="1" si="16"/>
        <v>#REF!</v>
      </c>
      <c r="X76" s="457"/>
      <c r="Y76" s="413" t="s">
        <v>375</v>
      </c>
      <c r="Z76" s="5"/>
      <c r="AA76" s="5"/>
      <c r="AB76" s="5"/>
      <c r="AC76" s="5"/>
    </row>
    <row r="77" spans="1:29" ht="15" customHeight="1">
      <c r="A77" s="2288" t="s">
        <v>53</v>
      </c>
      <c r="B77" s="2289"/>
      <c r="C77" s="136">
        <v>6590</v>
      </c>
      <c r="D77" s="302">
        <f>$D$7*F77</f>
        <v>0</v>
      </c>
      <c r="E77" s="302">
        <f t="shared" si="13"/>
        <v>0</v>
      </c>
      <c r="F77" s="292"/>
      <c r="G77" s="2305"/>
      <c r="H77" s="2306"/>
      <c r="I77" s="2307"/>
      <c r="J77" s="394"/>
      <c r="K77" s="394"/>
      <c r="L77" s="394"/>
      <c r="M77" s="394"/>
      <c r="N77" s="394" t="str">
        <f t="shared" si="14"/>
        <v/>
      </c>
      <c r="O77" s="394"/>
      <c r="P77" s="394"/>
      <c r="Q77" s="394"/>
      <c r="R77" s="5"/>
      <c r="S77" s="5"/>
      <c r="T77" s="5"/>
      <c r="U77" s="125" t="e">
        <f t="shared" ca="1" si="15"/>
        <v>#REF!</v>
      </c>
      <c r="V77" s="125" t="e">
        <f t="shared" ca="1" si="17"/>
        <v>#REF!</v>
      </c>
      <c r="W77" s="457" t="e">
        <f t="shared" ca="1" si="16"/>
        <v>#REF!</v>
      </c>
      <c r="X77" s="457"/>
      <c r="Y77" s="413" t="s">
        <v>376</v>
      </c>
      <c r="Z77" s="5"/>
      <c r="AA77" s="5"/>
      <c r="AB77" s="5"/>
      <c r="AC77" s="5"/>
    </row>
    <row r="78" spans="1:29" ht="15" customHeight="1">
      <c r="A78" s="5"/>
      <c r="B78" s="1082" t="s">
        <v>54</v>
      </c>
      <c r="C78" s="126"/>
      <c r="D78" s="295">
        <f>SUM(D70:D77)</f>
        <v>0</v>
      </c>
      <c r="E78" s="295">
        <f>SUM(E70:E77)</f>
        <v>0</v>
      </c>
      <c r="F78" s="295">
        <f>SUM(F70:F77)</f>
        <v>0</v>
      </c>
      <c r="G78" s="129" t="str">
        <f>IF($B$5&lt;&gt;0,"PUPA:","")</f>
        <v/>
      </c>
      <c r="H78" s="130" t="str">
        <f>IF($B$5&lt;&gt;0,ROUND($F78/$B$5,0),"")</f>
        <v/>
      </c>
      <c r="I78" s="130"/>
      <c r="J78" s="394"/>
      <c r="K78" s="394"/>
      <c r="L78" s="394"/>
      <c r="M78" s="394"/>
      <c r="N78" s="394"/>
      <c r="O78" s="394"/>
      <c r="P78" s="394"/>
      <c r="Q78" s="394"/>
      <c r="R78" s="5"/>
      <c r="S78" s="5"/>
      <c r="T78" s="5"/>
      <c r="U78" s="455" t="e">
        <f ca="1">SUM(U70:U77)</f>
        <v>#REF!</v>
      </c>
      <c r="V78" s="175" t="e">
        <f t="shared" ca="1" si="17"/>
        <v>#REF!</v>
      </c>
      <c r="W78" s="457" t="e">
        <f t="shared" ca="1" si="16"/>
        <v>#REF!</v>
      </c>
      <c r="X78" s="457"/>
      <c r="Y78" s="5"/>
      <c r="Z78" s="5"/>
      <c r="AA78" s="5"/>
      <c r="AB78" s="5"/>
      <c r="AC78" s="5"/>
    </row>
    <row r="79" spans="1:29" ht="15" customHeight="1">
      <c r="A79" s="129"/>
      <c r="B79" s="129"/>
      <c r="C79" s="126"/>
      <c r="D79" s="126"/>
      <c r="E79" s="126"/>
      <c r="F79" s="297"/>
      <c r="G79" s="138"/>
      <c r="H79" s="128"/>
      <c r="I79" s="128"/>
      <c r="J79" s="740" t="s">
        <v>695</v>
      </c>
      <c r="K79" s="740"/>
      <c r="L79" s="740" t="s">
        <v>610</v>
      </c>
      <c r="M79" s="741" t="s">
        <v>696</v>
      </c>
      <c r="N79" s="394"/>
      <c r="O79" s="394"/>
      <c r="P79" s="394"/>
      <c r="Q79" s="394"/>
      <c r="R79" s="5"/>
      <c r="S79" s="5"/>
      <c r="T79" s="5"/>
      <c r="U79" s="5"/>
      <c r="V79" s="5"/>
      <c r="W79" s="5"/>
      <c r="X79" s="5"/>
      <c r="Y79" s="5"/>
      <c r="Z79" s="5"/>
      <c r="AA79" s="5"/>
      <c r="AB79" s="5"/>
      <c r="AC79" s="5"/>
    </row>
    <row r="80" spans="1:29" ht="15" customHeight="1">
      <c r="A80" s="2320" t="s">
        <v>55</v>
      </c>
      <c r="B80" s="2321"/>
      <c r="C80" s="133">
        <v>6900</v>
      </c>
      <c r="D80" s="291">
        <f>IF(K80&lt;&gt;"",K80*F80,$D$7*F80)</f>
        <v>0</v>
      </c>
      <c r="E80" s="302">
        <f>F80-D80</f>
        <v>0</v>
      </c>
      <c r="F80" s="291">
        <f>'6a. Staffing'!G54</f>
        <v>0</v>
      </c>
      <c r="G80" s="2302" t="s">
        <v>1646</v>
      </c>
      <c r="H80" s="2303"/>
      <c r="I80" s="2304"/>
      <c r="J80" s="741" t="str">
        <f>A80</f>
        <v>Supportive Services</v>
      </c>
      <c r="K80" s="760"/>
      <c r="L80" s="733" t="str">
        <f>IF(K80&lt;&gt;"", 1-K80, "")</f>
        <v/>
      </c>
      <c r="M80" s="742"/>
      <c r="N80" s="394" t="str">
        <f>IFERROR(ROUND($F80/$B$5,0),"")</f>
        <v/>
      </c>
      <c r="O80" s="394"/>
      <c r="P80" s="394"/>
      <c r="Q80" s="394"/>
      <c r="R80" s="5"/>
      <c r="S80" s="5"/>
      <c r="T80" s="5"/>
      <c r="U80" s="125" t="e">
        <f ca="1">HLOOKUP(Y80,CYAMR,2,FALSE)</f>
        <v>#REF!</v>
      </c>
      <c r="V80" s="125" t="e">
        <f t="shared" ca="1" si="17"/>
        <v>#REF!</v>
      </c>
      <c r="W80" s="457" t="e">
        <f ca="1">(F80-U80)/U80</f>
        <v>#REF!</v>
      </c>
      <c r="X80" s="457"/>
      <c r="Y80" s="413" t="s">
        <v>377</v>
      </c>
      <c r="Z80" s="5"/>
      <c r="AA80" s="5"/>
      <c r="AB80" s="5"/>
      <c r="AC80" s="5"/>
    </row>
    <row r="81" spans="1:29" ht="15" customHeight="1">
      <c r="A81" s="2320" t="s">
        <v>118</v>
      </c>
      <c r="B81" s="2321"/>
      <c r="C81" s="133"/>
      <c r="D81" s="751"/>
      <c r="E81" s="751"/>
      <c r="F81" s="291">
        <f>('5.CommOp.Budget'!$E23+'5.CommOp.Budget'!$E$46+'5.CommOp.Budget'!$E$51+'5.CommOp.Budget'!$E$57+'5.CommOp.Budget'!$E$67)*'5.CommOp.Budget'!$C$2</f>
        <v>0</v>
      </c>
      <c r="G81" s="2317" t="str">
        <f>"from 'Commercial Op. Budget' Worksheet; Commercial to Residential allocation: "&amp; '5.CommOp.Budget'!$C$2 *100 &amp;"%"</f>
        <v>from 'Commercial Op. Budget' Worksheet; Commercial to Residential allocation: 100%</v>
      </c>
      <c r="H81" s="2318"/>
      <c r="I81" s="2319"/>
      <c r="J81" s="394"/>
      <c r="K81" s="394"/>
      <c r="L81" s="394"/>
      <c r="M81" s="394"/>
      <c r="N81" s="394" t="str">
        <f>IFERROR(ROUND($F81/$B$5,0),"")</f>
        <v/>
      </c>
      <c r="O81" s="394"/>
      <c r="P81" s="394"/>
      <c r="Q81" s="394"/>
      <c r="R81" s="5"/>
      <c r="S81" s="5"/>
      <c r="T81" s="5"/>
      <c r="U81" s="125" t="e">
        <f ca="1">'Fiscal Staging Area'!B17</f>
        <v>#REF!</v>
      </c>
      <c r="V81" s="125" t="e">
        <f t="shared" ca="1" si="17"/>
        <v>#REF!</v>
      </c>
      <c r="W81" s="457" t="e">
        <f ca="1">(F81-U81)/U81</f>
        <v>#REF!</v>
      </c>
      <c r="X81" s="457"/>
      <c r="Y81" s="415" t="s">
        <v>378</v>
      </c>
      <c r="Z81" s="5"/>
      <c r="AA81" s="5"/>
      <c r="AB81" s="5"/>
      <c r="AC81" s="5"/>
    </row>
    <row r="82" spans="1:29" ht="14.4">
      <c r="A82" s="139"/>
      <c r="B82" s="139"/>
      <c r="C82" s="133"/>
      <c r="D82" s="133"/>
      <c r="E82" s="133"/>
      <c r="F82" s="298"/>
      <c r="G82" s="140"/>
      <c r="H82" s="140"/>
      <c r="I82" s="128"/>
      <c r="J82" s="395"/>
      <c r="K82" s="395"/>
      <c r="L82" s="395"/>
      <c r="M82" s="395"/>
      <c r="N82" s="395"/>
      <c r="O82" s="395"/>
      <c r="P82" s="395"/>
      <c r="Q82" s="395"/>
      <c r="R82" s="5"/>
      <c r="S82" s="5"/>
      <c r="T82" s="5"/>
      <c r="U82" s="5"/>
      <c r="V82" s="5"/>
      <c r="W82" s="5"/>
      <c r="X82" s="5"/>
      <c r="Y82" s="5"/>
      <c r="Z82" s="5"/>
      <c r="AA82" s="5"/>
      <c r="AB82" s="5"/>
      <c r="AC82" s="5"/>
    </row>
    <row r="83" spans="1:29" ht="15.75" customHeight="1">
      <c r="A83" s="2313" t="s">
        <v>1233</v>
      </c>
      <c r="B83" s="2313"/>
      <c r="C83" s="133"/>
      <c r="D83" s="299">
        <f>D34+D41+D51+D57+D62+D68+D78+D80+D81</f>
        <v>0</v>
      </c>
      <c r="E83" s="299">
        <f>E34+E41+E51+E57+E62+E68+E78+E80+E81</f>
        <v>0</v>
      </c>
      <c r="F83" s="299">
        <f>F34+F41+F51+F57+F62+F68+F78+F80+F81</f>
        <v>0</v>
      </c>
      <c r="G83" s="129" t="str">
        <f>IF($B$5&lt;&gt;0,"PUPA:","")</f>
        <v/>
      </c>
      <c r="H83" s="130" t="str">
        <f>IF($B$5&lt;&gt;0,ROUND($F83/$B$5,0),"")</f>
        <v/>
      </c>
      <c r="I83" s="130"/>
      <c r="J83" s="141"/>
      <c r="K83" s="141"/>
      <c r="L83" s="141"/>
      <c r="M83" s="141"/>
      <c r="N83" s="141"/>
      <c r="O83" s="141"/>
      <c r="P83" s="141"/>
      <c r="Q83" s="141"/>
      <c r="R83" s="5"/>
      <c r="S83" s="5"/>
      <c r="T83" s="5"/>
      <c r="U83" s="175" t="e">
        <f ca="1">HLOOKUP(Y83,CYAMR,2,FALSE)</f>
        <v>#REF!</v>
      </c>
      <c r="V83" s="175" t="e">
        <f t="shared" ca="1" si="17"/>
        <v>#REF!</v>
      </c>
      <c r="W83" s="457" t="e">
        <f ca="1">(F83-U83)/U83</f>
        <v>#REF!</v>
      </c>
      <c r="X83" s="457"/>
      <c r="Y83" s="413" t="s">
        <v>379</v>
      </c>
      <c r="Z83" s="5"/>
      <c r="AA83" s="5"/>
      <c r="AB83" s="5"/>
      <c r="AC83" s="5"/>
    </row>
    <row r="84" spans="1:29" ht="14.4">
      <c r="A84" s="746"/>
      <c r="B84" s="746"/>
      <c r="C84" s="133"/>
      <c r="D84" s="133"/>
      <c r="E84" s="133"/>
      <c r="F84" s="300"/>
      <c r="G84" s="128"/>
      <c r="H84" s="128"/>
      <c r="I84" s="128"/>
      <c r="J84" s="125"/>
      <c r="K84" s="125"/>
      <c r="L84" s="125"/>
      <c r="M84" s="125"/>
      <c r="N84" s="125"/>
      <c r="O84" s="125"/>
      <c r="P84" s="125"/>
      <c r="Q84" s="125"/>
      <c r="R84" s="5"/>
      <c r="S84" s="5"/>
      <c r="T84" s="5"/>
      <c r="U84" s="5"/>
      <c r="V84" s="5"/>
      <c r="W84" s="5"/>
      <c r="X84" s="5"/>
      <c r="Y84" s="5"/>
      <c r="Z84" s="5"/>
      <c r="AA84" s="5"/>
      <c r="AB84" s="5"/>
      <c r="AC84" s="5"/>
    </row>
    <row r="85" spans="1:29" ht="14.4">
      <c r="A85" s="139" t="s">
        <v>131</v>
      </c>
      <c r="B85" s="139"/>
      <c r="C85" s="142"/>
      <c r="D85" s="2048"/>
      <c r="E85" s="133"/>
      <c r="F85" s="300"/>
      <c r="G85" s="128"/>
      <c r="H85" s="128"/>
      <c r="I85" s="128"/>
      <c r="J85" s="125"/>
      <c r="K85" s="125"/>
      <c r="L85" s="125"/>
      <c r="M85" s="125"/>
      <c r="N85" s="125"/>
      <c r="O85" s="125"/>
      <c r="P85" s="125"/>
      <c r="Q85" s="125"/>
      <c r="R85" s="5"/>
      <c r="S85" s="5"/>
      <c r="T85" s="5"/>
      <c r="U85" s="5"/>
      <c r="V85" s="5"/>
      <c r="W85" s="5"/>
      <c r="X85" s="5"/>
      <c r="Y85" s="5"/>
      <c r="Z85" s="5"/>
      <c r="AA85" s="5"/>
      <c r="AB85" s="5"/>
      <c r="AC85" s="5"/>
    </row>
    <row r="86" spans="1:29" ht="15" customHeight="1">
      <c r="A86" s="2288" t="s">
        <v>307</v>
      </c>
      <c r="B86" s="2289"/>
      <c r="C86" s="143"/>
      <c r="D86" s="291">
        <f>$D$7*F86</f>
        <v>0</v>
      </c>
      <c r="E86" s="302">
        <f t="shared" ref="E86:E91" si="18">F86-D86</f>
        <v>0</v>
      </c>
      <c r="F86" s="302">
        <f>IF(OR('1.GeneralProjectInfo'!$L$71="yes",'1.GeneralProjectInfo'!$L$72="yes"),'1.GeneralProjectInfo'!$G$75,0)</f>
        <v>0</v>
      </c>
      <c r="G86" s="419" t="str">
        <f>IF('1.GeneralProjectInfo'!L71="Yes","Ground lease with MOHCD",IF('1.GeneralProjectInfo'!L72="Yes","Ground lease with "&amp;'1.GeneralProjectInfo'!I73,""))</f>
        <v/>
      </c>
      <c r="H86" s="2316" t="s">
        <v>608</v>
      </c>
      <c r="I86" s="2297"/>
      <c r="J86" s="394"/>
      <c r="K86" s="394"/>
      <c r="L86" s="394"/>
      <c r="M86" s="394"/>
      <c r="N86" s="394" t="str">
        <f t="shared" ref="N86:N92" si="19">IFERROR(ROUND($F86/$B$5,0),"")</f>
        <v/>
      </c>
      <c r="O86" s="394"/>
      <c r="P86" s="394"/>
      <c r="Q86" s="394"/>
      <c r="R86" s="5"/>
      <c r="S86" s="5"/>
      <c r="T86" s="5"/>
      <c r="U86" s="125" t="e">
        <f ca="1">HLOOKUP(Y86,CYAMR,2,FALSE)</f>
        <v>#REF!</v>
      </c>
      <c r="V86" s="125"/>
      <c r="W86" s="125"/>
      <c r="X86" s="125"/>
      <c r="Y86" s="413" t="s">
        <v>380</v>
      </c>
      <c r="Z86" s="5"/>
      <c r="AA86" s="5"/>
      <c r="AB86" s="5"/>
      <c r="AC86" s="5"/>
    </row>
    <row r="87" spans="1:29" ht="13.8">
      <c r="A87" s="2288" t="s">
        <v>130</v>
      </c>
      <c r="B87" s="2289"/>
      <c r="C87" s="124"/>
      <c r="D87" s="291">
        <f>$D$7*F87</f>
        <v>0</v>
      </c>
      <c r="E87" s="302">
        <f t="shared" si="18"/>
        <v>0</v>
      </c>
      <c r="F87" s="292"/>
      <c r="G87" s="2305"/>
      <c r="H87" s="2306"/>
      <c r="I87" s="2307"/>
      <c r="J87" s="740" t="s">
        <v>695</v>
      </c>
      <c r="K87" s="740"/>
      <c r="L87" s="740" t="s">
        <v>610</v>
      </c>
      <c r="M87" s="741" t="s">
        <v>696</v>
      </c>
      <c r="N87" s="394" t="str">
        <f t="shared" si="19"/>
        <v/>
      </c>
      <c r="O87" s="394"/>
      <c r="P87" s="394"/>
      <c r="Q87" s="394"/>
      <c r="R87" s="5"/>
      <c r="S87" s="5"/>
      <c r="T87" s="5"/>
      <c r="U87" s="5"/>
      <c r="V87" s="5"/>
      <c r="W87" s="5"/>
      <c r="X87" s="5"/>
      <c r="Y87" s="10"/>
      <c r="Z87" s="5"/>
      <c r="AA87" s="5"/>
      <c r="AB87" s="5"/>
      <c r="AC87" s="5"/>
    </row>
    <row r="88" spans="1:29" ht="15" customHeight="1">
      <c r="A88" s="2288" t="s">
        <v>58</v>
      </c>
      <c r="B88" s="2289"/>
      <c r="C88" s="124">
        <v>1320</v>
      </c>
      <c r="D88" s="291">
        <f>IF(K88&lt;&gt;"",K88*F88,$D$7*F88)</f>
        <v>0</v>
      </c>
      <c r="E88" s="302">
        <f t="shared" si="18"/>
        <v>0</v>
      </c>
      <c r="F88" s="301"/>
      <c r="G88" s="2305"/>
      <c r="H88" s="2306"/>
      <c r="I88" s="2307"/>
      <c r="J88" s="741" t="str">
        <f>A88</f>
        <v>Replacement Reserve Deposit</v>
      </c>
      <c r="K88" s="760"/>
      <c r="L88" s="733" t="str">
        <f>IF(K88&lt;&gt;"", 1-K88, "")</f>
        <v/>
      </c>
      <c r="M88" s="742"/>
      <c r="N88" s="394" t="str">
        <f t="shared" si="19"/>
        <v/>
      </c>
      <c r="O88" s="394"/>
      <c r="P88" s="394"/>
      <c r="Q88" s="394"/>
      <c r="R88" s="5"/>
      <c r="S88" s="5"/>
      <c r="T88" s="5"/>
      <c r="U88" s="125" t="e">
        <f ca="1">HLOOKUP(Y88,CYAMR,2,FALSE)</f>
        <v>#REF!</v>
      </c>
      <c r="V88" s="125"/>
      <c r="W88" s="125"/>
      <c r="X88" s="125"/>
      <c r="Y88" s="413" t="s">
        <v>423</v>
      </c>
      <c r="Z88" s="5"/>
      <c r="AA88" s="5"/>
      <c r="AB88" s="5"/>
      <c r="AC88" s="5"/>
    </row>
    <row r="89" spans="1:29" ht="14.4">
      <c r="A89" s="2288" t="s">
        <v>64</v>
      </c>
      <c r="B89" s="2289"/>
      <c r="C89" s="124">
        <v>1365</v>
      </c>
      <c r="D89" s="291">
        <f>IF(K89&lt;&gt;"",K89*F89,$D$7*F89)</f>
        <v>0</v>
      </c>
      <c r="E89" s="302">
        <f t="shared" si="18"/>
        <v>0</v>
      </c>
      <c r="F89" s="292"/>
      <c r="G89" s="2305"/>
      <c r="H89" s="2306"/>
      <c r="I89" s="2307"/>
      <c r="J89" s="741" t="str">
        <f>A89</f>
        <v>Operating Reserve Deposit</v>
      </c>
      <c r="K89" s="760"/>
      <c r="L89" s="733" t="str">
        <f>IF(K89&lt;&gt;"", 1-K89, "")</f>
        <v/>
      </c>
      <c r="M89" s="742"/>
      <c r="N89" s="394" t="str">
        <f t="shared" si="19"/>
        <v/>
      </c>
      <c r="O89" s="394"/>
      <c r="P89" s="394"/>
      <c r="Q89" s="394"/>
      <c r="R89" s="125"/>
      <c r="S89" s="5"/>
      <c r="T89" s="5"/>
      <c r="U89" s="125" t="e">
        <f ca="1">HLOOKUP(Y89,CYAMR,2,FALSE)</f>
        <v>#REF!</v>
      </c>
      <c r="V89" s="125"/>
      <c r="W89" s="125"/>
      <c r="X89" s="125"/>
      <c r="Y89" s="415" t="s">
        <v>422</v>
      </c>
      <c r="Z89" s="5"/>
      <c r="AA89" s="5"/>
      <c r="AB89" s="5"/>
      <c r="AC89" s="5"/>
    </row>
    <row r="90" spans="1:29" ht="13.8">
      <c r="A90" s="2288" t="s">
        <v>137</v>
      </c>
      <c r="B90" s="2289"/>
      <c r="C90" s="124">
        <v>1365</v>
      </c>
      <c r="D90" s="291">
        <f>IF(K90&lt;&gt;"",K90*F90,$D$7*F90)</f>
        <v>0</v>
      </c>
      <c r="E90" s="302">
        <f t="shared" si="18"/>
        <v>0</v>
      </c>
      <c r="F90" s="292"/>
      <c r="G90" s="2305"/>
      <c r="H90" s="2306"/>
      <c r="I90" s="2307"/>
      <c r="J90" s="741" t="str">
        <f>A90</f>
        <v>Other Required Reserve 1 Deposit</v>
      </c>
      <c r="K90" s="760"/>
      <c r="L90" s="733" t="str">
        <f>IF(K90&lt;&gt;"", 1-K90, "")</f>
        <v/>
      </c>
      <c r="M90" s="742"/>
      <c r="N90" s="394" t="str">
        <f t="shared" si="19"/>
        <v/>
      </c>
      <c r="O90" s="394"/>
      <c r="P90" s="394"/>
      <c r="Q90" s="394"/>
      <c r="R90" s="125" t="str">
        <f>IF($F90="","",ROUND($F90/$B$5,0))</f>
        <v/>
      </c>
      <c r="S90" s="5"/>
      <c r="T90" s="5"/>
      <c r="U90" s="5"/>
      <c r="V90" s="5"/>
      <c r="W90" s="5"/>
      <c r="X90" s="5"/>
      <c r="Y90" s="10"/>
      <c r="Z90" s="5"/>
      <c r="AA90" s="5"/>
      <c r="AB90" s="5"/>
      <c r="AC90" s="5"/>
    </row>
    <row r="91" spans="1:29" ht="13.8">
      <c r="A91" s="2288" t="s">
        <v>138</v>
      </c>
      <c r="B91" s="2289"/>
      <c r="C91" s="124"/>
      <c r="D91" s="291">
        <f>$D$7*F91</f>
        <v>0</v>
      </c>
      <c r="E91" s="302">
        <f t="shared" si="18"/>
        <v>0</v>
      </c>
      <c r="F91" s="292"/>
      <c r="G91" s="2305"/>
      <c r="H91" s="2306"/>
      <c r="I91" s="2307"/>
      <c r="J91" s="394"/>
      <c r="K91" s="394"/>
      <c r="L91" s="394"/>
      <c r="M91" s="394"/>
      <c r="N91" s="394" t="str">
        <f t="shared" si="19"/>
        <v/>
      </c>
      <c r="O91" s="394"/>
      <c r="P91" s="394"/>
      <c r="Q91" s="394"/>
      <c r="R91" s="125" t="str">
        <f>IF($F91="","",ROUND($F91/$B$5,0))</f>
        <v/>
      </c>
      <c r="S91" s="5"/>
      <c r="T91" s="5"/>
      <c r="U91" s="5"/>
      <c r="V91" s="5"/>
      <c r="W91" s="5"/>
      <c r="X91" s="5"/>
      <c r="Y91" s="10"/>
      <c r="Z91" s="5"/>
      <c r="AA91" s="5"/>
      <c r="AB91" s="5"/>
      <c r="AC91" s="5"/>
    </row>
    <row r="92" spans="1:29" ht="14.25" customHeight="1">
      <c r="A92" s="2288" t="s">
        <v>183</v>
      </c>
      <c r="B92" s="2289"/>
      <c r="C92" s="124"/>
      <c r="D92" s="751"/>
      <c r="E92" s="751"/>
      <c r="F92" s="302">
        <f>'5.CommOp.Budget'!$E$78*'5.CommOp.Budget'!$C$2</f>
        <v>0</v>
      </c>
      <c r="G92" s="2317" t="str">
        <f>"from 'Commercial Op. Budget' Worksheet; Commercial to Residential allocation: "&amp; '5.CommOp.Budget'!$C$2 *100 &amp;"%"</f>
        <v>from 'Commercial Op. Budget' Worksheet; Commercial to Residential allocation: 100%</v>
      </c>
      <c r="H92" s="2318"/>
      <c r="I92" s="2319"/>
      <c r="J92" s="394"/>
      <c r="K92" s="394"/>
      <c r="L92" s="394"/>
      <c r="M92" s="394"/>
      <c r="N92" s="394" t="str">
        <f t="shared" si="19"/>
        <v/>
      </c>
      <c r="O92" s="394"/>
      <c r="P92" s="394"/>
      <c r="Q92" s="394"/>
      <c r="R92" s="125"/>
      <c r="S92" s="5"/>
      <c r="T92" s="5"/>
      <c r="U92" s="5"/>
      <c r="V92" s="5"/>
      <c r="W92" s="5"/>
      <c r="X92" s="5"/>
      <c r="Y92" s="10"/>
      <c r="Z92" s="5"/>
      <c r="AA92" s="5"/>
      <c r="AB92" s="5"/>
      <c r="AC92" s="5"/>
    </row>
    <row r="93" spans="1:29" ht="13.8">
      <c r="A93" s="5"/>
      <c r="B93" s="1082" t="s">
        <v>132</v>
      </c>
      <c r="C93" s="124"/>
      <c r="D93" s="295">
        <f>SUM(D86:D92)</f>
        <v>0</v>
      </c>
      <c r="E93" s="295">
        <f>SUM(E86:E92)</f>
        <v>0</v>
      </c>
      <c r="F93" s="295">
        <f>SUM(F86:F92)</f>
        <v>0</v>
      </c>
      <c r="G93" s="896" t="str">
        <f>IF($B$5&lt;&gt;0,ROUND($F93/$B$5,0),"")</f>
        <v/>
      </c>
      <c r="H93" s="721" t="s">
        <v>472</v>
      </c>
      <c r="I93" s="722">
        <v>1.1499999999999999</v>
      </c>
      <c r="J93" s="5"/>
      <c r="K93" s="5"/>
      <c r="L93" s="5"/>
      <c r="M93" s="5"/>
      <c r="N93" s="5"/>
      <c r="O93" s="5"/>
      <c r="P93" s="5"/>
      <c r="Q93" s="5"/>
      <c r="R93" s="5"/>
      <c r="S93" s="5"/>
      <c r="T93" s="5"/>
      <c r="U93" s="5"/>
      <c r="V93" s="5"/>
      <c r="W93" s="5"/>
      <c r="X93" s="5"/>
      <c r="Y93" s="5"/>
      <c r="Z93" s="5"/>
      <c r="AA93" s="5"/>
      <c r="AB93" s="5"/>
      <c r="AC93" s="5"/>
    </row>
    <row r="94" spans="1:29" ht="13.8">
      <c r="A94" s="129"/>
      <c r="B94" s="129"/>
      <c r="C94" s="124"/>
      <c r="D94" s="124"/>
      <c r="E94" s="124"/>
      <c r="F94" s="303"/>
      <c r="G94" s="128"/>
      <c r="H94" s="54" t="s">
        <v>473</v>
      </c>
      <c r="I94" s="1243">
        <v>0.05</v>
      </c>
      <c r="J94" s="5"/>
      <c r="K94" s="5"/>
      <c r="L94" s="5"/>
      <c r="M94" s="5"/>
      <c r="N94" s="5"/>
      <c r="O94" s="5"/>
      <c r="P94" s="5"/>
      <c r="Q94" s="5"/>
      <c r="R94" s="5"/>
      <c r="S94" s="5"/>
      <c r="T94" s="5"/>
      <c r="U94" s="5"/>
      <c r="V94" s="5"/>
      <c r="W94" s="5"/>
      <c r="X94" s="5"/>
      <c r="Y94" s="5"/>
      <c r="Z94" s="5"/>
      <c r="AA94" s="5"/>
      <c r="AB94" s="5"/>
      <c r="AC94" s="5"/>
    </row>
    <row r="95" spans="1:29" ht="15" customHeight="1">
      <c r="A95" s="2313" t="s">
        <v>1234</v>
      </c>
      <c r="B95" s="2313"/>
      <c r="C95" s="126"/>
      <c r="D95" s="304">
        <f>D34+D41+D51+D57+D62+D68+D78+D80+D81+D93</f>
        <v>0</v>
      </c>
      <c r="E95" s="304">
        <f>E34+E41+E51+E57+E62+E68+E78+E80+E81+E93</f>
        <v>0</v>
      </c>
      <c r="F95" s="304">
        <f>F34+F41+F51+F57+F62+F68+F78+F80+F81+F93</f>
        <v>0</v>
      </c>
      <c r="G95" s="896" t="str">
        <f>IF($B$5&lt;&gt;0,ROUND($F95/$B$5,0),"")</f>
        <v/>
      </c>
      <c r="H95" s="54" t="s">
        <v>1001</v>
      </c>
      <c r="I95" s="723">
        <v>30</v>
      </c>
      <c r="J95" s="5"/>
      <c r="K95" s="5"/>
      <c r="L95" s="5"/>
      <c r="M95" s="5"/>
      <c r="N95" s="5"/>
      <c r="O95" s="5"/>
      <c r="P95" s="5"/>
      <c r="Q95" s="5"/>
      <c r="R95" s="5"/>
      <c r="S95" s="5"/>
      <c r="T95" s="5"/>
      <c r="U95" s="5"/>
      <c r="V95" s="5"/>
      <c r="W95" s="5"/>
      <c r="X95" s="5"/>
      <c r="Y95" s="5"/>
      <c r="Z95" s="5"/>
      <c r="AA95" s="5"/>
      <c r="AB95" s="5"/>
      <c r="AC95" s="5"/>
    </row>
    <row r="96" spans="1:29" ht="14.4">
      <c r="A96" s="710"/>
      <c r="B96" s="2055"/>
      <c r="C96" s="126"/>
      <c r="D96" s="303"/>
      <c r="E96" s="303"/>
      <c r="F96" s="303"/>
      <c r="G96" s="128"/>
      <c r="H96" s="54" t="s">
        <v>1002</v>
      </c>
      <c r="I96" s="141">
        <f>(F97-F101-F102-F103-F104)/I93</f>
        <v>0</v>
      </c>
      <c r="J96" s="5"/>
      <c r="K96" s="5"/>
      <c r="L96" s="5"/>
      <c r="M96" s="5"/>
      <c r="N96" s="5"/>
      <c r="O96" s="5"/>
      <c r="P96" s="5"/>
      <c r="Q96" s="5"/>
      <c r="R96" s="5"/>
      <c r="S96" s="5"/>
      <c r="T96" s="5"/>
      <c r="U96" s="5"/>
      <c r="V96" s="5"/>
      <c r="W96" s="5"/>
      <c r="X96" s="5"/>
      <c r="Y96" s="5"/>
      <c r="Z96" s="5"/>
      <c r="AA96" s="5"/>
      <c r="AB96" s="5"/>
      <c r="AC96" s="5"/>
    </row>
    <row r="97" spans="1:29" ht="13.8">
      <c r="A97" s="139" t="s">
        <v>119</v>
      </c>
      <c r="B97" s="139"/>
      <c r="C97" s="124"/>
      <c r="D97" s="304">
        <f>D28-D95</f>
        <v>0</v>
      </c>
      <c r="E97" s="304">
        <f>E28-E95</f>
        <v>0</v>
      </c>
      <c r="F97" s="304">
        <f>F28-F95</f>
        <v>0</v>
      </c>
      <c r="G97" s="896" t="str">
        <f>IF($B$5&lt;&gt;0,ROUND($F97/$B$5,0),"")</f>
        <v/>
      </c>
      <c r="H97" s="54" t="s">
        <v>647</v>
      </c>
      <c r="I97" s="724">
        <f>PV(I94/12,I95*12,-I96/12)</f>
        <v>0</v>
      </c>
      <c r="J97" s="5"/>
      <c r="K97" s="5"/>
      <c r="L97" s="5"/>
      <c r="M97" s="5"/>
      <c r="N97" s="5"/>
      <c r="O97" s="5"/>
      <c r="P97" s="5"/>
      <c r="Q97" s="5"/>
      <c r="R97" s="5"/>
      <c r="S97" s="5"/>
      <c r="T97" s="5"/>
      <c r="U97" s="5"/>
      <c r="V97" s="5"/>
      <c r="W97" s="5"/>
      <c r="X97" s="5"/>
      <c r="Y97" s="5"/>
      <c r="Z97" s="5"/>
      <c r="AA97" s="5"/>
      <c r="AB97" s="5"/>
      <c r="AC97" s="5"/>
    </row>
    <row r="98" spans="1:29" ht="13.8">
      <c r="A98" s="319"/>
      <c r="B98" s="319"/>
      <c r="C98" s="124"/>
      <c r="D98" s="124"/>
      <c r="E98" s="124"/>
      <c r="F98" s="131"/>
      <c r="G98" s="896"/>
      <c r="H98" s="54" t="s">
        <v>612</v>
      </c>
      <c r="I98" s="724">
        <f>'1.GeneralProjectInfo'!$D$43</f>
        <v>0</v>
      </c>
      <c r="J98" s="5"/>
      <c r="K98" s="5"/>
      <c r="L98" s="5"/>
      <c r="M98" s="5"/>
      <c r="N98" s="5"/>
      <c r="O98" s="5"/>
      <c r="P98" s="5"/>
      <c r="Q98" s="5"/>
      <c r="R98" s="5"/>
      <c r="S98" s="5"/>
      <c r="T98" s="5"/>
      <c r="U98" s="5"/>
      <c r="V98" s="5"/>
      <c r="W98" s="5"/>
      <c r="X98" s="5"/>
      <c r="Y98" s="5"/>
      <c r="Z98" s="5"/>
      <c r="AA98" s="5"/>
      <c r="AB98" s="5"/>
      <c r="AC98" s="5"/>
    </row>
    <row r="99" spans="1:29" ht="13.8">
      <c r="A99" s="2056" t="s">
        <v>1237</v>
      </c>
      <c r="B99" s="2056"/>
      <c r="C99" s="120"/>
      <c r="D99" s="120"/>
      <c r="E99" s="120"/>
      <c r="F99" s="131"/>
      <c r="G99" s="128"/>
      <c r="H99" s="5"/>
      <c r="I99" s="5"/>
      <c r="J99" s="740" t="s">
        <v>695</v>
      </c>
      <c r="K99" s="1993">
        <v>0</v>
      </c>
      <c r="L99" s="740" t="s">
        <v>610</v>
      </c>
      <c r="M99" s="741" t="s">
        <v>696</v>
      </c>
      <c r="N99" s="5"/>
      <c r="O99" s="5"/>
      <c r="P99" s="5"/>
      <c r="Q99" s="5"/>
      <c r="R99" s="5"/>
      <c r="S99" s="5"/>
      <c r="T99" s="5"/>
      <c r="U99" s="5"/>
      <c r="V99" s="5"/>
      <c r="W99" s="5"/>
      <c r="X99" s="5"/>
      <c r="Y99" s="5"/>
      <c r="Z99" s="5"/>
      <c r="AA99" s="5"/>
      <c r="AB99" s="5"/>
      <c r="AC99" s="5"/>
    </row>
    <row r="100" spans="1:29" ht="15" customHeight="1">
      <c r="A100" s="2288" t="s">
        <v>280</v>
      </c>
      <c r="B100" s="2289"/>
      <c r="C100" s="120"/>
      <c r="D100" s="291">
        <f>IF(K100&lt;&gt;"",K100*F100,$D$7*F100)</f>
        <v>0</v>
      </c>
      <c r="E100" s="302">
        <f>F100-D100</f>
        <v>0</v>
      </c>
      <c r="F100" s="291">
        <f>IF($G100&lt;&gt;"",VLOOKUP($G100,Financing,9,FALSE),0)</f>
        <v>0</v>
      </c>
      <c r="G100" s="623"/>
      <c r="H100" s="2316" t="s">
        <v>608</v>
      </c>
      <c r="I100" s="2297"/>
      <c r="J100" s="741" t="str">
        <f>A100</f>
        <v>Hard Debt - First Lender</v>
      </c>
      <c r="K100" s="760">
        <v>0</v>
      </c>
      <c r="L100" s="733">
        <f>IF(K100&lt;&gt;"", 1-K100, "")</f>
        <v>1</v>
      </c>
      <c r="M100" s="742"/>
      <c r="N100" s="771"/>
      <c r="O100" s="366"/>
      <c r="P100" s="366"/>
      <c r="Q100" s="366"/>
      <c r="R100" s="5"/>
      <c r="S100" s="5">
        <f>IF($N100="",0,1)</f>
        <v>0</v>
      </c>
      <c r="T100" s="5"/>
      <c r="U100" s="5"/>
      <c r="V100" s="5"/>
      <c r="W100" s="5"/>
      <c r="X100" s="5"/>
      <c r="Y100" s="416"/>
      <c r="Z100" s="5"/>
      <c r="AA100" s="5"/>
      <c r="AB100" s="5"/>
      <c r="AC100" s="5"/>
    </row>
    <row r="101" spans="1:29" ht="15" customHeight="1">
      <c r="A101" s="2288" t="str">
        <f>IF($S$8="RAD","Hard Debt - Second Lender","Hard Debt - Second Lender (HCD Program 0.42% pymt, or other 2nd Lender)")</f>
        <v>Hard Debt - Second Lender (HCD Program 0.42% pymt, or other 2nd Lender)</v>
      </c>
      <c r="B101" s="2289"/>
      <c r="C101" s="120"/>
      <c r="D101" s="291">
        <f>IF(K101&lt;&gt;"",K101*F101,$D$7*F101)</f>
        <v>0</v>
      </c>
      <c r="E101" s="302">
        <f>F101-D101</f>
        <v>0</v>
      </c>
      <c r="F101" s="291">
        <f>IF($G101&lt;&gt;"",VLOOKUP($G101,Financing,9,FALSE),0)</f>
        <v>0</v>
      </c>
      <c r="G101" s="623"/>
      <c r="H101" s="2316" t="s">
        <v>608</v>
      </c>
      <c r="I101" s="2297"/>
      <c r="J101" s="741" t="str">
        <f>A101</f>
        <v>Hard Debt - Second Lender (HCD Program 0.42% pymt, or other 2nd Lender)</v>
      </c>
      <c r="K101" s="760"/>
      <c r="L101" s="733" t="str">
        <f>IF(K101&lt;&gt;"", 1-K101, "")</f>
        <v/>
      </c>
      <c r="M101" s="742"/>
      <c r="N101" s="771"/>
      <c r="O101" s="366"/>
      <c r="P101" s="366"/>
      <c r="Q101" s="366"/>
      <c r="R101" s="5"/>
      <c r="S101" s="5">
        <f>IF($N101="",0,1)</f>
        <v>0</v>
      </c>
      <c r="T101" s="5"/>
      <c r="U101" s="5"/>
      <c r="V101" s="5"/>
      <c r="W101" s="5"/>
      <c r="X101" s="5"/>
      <c r="Y101" s="416"/>
      <c r="Z101" s="5"/>
      <c r="AA101" s="5"/>
      <c r="AB101" s="5"/>
      <c r="AC101" s="5"/>
    </row>
    <row r="102" spans="1:29" ht="15" customHeight="1">
      <c r="A102" s="2288" t="str">
        <f>IF(S8="RAD","Hard Debt - Third Lender","Hard Debt - Third Lender (Other HCD Program, or other 3rd Lender)")</f>
        <v>Hard Debt - Third Lender (Other HCD Program, or other 3rd Lender)</v>
      </c>
      <c r="B102" s="2289"/>
      <c r="C102" s="120"/>
      <c r="D102" s="291">
        <f>IF(K102&lt;&gt;"",K102*F102,$D$7*F102)</f>
        <v>0</v>
      </c>
      <c r="E102" s="302">
        <f>F102-D102</f>
        <v>0</v>
      </c>
      <c r="F102" s="291">
        <f>IF($G102&lt;&gt;"",VLOOKUP($G102,Financing,9,FALSE),0)</f>
        <v>0</v>
      </c>
      <c r="G102" s="623"/>
      <c r="H102" s="2316" t="s">
        <v>608</v>
      </c>
      <c r="I102" s="2297"/>
      <c r="J102" s="741" t="str">
        <f>A102</f>
        <v>Hard Debt - Third Lender (Other HCD Program, or other 3rd Lender)</v>
      </c>
      <c r="K102" s="760"/>
      <c r="L102" s="733" t="str">
        <f>IF(K102&lt;&gt;"", 1-K102, "")</f>
        <v/>
      </c>
      <c r="M102" s="742"/>
      <c r="N102" s="771"/>
      <c r="O102" s="366"/>
      <c r="P102" s="366"/>
      <c r="Q102" s="366"/>
      <c r="R102" s="5"/>
      <c r="S102" s="5">
        <f>IF($N102="",0,1)</f>
        <v>0</v>
      </c>
      <c r="T102" s="5"/>
      <c r="U102" s="5"/>
      <c r="V102" s="5"/>
      <c r="W102" s="5"/>
      <c r="X102" s="5"/>
      <c r="Y102" s="416"/>
      <c r="Z102" s="5"/>
      <c r="AA102" s="5"/>
      <c r="AB102" s="5"/>
      <c r="AC102" s="5"/>
    </row>
    <row r="103" spans="1:29" ht="15" customHeight="1">
      <c r="A103" s="2288" t="s">
        <v>255</v>
      </c>
      <c r="B103" s="2289"/>
      <c r="C103" s="120"/>
      <c r="D103" s="291">
        <f>IF(K103&lt;&gt;"",K103*F103,$D$7*F103)</f>
        <v>0</v>
      </c>
      <c r="E103" s="302">
        <f>F103-D103</f>
        <v>0</v>
      </c>
      <c r="F103" s="291">
        <f>IF($G103&lt;&gt;"",VLOOKUP($G103,Financing,9,FALSE),0)</f>
        <v>0</v>
      </c>
      <c r="G103" s="623"/>
      <c r="H103" s="2316" t="s">
        <v>608</v>
      </c>
      <c r="I103" s="2297"/>
      <c r="J103" s="744" t="str">
        <f>A103</f>
        <v xml:space="preserve">Hard Debt - Fourth Lender </v>
      </c>
      <c r="K103" s="760"/>
      <c r="L103" s="733" t="str">
        <f>IF(K103&lt;&gt;"", 1-K103, "")</f>
        <v/>
      </c>
      <c r="M103" s="742"/>
      <c r="N103" s="771"/>
      <c r="O103" s="366"/>
      <c r="P103" s="366"/>
      <c r="Q103" s="366"/>
      <c r="R103" s="5"/>
      <c r="S103" s="5">
        <f>IF($N103="",0,1)</f>
        <v>0</v>
      </c>
      <c r="T103" s="5"/>
      <c r="U103" s="5"/>
      <c r="V103" s="5"/>
      <c r="W103" s="5"/>
      <c r="X103" s="5"/>
      <c r="Y103" s="416"/>
      <c r="Z103" s="5"/>
      <c r="AA103" s="5"/>
      <c r="AB103" s="5"/>
      <c r="AC103" s="5"/>
    </row>
    <row r="104" spans="1:29" ht="15" customHeight="1">
      <c r="A104" s="2288" t="s">
        <v>190</v>
      </c>
      <c r="B104" s="2289"/>
      <c r="C104" s="120"/>
      <c r="D104" s="751"/>
      <c r="E104" s="751"/>
      <c r="F104" s="305">
        <f>'5.CommOp.Budget'!$E$90*'5.CommOp.Budget'!$C$2</f>
        <v>0</v>
      </c>
      <c r="G104" s="2317" t="str">
        <f>"from 'Commercial Op. Budget' Worksheet; Commercial to Residential allocation: "&amp; '5.CommOp.Budget'!$C$2 *100 &amp;"%"</f>
        <v>from 'Commercial Op. Budget' Worksheet; Commercial to Residential allocation: 100%</v>
      </c>
      <c r="H104" s="2318"/>
      <c r="I104" s="2319"/>
      <c r="J104" s="5"/>
      <c r="K104" s="5"/>
      <c r="L104" s="5"/>
      <c r="M104" s="5"/>
      <c r="N104" s="5"/>
      <c r="O104" s="5"/>
      <c r="P104" s="5"/>
      <c r="Q104" s="5"/>
      <c r="R104" s="5"/>
      <c r="S104" s="5"/>
      <c r="T104" s="5"/>
      <c r="U104" s="5"/>
      <c r="V104" s="5"/>
      <c r="W104" s="5"/>
      <c r="X104" s="5"/>
      <c r="Y104" s="416"/>
      <c r="Z104" s="5"/>
      <c r="AA104" s="5"/>
      <c r="AB104" s="5"/>
      <c r="AC104" s="5"/>
    </row>
    <row r="105" spans="1:29" ht="13.8">
      <c r="A105" s="5"/>
      <c r="B105" s="1082" t="s">
        <v>87</v>
      </c>
      <c r="C105" s="120"/>
      <c r="D105" s="295">
        <f>SUM(D100:D104)</f>
        <v>0</v>
      </c>
      <c r="E105" s="295">
        <f>SUM(E100:E104)</f>
        <v>0</v>
      </c>
      <c r="F105" s="295">
        <f>SUM(F100:F104)</f>
        <v>0</v>
      </c>
      <c r="G105" s="129" t="str">
        <f>IF($B$5&lt;&gt;0,"PUPA:","")</f>
        <v/>
      </c>
      <c r="H105" s="130" t="str">
        <f>IF($B$5&lt;&gt;0,ROUND($F105/$B$5,0),"")</f>
        <v/>
      </c>
      <c r="I105" s="130"/>
      <c r="J105" s="5"/>
      <c r="K105" s="5"/>
      <c r="L105" s="5"/>
      <c r="M105" s="5"/>
      <c r="N105" s="5"/>
      <c r="O105" s="5"/>
      <c r="P105" s="5"/>
      <c r="Q105" s="5"/>
      <c r="R105" s="5"/>
      <c r="S105" s="5"/>
      <c r="T105" s="5"/>
      <c r="U105" s="5"/>
      <c r="V105" s="5"/>
      <c r="W105" s="5"/>
      <c r="X105" s="5"/>
      <c r="Y105" s="5"/>
      <c r="Z105" s="5"/>
      <c r="AA105" s="5"/>
      <c r="AB105" s="5"/>
      <c r="AC105" s="5"/>
    </row>
    <row r="106" spans="1:29" ht="13.8">
      <c r="A106" s="129"/>
      <c r="B106" s="129"/>
      <c r="C106" s="120"/>
      <c r="D106" s="120"/>
      <c r="E106" s="120"/>
      <c r="F106" s="304"/>
      <c r="G106" s="128"/>
      <c r="H106" s="128"/>
      <c r="I106" s="128"/>
      <c r="J106" s="5"/>
      <c r="K106" s="5"/>
      <c r="L106" s="5"/>
      <c r="M106" s="5"/>
      <c r="N106" s="5"/>
      <c r="O106" s="5"/>
      <c r="P106" s="5"/>
      <c r="Q106" s="5"/>
      <c r="R106" s="5"/>
      <c r="S106" s="5"/>
      <c r="T106" s="5"/>
      <c r="U106" s="5"/>
      <c r="V106" s="5"/>
      <c r="W106" s="5"/>
      <c r="X106" s="5"/>
      <c r="Y106" s="5"/>
      <c r="Z106" s="5"/>
      <c r="AA106" s="5"/>
      <c r="AB106" s="5"/>
      <c r="AC106" s="5"/>
    </row>
    <row r="107" spans="1:29" ht="13.8">
      <c r="A107" s="319" t="s">
        <v>235</v>
      </c>
      <c r="B107" s="319"/>
      <c r="C107" s="124"/>
      <c r="D107" s="304">
        <f>D97-D105</f>
        <v>0</v>
      </c>
      <c r="E107" s="304">
        <f>E97-E105</f>
        <v>0</v>
      </c>
      <c r="F107" s="304">
        <f>F97-F105</f>
        <v>0</v>
      </c>
      <c r="G107" s="128"/>
      <c r="H107" s="128"/>
      <c r="I107" s="128"/>
      <c r="J107" s="5"/>
      <c r="K107" s="5"/>
      <c r="L107" s="5"/>
      <c r="M107" s="5"/>
      <c r="N107" s="5"/>
      <c r="O107" s="5"/>
      <c r="P107" s="5"/>
      <c r="Q107" s="5"/>
      <c r="R107" s="5"/>
      <c r="S107" s="5"/>
      <c r="T107" s="5"/>
      <c r="U107" s="5"/>
      <c r="V107" s="5"/>
      <c r="W107" s="5"/>
      <c r="X107" s="5"/>
      <c r="Y107" s="5"/>
      <c r="Z107" s="5"/>
      <c r="AA107" s="5"/>
      <c r="AB107" s="5"/>
      <c r="AC107" s="5"/>
    </row>
    <row r="108" spans="1:29" ht="13.8" hidden="1">
      <c r="A108" s="319"/>
      <c r="B108" s="319"/>
      <c r="C108" s="124"/>
      <c r="D108" s="124"/>
      <c r="E108" s="124"/>
      <c r="F108" s="304"/>
      <c r="G108" s="128"/>
      <c r="H108" s="128"/>
      <c r="I108" s="128"/>
      <c r="J108" s="5"/>
      <c r="K108" s="5"/>
      <c r="L108" s="5"/>
      <c r="M108" s="5"/>
      <c r="N108" s="5"/>
      <c r="O108" s="5"/>
      <c r="P108" s="5"/>
      <c r="Q108" s="5"/>
      <c r="R108" s="5"/>
      <c r="S108" s="5"/>
      <c r="T108" s="5"/>
      <c r="U108" s="5"/>
      <c r="V108" s="5"/>
      <c r="W108" s="5"/>
      <c r="X108" s="5"/>
      <c r="Y108" s="5"/>
      <c r="Z108" s="5"/>
      <c r="AA108" s="5"/>
      <c r="AB108" s="5"/>
      <c r="AC108" s="5"/>
    </row>
    <row r="109" spans="1:29" ht="13.8" hidden="1">
      <c r="A109" s="320" t="s">
        <v>186</v>
      </c>
      <c r="B109" s="320"/>
      <c r="C109" s="147"/>
      <c r="D109" s="124"/>
      <c r="E109" s="124"/>
      <c r="F109" s="303">
        <f>'5.CommOp.Budget'!$E$98*'5.CommOp.Budget'!$C$2</f>
        <v>0</v>
      </c>
      <c r="G109" s="128"/>
      <c r="H109" s="128"/>
      <c r="I109" s="128"/>
      <c r="J109" s="5"/>
      <c r="K109" s="5"/>
      <c r="L109" s="5"/>
      <c r="M109" s="5"/>
      <c r="N109" s="5"/>
      <c r="O109" s="5"/>
      <c r="P109" s="5"/>
      <c r="Q109" s="5"/>
      <c r="R109" s="5"/>
      <c r="S109" s="5"/>
      <c r="T109" s="5"/>
      <c r="U109" s="5"/>
      <c r="V109" s="5"/>
      <c r="W109" s="5"/>
      <c r="X109" s="5"/>
      <c r="Y109" s="5"/>
      <c r="Z109" s="5"/>
      <c r="AA109" s="5"/>
      <c r="AB109" s="5"/>
      <c r="AC109" s="5"/>
    </row>
    <row r="110" spans="1:29" ht="13.8" hidden="1">
      <c r="A110" s="320"/>
      <c r="B110" s="320"/>
      <c r="C110" s="147"/>
      <c r="D110" s="124"/>
      <c r="E110" s="124"/>
      <c r="F110" s="303"/>
      <c r="G110" s="128"/>
      <c r="H110" s="128"/>
      <c r="I110" s="128"/>
      <c r="J110" s="740" t="s">
        <v>695</v>
      </c>
      <c r="K110" s="740"/>
      <c r="L110" s="740" t="s">
        <v>610</v>
      </c>
      <c r="M110" s="741" t="s">
        <v>696</v>
      </c>
      <c r="N110" s="5"/>
      <c r="O110" s="5"/>
      <c r="P110" s="5"/>
      <c r="Q110" s="5"/>
      <c r="R110" s="5"/>
      <c r="S110" s="5"/>
      <c r="T110" s="5"/>
      <c r="U110" s="5"/>
      <c r="V110" s="5"/>
      <c r="W110" s="5"/>
      <c r="X110" s="5"/>
      <c r="Y110" s="5"/>
      <c r="Z110" s="5"/>
      <c r="AA110" s="5"/>
      <c r="AB110" s="5"/>
      <c r="AC110" s="5"/>
    </row>
    <row r="111" spans="1:29" ht="13.8" hidden="1">
      <c r="A111" s="320" t="s">
        <v>714</v>
      </c>
      <c r="B111" s="320"/>
      <c r="C111" s="147"/>
      <c r="D111" s="291">
        <f>IF(K111&lt;&gt;"",K111*$F$109,$D$7*$F$109)</f>
        <v>0</v>
      </c>
      <c r="E111" s="302">
        <f>$F$109-D111</f>
        <v>0</v>
      </c>
      <c r="F111" s="303"/>
      <c r="G111" s="128"/>
      <c r="H111" s="128"/>
      <c r="I111" s="128"/>
      <c r="J111" s="741" t="str">
        <f>A111</f>
        <v>Allocation of Commercial Surplus to LOPS/non-LOSP (residual income)</v>
      </c>
      <c r="K111" s="760"/>
      <c r="L111" s="733" t="str">
        <f>IF(K111&lt;&gt;"", 1-K111, "")</f>
        <v/>
      </c>
      <c r="M111" s="742"/>
      <c r="N111" s="5"/>
      <c r="O111" s="5"/>
      <c r="P111" s="5"/>
      <c r="Q111" s="5"/>
      <c r="R111" s="5"/>
      <c r="S111" s="5"/>
      <c r="T111" s="5"/>
      <c r="U111" s="5"/>
      <c r="V111" s="5"/>
      <c r="W111" s="5"/>
      <c r="X111" s="5"/>
      <c r="Y111" s="5"/>
      <c r="Z111" s="5"/>
      <c r="AA111" s="5"/>
      <c r="AB111" s="5"/>
      <c r="AC111" s="5"/>
    </row>
    <row r="112" spans="1:29" ht="13.8" hidden="1">
      <c r="A112" s="139" t="s">
        <v>876</v>
      </c>
      <c r="B112" s="320"/>
      <c r="C112" s="147"/>
      <c r="D112" s="304">
        <f>D107+D111</f>
        <v>0</v>
      </c>
      <c r="E112" s="304">
        <f>E107+E111</f>
        <v>0</v>
      </c>
      <c r="F112" s="304">
        <f>F107</f>
        <v>0</v>
      </c>
      <c r="G112" s="128"/>
      <c r="H112" s="128"/>
      <c r="I112" s="128"/>
      <c r="J112" s="5"/>
      <c r="K112" s="730"/>
      <c r="L112" s="731"/>
      <c r="M112" s="223"/>
      <c r="N112" s="5"/>
      <c r="O112" s="5"/>
      <c r="P112" s="5"/>
      <c r="Q112" s="5"/>
      <c r="R112" s="5"/>
      <c r="S112" s="5"/>
      <c r="T112" s="5"/>
      <c r="U112" s="5"/>
      <c r="V112" s="5"/>
      <c r="W112" s="5"/>
      <c r="X112" s="5"/>
      <c r="Y112" s="5"/>
      <c r="Z112" s="5"/>
      <c r="AA112" s="5"/>
      <c r="AB112" s="5"/>
      <c r="AC112" s="5"/>
    </row>
    <row r="113" spans="1:29" ht="13.8">
      <c r="A113" s="129"/>
      <c r="B113" s="129"/>
      <c r="C113" s="124"/>
      <c r="D113" s="124"/>
      <c r="E113" s="124"/>
      <c r="F113" s="131"/>
      <c r="G113" s="128"/>
      <c r="H113" s="128"/>
      <c r="I113" s="128"/>
      <c r="J113" s="5"/>
      <c r="K113" s="5"/>
      <c r="L113" s="5"/>
      <c r="M113" s="5"/>
      <c r="N113" s="5"/>
      <c r="O113" s="5"/>
      <c r="P113" s="5"/>
      <c r="Q113" s="5"/>
      <c r="R113" s="5"/>
      <c r="S113" s="5"/>
      <c r="T113" s="5"/>
      <c r="U113" s="5"/>
      <c r="V113" s="5"/>
      <c r="W113" s="5"/>
      <c r="X113" s="5"/>
      <c r="Y113" s="5"/>
      <c r="Z113" s="5"/>
      <c r="AA113" s="5"/>
      <c r="AB113" s="5"/>
      <c r="AC113" s="5"/>
    </row>
    <row r="114" spans="1:29" ht="13.8">
      <c r="A114" s="139" t="s">
        <v>299</v>
      </c>
      <c r="B114" s="319"/>
      <c r="C114" s="124"/>
      <c r="D114" s="124"/>
      <c r="E114" s="124"/>
      <c r="F114" s="1331" t="str">
        <f>IF(SUM(F105)&gt;0,ROUND(F97/F105,3),"")</f>
        <v/>
      </c>
      <c r="G114" s="128"/>
      <c r="H114" s="128"/>
      <c r="I114" s="128"/>
      <c r="J114" s="5"/>
      <c r="K114" s="5"/>
      <c r="L114" s="5"/>
      <c r="M114" s="5"/>
      <c r="N114" s="5"/>
      <c r="O114" s="5"/>
      <c r="P114" s="5"/>
      <c r="Q114" s="5"/>
      <c r="R114" s="5"/>
      <c r="S114" s="5"/>
      <c r="T114" s="5"/>
      <c r="U114" s="5"/>
      <c r="V114" s="5"/>
      <c r="W114" s="5"/>
      <c r="X114" s="5"/>
      <c r="Y114" s="5"/>
      <c r="Z114" s="5"/>
      <c r="AA114" s="5"/>
      <c r="AB114" s="5"/>
      <c r="AC114" s="5"/>
    </row>
    <row r="115" spans="1:29" ht="13.8">
      <c r="A115" s="139" t="s">
        <v>133</v>
      </c>
      <c r="B115" s="328"/>
      <c r="C115" s="124"/>
      <c r="D115" s="124"/>
      <c r="E115" s="124"/>
      <c r="F115" s="392"/>
      <c r="G115" s="128"/>
      <c r="H115" s="128"/>
      <c r="I115" s="128"/>
      <c r="J115" s="5"/>
      <c r="K115" s="5"/>
      <c r="L115" s="5"/>
      <c r="M115" s="5"/>
      <c r="N115" s="5"/>
      <c r="O115" s="5"/>
      <c r="P115" s="5"/>
      <c r="Q115" s="5"/>
      <c r="R115" s="5"/>
      <c r="S115" s="5"/>
      <c r="T115" s="5"/>
      <c r="U115" s="5"/>
      <c r="V115" s="5"/>
      <c r="W115" s="5"/>
      <c r="X115" s="5"/>
      <c r="Y115" s="5"/>
      <c r="Z115" s="5"/>
      <c r="AA115" s="5"/>
      <c r="AB115" s="5"/>
      <c r="AC115" s="5"/>
    </row>
    <row r="116" spans="1:29" ht="13.8">
      <c r="A116" s="2288" t="s">
        <v>90</v>
      </c>
      <c r="B116" s="2289"/>
      <c r="C116" s="148"/>
      <c r="D116" s="302">
        <f>$D$7*F116</f>
        <v>0</v>
      </c>
      <c r="E116" s="302">
        <f t="shared" ref="E116:E122" si="20">F116-D116</f>
        <v>0</v>
      </c>
      <c r="F116" s="292"/>
      <c r="G116" s="897"/>
      <c r="H116" s="815"/>
      <c r="I116" s="1105"/>
      <c r="J116" s="752"/>
      <c r="K116" s="743"/>
      <c r="L116" s="743"/>
      <c r="M116" s="743"/>
      <c r="N116" s="771" t="str">
        <f>IF(F116&lt;&gt;"",IF(G116&lt;&gt;"","","Enter order for pymt (i.e., 1st, 2nd, etc.) in Comments cell."),"")</f>
        <v/>
      </c>
      <c r="O116" s="366"/>
      <c r="P116" s="366"/>
      <c r="Q116" s="366"/>
      <c r="R116" s="5"/>
      <c r="S116" s="5">
        <f t="shared" ref="S116:S122" si="21">IF($N116="",0,1)</f>
        <v>0</v>
      </c>
      <c r="T116" s="5"/>
      <c r="U116" s="5"/>
      <c r="V116" s="5"/>
      <c r="W116" s="5"/>
      <c r="X116" s="5"/>
      <c r="Y116" s="5"/>
      <c r="Z116" s="5"/>
      <c r="AA116" s="5"/>
      <c r="AB116" s="5"/>
      <c r="AC116" s="5"/>
    </row>
    <row r="117" spans="1:29" ht="13.8">
      <c r="A117" s="2288" t="s">
        <v>92</v>
      </c>
      <c r="B117" s="2289"/>
      <c r="C117" s="148"/>
      <c r="D117" s="302">
        <f>$D$7*F117</f>
        <v>0</v>
      </c>
      <c r="E117" s="302">
        <f t="shared" si="20"/>
        <v>0</v>
      </c>
      <c r="F117" s="292"/>
      <c r="G117" s="897"/>
      <c r="H117" s="815"/>
      <c r="I117" s="1105"/>
      <c r="J117" s="752"/>
      <c r="K117" s="743"/>
      <c r="L117" s="743"/>
      <c r="M117" s="743"/>
      <c r="N117" s="771" t="str">
        <f>IF(F117&lt;&gt;"",IF(G117&lt;&gt;"","","Enter order for pymt (i.e., 1st, 2nd, etc.) in Comments cell."),"")</f>
        <v/>
      </c>
      <c r="O117" s="366"/>
      <c r="P117" s="366"/>
      <c r="Q117" s="366"/>
      <c r="R117" s="5"/>
      <c r="S117" s="5">
        <f t="shared" si="21"/>
        <v>0</v>
      </c>
      <c r="T117" s="5"/>
      <c r="U117" s="5"/>
      <c r="V117" s="5"/>
      <c r="W117" s="5"/>
      <c r="X117" s="5"/>
      <c r="Y117" s="5"/>
      <c r="Z117" s="5"/>
      <c r="AA117" s="5"/>
      <c r="AB117" s="5"/>
      <c r="AC117" s="5"/>
    </row>
    <row r="118" spans="1:29" ht="13.8">
      <c r="A118" s="2288" t="s">
        <v>91</v>
      </c>
      <c r="B118" s="2289"/>
      <c r="C118" s="148"/>
      <c r="D118" s="302">
        <f>$D$7*F118</f>
        <v>0</v>
      </c>
      <c r="E118" s="302">
        <f t="shared" si="20"/>
        <v>0</v>
      </c>
      <c r="F118" s="292"/>
      <c r="G118" s="897"/>
      <c r="H118" s="815"/>
      <c r="I118" s="1105"/>
      <c r="J118" s="740" t="s">
        <v>695</v>
      </c>
      <c r="K118" s="740"/>
      <c r="L118" s="740" t="s">
        <v>610</v>
      </c>
      <c r="M118" s="741" t="s">
        <v>696</v>
      </c>
      <c r="N118" s="771" t="str">
        <f>IF(F118&lt;&gt;"",IF(G118&lt;&gt;"","","Enter order for pymt (i.e., 1st, 2nd, etc.) in Comments cell."),"")</f>
        <v/>
      </c>
      <c r="O118" s="366"/>
      <c r="P118" s="366"/>
      <c r="Q118" s="366"/>
      <c r="R118" s="5"/>
      <c r="S118" s="5">
        <f t="shared" si="21"/>
        <v>0</v>
      </c>
      <c r="T118" s="5"/>
      <c r="U118" s="5"/>
      <c r="V118" s="5"/>
      <c r="W118" s="5"/>
      <c r="X118" s="5"/>
      <c r="Y118" s="5"/>
      <c r="Z118" s="5"/>
      <c r="AA118" s="5"/>
      <c r="AB118" s="5"/>
      <c r="AC118" s="5"/>
    </row>
    <row r="119" spans="1:29" ht="13.8">
      <c r="A119" s="2288" t="s">
        <v>81</v>
      </c>
      <c r="B119" s="2289"/>
      <c r="C119" s="148"/>
      <c r="D119" s="302">
        <f>IF(K119&lt;&gt;"",K119*F119,$D$7*F119)</f>
        <v>0</v>
      </c>
      <c r="E119" s="302">
        <f t="shared" si="20"/>
        <v>0</v>
      </c>
      <c r="F119" s="292"/>
      <c r="G119" s="897"/>
      <c r="H119" s="815"/>
      <c r="I119" s="1105"/>
      <c r="J119" s="741" t="str">
        <f>A119</f>
        <v>Other Payments</v>
      </c>
      <c r="K119" s="760"/>
      <c r="L119" s="733" t="str">
        <f>IF(K119&lt;&gt;"", 1-K119, "")</f>
        <v/>
      </c>
      <c r="M119" s="742"/>
      <c r="N119" s="771" t="str">
        <f>IF(F119&lt;&gt;"",IF(G119&lt;&gt;"","","Enter order for pymt (i.e., 1st, 2nd, etc.) in Comments cell."),"")</f>
        <v/>
      </c>
      <c r="O119" s="366"/>
      <c r="P119" s="366"/>
      <c r="Q119" s="366"/>
      <c r="R119" s="5"/>
      <c r="S119" s="5">
        <f t="shared" si="21"/>
        <v>0</v>
      </c>
      <c r="T119" s="5"/>
      <c r="U119" s="5"/>
      <c r="V119" s="5"/>
      <c r="W119" s="5"/>
      <c r="X119" s="5"/>
      <c r="Y119" s="5"/>
      <c r="Z119" s="5"/>
      <c r="AA119" s="5"/>
      <c r="AB119" s="5"/>
      <c r="AC119" s="5"/>
    </row>
    <row r="120" spans="1:29" ht="14.25" customHeight="1">
      <c r="A120" s="2288" t="s">
        <v>592</v>
      </c>
      <c r="B120" s="2289"/>
      <c r="C120" s="136"/>
      <c r="D120" s="302">
        <f>IF(K120&lt;&gt;"",K120*F120,$D$7*F120)</f>
        <v>0</v>
      </c>
      <c r="E120" s="302">
        <f t="shared" si="20"/>
        <v>0</v>
      </c>
      <c r="F120" s="292"/>
      <c r="G120" s="623"/>
      <c r="H120" s="2316" t="s">
        <v>608</v>
      </c>
      <c r="I120" s="2297"/>
      <c r="J120" s="741" t="str">
        <f>A120</f>
        <v xml:space="preserve">Non-amortizing Loan Pmnt - Lender 1 (select lender in comments field) </v>
      </c>
      <c r="K120" s="760"/>
      <c r="L120" s="733" t="str">
        <f>IF(K120&lt;&gt;"", 1-K120, "")</f>
        <v/>
      </c>
      <c r="M120" s="742"/>
      <c r="N120" s="771" t="str">
        <f>IF(F120&lt;&gt;"",IF(G120&lt;&gt;"","","Select Lender in Comments cell"),"")</f>
        <v/>
      </c>
      <c r="O120" s="366"/>
      <c r="P120" s="366"/>
      <c r="Q120" s="366"/>
      <c r="R120" s="5"/>
      <c r="S120" s="5">
        <f t="shared" si="21"/>
        <v>0</v>
      </c>
      <c r="T120" s="5"/>
      <c r="U120" s="5"/>
      <c r="V120" s="5"/>
      <c r="W120" s="5"/>
      <c r="X120" s="5"/>
      <c r="Y120" s="5"/>
      <c r="Z120" s="5"/>
      <c r="AA120" s="5"/>
      <c r="AB120" s="5"/>
      <c r="AC120" s="5"/>
    </row>
    <row r="121" spans="1:29" ht="14.25" customHeight="1">
      <c r="A121" s="2288" t="s">
        <v>593</v>
      </c>
      <c r="B121" s="2289"/>
      <c r="C121" s="136"/>
      <c r="D121" s="302">
        <f>$D$7*F121</f>
        <v>0</v>
      </c>
      <c r="E121" s="302">
        <f t="shared" si="20"/>
        <v>0</v>
      </c>
      <c r="F121" s="292"/>
      <c r="G121" s="623"/>
      <c r="H121" s="2316" t="s">
        <v>608</v>
      </c>
      <c r="I121" s="2297"/>
      <c r="J121" s="752"/>
      <c r="K121" s="1992">
        <v>0</v>
      </c>
      <c r="L121" s="743"/>
      <c r="M121" s="743"/>
      <c r="N121" s="771" t="str">
        <f>IF(F121&lt;&gt;"",IF(G121&lt;&gt;"","","Select Lender in Comments cell"),"")</f>
        <v/>
      </c>
      <c r="O121" s="366"/>
      <c r="P121" s="366"/>
      <c r="Q121" s="366"/>
      <c r="R121" s="5"/>
      <c r="S121" s="5">
        <f t="shared" si="21"/>
        <v>0</v>
      </c>
      <c r="T121" s="5"/>
      <c r="U121" s="5"/>
      <c r="V121" s="5"/>
      <c r="W121" s="5"/>
      <c r="X121" s="5"/>
      <c r="Y121" s="5"/>
      <c r="Z121" s="5"/>
      <c r="AA121" s="5"/>
      <c r="AB121" s="5"/>
      <c r="AC121" s="5"/>
    </row>
    <row r="122" spans="1:29" ht="15" customHeight="1">
      <c r="A122" s="2288" t="s">
        <v>879</v>
      </c>
      <c r="B122" s="2289"/>
      <c r="C122" s="148"/>
      <c r="D122" s="302">
        <f>IF(K122&lt;&gt;"",K122*F122,$D$7*F122)</f>
        <v>0</v>
      </c>
      <c r="E122" s="302">
        <f t="shared" si="20"/>
        <v>0</v>
      </c>
      <c r="F122" s="292"/>
      <c r="G122" s="897" t="e">
        <f>"Def. Develop. Fee split: "&amp;ROUND(F122/(F107-SUM(F116:F121))*100,0)&amp;"%"</f>
        <v>#DIV/0!</v>
      </c>
      <c r="H122" s="2316" t="s">
        <v>608</v>
      </c>
      <c r="I122" s="2297"/>
      <c r="J122" s="741" t="str">
        <f>A122</f>
        <v>Deferred Developer Fee (Enter amt &lt;= Max Fee from cell I130)</v>
      </c>
      <c r="K122" s="760">
        <v>0</v>
      </c>
      <c r="L122" s="733">
        <f>IF(K122&lt;&gt;"", 1-K122, "")</f>
        <v>1</v>
      </c>
      <c r="M122" s="742"/>
      <c r="N122" s="771"/>
      <c r="O122" s="366"/>
      <c r="P122" s="366"/>
      <c r="Q122" s="366"/>
      <c r="R122" s="5"/>
      <c r="S122" s="5">
        <f t="shared" si="21"/>
        <v>0</v>
      </c>
      <c r="T122" s="5"/>
      <c r="U122" s="5"/>
      <c r="V122" s="5"/>
      <c r="W122" s="5"/>
      <c r="X122" s="5"/>
      <c r="Y122" s="5"/>
      <c r="Z122" s="5"/>
      <c r="AA122" s="5"/>
      <c r="AB122" s="5"/>
      <c r="AC122" s="5"/>
    </row>
    <row r="123" spans="1:29" ht="13.8">
      <c r="A123" s="320"/>
      <c r="B123" s="320"/>
      <c r="C123" s="120"/>
      <c r="D123" s="303"/>
      <c r="E123" s="303"/>
      <c r="F123" s="900" t="str">
        <f>IF(F122="","",IF(ROUND(F122,-3)&gt;ROUND(I131,-3),"Deferred Developer Fee exceeds annual limit!",""))</f>
        <v/>
      </c>
      <c r="G123" s="899"/>
      <c r="H123" s="899"/>
      <c r="I123" s="899"/>
      <c r="J123" s="5"/>
      <c r="K123" s="5"/>
      <c r="L123" s="5"/>
      <c r="M123" s="5"/>
      <c r="N123" s="771"/>
      <c r="O123" s="366"/>
      <c r="P123" s="366"/>
      <c r="Q123" s="366"/>
      <c r="R123" s="5"/>
      <c r="S123" s="5"/>
      <c r="T123" s="5"/>
      <c r="U123" s="5"/>
      <c r="V123" s="5"/>
      <c r="W123" s="5"/>
      <c r="X123" s="5"/>
      <c r="Y123" s="5"/>
      <c r="Z123" s="5"/>
      <c r="AA123" s="5"/>
      <c r="AB123" s="5"/>
      <c r="AC123" s="5"/>
    </row>
    <row r="124" spans="1:29" ht="13.8">
      <c r="A124" s="5"/>
      <c r="B124" s="1082" t="s">
        <v>135</v>
      </c>
      <c r="C124" s="124"/>
      <c r="D124" s="306">
        <f>SUM(D116:D122)</f>
        <v>0</v>
      </c>
      <c r="E124" s="306">
        <f>SUM(E116:E122)</f>
        <v>0</v>
      </c>
      <c r="F124" s="306">
        <f>SUM(F116:F122)</f>
        <v>0</v>
      </c>
      <c r="G124" s="129" t="str">
        <f>IF($B$5&lt;&gt;0,"PUPA:","")</f>
        <v/>
      </c>
      <c r="H124" s="130" t="str">
        <f>IF($B$5&lt;&gt;0,ROUND($F124/$B$5,0),"")</f>
        <v/>
      </c>
      <c r="I124" s="130"/>
      <c r="J124" s="5"/>
      <c r="K124" s="5"/>
      <c r="L124" s="5"/>
      <c r="M124" s="5"/>
      <c r="N124" s="5"/>
      <c r="O124" s="5"/>
      <c r="P124" s="5"/>
      <c r="Q124" s="5"/>
      <c r="R124" s="5"/>
      <c r="S124" s="5"/>
      <c r="T124" s="5"/>
      <c r="U124" s="5"/>
      <c r="V124" s="5"/>
      <c r="W124" s="5"/>
      <c r="X124" s="5"/>
      <c r="Y124" s="5"/>
      <c r="Z124" s="5"/>
      <c r="AA124" s="5"/>
      <c r="AB124" s="5"/>
      <c r="AC124" s="5"/>
    </row>
    <row r="125" spans="1:29" ht="13.8">
      <c r="A125" s="129"/>
      <c r="B125" s="129"/>
      <c r="C125" s="124"/>
      <c r="D125" s="124"/>
      <c r="E125" s="124"/>
      <c r="F125" s="306"/>
      <c r="G125" s="138"/>
      <c r="H125" s="128"/>
      <c r="I125" s="128"/>
      <c r="J125" s="5"/>
      <c r="K125" s="5"/>
      <c r="L125" s="5"/>
      <c r="M125" s="5"/>
      <c r="N125" s="5"/>
      <c r="O125" s="5"/>
      <c r="P125" s="5"/>
      <c r="Q125" s="5"/>
      <c r="R125" s="5"/>
      <c r="S125" s="5"/>
      <c r="T125" s="5"/>
      <c r="U125" s="5"/>
      <c r="V125" s="5"/>
      <c r="W125" s="5"/>
      <c r="X125" s="5"/>
      <c r="Y125" s="5"/>
      <c r="Z125" s="5"/>
      <c r="AA125" s="5"/>
      <c r="AB125" s="5"/>
      <c r="AC125" s="5"/>
    </row>
    <row r="126" spans="1:29" ht="15" customHeight="1">
      <c r="A126" s="2313" t="s">
        <v>134</v>
      </c>
      <c r="B126" s="2313"/>
      <c r="C126" s="124"/>
      <c r="D126" s="304">
        <f>D112-D124</f>
        <v>0</v>
      </c>
      <c r="E126" s="304">
        <f>E112-E124</f>
        <v>0</v>
      </c>
      <c r="F126" s="304">
        <f>F107-F124</f>
        <v>0</v>
      </c>
      <c r="G126" s="128"/>
      <c r="H126" s="128"/>
      <c r="I126" s="128"/>
      <c r="J126" s="5"/>
      <c r="K126" s="5"/>
      <c r="L126" s="5"/>
      <c r="M126" s="5"/>
      <c r="N126" s="5"/>
      <c r="O126" s="5"/>
      <c r="P126" s="5"/>
      <c r="Q126" s="5"/>
      <c r="R126" s="5"/>
      <c r="S126" s="5"/>
      <c r="T126" s="5"/>
      <c r="U126" s="5"/>
      <c r="V126" s="5"/>
      <c r="W126" s="5"/>
      <c r="X126" s="5"/>
      <c r="Y126" s="5"/>
      <c r="Z126" s="5"/>
      <c r="AA126" s="5"/>
      <c r="AB126" s="5"/>
      <c r="AC126" s="5"/>
    </row>
    <row r="127" spans="1:29" ht="13.8">
      <c r="A127" s="758"/>
      <c r="B127" s="758"/>
      <c r="C127" s="124"/>
      <c r="D127" s="124"/>
      <c r="E127" s="124"/>
      <c r="F127" s="146"/>
      <c r="G127" s="128"/>
      <c r="H127" s="128"/>
      <c r="I127" s="128"/>
      <c r="J127" s="5"/>
      <c r="K127" s="5"/>
      <c r="L127" s="5"/>
      <c r="M127" s="5"/>
      <c r="N127" s="5"/>
      <c r="O127" s="5"/>
      <c r="P127" s="5"/>
      <c r="Q127" s="5"/>
      <c r="R127" s="5"/>
      <c r="S127" s="5"/>
      <c r="T127" s="5"/>
      <c r="U127" s="5"/>
      <c r="V127" s="5"/>
      <c r="W127" s="5"/>
      <c r="X127" s="5"/>
      <c r="Y127" s="5"/>
      <c r="Z127" s="5"/>
      <c r="AA127" s="5"/>
      <c r="AB127" s="5"/>
      <c r="AC127" s="5"/>
    </row>
    <row r="128" spans="1:29" ht="13.8">
      <c r="A128" s="328" t="s">
        <v>238</v>
      </c>
      <c r="B128" s="328"/>
      <c r="C128" s="124"/>
      <c r="D128" s="124"/>
      <c r="E128" s="124"/>
      <c r="F128" s="131"/>
      <c r="G128" s="128"/>
      <c r="H128" s="128"/>
      <c r="I128" s="128"/>
      <c r="J128" s="5"/>
      <c r="K128" s="5"/>
      <c r="L128" s="5"/>
      <c r="M128" s="5"/>
      <c r="N128" s="5"/>
      <c r="O128" s="5"/>
      <c r="P128" s="5"/>
      <c r="Q128" s="5"/>
      <c r="R128" s="5"/>
      <c r="S128" s="5"/>
      <c r="T128" s="5"/>
      <c r="U128" s="5"/>
      <c r="V128" s="5"/>
      <c r="W128" s="5"/>
      <c r="X128" s="5"/>
      <c r="Y128" s="5"/>
      <c r="Z128" s="5"/>
      <c r="AA128" s="5"/>
      <c r="AB128" s="5"/>
      <c r="AC128" s="5"/>
    </row>
    <row r="129" spans="1:29" ht="14.4">
      <c r="A129" s="2314" t="s">
        <v>750</v>
      </c>
      <c r="B129" s="2314"/>
      <c r="C129" s="124"/>
      <c r="D129" s="124"/>
      <c r="E129" s="124"/>
      <c r="F129" s="120">
        <f>'1.GeneralProjectInfo'!$L$57</f>
        <v>0</v>
      </c>
      <c r="G129" s="320" t="s">
        <v>279</v>
      </c>
      <c r="H129" s="5"/>
      <c r="I129" s="139" t="str">
        <f>IF('1.GeneralProjectInfo'!$L$71="","TBD",'1.GeneralProjectInfo'!$L$71)</f>
        <v>TBD</v>
      </c>
      <c r="J129" s="5"/>
      <c r="K129" s="5"/>
      <c r="L129" s="5"/>
      <c r="M129" s="5"/>
      <c r="N129" s="5"/>
      <c r="O129" s="5"/>
      <c r="P129" s="5"/>
      <c r="Q129" s="5"/>
      <c r="R129" s="5"/>
      <c r="S129" s="5"/>
      <c r="T129" s="5"/>
      <c r="U129" s="5"/>
      <c r="V129" s="5"/>
      <c r="W129" s="5"/>
      <c r="X129" s="5"/>
      <c r="Y129" s="5"/>
      <c r="Z129" s="5"/>
      <c r="AA129" s="5"/>
      <c r="AB129" s="5"/>
      <c r="AC129" s="5"/>
    </row>
    <row r="130" spans="1:29" ht="14.4">
      <c r="A130" s="2314" t="s">
        <v>751</v>
      </c>
      <c r="B130" s="2314"/>
      <c r="C130" s="195"/>
      <c r="D130" s="8"/>
      <c r="E130" s="8"/>
      <c r="F130" s="120" t="str">
        <f>IF('1.GeneralProjectInfo'!$L$60="","TBD",'1.GeneralProjectInfo'!$L$60)</f>
        <v>TBD</v>
      </c>
      <c r="G130" s="5"/>
      <c r="H130" s="822"/>
      <c r="I130" s="5"/>
      <c r="J130" s="5"/>
      <c r="K130" s="5"/>
      <c r="L130" s="5"/>
      <c r="M130" s="5"/>
      <c r="N130" s="5"/>
      <c r="O130" s="5"/>
      <c r="P130" s="5"/>
      <c r="Q130" s="5"/>
      <c r="R130" s="5"/>
      <c r="S130" s="5"/>
      <c r="T130" s="5"/>
      <c r="U130" s="5"/>
      <c r="V130" s="5"/>
      <c r="W130" s="5"/>
      <c r="X130" s="5"/>
      <c r="Y130" s="5"/>
      <c r="Z130" s="5"/>
      <c r="AA130" s="5"/>
      <c r="AB130" s="5"/>
      <c r="AC130" s="5"/>
    </row>
    <row r="131" spans="1:29" ht="14.4">
      <c r="A131" s="320" t="s">
        <v>752</v>
      </c>
      <c r="B131" s="2057"/>
      <c r="C131" s="195"/>
      <c r="D131" s="8"/>
      <c r="E131" s="8"/>
      <c r="F131" s="149">
        <f>1-$F$132</f>
        <v>1</v>
      </c>
      <c r="G131" s="2315" t="str">
        <f>IF(F130="yes","Max Deferred Developer Fee Amt (Use for data entry above. Do not link.):","")</f>
        <v/>
      </c>
      <c r="H131" s="2315"/>
      <c r="I131" s="702" t="str">
        <f>IF(AND(F130="yes",$F$126&gt;0,$F$131*($F$107-SUM($F$116:$F$121))&lt;'1.GeneralProjectInfo'!$L$69),$F$131*($F$107-SUM($F$116:$F$121)),IF(AND(F130="yes",$F$126&gt;0,$F$131*($F$107-SUM($F$116:$F$121))&gt;'1.GeneralProjectInfo'!$L$69),'1.GeneralProjectInfo'!$L$69,""))</f>
        <v/>
      </c>
      <c r="J131" s="5" t="s">
        <v>875</v>
      </c>
      <c r="K131" s="336">
        <f>D122+E122</f>
        <v>0</v>
      </c>
      <c r="L131" s="5"/>
      <c r="M131" s="5"/>
      <c r="N131" s="5"/>
      <c r="O131" s="5"/>
      <c r="P131" s="5"/>
      <c r="Q131" s="5"/>
      <c r="R131" s="5"/>
      <c r="S131" s="5"/>
      <c r="T131" s="5"/>
      <c r="U131" s="5"/>
      <c r="V131" s="5"/>
      <c r="W131" s="5"/>
      <c r="X131" s="5"/>
      <c r="Y131" s="5"/>
      <c r="Z131" s="5"/>
      <c r="AA131" s="5"/>
      <c r="AB131" s="5"/>
      <c r="AC131" s="5"/>
    </row>
    <row r="132" spans="1:29" ht="14.4">
      <c r="A132" s="2314" t="s">
        <v>857</v>
      </c>
      <c r="B132" s="2314"/>
      <c r="C132" s="124"/>
      <c r="D132" s="124"/>
      <c r="E132" s="124"/>
      <c r="F132" s="149">
        <f>'1.GeneralProjectInfo'!$L$62</f>
        <v>0</v>
      </c>
      <c r="G132" s="2315"/>
      <c r="H132" s="2315"/>
      <c r="I132" s="327"/>
      <c r="J132" s="5" t="s">
        <v>874</v>
      </c>
      <c r="K132" s="5" t="e">
        <f>I131/K131</f>
        <v>#VALUE!</v>
      </c>
      <c r="L132" s="5"/>
      <c r="M132" s="5"/>
      <c r="N132" s="5"/>
      <c r="O132" s="5"/>
      <c r="P132" s="5"/>
      <c r="Q132" s="5"/>
      <c r="R132" s="5"/>
      <c r="S132" s="5"/>
      <c r="T132" s="5"/>
      <c r="U132" s="5"/>
      <c r="V132" s="5"/>
      <c r="W132" s="5"/>
      <c r="X132" s="5"/>
      <c r="Y132" s="5"/>
      <c r="Z132" s="5"/>
      <c r="AA132" s="5"/>
      <c r="AB132" s="5"/>
      <c r="AC132" s="5"/>
    </row>
    <row r="133" spans="1:29" ht="15" thickBot="1">
      <c r="A133" s="2057"/>
      <c r="B133" s="2057"/>
      <c r="C133" s="124"/>
      <c r="D133" s="124"/>
      <c r="E133" s="124"/>
      <c r="F133" s="149"/>
      <c r="G133" s="5"/>
      <c r="H133" s="149"/>
      <c r="I133" s="5"/>
      <c r="J133" s="5"/>
      <c r="K133" s="5"/>
      <c r="L133" s="5"/>
      <c r="M133" s="5"/>
      <c r="N133" s="5"/>
      <c r="O133" s="5"/>
      <c r="P133" s="5"/>
      <c r="Q133" s="5"/>
      <c r="R133" s="5"/>
      <c r="S133" s="5"/>
      <c r="T133" s="5"/>
      <c r="U133" s="5"/>
      <c r="V133" s="5"/>
      <c r="W133" s="5"/>
      <c r="X133" s="5"/>
      <c r="Y133" s="5"/>
      <c r="Z133" s="5"/>
      <c r="AA133" s="5"/>
      <c r="AB133" s="5"/>
      <c r="AC133" s="5"/>
    </row>
    <row r="134" spans="1:29" ht="34.5" customHeight="1">
      <c r="A134" s="6" t="s">
        <v>256</v>
      </c>
      <c r="B134" s="6"/>
      <c r="C134" s="8"/>
      <c r="D134" s="8"/>
      <c r="E134" s="8"/>
      <c r="F134" s="351" t="s">
        <v>254</v>
      </c>
      <c r="G134" s="5"/>
      <c r="H134" s="6" t="s">
        <v>253</v>
      </c>
      <c r="I134" s="1172" t="s">
        <v>871</v>
      </c>
      <c r="J134" s="5"/>
      <c r="K134" s="5"/>
      <c r="L134" s="5"/>
      <c r="M134" s="5"/>
      <c r="N134" s="5"/>
      <c r="O134" s="5"/>
      <c r="P134" s="5"/>
      <c r="Q134" s="5"/>
      <c r="R134" s="5"/>
      <c r="S134" s="5"/>
      <c r="T134" s="5"/>
      <c r="U134" s="5"/>
      <c r="V134" s="5"/>
      <c r="W134" s="5"/>
      <c r="X134" s="5"/>
      <c r="Y134" s="5"/>
      <c r="Z134" s="5"/>
      <c r="AA134" s="5"/>
      <c r="AB134" s="5"/>
      <c r="AC134" s="5"/>
    </row>
    <row r="135" spans="1:29" ht="13.8">
      <c r="A135" s="2288" t="s">
        <v>733</v>
      </c>
      <c r="B135" s="2289"/>
      <c r="C135" s="124"/>
      <c r="D135" s="2298"/>
      <c r="E135" s="2299"/>
      <c r="F135" s="2165" t="s">
        <v>734</v>
      </c>
      <c r="G135" s="2167"/>
      <c r="H135" s="307"/>
      <c r="I135" s="321">
        <f>IF(SUM($H$136:$H$139)=0,1,$H135/SUM($H$135:$H$139))</f>
        <v>1</v>
      </c>
      <c r="J135" s="753"/>
      <c r="K135" s="745"/>
      <c r="L135" s="745"/>
      <c r="M135" s="745"/>
      <c r="N135" s="772" t="str">
        <f>IF(H135="","Enter Total MOHCD/OCCI Principal Loan amts","")</f>
        <v>Enter Total MOHCD/OCCI Principal Loan amts</v>
      </c>
      <c r="O135" s="725"/>
      <c r="P135" s="725"/>
      <c r="Q135" s="725"/>
      <c r="R135" s="5"/>
      <c r="S135" s="5">
        <f>IF($H135="",1,0)</f>
        <v>1</v>
      </c>
      <c r="T135" s="5"/>
      <c r="U135" s="5"/>
      <c r="V135" s="5"/>
      <c r="W135" s="5"/>
      <c r="X135" s="5"/>
      <c r="Y135" s="5"/>
      <c r="Z135" s="5"/>
      <c r="AA135" s="5"/>
      <c r="AB135" s="5"/>
      <c r="AC135" s="5"/>
    </row>
    <row r="136" spans="1:29" ht="13.8">
      <c r="A136" s="2052" t="s">
        <v>1253</v>
      </c>
      <c r="B136" s="2053"/>
      <c r="C136" s="124"/>
      <c r="D136" s="2311"/>
      <c r="E136" s="2312"/>
      <c r="F136" s="2288" t="str">
        <f>IF('1.GeneralProjectInfo'!I55&gt;0,"Acquisition Cost","Ground Lease Value")</f>
        <v>Ground Lease Value</v>
      </c>
      <c r="G136" s="2289"/>
      <c r="H136" s="349" t="str">
        <f>IF('1.GeneralProjectInfo'!I55&gt;0,'1.GeneralProjectInfo'!I55,IF('1.GeneralProjectInfo'!$K$75&gt;0,'1.GeneralProjectInfo'!$K$75/0.1,""))</f>
        <v/>
      </c>
      <c r="I136" s="322">
        <f>IF($H136="",0,$H136/SUM($H$135:$H$139))</f>
        <v>0</v>
      </c>
      <c r="J136" s="753"/>
      <c r="K136" s="745"/>
      <c r="L136" s="745"/>
      <c r="M136" s="745"/>
      <c r="N136" s="772"/>
      <c r="O136" s="725"/>
      <c r="P136" s="725"/>
      <c r="Q136" s="725"/>
      <c r="R136" s="5"/>
      <c r="S136" s="5"/>
      <c r="T136" s="5"/>
      <c r="U136" s="5"/>
      <c r="V136" s="5"/>
      <c r="W136" s="5"/>
      <c r="X136" s="5"/>
      <c r="Y136" s="5"/>
      <c r="Z136" s="5"/>
      <c r="AA136" s="5"/>
      <c r="AB136" s="5"/>
      <c r="AC136" s="5"/>
    </row>
    <row r="137" spans="1:29" ht="13.8">
      <c r="A137" s="2288" t="str">
        <f>IF(S8="RAD","Other Soft Debt Lender - Lender 3","HCD (soft debt loan) - Lender 3")</f>
        <v>HCD (soft debt loan) - Lender 3</v>
      </c>
      <c r="B137" s="2289"/>
      <c r="C137" s="124"/>
      <c r="D137" s="2311"/>
      <c r="E137" s="2312"/>
      <c r="F137" s="2305"/>
      <c r="G137" s="2307"/>
      <c r="H137" s="349" t="str">
        <f>IF(F137&lt;&gt;"",VLOOKUP($F137,'1.GeneralProjectInfo'!$B$43:$E$52,3,FALSE),"")</f>
        <v/>
      </c>
      <c r="I137" s="322">
        <f>IF($H137="",0,$H137/SUM($H$135:$H$139))</f>
        <v>0</v>
      </c>
      <c r="J137" s="5"/>
      <c r="K137" s="5"/>
      <c r="L137" s="5"/>
      <c r="M137" s="5"/>
      <c r="N137" s="5"/>
      <c r="O137" s="5"/>
      <c r="P137" s="5"/>
      <c r="Q137" s="5"/>
      <c r="R137" s="5"/>
      <c r="S137" s="5"/>
      <c r="T137" s="5"/>
      <c r="U137" s="5"/>
      <c r="V137" s="5"/>
      <c r="W137" s="5"/>
      <c r="X137" s="5"/>
      <c r="Y137" s="5"/>
      <c r="Z137" s="5"/>
      <c r="AA137" s="5"/>
      <c r="AB137" s="5"/>
      <c r="AC137" s="5"/>
    </row>
    <row r="138" spans="1:29" ht="13.8">
      <c r="A138" s="2288" t="s">
        <v>249</v>
      </c>
      <c r="B138" s="2289"/>
      <c r="C138" s="124"/>
      <c r="D138" s="2311"/>
      <c r="E138" s="2312"/>
      <c r="F138" s="2305"/>
      <c r="G138" s="2307"/>
      <c r="H138" s="349" t="str">
        <f>IF(F138&lt;&gt;"",VLOOKUP($F138,'1.GeneralProjectInfo'!$B$43:$E$52,3,FALSE),"")</f>
        <v/>
      </c>
      <c r="I138" s="322">
        <f>IF($H138="",0,$H138/SUM($H$135:$H$139))</f>
        <v>0</v>
      </c>
      <c r="J138" s="5"/>
      <c r="K138" s="5"/>
      <c r="L138" s="5"/>
      <c r="M138" s="5"/>
      <c r="N138" s="5"/>
      <c r="O138" s="5"/>
      <c r="P138" s="5"/>
      <c r="Q138" s="5"/>
      <c r="R138" s="5"/>
      <c r="S138" s="5"/>
      <c r="T138" s="5"/>
      <c r="U138" s="5"/>
      <c r="V138" s="5"/>
      <c r="W138" s="5"/>
      <c r="X138" s="5"/>
      <c r="Y138" s="5"/>
      <c r="Z138" s="5"/>
      <c r="AA138" s="5"/>
      <c r="AB138" s="5"/>
      <c r="AC138" s="5"/>
    </row>
    <row r="139" spans="1:29" ht="14.4" thickBot="1">
      <c r="A139" s="2288" t="s">
        <v>250</v>
      </c>
      <c r="B139" s="2289"/>
      <c r="C139" s="124"/>
      <c r="D139" s="2300"/>
      <c r="E139" s="2301"/>
      <c r="F139" s="2305"/>
      <c r="G139" s="2307"/>
      <c r="H139" s="349" t="str">
        <f>IF(F139&lt;&gt;"",VLOOKUP($F139,'1.GeneralProjectInfo'!$B$43:$E$52,3,FALSE),"")</f>
        <v/>
      </c>
      <c r="I139" s="323">
        <f>IF($H139="",0,$H139/SUM($H$135:$H$139))</f>
        <v>0</v>
      </c>
      <c r="J139" s="5"/>
      <c r="K139" s="5"/>
      <c r="L139" s="5"/>
      <c r="M139" s="5"/>
      <c r="N139" s="5"/>
      <c r="O139" s="5"/>
      <c r="P139" s="5"/>
      <c r="Q139" s="5"/>
      <c r="R139" s="5"/>
      <c r="S139" s="5"/>
      <c r="T139" s="5"/>
      <c r="U139" s="5"/>
      <c r="V139" s="5"/>
      <c r="W139" s="5"/>
      <c r="X139" s="5"/>
      <c r="Y139" s="5"/>
      <c r="Z139" s="5"/>
      <c r="AA139" s="5"/>
      <c r="AB139" s="5"/>
      <c r="AC139" s="5"/>
    </row>
    <row r="140" spans="1:29" ht="13.8">
      <c r="A140" s="759"/>
      <c r="B140" s="759"/>
      <c r="C140" s="124"/>
      <c r="D140" s="124"/>
      <c r="E140" s="124"/>
      <c r="F140" s="150"/>
      <c r="G140" s="151"/>
      <c r="H140" s="150"/>
      <c r="I140" s="152"/>
      <c r="J140" s="5"/>
      <c r="K140" s="5"/>
      <c r="L140" s="5"/>
      <c r="M140" s="5"/>
      <c r="N140" s="5"/>
      <c r="O140" s="5"/>
      <c r="P140" s="5"/>
      <c r="Q140" s="5"/>
      <c r="R140" s="5"/>
      <c r="S140" s="5"/>
      <c r="T140" s="5"/>
      <c r="U140" s="5"/>
      <c r="V140" s="5"/>
      <c r="W140" s="5"/>
      <c r="X140" s="5"/>
      <c r="Y140" s="5"/>
      <c r="Z140" s="5"/>
      <c r="AA140" s="5"/>
      <c r="AB140" s="5"/>
      <c r="AC140" s="5"/>
    </row>
    <row r="141" spans="1:29" ht="13.8">
      <c r="A141" s="120" t="s">
        <v>187</v>
      </c>
      <c r="B141" s="328"/>
      <c r="C141" s="124"/>
      <c r="D141" s="124"/>
      <c r="E141" s="124"/>
      <c r="F141" s="131"/>
      <c r="G141" s="128"/>
      <c r="H141" s="128"/>
      <c r="I141" s="128"/>
      <c r="J141" s="5"/>
      <c r="K141" s="5"/>
      <c r="L141" s="5"/>
      <c r="M141" s="5"/>
      <c r="N141" s="5"/>
      <c r="O141" s="5"/>
      <c r="P141" s="5"/>
      <c r="Q141" s="5"/>
      <c r="R141" s="5"/>
      <c r="S141" s="5"/>
      <c r="T141" s="5"/>
      <c r="U141" s="5"/>
      <c r="V141" s="5"/>
      <c r="W141" s="5"/>
      <c r="X141" s="5"/>
      <c r="Y141" s="5"/>
      <c r="Z141" s="5"/>
      <c r="AA141" s="5"/>
      <c r="AB141" s="5"/>
      <c r="AC141" s="5"/>
    </row>
    <row r="142" spans="1:29" ht="14.25" hidden="1" customHeight="1">
      <c r="A142" s="2288" t="s">
        <v>239</v>
      </c>
      <c r="B142" s="2289"/>
      <c r="C142" s="153"/>
      <c r="D142" s="2290"/>
      <c r="E142" s="305">
        <f>F142</f>
        <v>0</v>
      </c>
      <c r="F142" s="331">
        <f>IF(AND($F$126&gt;0,$F$129="Yes",$F$130="Yes"),$F$126*SUM($I$135:$I$136),IF(AND($F$126&gt;0,$F$129="Yes",$F$130="No"),$F$132*($I135+I136)*$F$126,0))</f>
        <v>0</v>
      </c>
      <c r="G142" s="2293" t="str">
        <f>IF($S$8="RAD",(ROUND($F$132*100,0)&amp;"% of residual receipts, multiplied by "&amp;ROUND($I$135*100,2)&amp;"% -- MOHCD's share of residual receipts"),(ROUND($F$132*100,0)&amp;"% of residual receipts, multiplied by "&amp;ROUND(($I$135+I136)*100,2)&amp;"% -- MOHCD's pro rata share of all soft debt"))</f>
        <v>0% of residual receipts, multiplied by 100% -- MOHCD's pro rata share of all soft debt</v>
      </c>
      <c r="H142" s="2294"/>
      <c r="I142" s="2295"/>
      <c r="J142" s="5"/>
      <c r="K142" s="5"/>
      <c r="L142" s="5"/>
      <c r="M142" s="5"/>
      <c r="N142" s="5"/>
      <c r="O142" s="5"/>
      <c r="P142" s="5"/>
      <c r="Q142" s="5"/>
      <c r="R142" s="5"/>
      <c r="S142" s="5"/>
      <c r="T142" s="5"/>
      <c r="U142" s="5"/>
      <c r="V142" s="5"/>
      <c r="W142" s="5"/>
      <c r="X142" s="5"/>
      <c r="Y142" s="5"/>
      <c r="Z142" s="5"/>
      <c r="AA142" s="5"/>
      <c r="AB142" s="5"/>
      <c r="AC142" s="5"/>
    </row>
    <row r="143" spans="1:29" ht="14.25" hidden="1" customHeight="1">
      <c r="A143" s="2288" t="s">
        <v>207</v>
      </c>
      <c r="B143" s="2289"/>
      <c r="C143" s="153"/>
      <c r="D143" s="2291"/>
      <c r="E143" s="293">
        <f>F143</f>
        <v>0</v>
      </c>
      <c r="F143" s="292">
        <f>IF(SmallSites=TRUE,0,F142)</f>
        <v>0</v>
      </c>
      <c r="G143" s="2296" t="s">
        <v>246</v>
      </c>
      <c r="H143" s="2296"/>
      <c r="I143" s="2297"/>
      <c r="J143" s="492"/>
      <c r="K143" s="6"/>
      <c r="L143" s="6"/>
      <c r="M143" s="5"/>
      <c r="N143" s="5"/>
      <c r="O143" s="5"/>
      <c r="P143" s="5"/>
      <c r="Q143" s="5"/>
      <c r="R143" s="5"/>
      <c r="S143" s="5"/>
      <c r="T143" s="5"/>
      <c r="U143" s="5"/>
      <c r="V143" s="5"/>
      <c r="W143" s="5"/>
      <c r="X143" s="5"/>
      <c r="Y143" s="5"/>
      <c r="Z143" s="5"/>
      <c r="AA143" s="5"/>
      <c r="AB143" s="5"/>
      <c r="AC143" s="5"/>
    </row>
    <row r="144" spans="1:29" ht="14.25" hidden="1" customHeight="1">
      <c r="A144" s="2288" t="s">
        <v>208</v>
      </c>
      <c r="B144" s="2289"/>
      <c r="C144" s="153"/>
      <c r="D144" s="2292"/>
      <c r="E144" s="302">
        <f>F144</f>
        <v>0</v>
      </c>
      <c r="F144" s="291">
        <f>IF(SmallSites=TRUE,0,IF($I$129="No",0,IF(F142-F143&lt;'1.GeneralProjectInfo'!I75,F142-F143,'1.GeneralProjectInfo'!I75)))</f>
        <v>0</v>
      </c>
      <c r="G144" s="2306" t="s">
        <v>247</v>
      </c>
      <c r="H144" s="2306"/>
      <c r="I144" s="2307"/>
      <c r="J144" s="501"/>
      <c r="K144" s="731"/>
      <c r="L144" s="731"/>
      <c r="M144" s="5"/>
      <c r="N144" s="772" t="str">
        <f>IF(F144&gt;'1.GeneralProjectInfo'!$I$75,"Residual Rent proposed &gt; Residual Rent Obligation","")</f>
        <v/>
      </c>
      <c r="O144" s="5"/>
      <c r="P144" s="5"/>
      <c r="Q144" s="5"/>
      <c r="R144" s="5"/>
      <c r="S144" s="5"/>
      <c r="T144" s="5"/>
      <c r="U144" s="5"/>
      <c r="V144" s="5"/>
      <c r="W144" s="5"/>
      <c r="X144" s="5"/>
      <c r="Y144" s="5"/>
      <c r="Z144" s="5"/>
      <c r="AA144" s="5"/>
      <c r="AB144" s="5"/>
      <c r="AC144" s="5"/>
    </row>
    <row r="145" spans="1:29" ht="14.25" hidden="1" customHeight="1">
      <c r="A145" s="2288" t="s">
        <v>999</v>
      </c>
      <c r="B145" s="2289"/>
      <c r="C145" s="124"/>
      <c r="D145" s="124"/>
      <c r="E145" s="303"/>
      <c r="F145" s="291">
        <f>IF(SmallSites=TRUE,F142,0)</f>
        <v>0</v>
      </c>
      <c r="G145" s="2308" t="s">
        <v>1000</v>
      </c>
      <c r="H145" s="2308"/>
      <c r="I145" s="2309"/>
      <c r="J145" s="5"/>
      <c r="K145" s="731"/>
      <c r="L145" s="731"/>
      <c r="M145" s="5"/>
      <c r="N145" s="772"/>
      <c r="O145" s="5"/>
      <c r="P145" s="5"/>
      <c r="Q145" s="5"/>
      <c r="R145" s="5"/>
      <c r="S145" s="5"/>
      <c r="T145" s="5"/>
      <c r="U145" s="5"/>
      <c r="V145" s="5"/>
      <c r="W145" s="5"/>
      <c r="X145" s="5"/>
      <c r="Y145" s="5"/>
      <c r="Z145" s="5"/>
      <c r="AA145" s="5"/>
      <c r="AB145" s="5"/>
      <c r="AC145" s="5"/>
    </row>
    <row r="146" spans="1:29" ht="15" customHeight="1">
      <c r="A146" s="2310" t="s">
        <v>199</v>
      </c>
      <c r="B146" s="2310"/>
      <c r="C146" s="124"/>
      <c r="D146" s="124"/>
      <c r="E146" s="124"/>
      <c r="F146" s="304">
        <f>IF(F126&gt;=0,F126-F142,0)</f>
        <v>0</v>
      </c>
      <c r="G146" s="1369" t="str">
        <f>IF(SUM(F143:F144)&lt;&gt;F142,"Total Resid Receipts due not allocated, please revise F142","")</f>
        <v/>
      </c>
      <c r="H146" s="128"/>
      <c r="I146" s="128"/>
      <c r="J146" s="5"/>
      <c r="K146" s="5"/>
      <c r="L146" s="5"/>
      <c r="M146" s="5"/>
      <c r="N146" s="5"/>
      <c r="O146" s="5"/>
      <c r="P146" s="5"/>
      <c r="Q146" s="5"/>
      <c r="R146" s="5"/>
      <c r="S146" s="5"/>
      <c r="T146" s="5"/>
      <c r="U146" s="5"/>
      <c r="V146" s="5"/>
      <c r="W146" s="5"/>
      <c r="X146" s="5"/>
      <c r="Y146" s="5"/>
      <c r="Z146" s="5"/>
      <c r="AA146" s="5"/>
      <c r="AB146" s="5"/>
      <c r="AC146" s="5"/>
    </row>
    <row r="147" spans="1:29" ht="13.8">
      <c r="A147" s="2058"/>
      <c r="B147" s="2058"/>
      <c r="C147" s="124"/>
      <c r="D147" s="124"/>
      <c r="E147" s="124"/>
      <c r="F147" s="304"/>
      <c r="G147" s="128"/>
      <c r="H147" s="128"/>
      <c r="I147" s="128"/>
      <c r="J147" s="5"/>
      <c r="K147" s="5"/>
      <c r="L147" s="5"/>
      <c r="M147" s="5"/>
      <c r="N147" s="5"/>
      <c r="O147" s="5"/>
      <c r="P147" s="5"/>
      <c r="Q147" s="5"/>
      <c r="R147" s="5"/>
      <c r="S147" s="5"/>
      <c r="T147" s="5"/>
      <c r="U147" s="5"/>
      <c r="V147" s="5"/>
      <c r="W147" s="5"/>
      <c r="X147" s="5"/>
      <c r="Y147" s="5"/>
      <c r="Z147" s="5"/>
      <c r="AA147" s="5"/>
      <c r="AB147" s="5"/>
      <c r="AC147" s="5"/>
    </row>
    <row r="148" spans="1:29" ht="13.8">
      <c r="A148" s="139" t="s">
        <v>197</v>
      </c>
      <c r="B148" s="328"/>
      <c r="C148" s="124"/>
      <c r="D148" s="124"/>
      <c r="E148" s="124"/>
      <c r="F148" s="304"/>
      <c r="G148" s="128"/>
      <c r="H148" s="128"/>
      <c r="I148" s="128"/>
      <c r="J148" s="5"/>
      <c r="K148" s="5"/>
      <c r="L148" s="5"/>
      <c r="M148" s="5"/>
      <c r="N148" s="5"/>
      <c r="O148" s="5"/>
      <c r="P148" s="5"/>
      <c r="Q148" s="5"/>
      <c r="R148" s="5"/>
      <c r="S148" s="5"/>
      <c r="T148" s="5"/>
      <c r="U148" s="5"/>
      <c r="V148" s="5"/>
      <c r="W148" s="5"/>
      <c r="X148" s="5"/>
      <c r="Y148" s="5"/>
      <c r="Z148" s="5"/>
      <c r="AA148" s="5"/>
      <c r="AB148" s="5"/>
      <c r="AC148" s="5"/>
    </row>
    <row r="149" spans="1:29" ht="13.8">
      <c r="A149" s="2288" t="str">
        <f>IF(S8="RAD","SFHA Residual Receipts Amount Due","HCD Residual Receipts Amount Due")</f>
        <v>HCD Residual Receipts Amount Due</v>
      </c>
      <c r="B149" s="2289"/>
      <c r="C149" s="153"/>
      <c r="D149" s="2298"/>
      <c r="E149" s="2299"/>
      <c r="F149" s="291">
        <f>IF(AND($F$126&gt;0,$F$130="Yes"),$I137*$F$126,IF(AND($F$126&gt;0,$F$130="No"),$F$126*$F$132*$I137,0))</f>
        <v>0</v>
      </c>
      <c r="G149" s="127" t="str">
        <f>IF($H$137="","",IF($S$8="RAD",(ROUND($F$132*100,0)&amp;"% of residual receipts, multiplied by "&amp;ROUND($I$137*100,2)&amp;"% -- "&amp;$F$137&amp;"'s share of residual receipts"),ROUND($F$132*100,0)&amp;"% of residual receipts, multiplied by "&amp;ROUND($I$137*100,2)&amp;"% -- "&amp;$F$137&amp;"'s pro rata share of all soft debt"))</f>
        <v/>
      </c>
      <c r="H149" s="127"/>
      <c r="I149" s="330"/>
      <c r="J149" s="5"/>
      <c r="K149" s="5"/>
      <c r="L149" s="5"/>
      <c r="M149" s="5"/>
      <c r="N149" s="5"/>
      <c r="O149" s="5"/>
      <c r="P149" s="5"/>
      <c r="Q149" s="5"/>
      <c r="R149" s="5"/>
      <c r="S149" s="5"/>
      <c r="T149" s="5"/>
      <c r="U149" s="5"/>
      <c r="V149" s="5"/>
      <c r="W149" s="5"/>
      <c r="X149" s="5"/>
      <c r="Y149" s="5"/>
      <c r="Z149" s="5"/>
      <c r="AA149" s="5"/>
      <c r="AB149" s="5"/>
      <c r="AC149" s="5"/>
    </row>
    <row r="150" spans="1:29" ht="13.8">
      <c r="A150" s="2288" t="s">
        <v>251</v>
      </c>
      <c r="B150" s="2289"/>
      <c r="C150" s="153"/>
      <c r="D150" s="2311"/>
      <c r="E150" s="2312"/>
      <c r="F150" s="291">
        <f>IF(AND($F$126&gt;0,$F$130="Yes"),$I138*$F$126,IF(AND($F$126&gt;0,$F$130="No"),$F$126*$F$132*$I138,0))</f>
        <v>0</v>
      </c>
      <c r="G150" s="127" t="str">
        <f>IF(H138="","",ROUND($F$132*100,0)&amp;"% of residual receipts, multiplied by "&amp;ROUND($I$138*100,2)&amp;"%, "&amp;$F$138&amp;"'s pro rata share of all soft debt")</f>
        <v/>
      </c>
      <c r="H150" s="127"/>
      <c r="I150" s="330"/>
      <c r="J150" s="5"/>
      <c r="K150" s="5"/>
      <c r="L150" s="5"/>
      <c r="M150" s="5"/>
      <c r="N150" s="5"/>
      <c r="O150" s="5"/>
      <c r="P150" s="5"/>
      <c r="Q150" s="5"/>
      <c r="R150" s="5"/>
      <c r="S150" s="327"/>
      <c r="T150" s="327"/>
      <c r="U150" s="5"/>
      <c r="V150" s="5"/>
      <c r="W150" s="5"/>
      <c r="X150" s="5"/>
      <c r="Y150" s="5"/>
      <c r="Z150" s="5"/>
      <c r="AA150" s="5"/>
      <c r="AB150" s="5"/>
      <c r="AC150" s="5"/>
    </row>
    <row r="151" spans="1:29" ht="13.8">
      <c r="A151" s="2288" t="s">
        <v>252</v>
      </c>
      <c r="B151" s="2289"/>
      <c r="C151" s="153"/>
      <c r="D151" s="2300"/>
      <c r="E151" s="2301"/>
      <c r="F151" s="291">
        <f>IF(AND($F$126&gt;0,$F$130="Yes"),$I139*$F$126,IF(AND($F$126&gt;0,$F$130="No"),$F$126*$F$132*$I139,0))</f>
        <v>0</v>
      </c>
      <c r="G151" s="127" t="str">
        <f>IF(H139="","",ROUND($F$132*100,0)&amp;"% of residual receipts, multiplied by "&amp;ROUND($I$139*100,2)&amp;"%, "&amp;$F$139&amp;"'s pro rata share of all soft debt")</f>
        <v/>
      </c>
      <c r="H151" s="127"/>
      <c r="I151" s="330"/>
      <c r="J151" s="5"/>
      <c r="K151" s="5"/>
      <c r="L151" s="5"/>
      <c r="M151" s="5"/>
      <c r="N151" s="5"/>
      <c r="O151" s="5"/>
      <c r="P151" s="5"/>
      <c r="Q151" s="5"/>
      <c r="R151" s="5"/>
      <c r="S151" s="327"/>
      <c r="T151" s="327"/>
      <c r="U151" s="5"/>
      <c r="V151" s="5"/>
      <c r="W151" s="5"/>
      <c r="X151" s="5"/>
      <c r="Y151" s="5"/>
      <c r="Z151" s="5"/>
      <c r="AA151" s="5"/>
      <c r="AB151" s="5"/>
      <c r="AC151" s="5"/>
    </row>
    <row r="152" spans="1:29" ht="13.8">
      <c r="A152" s="139" t="s">
        <v>198</v>
      </c>
      <c r="B152" s="138"/>
      <c r="C152" s="124"/>
      <c r="D152" s="124"/>
      <c r="E152" s="124"/>
      <c r="F152" s="304">
        <f>SUM(F149:F151)</f>
        <v>0</v>
      </c>
      <c r="G152" s="128"/>
      <c r="H152" s="128"/>
      <c r="I152" s="128"/>
      <c r="J152" s="5"/>
      <c r="K152" s="5"/>
      <c r="L152" s="5"/>
      <c r="M152" s="5"/>
      <c r="N152" s="5"/>
      <c r="O152" s="5"/>
      <c r="P152" s="5"/>
      <c r="Q152" s="5"/>
      <c r="R152" s="5"/>
      <c r="S152" s="5"/>
      <c r="T152" s="5"/>
      <c r="U152" s="5"/>
      <c r="V152" s="5"/>
      <c r="W152" s="5"/>
      <c r="X152" s="5"/>
      <c r="Y152" s="5"/>
      <c r="Z152" s="5"/>
      <c r="AA152" s="5"/>
      <c r="AB152" s="5"/>
      <c r="AC152" s="5"/>
    </row>
    <row r="153" spans="1:29" ht="13.8">
      <c r="A153" s="320"/>
      <c r="B153" s="320"/>
      <c r="C153" s="124"/>
      <c r="D153" s="124"/>
      <c r="E153" s="124"/>
      <c r="F153" s="303"/>
      <c r="G153" s="128"/>
      <c r="H153" s="128"/>
      <c r="I153" s="128"/>
      <c r="J153" s="5"/>
      <c r="K153" s="5"/>
      <c r="L153" s="5"/>
      <c r="M153" s="5"/>
      <c r="N153" s="5"/>
      <c r="O153" s="5"/>
      <c r="P153" s="5"/>
      <c r="Q153" s="5"/>
      <c r="R153" s="5"/>
      <c r="S153" s="5"/>
      <c r="T153" s="5"/>
      <c r="U153" s="5"/>
      <c r="V153" s="5"/>
      <c r="W153" s="5"/>
      <c r="X153" s="5"/>
      <c r="Y153" s="5"/>
      <c r="Z153" s="5"/>
      <c r="AA153" s="5"/>
      <c r="AB153" s="5"/>
      <c r="AC153" s="5"/>
    </row>
    <row r="154" spans="1:29" ht="27.75" customHeight="1">
      <c r="A154" s="758" t="s">
        <v>93</v>
      </c>
      <c r="B154" s="758"/>
      <c r="C154" s="124"/>
      <c r="D154" s="124"/>
      <c r="E154" s="124"/>
      <c r="F154" s="304">
        <f>IF(F126&gt;=0,F146-F152,0)</f>
        <v>0</v>
      </c>
      <c r="G154" s="128"/>
      <c r="H154" s="128"/>
      <c r="I154" s="128"/>
      <c r="J154" s="5"/>
      <c r="K154" s="5"/>
      <c r="L154" s="5"/>
      <c r="M154" s="5"/>
      <c r="N154" s="5"/>
      <c r="O154" s="5"/>
      <c r="P154" s="5"/>
      <c r="Q154" s="5"/>
      <c r="R154" s="5"/>
      <c r="S154" s="5"/>
      <c r="T154" s="5"/>
      <c r="U154" s="5"/>
      <c r="V154" s="5"/>
      <c r="W154" s="5"/>
      <c r="X154" s="5"/>
      <c r="Y154" s="5"/>
      <c r="Z154" s="5"/>
      <c r="AA154" s="5"/>
      <c r="AB154" s="5"/>
      <c r="AC154" s="5"/>
    </row>
    <row r="155" spans="1:29" ht="13.8">
      <c r="A155" s="2288" t="s">
        <v>276</v>
      </c>
      <c r="B155" s="2289"/>
      <c r="C155" s="154"/>
      <c r="D155" s="2298"/>
      <c r="E155" s="2299"/>
      <c r="F155" s="291">
        <f>IF(AND($F$126&gt;0,$F$130="No"),$F$126*$F$131-F156,0)</f>
        <v>0</v>
      </c>
      <c r="G155" s="2302" t="str">
        <f>IF(F155&gt;0,ROUND(F155/F154*100,0)&amp;"% of Borrower share of "&amp;ROUND(F131*100,0)&amp;"% of residual receipts","")</f>
        <v/>
      </c>
      <c r="H155" s="2303"/>
      <c r="I155" s="2304"/>
      <c r="J155" s="5"/>
      <c r="K155" s="5"/>
      <c r="L155" s="5"/>
      <c r="M155" s="5"/>
      <c r="N155" s="5"/>
      <c r="O155" s="5"/>
      <c r="P155" s="5"/>
      <c r="Q155" s="5"/>
      <c r="R155" s="5"/>
      <c r="S155" s="5"/>
      <c r="T155" s="5"/>
      <c r="U155" s="5"/>
      <c r="V155" s="5"/>
      <c r="W155" s="5"/>
      <c r="X155" s="5"/>
      <c r="Y155" s="5"/>
      <c r="Z155" s="5"/>
      <c r="AA155" s="5"/>
      <c r="AB155" s="5"/>
      <c r="AC155" s="5"/>
    </row>
    <row r="156" spans="1:29" ht="13.8">
      <c r="A156" s="2288" t="s">
        <v>83</v>
      </c>
      <c r="B156" s="2289"/>
      <c r="C156" s="124"/>
      <c r="D156" s="2300"/>
      <c r="E156" s="2301"/>
      <c r="F156" s="301">
        <v>0</v>
      </c>
      <c r="G156" s="2305"/>
      <c r="H156" s="2306"/>
      <c r="I156" s="2307"/>
      <c r="J156" s="5"/>
      <c r="K156" s="5"/>
      <c r="L156" s="5"/>
      <c r="M156" s="5"/>
      <c r="N156" s="5"/>
      <c r="O156" s="5"/>
      <c r="P156" s="5"/>
      <c r="Q156" s="5"/>
      <c r="R156" s="5"/>
      <c r="S156" s="5"/>
      <c r="T156" s="5"/>
      <c r="U156" s="5"/>
      <c r="V156" s="5"/>
      <c r="W156" s="5"/>
      <c r="X156" s="5"/>
      <c r="Y156" s="5"/>
      <c r="Z156" s="5"/>
      <c r="AA156" s="5"/>
      <c r="AB156" s="5"/>
      <c r="AC156" s="5"/>
    </row>
    <row r="157" spans="1:29" ht="14.4">
      <c r="A157" s="319" t="s">
        <v>82</v>
      </c>
      <c r="B157" s="319"/>
      <c r="C157" s="124"/>
      <c r="D157" s="124"/>
      <c r="E157" s="124"/>
      <c r="F157" s="304">
        <f>ROUND(F154-F155-F156,0)</f>
        <v>0</v>
      </c>
      <c r="G157" s="155" t="str">
        <f>IF(ROUND(F157,0)&gt;0,"Check final balance - not zero!","")</f>
        <v/>
      </c>
      <c r="H157" s="128"/>
      <c r="I157" s="128"/>
      <c r="J157" s="5"/>
      <c r="K157" s="5"/>
      <c r="L157" s="5"/>
      <c r="M157" s="5"/>
      <c r="N157" s="5"/>
      <c r="O157" s="5"/>
      <c r="P157" s="5"/>
      <c r="Q157" s="5"/>
      <c r="R157" s="5"/>
      <c r="S157" s="5">
        <f>IF($G157="",0,1)</f>
        <v>0</v>
      </c>
      <c r="T157" s="5"/>
      <c r="U157" s="5"/>
      <c r="V157" s="5"/>
      <c r="W157" s="5"/>
      <c r="X157" s="5"/>
      <c r="Y157" s="5"/>
      <c r="Z157" s="5"/>
      <c r="AA157" s="5"/>
      <c r="AB157" s="5"/>
      <c r="AC157" s="5"/>
    </row>
    <row r="161" hidden="1"/>
    <row r="162" hidden="1"/>
  </sheetData>
  <sheetProtection algorithmName="SHA-512" hashValue="CVGGoL1zAlZfybq4XT7G2yXc44mZIXBzDCfbrtoB+70By8dACK8oHQhVzQSYbSIcxu2TOgzAm6HspF4m7+RsCA==" saltValue="J5cu8Q0QaqnvEeN0HgDZhQ==" spinCount="100000" sheet="1" objects="1" scenarios="1"/>
  <mergeCells count="187">
    <mergeCell ref="U12:AA12"/>
    <mergeCell ref="W7:W8"/>
    <mergeCell ref="A9:B9"/>
    <mergeCell ref="G9:I9"/>
    <mergeCell ref="G10:I10"/>
    <mergeCell ref="A11:B11"/>
    <mergeCell ref="G11:I11"/>
    <mergeCell ref="H4:I4"/>
    <mergeCell ref="H5:I5"/>
    <mergeCell ref="D6:E6"/>
    <mergeCell ref="H6:I6"/>
    <mergeCell ref="U6:U8"/>
    <mergeCell ref="V7:V8"/>
    <mergeCell ref="A15:B15"/>
    <mergeCell ref="G15:I15"/>
    <mergeCell ref="A16:B16"/>
    <mergeCell ref="G16:I16"/>
    <mergeCell ref="A17:B17"/>
    <mergeCell ref="G17:I17"/>
    <mergeCell ref="A12:B12"/>
    <mergeCell ref="G12:I12"/>
    <mergeCell ref="A13:B13"/>
    <mergeCell ref="G13:I13"/>
    <mergeCell ref="A14:B14"/>
    <mergeCell ref="G14:I14"/>
    <mergeCell ref="A21:B21"/>
    <mergeCell ref="G21:I21"/>
    <mergeCell ref="A22:B22"/>
    <mergeCell ref="G22:I22"/>
    <mergeCell ref="A25:B25"/>
    <mergeCell ref="G25:I25"/>
    <mergeCell ref="A18:B18"/>
    <mergeCell ref="G18:I18"/>
    <mergeCell ref="M18:M19"/>
    <mergeCell ref="A19:B19"/>
    <mergeCell ref="G19:I19"/>
    <mergeCell ref="A20:B20"/>
    <mergeCell ref="G20:I20"/>
    <mergeCell ref="A33:B33"/>
    <mergeCell ref="G33:I33"/>
    <mergeCell ref="A36:B36"/>
    <mergeCell ref="G36:I36"/>
    <mergeCell ref="A37:B37"/>
    <mergeCell ref="G37:I37"/>
    <mergeCell ref="A26:B26"/>
    <mergeCell ref="G26:I26"/>
    <mergeCell ref="A27:B27"/>
    <mergeCell ref="G27:I27"/>
    <mergeCell ref="A32:B32"/>
    <mergeCell ref="G32:I32"/>
    <mergeCell ref="A43:B43"/>
    <mergeCell ref="G43:I43"/>
    <mergeCell ref="A44:B44"/>
    <mergeCell ref="G44:I44"/>
    <mergeCell ref="A45:B45"/>
    <mergeCell ref="G45:I45"/>
    <mergeCell ref="A38:B38"/>
    <mergeCell ref="G38:I38"/>
    <mergeCell ref="A39:B39"/>
    <mergeCell ref="G39:I39"/>
    <mergeCell ref="A40:B40"/>
    <mergeCell ref="G40:I40"/>
    <mergeCell ref="A50:B50"/>
    <mergeCell ref="G50:I50"/>
    <mergeCell ref="M52:M53"/>
    <mergeCell ref="A53:B53"/>
    <mergeCell ref="G53:I53"/>
    <mergeCell ref="A54:B54"/>
    <mergeCell ref="G54:I54"/>
    <mergeCell ref="M45:M46"/>
    <mergeCell ref="A46:B46"/>
    <mergeCell ref="G46:I46"/>
    <mergeCell ref="A47:B47"/>
    <mergeCell ref="G47:I47"/>
    <mergeCell ref="A48:B48"/>
    <mergeCell ref="G48:I48"/>
    <mergeCell ref="M48:M49"/>
    <mergeCell ref="A49:B49"/>
    <mergeCell ref="G49:I49"/>
    <mergeCell ref="A60:B60"/>
    <mergeCell ref="G60:I60"/>
    <mergeCell ref="A61:B61"/>
    <mergeCell ref="G61:I61"/>
    <mergeCell ref="A64:B64"/>
    <mergeCell ref="G64:I64"/>
    <mergeCell ref="A55:B55"/>
    <mergeCell ref="G55:I55"/>
    <mergeCell ref="A56:B56"/>
    <mergeCell ref="G56:I56"/>
    <mergeCell ref="A59:B59"/>
    <mergeCell ref="G59:I59"/>
    <mergeCell ref="A70:B70"/>
    <mergeCell ref="G70:I70"/>
    <mergeCell ref="A71:B71"/>
    <mergeCell ref="G71:I71"/>
    <mergeCell ref="A72:B72"/>
    <mergeCell ref="G72:I72"/>
    <mergeCell ref="A65:B65"/>
    <mergeCell ref="G65:I65"/>
    <mergeCell ref="A66:B66"/>
    <mergeCell ref="G66:I66"/>
    <mergeCell ref="A67:B67"/>
    <mergeCell ref="G67:I67"/>
    <mergeCell ref="A76:B76"/>
    <mergeCell ref="G76:I76"/>
    <mergeCell ref="A77:B77"/>
    <mergeCell ref="G77:I77"/>
    <mergeCell ref="A80:B80"/>
    <mergeCell ref="G80:I80"/>
    <mergeCell ref="A73:B73"/>
    <mergeCell ref="G73:I73"/>
    <mergeCell ref="A74:B74"/>
    <mergeCell ref="G74:I74"/>
    <mergeCell ref="A75:B75"/>
    <mergeCell ref="G75:I75"/>
    <mergeCell ref="A88:B88"/>
    <mergeCell ref="G88:I88"/>
    <mergeCell ref="A89:B89"/>
    <mergeCell ref="G89:I89"/>
    <mergeCell ref="A90:B90"/>
    <mergeCell ref="G90:I90"/>
    <mergeCell ref="A81:B81"/>
    <mergeCell ref="G81:I81"/>
    <mergeCell ref="A83:B83"/>
    <mergeCell ref="A86:B86"/>
    <mergeCell ref="H86:I86"/>
    <mergeCell ref="A87:B87"/>
    <mergeCell ref="G87:I87"/>
    <mergeCell ref="A101:B101"/>
    <mergeCell ref="H101:I101"/>
    <mergeCell ref="A102:B102"/>
    <mergeCell ref="H102:I102"/>
    <mergeCell ref="A103:B103"/>
    <mergeCell ref="H103:I103"/>
    <mergeCell ref="A91:B91"/>
    <mergeCell ref="G91:I91"/>
    <mergeCell ref="A92:B92"/>
    <mergeCell ref="G92:I92"/>
    <mergeCell ref="A95:B95"/>
    <mergeCell ref="A100:B100"/>
    <mergeCell ref="H100:I100"/>
    <mergeCell ref="A120:B120"/>
    <mergeCell ref="H120:I120"/>
    <mergeCell ref="A121:B121"/>
    <mergeCell ref="H121:I121"/>
    <mergeCell ref="A122:B122"/>
    <mergeCell ref="H122:I122"/>
    <mergeCell ref="A104:B104"/>
    <mergeCell ref="G104:I104"/>
    <mergeCell ref="A116:B116"/>
    <mergeCell ref="A117:B117"/>
    <mergeCell ref="A118:B118"/>
    <mergeCell ref="A119:B119"/>
    <mergeCell ref="A126:B126"/>
    <mergeCell ref="A129:B129"/>
    <mergeCell ref="A130:B130"/>
    <mergeCell ref="G131:H132"/>
    <mergeCell ref="A132:B132"/>
    <mergeCell ref="A135:B135"/>
    <mergeCell ref="D135:E139"/>
    <mergeCell ref="F135:G135"/>
    <mergeCell ref="F136:G136"/>
    <mergeCell ref="A137:B137"/>
    <mergeCell ref="F137:G137"/>
    <mergeCell ref="A138:B138"/>
    <mergeCell ref="F138:G138"/>
    <mergeCell ref="A139:B139"/>
    <mergeCell ref="F139:G139"/>
    <mergeCell ref="A142:B142"/>
    <mergeCell ref="D142:D144"/>
    <mergeCell ref="G142:I142"/>
    <mergeCell ref="A143:B143"/>
    <mergeCell ref="G143:I143"/>
    <mergeCell ref="A155:B155"/>
    <mergeCell ref="D155:E156"/>
    <mergeCell ref="G155:I155"/>
    <mergeCell ref="A156:B156"/>
    <mergeCell ref="G156:I156"/>
    <mergeCell ref="A144:B144"/>
    <mergeCell ref="G144:I144"/>
    <mergeCell ref="A145:B145"/>
    <mergeCell ref="G145:I145"/>
    <mergeCell ref="A146:B146"/>
    <mergeCell ref="A149:B149"/>
    <mergeCell ref="D149:E151"/>
    <mergeCell ref="A150:B150"/>
    <mergeCell ref="A151:B151"/>
  </mergeCells>
  <conditionalFormatting sqref="F97">
    <cfRule type="cellIs" dxfId="68" priority="4" operator="lessThan">
      <formula>0</formula>
    </cfRule>
  </conditionalFormatting>
  <conditionalFormatting sqref="F114">
    <cfRule type="cellIs" dxfId="67" priority="3" operator="lessThan">
      <formula>1.1</formula>
    </cfRule>
  </conditionalFormatting>
  <conditionalFormatting sqref="D97">
    <cfRule type="cellIs" dxfId="66" priority="2" operator="lessThan">
      <formula>0</formula>
    </cfRule>
  </conditionalFormatting>
  <conditionalFormatting sqref="E97">
    <cfRule type="cellIs" dxfId="65" priority="1" operator="lessThan">
      <formula>0</formula>
    </cfRule>
  </conditionalFormatting>
  <dataValidations count="11">
    <dataValidation allowBlank="1" showErrorMessage="1" prompt="Enter value of all MOHCD/OCII/former SFRA loans and ground lease that are payable out of surplus cash. This will be used to calulcate the pro rata share for repayment on MOHCD/OCII/former SFRA loans and ground lease. " sqref="H136" xr:uid="{9507528B-BD94-4485-95BF-241BB0AC8252}"/>
    <dataValidation type="list" allowBlank="1" showInputMessage="1" showErrorMessage="1" prompt="Select hard debt lender only from drop down." sqref="G100:G103" xr:uid="{C8E06A74-E483-4A73-8692-9884CB748A9E}">
      <formula1>Lenders</formula1>
    </dataValidation>
    <dataValidation type="list" allowBlank="1" showInputMessage="1" showErrorMessage="1" prompt="Select lender from drop down." sqref="G120:G121" xr:uid="{4137BCC8-23F4-4B03-A7D5-61077BC0CE30}">
      <formula1>Lenders</formula1>
    </dataValidation>
    <dataValidation type="list" allowBlank="1" showInputMessage="1" showErrorMessage="1" sqref="F137:G139" xr:uid="{A650DFFA-4E58-4E9B-A8C7-4C73EDA69827}">
      <formula1>Lenders</formula1>
    </dataValidation>
    <dataValidation allowBlank="1" showErrorMessage="1" sqref="F135:F136 G135" xr:uid="{AA194475-D8ED-451E-83F3-FC819BA9EBF0}"/>
    <dataValidation allowBlank="1" showInputMessage="1" showErrorMessage="1" prompt="Enter value of all MOHCD/OCII/former SFRA loans and ground lease that are payable out of surplus cash. This will be used to calulcate the pro rata share for repayment on MOHCD/OCII/former SFRA loans and ground lease. " sqref="H135" xr:uid="{DB6987AB-EAFD-41C6-8F0E-1B66D4FBB83E}"/>
    <dataValidation allowBlank="1" showInputMessage="1" sqref="F129 I129" xr:uid="{6AEC59D8-58A2-4392-BF36-6D08598E9301}"/>
    <dataValidation operator="lessThanOrEqual" allowBlank="1" sqref="F155" xr:uid="{7447BA9D-3668-40E0-B14A-47C96026845B}"/>
    <dataValidation allowBlank="1" prompt="Enter sum of all MOHCD/OCII/former SFRA loan amounts that are payable out of surplus cash. This will be used to calulcate the pro rata share for repayment on MOHCD/OCII/former SFRA loans. " sqref="H137:H139" xr:uid="{8D93F553-AAF2-49C9-8B6B-66C8A1B5C44C}"/>
    <dataValidation allowBlank="1" showErrorMessage="1" prompt="If MOHCD project underwriting uses a different percentage, update this cell." sqref="F132:F133" xr:uid="{FA6EE7C9-B91D-4180-8E0D-B7842B6850B0}"/>
    <dataValidation type="decimal" operator="lessThanOrEqual" allowBlank="1" showErrorMessage="1" error="Owner Distribution cannot be more than Remainder above. " sqref="F156" xr:uid="{FCFF8824-2B47-4A91-9F5C-DCACE187C578}">
      <formula1>$F$154+1</formula1>
    </dataValidation>
  </dataValidation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tabColor theme="3" tint="0.59999389629810485"/>
    <pageSetUpPr autoPageBreaks="0"/>
  </sheetPr>
  <dimension ref="A1:XFD213"/>
  <sheetViews>
    <sheetView showGridLines="0" topLeftCell="A2" zoomScaleNormal="100" workbookViewId="0">
      <pane xSplit="9" ySplit="7" topLeftCell="J9" activePane="bottomRight" state="frozen"/>
      <selection activeCell="C2" sqref="C2"/>
      <selection pane="topRight" activeCell="J2" sqref="J2"/>
      <selection pane="bottomLeft" activeCell="C9" sqref="C9"/>
      <selection pane="bottomRight" activeCell="G9" sqref="G9"/>
    </sheetView>
  </sheetViews>
  <sheetFormatPr defaultColWidth="0" defaultRowHeight="13.2" zeroHeight="1"/>
  <cols>
    <col min="1" max="1" width="7.88671875" hidden="1" customWidth="1"/>
    <col min="2" max="2" width="10.33203125" hidden="1" customWidth="1"/>
    <col min="3" max="3" width="64.6640625" customWidth="1"/>
    <col min="4" max="4" width="9.109375" hidden="1" customWidth="1"/>
    <col min="5" max="5" width="10" hidden="1" customWidth="1"/>
    <col min="6" max="6" width="11.109375" customWidth="1"/>
    <col min="7" max="7" width="33.5546875" customWidth="1"/>
    <col min="8" max="9" width="13.5546875" hidden="1" customWidth="1"/>
    <col min="10" max="10" width="11.6640625" customWidth="1" collapsed="1"/>
    <col min="11" max="12" width="11.6640625" hidden="1" customWidth="1"/>
    <col min="13" max="13" width="11.6640625" customWidth="1" collapsed="1"/>
    <col min="14" max="14" width="11.109375" hidden="1" customWidth="1"/>
    <col min="15" max="15" width="11.6640625" hidden="1" customWidth="1"/>
    <col min="16" max="16" width="11.6640625" customWidth="1" collapsed="1"/>
    <col min="17" max="18" width="12.33203125" style="82" hidden="1" customWidth="1"/>
    <col min="19" max="19" width="12.33203125" customWidth="1" collapsed="1"/>
    <col min="20" max="21" width="12.33203125" style="82" hidden="1" customWidth="1"/>
    <col min="22" max="22" width="12.33203125" customWidth="1" collapsed="1"/>
    <col min="23" max="24" width="12.33203125" style="82" hidden="1" customWidth="1"/>
    <col min="25" max="25" width="12.33203125" customWidth="1" collapsed="1"/>
    <col min="26" max="27" width="12.33203125" style="82" hidden="1" customWidth="1"/>
    <col min="28" max="28" width="12.33203125" customWidth="1"/>
    <col min="29" max="30" width="12.33203125" style="82" hidden="1" customWidth="1"/>
    <col min="31" max="31" width="12.33203125" customWidth="1"/>
    <col min="32" max="33" width="12.33203125" style="82" hidden="1" customWidth="1"/>
    <col min="34" max="34" width="12.44140625" customWidth="1"/>
    <col min="35" max="36" width="12" style="82" hidden="1" customWidth="1"/>
    <col min="37" max="37" width="12" customWidth="1"/>
    <col min="38" max="39" width="12" style="82" hidden="1" customWidth="1"/>
    <col min="40" max="40" width="12" customWidth="1"/>
    <col min="41" max="42" width="12" style="82" hidden="1" customWidth="1"/>
    <col min="43" max="43" width="12" customWidth="1"/>
    <col min="44" max="45" width="12" style="82" hidden="1" customWidth="1"/>
    <col min="46" max="46" width="12" customWidth="1"/>
    <col min="47" max="48" width="12" style="82" hidden="1" customWidth="1"/>
    <col min="49" max="49" width="12" customWidth="1"/>
    <col min="50" max="51" width="12" style="82" hidden="1" customWidth="1"/>
    <col min="52" max="52" width="12" customWidth="1"/>
    <col min="53" max="54" width="12.109375" style="82" hidden="1" customWidth="1"/>
    <col min="55" max="55" width="12.109375" customWidth="1"/>
    <col min="56" max="57" width="12.109375" style="82" hidden="1" customWidth="1"/>
    <col min="58" max="58" width="12.109375" customWidth="1"/>
    <col min="59" max="60" width="12.109375" style="82" hidden="1" customWidth="1"/>
    <col min="61" max="61" width="12.109375" customWidth="1"/>
    <col min="62" max="62" width="11.33203125" style="82" hidden="1" customWidth="1"/>
    <col min="63" max="63" width="11.6640625" style="82" hidden="1" customWidth="1"/>
    <col min="64" max="64" width="11.6640625" customWidth="1"/>
    <col min="65" max="65" width="11.33203125" style="82" hidden="1" customWidth="1"/>
    <col min="66" max="66" width="11.6640625" style="82" hidden="1" customWidth="1"/>
    <col min="67" max="67" width="11.6640625" customWidth="1"/>
    <col min="68" max="68" width="5.109375" bestFit="1" customWidth="1"/>
    <col min="69" max="16383" width="9.109375" hidden="1"/>
    <col min="16384" max="16384" width="7.33203125" hidden="1"/>
  </cols>
  <sheetData>
    <row r="1" spans="1:16384" hidden="1">
      <c r="C1" s="5"/>
      <c r="D1" s="5"/>
      <c r="E1" s="5"/>
      <c r="F1" s="5"/>
      <c r="G1" s="157"/>
      <c r="H1" s="157"/>
      <c r="I1" s="157"/>
      <c r="J1" s="5"/>
      <c r="K1" s="157"/>
      <c r="L1" s="157"/>
      <c r="M1" s="5"/>
      <c r="N1" s="157"/>
      <c r="O1" s="157"/>
      <c r="P1" s="5"/>
      <c r="Q1" s="789"/>
      <c r="R1" s="789"/>
      <c r="S1" s="5"/>
      <c r="T1" s="789"/>
      <c r="U1" s="789"/>
      <c r="V1" s="5"/>
      <c r="W1" s="789"/>
      <c r="X1" s="789"/>
      <c r="Y1" s="5"/>
      <c r="Z1" s="789"/>
      <c r="AA1" s="789"/>
      <c r="AB1" s="5"/>
      <c r="AC1" s="789"/>
      <c r="AD1" s="789"/>
      <c r="AE1" s="5"/>
      <c r="AF1" s="789"/>
      <c r="AG1" s="789"/>
      <c r="AH1" s="5"/>
      <c r="AI1" s="789"/>
      <c r="AJ1" s="789"/>
      <c r="AK1" s="5"/>
      <c r="AL1" s="789"/>
      <c r="AM1" s="789"/>
      <c r="AN1" s="5"/>
      <c r="AO1" s="789"/>
      <c r="AP1" s="789"/>
      <c r="AQ1" s="5"/>
      <c r="AR1" s="789"/>
      <c r="AS1" s="789"/>
      <c r="AT1" s="5"/>
      <c r="AU1" s="789"/>
      <c r="AV1" s="789"/>
      <c r="AW1" s="5"/>
      <c r="AX1" s="789"/>
      <c r="AY1" s="789"/>
      <c r="AZ1" s="5"/>
      <c r="BA1" s="789"/>
      <c r="BB1" s="789"/>
      <c r="BC1" s="5"/>
      <c r="BD1" s="789"/>
      <c r="BE1" s="789"/>
      <c r="BF1" s="5"/>
      <c r="BG1" s="789"/>
      <c r="BH1" s="789"/>
      <c r="BI1" s="5"/>
      <c r="BJ1" s="789"/>
      <c r="BK1" s="789"/>
      <c r="BL1" s="5"/>
      <c r="BM1" s="789"/>
      <c r="BN1" s="789"/>
      <c r="BO1" s="5"/>
      <c r="BP1" s="5"/>
      <c r="BQ1" s="5"/>
      <c r="BR1" s="5"/>
      <c r="BS1" s="5"/>
      <c r="BT1" s="5"/>
      <c r="BU1" s="5"/>
      <c r="BV1" s="5"/>
    </row>
    <row r="2" spans="1:16384" ht="27" customHeight="1">
      <c r="C2" s="773" t="str">
        <f>IF('6.1stYrOpBudget'!$H$4&lt;&gt;"",'6.1stYrOpBudget'!$H$4,"")</f>
        <v/>
      </c>
      <c r="D2" s="158"/>
      <c r="E2" s="158"/>
      <c r="F2" s="5"/>
      <c r="I2" s="317"/>
      <c r="J2" s="5"/>
      <c r="K2" s="902"/>
      <c r="L2" s="317"/>
      <c r="M2" s="5"/>
      <c r="N2" s="901"/>
      <c r="O2" s="901"/>
      <c r="P2" s="317" t="str">
        <f>'6.1stYrOpBudget'!$G$7</f>
        <v/>
      </c>
      <c r="Q2" s="317"/>
      <c r="R2" s="317"/>
      <c r="S2" s="5"/>
      <c r="T2" s="317"/>
      <c r="U2" s="317"/>
      <c r="V2" s="5"/>
      <c r="W2" s="317"/>
      <c r="X2" s="317"/>
      <c r="Y2" s="5"/>
      <c r="Z2" s="317"/>
      <c r="AA2" s="317"/>
      <c r="AB2" s="5"/>
      <c r="AC2" s="317"/>
      <c r="AD2" s="317"/>
      <c r="AE2" s="5"/>
      <c r="AF2" s="317"/>
      <c r="AG2" s="317"/>
      <c r="AH2" s="5"/>
      <c r="AI2" s="317"/>
      <c r="AJ2" s="317"/>
      <c r="AK2" s="5"/>
      <c r="AL2" s="317"/>
      <c r="AM2" s="317"/>
      <c r="AN2" s="5"/>
      <c r="AO2" s="317"/>
      <c r="AP2" s="317"/>
      <c r="AQ2" s="5"/>
      <c r="AR2" s="317"/>
      <c r="AS2" s="317"/>
      <c r="AT2" s="5"/>
      <c r="AU2" s="317"/>
      <c r="AV2" s="317"/>
      <c r="AW2" s="5"/>
      <c r="AX2" s="317"/>
      <c r="AY2" s="317"/>
      <c r="AZ2" s="5"/>
      <c r="BA2" s="317"/>
      <c r="BB2" s="317"/>
      <c r="BC2" s="5"/>
      <c r="BD2" s="317"/>
      <c r="BE2" s="317"/>
      <c r="BF2" s="5"/>
      <c r="BG2" s="317"/>
      <c r="BH2" s="317"/>
      <c r="BI2" s="5"/>
      <c r="BJ2" s="317"/>
      <c r="BK2" s="317"/>
      <c r="BL2" s="5"/>
      <c r="BM2" s="317"/>
      <c r="BN2" s="317"/>
      <c r="BO2" s="5"/>
      <c r="BP2" s="5"/>
      <c r="BQ2" s="5"/>
      <c r="BR2" s="5"/>
      <c r="BS2" s="5"/>
      <c r="BT2" s="5"/>
      <c r="BU2" s="5"/>
      <c r="BV2" s="5"/>
    </row>
    <row r="3" spans="1:16384" ht="15.6">
      <c r="C3" s="1326" t="str">
        <f>'6.1stYrOpBudget'!$A$5</f>
        <v>Total # Units:</v>
      </c>
      <c r="D3" s="161"/>
      <c r="E3" s="161"/>
      <c r="F3" s="774">
        <f>'6.1stYrOpBudget'!$B$5</f>
        <v>0</v>
      </c>
      <c r="H3" s="763"/>
      <c r="I3" s="764"/>
      <c r="J3" s="476"/>
      <c r="K3" s="902"/>
      <c r="L3" s="764"/>
      <c r="M3" s="476"/>
      <c r="O3" s="764"/>
      <c r="P3" s="476"/>
      <c r="Q3" s="790"/>
      <c r="R3" s="791"/>
      <c r="S3" s="476"/>
      <c r="T3" s="790"/>
      <c r="U3" s="791"/>
      <c r="V3" s="476"/>
      <c r="W3" s="790"/>
      <c r="X3" s="791"/>
      <c r="Y3" s="476"/>
      <c r="Z3" s="790"/>
      <c r="AA3" s="791"/>
      <c r="AB3" s="476"/>
      <c r="AC3" s="790"/>
      <c r="AD3" s="791"/>
      <c r="AE3" s="476"/>
      <c r="AF3" s="790"/>
      <c r="AG3" s="791"/>
      <c r="AH3" s="476"/>
      <c r="AI3" s="790"/>
      <c r="AJ3" s="791"/>
      <c r="AK3" s="476"/>
      <c r="AL3" s="790"/>
      <c r="AM3" s="791"/>
      <c r="AN3" s="476"/>
      <c r="AO3" s="790"/>
      <c r="AP3" s="791"/>
      <c r="AQ3" s="476"/>
      <c r="AR3" s="790"/>
      <c r="AS3" s="791"/>
      <c r="AT3" s="476"/>
      <c r="AU3" s="790"/>
      <c r="AV3" s="791"/>
      <c r="AW3" s="476"/>
      <c r="AX3" s="790"/>
      <c r="AY3" s="791"/>
      <c r="AZ3" s="476"/>
      <c r="BA3" s="790"/>
      <c r="BB3" s="791"/>
      <c r="BC3" s="476"/>
      <c r="BD3" s="790"/>
      <c r="BE3" s="791"/>
      <c r="BF3" s="476"/>
      <c r="BG3" s="790"/>
      <c r="BH3" s="791"/>
      <c r="BI3" s="476"/>
      <c r="BJ3" s="790"/>
      <c r="BK3" s="791"/>
      <c r="BL3" s="476"/>
      <c r="BM3" s="790"/>
      <c r="BN3" s="791"/>
      <c r="BO3" s="476"/>
      <c r="BP3" s="5"/>
      <c r="BQ3" s="5"/>
      <c r="BR3" s="5"/>
      <c r="BS3" s="5"/>
      <c r="BT3" s="5"/>
      <c r="BU3" s="5"/>
      <c r="BV3" s="5"/>
    </row>
    <row r="4" spans="1:16384" ht="15.6">
      <c r="C4" s="256" t="str">
        <f>IF(SmallSites=TRUE,"Small Sites Project","")</f>
        <v/>
      </c>
      <c r="G4" s="906"/>
      <c r="H4" s="658"/>
      <c r="I4" s="476"/>
      <c r="J4" s="756">
        <f>H6</f>
        <v>1</v>
      </c>
      <c r="K4" s="767"/>
      <c r="L4" s="476"/>
      <c r="M4" s="756">
        <f>J4+1</f>
        <v>2</v>
      </c>
      <c r="N4" s="767"/>
      <c r="O4" s="476"/>
      <c r="P4" s="756">
        <f>M4+1</f>
        <v>3</v>
      </c>
      <c r="Q4" s="794"/>
      <c r="R4" s="559"/>
      <c r="S4" s="756">
        <f>P4+1</f>
        <v>4</v>
      </c>
      <c r="T4" s="794"/>
      <c r="U4" s="559"/>
      <c r="V4" s="756">
        <f>S4+1</f>
        <v>5</v>
      </c>
      <c r="W4" s="794"/>
      <c r="X4" s="559"/>
      <c r="Y4" s="756">
        <f>V4+1</f>
        <v>6</v>
      </c>
      <c r="Z4" s="794"/>
      <c r="AA4" s="559"/>
      <c r="AB4" s="756">
        <f>Y4+1</f>
        <v>7</v>
      </c>
      <c r="AC4" s="794"/>
      <c r="AD4" s="559"/>
      <c r="AE4" s="756">
        <f>AB4+1</f>
        <v>8</v>
      </c>
      <c r="AF4" s="794"/>
      <c r="AG4" s="559"/>
      <c r="AH4" s="756">
        <f>AE4+1</f>
        <v>9</v>
      </c>
      <c r="AI4" s="794"/>
      <c r="AJ4" s="559"/>
      <c r="AK4" s="756">
        <f>AH4+1</f>
        <v>10</v>
      </c>
      <c r="AL4" s="794"/>
      <c r="AM4" s="559"/>
      <c r="AN4" s="756">
        <f>AK4+1</f>
        <v>11</v>
      </c>
      <c r="AO4" s="794"/>
      <c r="AP4" s="559"/>
      <c r="AQ4" s="756">
        <f>AN4+1</f>
        <v>12</v>
      </c>
      <c r="AR4" s="794"/>
      <c r="AS4" s="559"/>
      <c r="AT4" s="756">
        <f>AQ4+1</f>
        <v>13</v>
      </c>
      <c r="AU4" s="794"/>
      <c r="AV4" s="559"/>
      <c r="AW4" s="756">
        <f>AT4+1</f>
        <v>14</v>
      </c>
      <c r="AX4" s="794"/>
      <c r="AY4" s="559"/>
      <c r="AZ4" s="756">
        <f>AW4+1</f>
        <v>15</v>
      </c>
      <c r="BA4" s="794"/>
      <c r="BB4" s="559"/>
      <c r="BC4" s="756">
        <f>AZ4+1</f>
        <v>16</v>
      </c>
      <c r="BD4" s="794"/>
      <c r="BE4" s="559"/>
      <c r="BF4" s="756">
        <f>BC4+1</f>
        <v>17</v>
      </c>
      <c r="BG4" s="794"/>
      <c r="BH4" s="559"/>
      <c r="BI4" s="756">
        <f>BF4+1</f>
        <v>18</v>
      </c>
      <c r="BJ4" s="794"/>
      <c r="BK4" s="559"/>
      <c r="BL4" s="756">
        <f>BI4+1</f>
        <v>19</v>
      </c>
      <c r="BM4" s="794"/>
      <c r="BN4" s="559"/>
      <c r="BO4" s="756">
        <f>BL4+1</f>
        <v>20</v>
      </c>
      <c r="BP4" s="767"/>
      <c r="BQ4" s="5"/>
      <c r="BR4" s="5"/>
      <c r="BS4" s="5"/>
      <c r="BT4" s="5"/>
      <c r="BU4" s="5"/>
      <c r="BV4" s="5"/>
    </row>
    <row r="5" spans="1:16384" ht="27">
      <c r="C5" s="2032" t="str">
        <f>'6.1stYrOpBudget'!$A$5</f>
        <v>Total # Units:</v>
      </c>
      <c r="D5" s="487"/>
      <c r="E5" s="2033" t="str">
        <f>'6.1stYrOpBudget'!D4</f>
        <v>LOSP Units</v>
      </c>
      <c r="F5" s="2033" t="str">
        <f>'6.1stYrOpBudget'!E4</f>
        <v>Non-LOSP Units</v>
      </c>
      <c r="G5" s="906"/>
      <c r="H5" s="765"/>
      <c r="I5" s="766"/>
      <c r="J5" s="2034">
        <f>'1.GeneralProjectInfo'!$D$4</f>
        <v>0</v>
      </c>
      <c r="K5" s="2035"/>
      <c r="L5" s="2036"/>
      <c r="M5" s="2034">
        <f>J5+1</f>
        <v>1</v>
      </c>
      <c r="N5" s="2035"/>
      <c r="O5" s="2036"/>
      <c r="P5" s="2034">
        <f>M5+1</f>
        <v>2</v>
      </c>
      <c r="Q5" s="2037"/>
      <c r="R5" s="2038"/>
      <c r="S5" s="2034">
        <f>P5+1</f>
        <v>3</v>
      </c>
      <c r="T5" s="2037"/>
      <c r="U5" s="2038"/>
      <c r="V5" s="2034">
        <f>S5+1</f>
        <v>4</v>
      </c>
      <c r="W5" s="2037"/>
      <c r="X5" s="2038"/>
      <c r="Y5" s="2034">
        <f>V5+1</f>
        <v>5</v>
      </c>
      <c r="Z5" s="2037"/>
      <c r="AA5" s="2038"/>
      <c r="AB5" s="2034">
        <f>Y5+1</f>
        <v>6</v>
      </c>
      <c r="AC5" s="2037"/>
      <c r="AD5" s="2038"/>
      <c r="AE5" s="2034">
        <f>AB5+1</f>
        <v>7</v>
      </c>
      <c r="AF5" s="2037"/>
      <c r="AG5" s="2038"/>
      <c r="AH5" s="2034">
        <f>AE5+1</f>
        <v>8</v>
      </c>
      <c r="AI5" s="2037"/>
      <c r="AJ5" s="2038"/>
      <c r="AK5" s="2034">
        <f>AH5+1</f>
        <v>9</v>
      </c>
      <c r="AL5" s="2039"/>
      <c r="AM5" s="2038"/>
      <c r="AN5" s="2034">
        <f>AK5+1</f>
        <v>10</v>
      </c>
      <c r="AO5" s="2039"/>
      <c r="AP5" s="2038"/>
      <c r="AQ5" s="2034">
        <f>AN5+1</f>
        <v>11</v>
      </c>
      <c r="AR5" s="2039"/>
      <c r="AS5" s="2038"/>
      <c r="AT5" s="2034">
        <f>AQ5+1</f>
        <v>12</v>
      </c>
      <c r="AU5" s="2039"/>
      <c r="AV5" s="2038"/>
      <c r="AW5" s="2034">
        <f>AT5+1</f>
        <v>13</v>
      </c>
      <c r="AX5" s="2039"/>
      <c r="AY5" s="2038"/>
      <c r="AZ5" s="2034">
        <f>AW5+1</f>
        <v>14</v>
      </c>
      <c r="BA5" s="2039"/>
      <c r="BB5" s="2038"/>
      <c r="BC5" s="2034">
        <f>AZ5+1</f>
        <v>15</v>
      </c>
      <c r="BD5" s="2039"/>
      <c r="BE5" s="2038"/>
      <c r="BF5" s="2034">
        <f>BC5+1</f>
        <v>16</v>
      </c>
      <c r="BG5" s="2039"/>
      <c r="BH5" s="2038"/>
      <c r="BI5" s="2034">
        <f>BF5+1</f>
        <v>17</v>
      </c>
      <c r="BJ5" s="2039"/>
      <c r="BK5" s="2038"/>
      <c r="BL5" s="2034">
        <f>BI5+1</f>
        <v>18</v>
      </c>
      <c r="BM5" s="2039"/>
      <c r="BN5" s="2038"/>
      <c r="BO5" s="2034">
        <f>BL5+1</f>
        <v>19</v>
      </c>
      <c r="BP5" s="1089"/>
      <c r="BQ5" s="5"/>
      <c r="BR5" s="5"/>
      <c r="BS5" s="5"/>
      <c r="BT5" s="5"/>
      <c r="BU5" s="5"/>
      <c r="BV5" s="5"/>
    </row>
    <row r="6" spans="1:16384" s="5" customFormat="1" ht="15.6" hidden="1">
      <c r="C6" s="798">
        <f>'6.1stYrOpBudget'!$B$5</f>
        <v>0</v>
      </c>
      <c r="E6" s="1086">
        <f>IF(AND('1.GeneralProjectInfo'!$E$58&gt;0,'1.GeneralProjectInfo'!$E$66&gt;0),'1.GeneralProjectInfo'!$E$58+'1.GeneralProjectInfo'!$E$66,'1.GeneralProjectInfo'!E58)</f>
        <v>0</v>
      </c>
      <c r="F6" s="1087">
        <f>C6-E6</f>
        <v>0</v>
      </c>
      <c r="H6" s="2336">
        <v>1</v>
      </c>
      <c r="I6" s="2337"/>
      <c r="J6" s="2341"/>
      <c r="K6" s="2339">
        <f>H6+1</f>
        <v>2</v>
      </c>
      <c r="L6" s="2340"/>
      <c r="M6" s="2341"/>
      <c r="N6" s="2339">
        <f>K6+1</f>
        <v>3</v>
      </c>
      <c r="O6" s="2340"/>
      <c r="P6" s="2341"/>
      <c r="Q6" s="2339">
        <f>N6+1</f>
        <v>4</v>
      </c>
      <c r="R6" s="2340"/>
      <c r="S6" s="2341"/>
      <c r="T6" s="2339">
        <f>Q6+1</f>
        <v>5</v>
      </c>
      <c r="U6" s="2340"/>
      <c r="V6" s="2341"/>
      <c r="W6" s="2339">
        <f>T6+1</f>
        <v>6</v>
      </c>
      <c r="X6" s="2340"/>
      <c r="Y6" s="2341"/>
      <c r="Z6" s="2339">
        <f>W6+1</f>
        <v>7</v>
      </c>
      <c r="AA6" s="2340"/>
      <c r="AB6" s="2341"/>
      <c r="AC6" s="2339">
        <f>Z6+1</f>
        <v>8</v>
      </c>
      <c r="AD6" s="2340"/>
      <c r="AE6" s="2341"/>
      <c r="AF6" s="2339">
        <f>AC6+1</f>
        <v>9</v>
      </c>
      <c r="AG6" s="2340"/>
      <c r="AH6" s="2341"/>
      <c r="AI6" s="2339">
        <f>AF6+1</f>
        <v>10</v>
      </c>
      <c r="AJ6" s="2340"/>
      <c r="AK6" s="2341"/>
      <c r="AL6" s="2339">
        <f>AI6+1</f>
        <v>11</v>
      </c>
      <c r="AM6" s="2340"/>
      <c r="AN6" s="2341"/>
      <c r="AO6" s="2339">
        <f>AL6+1</f>
        <v>12</v>
      </c>
      <c r="AP6" s="2340"/>
      <c r="AQ6" s="2341"/>
      <c r="AR6" s="2339">
        <f>AO6+1</f>
        <v>13</v>
      </c>
      <c r="AS6" s="2340"/>
      <c r="AT6" s="2341"/>
      <c r="AU6" s="2339">
        <f>AR6+1</f>
        <v>14</v>
      </c>
      <c r="AV6" s="2340"/>
      <c r="AW6" s="2341"/>
      <c r="AX6" s="2339">
        <f>AU6+1</f>
        <v>15</v>
      </c>
      <c r="AY6" s="2340"/>
      <c r="AZ6" s="2341"/>
      <c r="BA6" s="2339">
        <f>AX6+1</f>
        <v>16</v>
      </c>
      <c r="BB6" s="2340"/>
      <c r="BC6" s="2341"/>
      <c r="BD6" s="2339">
        <f>BA6+1</f>
        <v>17</v>
      </c>
      <c r="BE6" s="2340"/>
      <c r="BF6" s="2341"/>
      <c r="BG6" s="2339">
        <f>BD6+1</f>
        <v>18</v>
      </c>
      <c r="BH6" s="2340"/>
      <c r="BI6" s="2341"/>
      <c r="BJ6" s="2339">
        <f>BG6+1</f>
        <v>19</v>
      </c>
      <c r="BK6" s="2340"/>
      <c r="BL6" s="2341"/>
      <c r="BM6" s="2339">
        <f>BJ6+1</f>
        <v>20</v>
      </c>
      <c r="BN6" s="2340"/>
      <c r="BO6" s="2341"/>
      <c r="BP6" s="2339"/>
      <c r="BQ6" s="2337"/>
      <c r="BR6" s="2338"/>
      <c r="BS6" s="2336"/>
      <c r="BT6" s="2337"/>
      <c r="BU6" s="2338"/>
      <c r="BV6" s="2336"/>
      <c r="BW6" s="2337"/>
      <c r="BX6" s="2338"/>
      <c r="BY6" s="2336"/>
      <c r="BZ6" s="2337"/>
      <c r="CA6" s="2338"/>
      <c r="CB6" s="2336"/>
      <c r="CC6" s="2337"/>
      <c r="CD6" s="2338"/>
      <c r="CE6" s="2336"/>
      <c r="CF6" s="2337"/>
      <c r="CG6" s="2338"/>
      <c r="CH6" s="2336"/>
      <c r="CI6" s="2337"/>
      <c r="CJ6" s="2338"/>
      <c r="CK6" s="2336"/>
      <c r="CL6" s="2337"/>
      <c r="CM6" s="2338"/>
      <c r="CN6" s="2336"/>
      <c r="CO6" s="2337"/>
      <c r="CP6" s="2338"/>
      <c r="CQ6" s="2336"/>
      <c r="CR6" s="2337"/>
      <c r="CS6" s="2338"/>
      <c r="CT6" s="2336"/>
      <c r="CU6" s="2337"/>
      <c r="CV6" s="2338"/>
      <c r="CW6" s="2336"/>
      <c r="CX6" s="2337"/>
      <c r="CY6" s="2338"/>
      <c r="CZ6" s="2336"/>
      <c r="DA6" s="2337"/>
      <c r="DB6" s="2338"/>
      <c r="DC6" s="2336"/>
      <c r="DD6" s="2337"/>
      <c r="DE6" s="2338"/>
      <c r="DF6" s="2336"/>
      <c r="DG6" s="2337"/>
      <c r="DH6" s="2338"/>
      <c r="DI6" s="2336"/>
      <c r="DJ6" s="2337"/>
      <c r="DK6" s="2338"/>
      <c r="DL6" s="2336"/>
      <c r="DM6" s="2337"/>
      <c r="DN6" s="2338"/>
      <c r="DO6" s="2336"/>
      <c r="DP6" s="2337"/>
      <c r="DQ6" s="2338"/>
      <c r="DR6" s="2336"/>
      <c r="DS6" s="2337"/>
      <c r="DT6" s="2338"/>
      <c r="DU6" s="2336"/>
      <c r="DV6" s="2337"/>
      <c r="DW6" s="2338"/>
      <c r="DX6" s="2336"/>
      <c r="DY6" s="2337"/>
      <c r="DZ6" s="2338"/>
      <c r="EA6" s="2336"/>
      <c r="EB6" s="2337"/>
      <c r="EC6" s="2338"/>
      <c r="ED6" s="2336"/>
      <c r="EE6" s="2337"/>
      <c r="EF6" s="2338"/>
      <c r="EG6" s="2336"/>
      <c r="EH6" s="2337"/>
      <c r="EI6" s="2338"/>
      <c r="EJ6" s="2336"/>
      <c r="EK6" s="2337"/>
      <c r="EL6" s="2338"/>
      <c r="EM6" s="2336"/>
      <c r="EN6" s="2337"/>
      <c r="EO6" s="2338"/>
      <c r="EP6" s="2336"/>
      <c r="EQ6" s="2337"/>
      <c r="ER6" s="2338"/>
      <c r="ES6" s="2336"/>
      <c r="ET6" s="2337"/>
      <c r="EU6" s="2338"/>
      <c r="EV6" s="2336"/>
      <c r="EW6" s="2337"/>
      <c r="EX6" s="2338"/>
      <c r="EY6" s="2336"/>
      <c r="EZ6" s="2337"/>
      <c r="FA6" s="2338"/>
      <c r="FB6" s="2336"/>
      <c r="FC6" s="2337"/>
      <c r="FD6" s="2338"/>
      <c r="FE6" s="2336"/>
      <c r="FF6" s="2337"/>
      <c r="FG6" s="2338"/>
      <c r="FH6" s="2336"/>
      <c r="FI6" s="2337"/>
      <c r="FJ6" s="2338"/>
      <c r="FK6" s="2336"/>
      <c r="FL6" s="2337"/>
      <c r="FM6" s="2338"/>
      <c r="FN6" s="2336"/>
      <c r="FO6" s="2337"/>
      <c r="FP6" s="2338"/>
      <c r="FQ6" s="2336"/>
      <c r="FR6" s="2337"/>
      <c r="FS6" s="2338"/>
      <c r="FT6" s="2336"/>
      <c r="FU6" s="2337"/>
      <c r="FV6" s="2338"/>
      <c r="FW6" s="2336"/>
      <c r="FX6" s="2337"/>
      <c r="FY6" s="2338"/>
      <c r="FZ6" s="2336"/>
      <c r="GA6" s="2337"/>
      <c r="GB6" s="2338"/>
      <c r="GC6" s="2336"/>
      <c r="GD6" s="2337"/>
      <c r="GE6" s="2338"/>
      <c r="GF6" s="2336"/>
      <c r="GG6" s="2337"/>
      <c r="GH6" s="2338"/>
      <c r="GI6" s="2336"/>
      <c r="GJ6" s="2337"/>
      <c r="GK6" s="2338"/>
      <c r="GL6" s="2336"/>
      <c r="GM6" s="2337"/>
      <c r="GN6" s="2338"/>
      <c r="GO6" s="2336"/>
      <c r="GP6" s="2337"/>
      <c r="GQ6" s="2338"/>
      <c r="GR6" s="2336"/>
      <c r="GS6" s="2337"/>
      <c r="GT6" s="2338"/>
      <c r="GU6" s="2336"/>
      <c r="GV6" s="2337"/>
      <c r="GW6" s="2338"/>
      <c r="GX6" s="2336"/>
      <c r="GY6" s="2337"/>
      <c r="GZ6" s="2338"/>
      <c r="HA6" s="2336"/>
      <c r="HB6" s="2337"/>
      <c r="HC6" s="2338"/>
      <c r="HD6" s="2336"/>
      <c r="HE6" s="2337"/>
      <c r="HF6" s="2338"/>
      <c r="HG6" s="2336"/>
      <c r="HH6" s="2337"/>
      <c r="HI6" s="2338"/>
      <c r="HJ6" s="2336"/>
      <c r="HK6" s="2337"/>
      <c r="HL6" s="2338"/>
      <c r="HM6" s="2336"/>
      <c r="HN6" s="2337"/>
      <c r="HO6" s="2338"/>
      <c r="HP6" s="2336"/>
      <c r="HQ6" s="2337"/>
      <c r="HR6" s="2338"/>
      <c r="HS6" s="2336"/>
      <c r="HT6" s="2337"/>
      <c r="HU6" s="2338"/>
      <c r="HV6" s="2336"/>
      <c r="HW6" s="2337"/>
      <c r="HX6" s="2338"/>
      <c r="HY6" s="2336"/>
      <c r="HZ6" s="2337"/>
      <c r="IA6" s="2338"/>
      <c r="IB6" s="2336"/>
      <c r="IC6" s="2337"/>
      <c r="ID6" s="2338"/>
      <c r="IE6" s="2336"/>
      <c r="IF6" s="2337"/>
      <c r="IG6" s="2338"/>
      <c r="IH6" s="2336"/>
      <c r="II6" s="2337"/>
      <c r="IJ6" s="2338"/>
      <c r="IK6" s="2336"/>
      <c r="IL6" s="2337"/>
      <c r="IM6" s="2338"/>
      <c r="IN6" s="2336"/>
      <c r="IO6" s="2337"/>
      <c r="IP6" s="2338"/>
      <c r="IQ6" s="2336"/>
      <c r="IR6" s="2337"/>
      <c r="IS6" s="2338"/>
      <c r="IT6" s="2336"/>
      <c r="IU6" s="2337"/>
      <c r="IV6" s="2338"/>
      <c r="IW6" s="2336"/>
      <c r="IX6" s="2337"/>
      <c r="IY6" s="2338"/>
      <c r="IZ6" s="2336"/>
      <c r="JA6" s="2337"/>
      <c r="JB6" s="2338"/>
      <c r="JC6" s="2336"/>
      <c r="JD6" s="2337"/>
      <c r="JE6" s="2338"/>
      <c r="JF6" s="2336"/>
      <c r="JG6" s="2337"/>
      <c r="JH6" s="2338"/>
      <c r="JI6" s="2336"/>
      <c r="JJ6" s="2337"/>
      <c r="JK6" s="2338"/>
      <c r="JL6" s="2336"/>
      <c r="JM6" s="2337"/>
      <c r="JN6" s="2338"/>
      <c r="JO6" s="2336"/>
      <c r="JP6" s="2337"/>
      <c r="JQ6" s="2338"/>
      <c r="JR6" s="2336"/>
      <c r="JS6" s="2337"/>
      <c r="JT6" s="2338"/>
      <c r="JU6" s="2336"/>
      <c r="JV6" s="2337"/>
      <c r="JW6" s="2338"/>
      <c r="JX6" s="2336"/>
      <c r="JY6" s="2337"/>
      <c r="JZ6" s="2338"/>
      <c r="KA6" s="2336"/>
      <c r="KB6" s="2337"/>
      <c r="KC6" s="2338"/>
      <c r="KD6" s="2336"/>
      <c r="KE6" s="2337"/>
      <c r="KF6" s="2338"/>
      <c r="KG6" s="2336"/>
      <c r="KH6" s="2337"/>
      <c r="KI6" s="2338"/>
      <c r="KJ6" s="2336"/>
      <c r="KK6" s="2337"/>
      <c r="KL6" s="2338"/>
      <c r="KM6" s="2336"/>
      <c r="KN6" s="2337"/>
      <c r="KO6" s="2338"/>
      <c r="KP6" s="2336"/>
      <c r="KQ6" s="2337"/>
      <c r="KR6" s="2338"/>
      <c r="KS6" s="2336"/>
      <c r="KT6" s="2337"/>
      <c r="KU6" s="2338"/>
      <c r="KV6" s="2336"/>
      <c r="KW6" s="2337"/>
      <c r="KX6" s="2338"/>
      <c r="KY6" s="2336"/>
      <c r="KZ6" s="2337"/>
      <c r="LA6" s="2338"/>
      <c r="LB6" s="2336"/>
      <c r="LC6" s="2337"/>
      <c r="LD6" s="2338"/>
      <c r="LE6" s="2336"/>
      <c r="LF6" s="2337"/>
      <c r="LG6" s="2338"/>
      <c r="LH6" s="2336"/>
      <c r="LI6" s="2337"/>
      <c r="LJ6" s="2338"/>
      <c r="LK6" s="2336"/>
      <c r="LL6" s="2337"/>
      <c r="LM6" s="2338"/>
      <c r="LN6" s="2336"/>
      <c r="LO6" s="2337"/>
      <c r="LP6" s="2338"/>
      <c r="LQ6" s="2336"/>
      <c r="LR6" s="2337"/>
      <c r="LS6" s="2338"/>
      <c r="LT6" s="2336"/>
      <c r="LU6" s="2337"/>
      <c r="LV6" s="2338"/>
      <c r="LW6" s="2336"/>
      <c r="LX6" s="2337"/>
      <c r="LY6" s="2338"/>
      <c r="LZ6" s="2336"/>
      <c r="MA6" s="2337"/>
      <c r="MB6" s="2338"/>
      <c r="MC6" s="2336"/>
      <c r="MD6" s="2337"/>
      <c r="ME6" s="2338"/>
      <c r="MF6" s="2336"/>
      <c r="MG6" s="2337"/>
      <c r="MH6" s="2338"/>
      <c r="MI6" s="2336"/>
      <c r="MJ6" s="2337"/>
      <c r="MK6" s="2338"/>
      <c r="ML6" s="2336"/>
      <c r="MM6" s="2337"/>
      <c r="MN6" s="2338"/>
      <c r="MO6" s="2336"/>
      <c r="MP6" s="2337"/>
      <c r="MQ6" s="2338"/>
      <c r="MR6" s="2336"/>
      <c r="MS6" s="2337"/>
      <c r="MT6" s="2338"/>
      <c r="MU6" s="2336"/>
      <c r="MV6" s="2337"/>
      <c r="MW6" s="2338"/>
      <c r="MX6" s="2336"/>
      <c r="MY6" s="2337"/>
      <c r="MZ6" s="2338"/>
      <c r="NA6" s="2336"/>
      <c r="NB6" s="2337"/>
      <c r="NC6" s="2338"/>
      <c r="ND6" s="2336"/>
      <c r="NE6" s="2337"/>
      <c r="NF6" s="2338"/>
      <c r="NG6" s="2336"/>
      <c r="NH6" s="2337"/>
      <c r="NI6" s="2338"/>
      <c r="NJ6" s="2336"/>
      <c r="NK6" s="2337"/>
      <c r="NL6" s="2338"/>
      <c r="NM6" s="2336"/>
      <c r="NN6" s="2337"/>
      <c r="NO6" s="2338"/>
      <c r="NP6" s="2336"/>
      <c r="NQ6" s="2337"/>
      <c r="NR6" s="2338"/>
      <c r="NS6" s="2336"/>
      <c r="NT6" s="2337"/>
      <c r="NU6" s="2338"/>
      <c r="NV6" s="2336"/>
      <c r="NW6" s="2337"/>
      <c r="NX6" s="2338"/>
      <c r="NY6" s="2336"/>
      <c r="NZ6" s="2337"/>
      <c r="OA6" s="2338"/>
      <c r="OB6" s="2336"/>
      <c r="OC6" s="2337"/>
      <c r="OD6" s="2338"/>
      <c r="OE6" s="2336"/>
      <c r="OF6" s="2337"/>
      <c r="OG6" s="2338"/>
      <c r="OH6" s="2336"/>
      <c r="OI6" s="2337"/>
      <c r="OJ6" s="2338"/>
      <c r="OK6" s="2336"/>
      <c r="OL6" s="2337"/>
      <c r="OM6" s="2338"/>
      <c r="ON6" s="2336"/>
      <c r="OO6" s="2337"/>
      <c r="OP6" s="2338"/>
      <c r="OQ6" s="2336"/>
      <c r="OR6" s="2337"/>
      <c r="OS6" s="2338"/>
      <c r="OT6" s="2336"/>
      <c r="OU6" s="2337"/>
      <c r="OV6" s="2338"/>
      <c r="OW6" s="2336"/>
      <c r="OX6" s="2337"/>
      <c r="OY6" s="2338"/>
      <c r="OZ6" s="2336"/>
      <c r="PA6" s="2337"/>
      <c r="PB6" s="2338"/>
      <c r="PC6" s="2336"/>
      <c r="PD6" s="2337"/>
      <c r="PE6" s="2338"/>
      <c r="PF6" s="2336"/>
      <c r="PG6" s="2337"/>
      <c r="PH6" s="2338"/>
      <c r="PI6" s="2336"/>
      <c r="PJ6" s="2337"/>
      <c r="PK6" s="2338"/>
      <c r="PL6" s="2336"/>
      <c r="PM6" s="2337"/>
      <c r="PN6" s="2338"/>
      <c r="PO6" s="2336"/>
      <c r="PP6" s="2337"/>
      <c r="PQ6" s="2338"/>
      <c r="PR6" s="2336"/>
      <c r="PS6" s="2337"/>
      <c r="PT6" s="2338"/>
      <c r="PU6" s="2336"/>
      <c r="PV6" s="2337"/>
      <c r="PW6" s="2338"/>
      <c r="PX6" s="2336"/>
      <c r="PY6" s="2337"/>
      <c r="PZ6" s="2338"/>
      <c r="QA6" s="2336"/>
      <c r="QB6" s="2337"/>
      <c r="QC6" s="2338"/>
      <c r="QD6" s="2336"/>
      <c r="QE6" s="2337"/>
      <c r="QF6" s="2338"/>
      <c r="QG6" s="2336"/>
      <c r="QH6" s="2337"/>
      <c r="QI6" s="2338"/>
      <c r="QJ6" s="2336"/>
      <c r="QK6" s="2337"/>
      <c r="QL6" s="2338"/>
      <c r="QM6" s="2336"/>
      <c r="QN6" s="2337"/>
      <c r="QO6" s="2338"/>
      <c r="QP6" s="2336"/>
      <c r="QQ6" s="2337"/>
      <c r="QR6" s="2338"/>
      <c r="QS6" s="2336"/>
      <c r="QT6" s="2337"/>
      <c r="QU6" s="2338"/>
      <c r="QV6" s="2336"/>
      <c r="QW6" s="2337"/>
      <c r="QX6" s="2338"/>
      <c r="QY6" s="2336"/>
      <c r="QZ6" s="2337"/>
      <c r="RA6" s="2338"/>
      <c r="RB6" s="2336"/>
      <c r="RC6" s="2337"/>
      <c r="RD6" s="2338"/>
      <c r="RE6" s="2336"/>
      <c r="RF6" s="2337"/>
      <c r="RG6" s="2338"/>
      <c r="RH6" s="2336"/>
      <c r="RI6" s="2337"/>
      <c r="RJ6" s="2338"/>
      <c r="RK6" s="2336"/>
      <c r="RL6" s="2337"/>
      <c r="RM6" s="2338"/>
      <c r="RN6" s="2336"/>
      <c r="RO6" s="2337"/>
      <c r="RP6" s="2338"/>
      <c r="RQ6" s="2336"/>
      <c r="RR6" s="2337"/>
      <c r="RS6" s="2338"/>
      <c r="RT6" s="2336"/>
      <c r="RU6" s="2337"/>
      <c r="RV6" s="2338"/>
      <c r="RW6" s="2336"/>
      <c r="RX6" s="2337"/>
      <c r="RY6" s="2338"/>
      <c r="RZ6" s="2336"/>
      <c r="SA6" s="2337"/>
      <c r="SB6" s="2338"/>
      <c r="SC6" s="2336"/>
      <c r="SD6" s="2337"/>
      <c r="SE6" s="2338"/>
      <c r="SF6" s="2336"/>
      <c r="SG6" s="2337"/>
      <c r="SH6" s="2338"/>
      <c r="SI6" s="2336"/>
      <c r="SJ6" s="2337"/>
      <c r="SK6" s="2338"/>
      <c r="SL6" s="2336"/>
      <c r="SM6" s="2337"/>
      <c r="SN6" s="2338"/>
      <c r="SO6" s="2336"/>
      <c r="SP6" s="2337"/>
      <c r="SQ6" s="2338"/>
      <c r="SR6" s="2336"/>
      <c r="SS6" s="2337"/>
      <c r="ST6" s="2338"/>
      <c r="SU6" s="2336"/>
      <c r="SV6" s="2337"/>
      <c r="SW6" s="2338"/>
      <c r="SX6" s="2336"/>
      <c r="SY6" s="2337"/>
      <c r="SZ6" s="2338"/>
      <c r="TA6" s="2336"/>
      <c r="TB6" s="2337"/>
      <c r="TC6" s="2338"/>
      <c r="TD6" s="2336"/>
      <c r="TE6" s="2337"/>
      <c r="TF6" s="2338"/>
      <c r="TG6" s="2336"/>
      <c r="TH6" s="2337"/>
      <c r="TI6" s="2338"/>
      <c r="TJ6" s="2336"/>
      <c r="TK6" s="2337"/>
      <c r="TL6" s="2338"/>
      <c r="TM6" s="2336"/>
      <c r="TN6" s="2337"/>
      <c r="TO6" s="2338"/>
      <c r="TP6" s="2336"/>
      <c r="TQ6" s="2337"/>
      <c r="TR6" s="2338"/>
      <c r="TS6" s="2336"/>
      <c r="TT6" s="2337"/>
      <c r="TU6" s="2338"/>
      <c r="TV6" s="2336"/>
      <c r="TW6" s="2337"/>
      <c r="TX6" s="2338"/>
      <c r="TY6" s="2336"/>
      <c r="TZ6" s="2337"/>
      <c r="UA6" s="2338"/>
      <c r="UB6" s="2336"/>
      <c r="UC6" s="2337"/>
      <c r="UD6" s="2338"/>
      <c r="UE6" s="2336"/>
      <c r="UF6" s="2337"/>
      <c r="UG6" s="2338"/>
      <c r="UH6" s="2336"/>
      <c r="UI6" s="2337"/>
      <c r="UJ6" s="2338"/>
      <c r="UK6" s="2336"/>
      <c r="UL6" s="2337"/>
      <c r="UM6" s="2338"/>
      <c r="UN6" s="2336"/>
      <c r="UO6" s="2337"/>
      <c r="UP6" s="2338"/>
      <c r="UQ6" s="2336"/>
      <c r="UR6" s="2337"/>
      <c r="US6" s="2338"/>
      <c r="UT6" s="2336"/>
      <c r="UU6" s="2337"/>
      <c r="UV6" s="2338"/>
      <c r="UW6" s="2336"/>
      <c r="UX6" s="2337"/>
      <c r="UY6" s="2338"/>
      <c r="UZ6" s="2336"/>
      <c r="VA6" s="2337"/>
      <c r="VB6" s="2338"/>
      <c r="VC6" s="2336"/>
      <c r="VD6" s="2337"/>
      <c r="VE6" s="2338"/>
      <c r="VF6" s="2336"/>
      <c r="VG6" s="2337"/>
      <c r="VH6" s="2338"/>
      <c r="VI6" s="2336"/>
      <c r="VJ6" s="2337"/>
      <c r="VK6" s="2338"/>
      <c r="VL6" s="2336"/>
      <c r="VM6" s="2337"/>
      <c r="VN6" s="2338"/>
      <c r="VO6" s="2336"/>
      <c r="VP6" s="2337"/>
      <c r="VQ6" s="2338"/>
      <c r="VR6" s="2336"/>
      <c r="VS6" s="2337"/>
      <c r="VT6" s="2338"/>
      <c r="VU6" s="2336"/>
      <c r="VV6" s="2337"/>
      <c r="VW6" s="2338"/>
      <c r="VX6" s="2336"/>
      <c r="VY6" s="2337"/>
      <c r="VZ6" s="2338"/>
      <c r="WA6" s="2336"/>
      <c r="WB6" s="2337"/>
      <c r="WC6" s="2338"/>
      <c r="WD6" s="2336"/>
      <c r="WE6" s="2337"/>
      <c r="WF6" s="2338"/>
      <c r="WG6" s="2336"/>
      <c r="WH6" s="2337"/>
      <c r="WI6" s="2338"/>
      <c r="WJ6" s="2336"/>
      <c r="WK6" s="2337"/>
      <c r="WL6" s="2338"/>
      <c r="WM6" s="2336"/>
      <c r="WN6" s="2337"/>
      <c r="WO6" s="2338"/>
      <c r="WP6" s="2336"/>
      <c r="WQ6" s="2337"/>
      <c r="WR6" s="2338"/>
      <c r="WS6" s="2336"/>
      <c r="WT6" s="2337"/>
      <c r="WU6" s="2338"/>
      <c r="WV6" s="2336"/>
      <c r="WW6" s="2337"/>
      <c r="WX6" s="2338"/>
      <c r="WY6" s="2336"/>
      <c r="WZ6" s="2337"/>
      <c r="XA6" s="2338"/>
      <c r="XB6" s="2336"/>
      <c r="XC6" s="2337"/>
      <c r="XD6" s="2338"/>
      <c r="XE6" s="2336"/>
      <c r="XF6" s="2337"/>
      <c r="XG6" s="2338"/>
      <c r="XH6" s="2336"/>
      <c r="XI6" s="2337"/>
      <c r="XJ6" s="2338"/>
      <c r="XK6" s="2336"/>
      <c r="XL6" s="2337"/>
      <c r="XM6" s="2338"/>
      <c r="XN6" s="2336"/>
      <c r="XO6" s="2337"/>
      <c r="XP6" s="2338"/>
      <c r="XQ6" s="2336"/>
      <c r="XR6" s="2337"/>
      <c r="XS6" s="2338"/>
      <c r="XT6" s="2336"/>
      <c r="XU6" s="2337"/>
      <c r="XV6" s="2338"/>
      <c r="XW6" s="2336"/>
      <c r="XX6" s="2337"/>
      <c r="XY6" s="2338"/>
      <c r="XZ6" s="2336"/>
      <c r="YA6" s="2337"/>
      <c r="YB6" s="2338"/>
      <c r="YC6" s="2336"/>
      <c r="YD6" s="2337"/>
      <c r="YE6" s="2338"/>
      <c r="YF6" s="2336"/>
      <c r="YG6" s="2337"/>
      <c r="YH6" s="2338"/>
      <c r="YI6" s="2336"/>
      <c r="YJ6" s="2337"/>
      <c r="YK6" s="2338"/>
      <c r="YL6" s="2336"/>
      <c r="YM6" s="2337"/>
      <c r="YN6" s="2338"/>
      <c r="YO6" s="2336"/>
      <c r="YP6" s="2337"/>
      <c r="YQ6" s="2338"/>
      <c r="YR6" s="2336"/>
      <c r="YS6" s="2337"/>
      <c r="YT6" s="2338"/>
      <c r="YU6" s="2336"/>
      <c r="YV6" s="2337"/>
      <c r="YW6" s="2338"/>
      <c r="YX6" s="2336"/>
      <c r="YY6" s="2337"/>
      <c r="YZ6" s="2338"/>
      <c r="ZA6" s="2336"/>
      <c r="ZB6" s="2337"/>
      <c r="ZC6" s="2338"/>
      <c r="ZD6" s="2336"/>
      <c r="ZE6" s="2337"/>
      <c r="ZF6" s="2338"/>
      <c r="ZG6" s="2336"/>
      <c r="ZH6" s="2337"/>
      <c r="ZI6" s="2338"/>
      <c r="ZJ6" s="2336"/>
      <c r="ZK6" s="2337"/>
      <c r="ZL6" s="2338"/>
      <c r="ZM6" s="2336"/>
      <c r="ZN6" s="2337"/>
      <c r="ZO6" s="2338"/>
      <c r="ZP6" s="2336"/>
      <c r="ZQ6" s="2337"/>
      <c r="ZR6" s="2338"/>
      <c r="ZS6" s="2336"/>
      <c r="ZT6" s="2337"/>
      <c r="ZU6" s="2338"/>
      <c r="ZV6" s="2336"/>
      <c r="ZW6" s="2337"/>
      <c r="ZX6" s="2338"/>
      <c r="ZY6" s="2336"/>
      <c r="ZZ6" s="2337"/>
      <c r="AAA6" s="2338"/>
      <c r="AAB6" s="2336"/>
      <c r="AAC6" s="2337"/>
      <c r="AAD6" s="2338"/>
      <c r="AAE6" s="2336"/>
      <c r="AAF6" s="2337"/>
      <c r="AAG6" s="2338"/>
      <c r="AAH6" s="2336"/>
      <c r="AAI6" s="2337"/>
      <c r="AAJ6" s="2338"/>
      <c r="AAK6" s="2336"/>
      <c r="AAL6" s="2337"/>
      <c r="AAM6" s="2338"/>
      <c r="AAN6" s="2336"/>
      <c r="AAO6" s="2337"/>
      <c r="AAP6" s="2338"/>
      <c r="AAQ6" s="2336"/>
      <c r="AAR6" s="2337"/>
      <c r="AAS6" s="2338"/>
      <c r="AAT6" s="2336"/>
      <c r="AAU6" s="2337"/>
      <c r="AAV6" s="2338"/>
      <c r="AAW6" s="2336"/>
      <c r="AAX6" s="2337"/>
      <c r="AAY6" s="2338"/>
      <c r="AAZ6" s="2336"/>
      <c r="ABA6" s="2337"/>
      <c r="ABB6" s="2338"/>
      <c r="ABC6" s="2336"/>
      <c r="ABD6" s="2337"/>
      <c r="ABE6" s="2338"/>
      <c r="ABF6" s="2336"/>
      <c r="ABG6" s="2337"/>
      <c r="ABH6" s="2338"/>
      <c r="ABI6" s="2336"/>
      <c r="ABJ6" s="2337"/>
      <c r="ABK6" s="2338"/>
      <c r="ABL6" s="2336"/>
      <c r="ABM6" s="2337"/>
      <c r="ABN6" s="2338"/>
      <c r="ABO6" s="2336"/>
      <c r="ABP6" s="2337"/>
      <c r="ABQ6" s="2338"/>
      <c r="ABR6" s="2336"/>
      <c r="ABS6" s="2337"/>
      <c r="ABT6" s="2338"/>
      <c r="ABU6" s="2336"/>
      <c r="ABV6" s="2337"/>
      <c r="ABW6" s="2338"/>
      <c r="ABX6" s="2336"/>
      <c r="ABY6" s="2337"/>
      <c r="ABZ6" s="2338"/>
      <c r="ACA6" s="2336"/>
      <c r="ACB6" s="2337"/>
      <c r="ACC6" s="2338"/>
      <c r="ACD6" s="2336"/>
      <c r="ACE6" s="2337"/>
      <c r="ACF6" s="2338"/>
      <c r="ACG6" s="2336"/>
      <c r="ACH6" s="2337"/>
      <c r="ACI6" s="2338"/>
      <c r="ACJ6" s="2336"/>
      <c r="ACK6" s="2337"/>
      <c r="ACL6" s="2338"/>
      <c r="ACM6" s="2336"/>
      <c r="ACN6" s="2337"/>
      <c r="ACO6" s="2338"/>
      <c r="ACP6" s="2336"/>
      <c r="ACQ6" s="2337"/>
      <c r="ACR6" s="2338"/>
      <c r="ACS6" s="2336"/>
      <c r="ACT6" s="2337"/>
      <c r="ACU6" s="2338"/>
      <c r="ACV6" s="2336"/>
      <c r="ACW6" s="2337"/>
      <c r="ACX6" s="2338"/>
      <c r="ACY6" s="2336"/>
      <c r="ACZ6" s="2337"/>
      <c r="ADA6" s="2338"/>
      <c r="ADB6" s="2336"/>
      <c r="ADC6" s="2337"/>
      <c r="ADD6" s="2338"/>
      <c r="ADE6" s="2336"/>
      <c r="ADF6" s="2337"/>
      <c r="ADG6" s="2338"/>
      <c r="ADH6" s="2336"/>
      <c r="ADI6" s="2337"/>
      <c r="ADJ6" s="2338"/>
      <c r="ADK6" s="2336"/>
      <c r="ADL6" s="2337"/>
      <c r="ADM6" s="2338"/>
      <c r="ADN6" s="2336"/>
      <c r="ADO6" s="2337"/>
      <c r="ADP6" s="2338"/>
      <c r="ADQ6" s="2336"/>
      <c r="ADR6" s="2337"/>
      <c r="ADS6" s="2338"/>
      <c r="ADT6" s="2336"/>
      <c r="ADU6" s="2337"/>
      <c r="ADV6" s="2338"/>
      <c r="ADW6" s="2336"/>
      <c r="ADX6" s="2337"/>
      <c r="ADY6" s="2338"/>
      <c r="ADZ6" s="2336"/>
      <c r="AEA6" s="2337"/>
      <c r="AEB6" s="2338"/>
      <c r="AEC6" s="2336"/>
      <c r="AED6" s="2337"/>
      <c r="AEE6" s="2338"/>
      <c r="AEF6" s="2336"/>
      <c r="AEG6" s="2337"/>
      <c r="AEH6" s="2338"/>
      <c r="AEI6" s="2336"/>
      <c r="AEJ6" s="2337"/>
      <c r="AEK6" s="2338"/>
      <c r="AEL6" s="2336"/>
      <c r="AEM6" s="2337"/>
      <c r="AEN6" s="2338"/>
      <c r="AEO6" s="2336"/>
      <c r="AEP6" s="2337"/>
      <c r="AEQ6" s="2338"/>
      <c r="AER6" s="2336"/>
      <c r="AES6" s="2337"/>
      <c r="AET6" s="2338"/>
      <c r="AEU6" s="2336"/>
      <c r="AEV6" s="2337"/>
      <c r="AEW6" s="2338"/>
      <c r="AEX6" s="2336"/>
      <c r="AEY6" s="2337"/>
      <c r="AEZ6" s="2338"/>
      <c r="AFA6" s="2336"/>
      <c r="AFB6" s="2337"/>
      <c r="AFC6" s="2338"/>
      <c r="AFD6" s="2336"/>
      <c r="AFE6" s="2337"/>
      <c r="AFF6" s="2338"/>
      <c r="AFG6" s="2336"/>
      <c r="AFH6" s="2337"/>
      <c r="AFI6" s="2338"/>
      <c r="AFJ6" s="2336"/>
      <c r="AFK6" s="2337"/>
      <c r="AFL6" s="2338"/>
      <c r="AFM6" s="2336"/>
      <c r="AFN6" s="2337"/>
      <c r="AFO6" s="2338"/>
      <c r="AFP6" s="2336"/>
      <c r="AFQ6" s="2337"/>
      <c r="AFR6" s="2338"/>
      <c r="AFS6" s="2336"/>
      <c r="AFT6" s="2337"/>
      <c r="AFU6" s="2338"/>
      <c r="AFV6" s="2336"/>
      <c r="AFW6" s="2337"/>
      <c r="AFX6" s="2338"/>
      <c r="AFY6" s="2336"/>
      <c r="AFZ6" s="2337"/>
      <c r="AGA6" s="2338"/>
      <c r="AGB6" s="2336"/>
      <c r="AGC6" s="2337"/>
      <c r="AGD6" s="2338"/>
      <c r="AGE6" s="2336"/>
      <c r="AGF6" s="2337"/>
      <c r="AGG6" s="2338"/>
      <c r="AGH6" s="2336"/>
      <c r="AGI6" s="2337"/>
      <c r="AGJ6" s="2338"/>
      <c r="AGK6" s="2336"/>
      <c r="AGL6" s="2337"/>
      <c r="AGM6" s="2338"/>
      <c r="AGN6" s="2336"/>
      <c r="AGO6" s="2337"/>
      <c r="AGP6" s="2338"/>
      <c r="AGQ6" s="2336"/>
      <c r="AGR6" s="2337"/>
      <c r="AGS6" s="2338"/>
      <c r="AGT6" s="2336"/>
      <c r="AGU6" s="2337"/>
      <c r="AGV6" s="2338"/>
      <c r="AGW6" s="2336"/>
      <c r="AGX6" s="2337"/>
      <c r="AGY6" s="2338"/>
      <c r="AGZ6" s="2336"/>
      <c r="AHA6" s="2337"/>
      <c r="AHB6" s="2338"/>
      <c r="AHC6" s="2336"/>
      <c r="AHD6" s="2337"/>
      <c r="AHE6" s="2338"/>
      <c r="AHF6" s="2336"/>
      <c r="AHG6" s="2337"/>
      <c r="AHH6" s="2338"/>
      <c r="AHI6" s="2336"/>
      <c r="AHJ6" s="2337"/>
      <c r="AHK6" s="2338"/>
      <c r="AHL6" s="2336"/>
      <c r="AHM6" s="2337"/>
      <c r="AHN6" s="2338"/>
      <c r="AHO6" s="2336"/>
      <c r="AHP6" s="2337"/>
      <c r="AHQ6" s="2338"/>
      <c r="AHR6" s="2336"/>
      <c r="AHS6" s="2337"/>
      <c r="AHT6" s="2338"/>
      <c r="AHU6" s="2336"/>
      <c r="AHV6" s="2337"/>
      <c r="AHW6" s="2338"/>
      <c r="AHX6" s="2336"/>
      <c r="AHY6" s="2337"/>
      <c r="AHZ6" s="2338"/>
      <c r="AIA6" s="2336"/>
      <c r="AIB6" s="2337"/>
      <c r="AIC6" s="2338"/>
      <c r="AID6" s="2336"/>
      <c r="AIE6" s="2337"/>
      <c r="AIF6" s="2338"/>
      <c r="AIG6" s="2336"/>
      <c r="AIH6" s="2337"/>
      <c r="AII6" s="2338"/>
      <c r="AIJ6" s="2336"/>
      <c r="AIK6" s="2337"/>
      <c r="AIL6" s="2338"/>
      <c r="AIM6" s="2336"/>
      <c r="AIN6" s="2337"/>
      <c r="AIO6" s="2338"/>
      <c r="AIP6" s="2336"/>
      <c r="AIQ6" s="2337"/>
      <c r="AIR6" s="2338"/>
      <c r="AIS6" s="2336"/>
      <c r="AIT6" s="2337"/>
      <c r="AIU6" s="2338"/>
      <c r="AIV6" s="2336"/>
      <c r="AIW6" s="2337"/>
      <c r="AIX6" s="2338"/>
      <c r="AIY6" s="2336"/>
      <c r="AIZ6" s="2337"/>
      <c r="AJA6" s="2338"/>
      <c r="AJB6" s="2336"/>
      <c r="AJC6" s="2337"/>
      <c r="AJD6" s="2338"/>
      <c r="AJE6" s="2336"/>
      <c r="AJF6" s="2337"/>
      <c r="AJG6" s="2338"/>
      <c r="AJH6" s="2336"/>
      <c r="AJI6" s="2337"/>
      <c r="AJJ6" s="2338"/>
      <c r="AJK6" s="2336"/>
      <c r="AJL6" s="2337"/>
      <c r="AJM6" s="2338"/>
      <c r="AJN6" s="2336"/>
      <c r="AJO6" s="2337"/>
      <c r="AJP6" s="2338"/>
      <c r="AJQ6" s="2336"/>
      <c r="AJR6" s="2337"/>
      <c r="AJS6" s="2338"/>
      <c r="AJT6" s="2336"/>
      <c r="AJU6" s="2337"/>
      <c r="AJV6" s="2338"/>
      <c r="AJW6" s="2336"/>
      <c r="AJX6" s="2337"/>
      <c r="AJY6" s="2338"/>
      <c r="AJZ6" s="2336"/>
      <c r="AKA6" s="2337"/>
      <c r="AKB6" s="2338"/>
      <c r="AKC6" s="2336"/>
      <c r="AKD6" s="2337"/>
      <c r="AKE6" s="2338"/>
      <c r="AKF6" s="2336"/>
      <c r="AKG6" s="2337"/>
      <c r="AKH6" s="2338"/>
      <c r="AKI6" s="2336"/>
      <c r="AKJ6" s="2337"/>
      <c r="AKK6" s="2338"/>
      <c r="AKL6" s="2336"/>
      <c r="AKM6" s="2337"/>
      <c r="AKN6" s="2338"/>
      <c r="AKO6" s="2336"/>
      <c r="AKP6" s="2337"/>
      <c r="AKQ6" s="2338"/>
      <c r="AKR6" s="2336"/>
      <c r="AKS6" s="2337"/>
      <c r="AKT6" s="2338"/>
      <c r="AKU6" s="2336"/>
      <c r="AKV6" s="2337"/>
      <c r="AKW6" s="2338"/>
      <c r="AKX6" s="2336"/>
      <c r="AKY6" s="2337"/>
      <c r="AKZ6" s="2338"/>
      <c r="ALA6" s="2336"/>
      <c r="ALB6" s="2337"/>
      <c r="ALC6" s="2338"/>
      <c r="ALD6" s="2336"/>
      <c r="ALE6" s="2337"/>
      <c r="ALF6" s="2338"/>
      <c r="ALG6" s="2336"/>
      <c r="ALH6" s="2337"/>
      <c r="ALI6" s="2338"/>
      <c r="ALJ6" s="2336"/>
      <c r="ALK6" s="2337"/>
      <c r="ALL6" s="2338"/>
      <c r="ALM6" s="2336"/>
      <c r="ALN6" s="2337"/>
      <c r="ALO6" s="2338"/>
      <c r="ALP6" s="2336"/>
      <c r="ALQ6" s="2337"/>
      <c r="ALR6" s="2338"/>
      <c r="ALS6" s="2336"/>
      <c r="ALT6" s="2337"/>
      <c r="ALU6" s="2338"/>
      <c r="ALV6" s="2336"/>
      <c r="ALW6" s="2337"/>
      <c r="ALX6" s="2338"/>
      <c r="ALY6" s="2336"/>
      <c r="ALZ6" s="2337"/>
      <c r="AMA6" s="2338"/>
      <c r="AMB6" s="2336"/>
      <c r="AMC6" s="2337"/>
      <c r="AMD6" s="2338"/>
      <c r="AME6" s="2336"/>
      <c r="AMF6" s="2337"/>
      <c r="AMG6" s="2338"/>
      <c r="AMH6" s="2336"/>
      <c r="AMI6" s="2337"/>
      <c r="AMJ6" s="2338"/>
      <c r="AMK6" s="2336"/>
      <c r="AML6" s="2337"/>
      <c r="AMM6" s="2338"/>
      <c r="AMN6" s="2336"/>
      <c r="AMO6" s="2337"/>
      <c r="AMP6" s="2338"/>
      <c r="AMQ6" s="2336"/>
      <c r="AMR6" s="2337"/>
      <c r="AMS6" s="2338"/>
      <c r="AMT6" s="2336"/>
      <c r="AMU6" s="2337"/>
      <c r="AMV6" s="2338"/>
      <c r="AMW6" s="2336"/>
      <c r="AMX6" s="2337"/>
      <c r="AMY6" s="2338"/>
      <c r="AMZ6" s="2336"/>
      <c r="ANA6" s="2337"/>
      <c r="ANB6" s="2338"/>
      <c r="ANC6" s="2336"/>
      <c r="AND6" s="2337"/>
      <c r="ANE6" s="2338"/>
      <c r="ANF6" s="2336"/>
      <c r="ANG6" s="2337"/>
      <c r="ANH6" s="2338"/>
      <c r="ANI6" s="2336"/>
      <c r="ANJ6" s="2337"/>
      <c r="ANK6" s="2338"/>
      <c r="ANL6" s="2336"/>
      <c r="ANM6" s="2337"/>
      <c r="ANN6" s="2338"/>
      <c r="ANO6" s="2336"/>
      <c r="ANP6" s="2337"/>
      <c r="ANQ6" s="2338"/>
      <c r="ANR6" s="2336"/>
      <c r="ANS6" s="2337"/>
      <c r="ANT6" s="2338"/>
      <c r="ANU6" s="2336"/>
      <c r="ANV6" s="2337"/>
      <c r="ANW6" s="2338"/>
      <c r="ANX6" s="2336"/>
      <c r="ANY6" s="2337"/>
      <c r="ANZ6" s="2338"/>
      <c r="AOA6" s="2336"/>
      <c r="AOB6" s="2337"/>
      <c r="AOC6" s="2338"/>
      <c r="AOD6" s="2336"/>
      <c r="AOE6" s="2337"/>
      <c r="AOF6" s="2338"/>
      <c r="AOG6" s="2336"/>
      <c r="AOH6" s="2337"/>
      <c r="AOI6" s="2338"/>
      <c r="AOJ6" s="2336"/>
      <c r="AOK6" s="2337"/>
      <c r="AOL6" s="2338"/>
      <c r="AOM6" s="2336"/>
      <c r="AON6" s="2337"/>
      <c r="AOO6" s="2338"/>
      <c r="AOP6" s="2336"/>
      <c r="AOQ6" s="2337"/>
      <c r="AOR6" s="2338"/>
      <c r="AOS6" s="2336"/>
      <c r="AOT6" s="2337"/>
      <c r="AOU6" s="2338"/>
      <c r="AOV6" s="2336"/>
      <c r="AOW6" s="2337"/>
      <c r="AOX6" s="2338"/>
      <c r="AOY6" s="2336"/>
      <c r="AOZ6" s="2337"/>
      <c r="APA6" s="2338"/>
      <c r="APB6" s="2336"/>
      <c r="APC6" s="2337"/>
      <c r="APD6" s="2338"/>
      <c r="APE6" s="2336"/>
      <c r="APF6" s="2337"/>
      <c r="APG6" s="2338"/>
      <c r="APH6" s="2336"/>
      <c r="API6" s="2337"/>
      <c r="APJ6" s="2338"/>
      <c r="APK6" s="2336"/>
      <c r="APL6" s="2337"/>
      <c r="APM6" s="2338"/>
      <c r="APN6" s="2336"/>
      <c r="APO6" s="2337"/>
      <c r="APP6" s="2338"/>
      <c r="APQ6" s="2336"/>
      <c r="APR6" s="2337"/>
      <c r="APS6" s="2338"/>
      <c r="APT6" s="2336"/>
      <c r="APU6" s="2337"/>
      <c r="APV6" s="2338"/>
      <c r="APW6" s="2336"/>
      <c r="APX6" s="2337"/>
      <c r="APY6" s="2338"/>
      <c r="APZ6" s="2336"/>
      <c r="AQA6" s="2337"/>
      <c r="AQB6" s="2338"/>
      <c r="AQC6" s="2336"/>
      <c r="AQD6" s="2337"/>
      <c r="AQE6" s="2338"/>
      <c r="AQF6" s="2336"/>
      <c r="AQG6" s="2337"/>
      <c r="AQH6" s="2338"/>
      <c r="AQI6" s="2336"/>
      <c r="AQJ6" s="2337"/>
      <c r="AQK6" s="2338"/>
      <c r="AQL6" s="2336"/>
      <c r="AQM6" s="2337"/>
      <c r="AQN6" s="2338"/>
      <c r="AQO6" s="2336"/>
      <c r="AQP6" s="2337"/>
      <c r="AQQ6" s="2338"/>
      <c r="AQR6" s="2336"/>
      <c r="AQS6" s="2337"/>
      <c r="AQT6" s="2338"/>
      <c r="AQU6" s="2336"/>
      <c r="AQV6" s="2337"/>
      <c r="AQW6" s="2338"/>
      <c r="AQX6" s="2336"/>
      <c r="AQY6" s="2337"/>
      <c r="AQZ6" s="2338"/>
      <c r="ARA6" s="2336"/>
      <c r="ARB6" s="2337"/>
      <c r="ARC6" s="2338"/>
      <c r="ARD6" s="2336"/>
      <c r="ARE6" s="2337"/>
      <c r="ARF6" s="2338"/>
      <c r="ARG6" s="2336"/>
      <c r="ARH6" s="2337"/>
      <c r="ARI6" s="2338"/>
      <c r="ARJ6" s="2336"/>
      <c r="ARK6" s="2337"/>
      <c r="ARL6" s="2338"/>
      <c r="ARM6" s="2336"/>
      <c r="ARN6" s="2337"/>
      <c r="ARO6" s="2338"/>
      <c r="ARP6" s="2336"/>
      <c r="ARQ6" s="2337"/>
      <c r="ARR6" s="2338"/>
      <c r="ARS6" s="2336"/>
      <c r="ART6" s="2337"/>
      <c r="ARU6" s="2338"/>
      <c r="ARV6" s="2336"/>
      <c r="ARW6" s="2337"/>
      <c r="ARX6" s="2338"/>
      <c r="ARY6" s="2336"/>
      <c r="ARZ6" s="2337"/>
      <c r="ASA6" s="2338"/>
      <c r="ASB6" s="2336"/>
      <c r="ASC6" s="2337"/>
      <c r="ASD6" s="2338"/>
      <c r="ASE6" s="2336"/>
      <c r="ASF6" s="2337"/>
      <c r="ASG6" s="2338"/>
      <c r="ASH6" s="2336"/>
      <c r="ASI6" s="2337"/>
      <c r="ASJ6" s="2338"/>
      <c r="ASK6" s="2336"/>
      <c r="ASL6" s="2337"/>
      <c r="ASM6" s="2338"/>
      <c r="ASN6" s="2336"/>
      <c r="ASO6" s="2337"/>
      <c r="ASP6" s="2338"/>
      <c r="ASQ6" s="2336"/>
      <c r="ASR6" s="2337"/>
      <c r="ASS6" s="2338"/>
      <c r="AST6" s="2336"/>
      <c r="ASU6" s="2337"/>
      <c r="ASV6" s="2338"/>
      <c r="ASW6" s="2336"/>
      <c r="ASX6" s="2337"/>
      <c r="ASY6" s="2338"/>
      <c r="ASZ6" s="2336"/>
      <c r="ATA6" s="2337"/>
      <c r="ATB6" s="2338"/>
      <c r="ATC6" s="2336"/>
      <c r="ATD6" s="2337"/>
      <c r="ATE6" s="2338"/>
      <c r="ATF6" s="2336"/>
      <c r="ATG6" s="2337"/>
      <c r="ATH6" s="2338"/>
      <c r="ATI6" s="2336"/>
      <c r="ATJ6" s="2337"/>
      <c r="ATK6" s="2338"/>
      <c r="ATL6" s="2336"/>
      <c r="ATM6" s="2337"/>
      <c r="ATN6" s="2338"/>
      <c r="ATO6" s="2336"/>
      <c r="ATP6" s="2337"/>
      <c r="ATQ6" s="2338"/>
      <c r="ATR6" s="2336"/>
      <c r="ATS6" s="2337"/>
      <c r="ATT6" s="2338"/>
      <c r="ATU6" s="2336"/>
      <c r="ATV6" s="2337"/>
      <c r="ATW6" s="2338"/>
      <c r="ATX6" s="2336"/>
      <c r="ATY6" s="2337"/>
      <c r="ATZ6" s="2338"/>
      <c r="AUA6" s="2336"/>
      <c r="AUB6" s="2337"/>
      <c r="AUC6" s="2338"/>
      <c r="AUD6" s="2336"/>
      <c r="AUE6" s="2337"/>
      <c r="AUF6" s="2338"/>
      <c r="AUG6" s="2336"/>
      <c r="AUH6" s="2337"/>
      <c r="AUI6" s="2338"/>
      <c r="AUJ6" s="2336"/>
      <c r="AUK6" s="2337"/>
      <c r="AUL6" s="2338"/>
      <c r="AUM6" s="2336"/>
      <c r="AUN6" s="2337"/>
      <c r="AUO6" s="2338"/>
      <c r="AUP6" s="2336"/>
      <c r="AUQ6" s="2337"/>
      <c r="AUR6" s="2338"/>
      <c r="AUS6" s="2336"/>
      <c r="AUT6" s="2337"/>
      <c r="AUU6" s="2338"/>
      <c r="AUV6" s="2336"/>
      <c r="AUW6" s="2337"/>
      <c r="AUX6" s="2338"/>
      <c r="AUY6" s="2336"/>
      <c r="AUZ6" s="2337"/>
      <c r="AVA6" s="2338"/>
      <c r="AVB6" s="2336"/>
      <c r="AVC6" s="2337"/>
      <c r="AVD6" s="2338"/>
      <c r="AVE6" s="2336"/>
      <c r="AVF6" s="2337"/>
      <c r="AVG6" s="2338"/>
      <c r="AVH6" s="2336"/>
      <c r="AVI6" s="2337"/>
      <c r="AVJ6" s="2338"/>
      <c r="AVK6" s="2336"/>
      <c r="AVL6" s="2337"/>
      <c r="AVM6" s="2338"/>
      <c r="AVN6" s="2336"/>
      <c r="AVO6" s="2337"/>
      <c r="AVP6" s="2338"/>
      <c r="AVQ6" s="2336"/>
      <c r="AVR6" s="2337"/>
      <c r="AVS6" s="2338"/>
      <c r="AVT6" s="2336"/>
      <c r="AVU6" s="2337"/>
      <c r="AVV6" s="2338"/>
      <c r="AVW6" s="2336"/>
      <c r="AVX6" s="2337"/>
      <c r="AVY6" s="2338"/>
      <c r="AVZ6" s="2336"/>
      <c r="AWA6" s="2337"/>
      <c r="AWB6" s="2338"/>
      <c r="AWC6" s="2336"/>
      <c r="AWD6" s="2337"/>
      <c r="AWE6" s="2338"/>
      <c r="AWF6" s="2336"/>
      <c r="AWG6" s="2337"/>
      <c r="AWH6" s="2338"/>
      <c r="AWI6" s="2336"/>
      <c r="AWJ6" s="2337"/>
      <c r="AWK6" s="2338"/>
      <c r="AWL6" s="2336"/>
      <c r="AWM6" s="2337"/>
      <c r="AWN6" s="2338"/>
      <c r="AWO6" s="2336"/>
      <c r="AWP6" s="2337"/>
      <c r="AWQ6" s="2338"/>
      <c r="AWR6" s="2336"/>
      <c r="AWS6" s="2337"/>
      <c r="AWT6" s="2338"/>
      <c r="AWU6" s="2336"/>
      <c r="AWV6" s="2337"/>
      <c r="AWW6" s="2338"/>
      <c r="AWX6" s="2336"/>
      <c r="AWY6" s="2337"/>
      <c r="AWZ6" s="2338"/>
      <c r="AXA6" s="2336"/>
      <c r="AXB6" s="2337"/>
      <c r="AXC6" s="2338"/>
      <c r="AXD6" s="2336"/>
      <c r="AXE6" s="2337"/>
      <c r="AXF6" s="2338"/>
      <c r="AXG6" s="2336"/>
      <c r="AXH6" s="2337"/>
      <c r="AXI6" s="2338"/>
      <c r="AXJ6" s="2336"/>
      <c r="AXK6" s="2337"/>
      <c r="AXL6" s="2338"/>
      <c r="AXM6" s="2336"/>
      <c r="AXN6" s="2337"/>
      <c r="AXO6" s="2338"/>
      <c r="AXP6" s="2336"/>
      <c r="AXQ6" s="2337"/>
      <c r="AXR6" s="2338"/>
      <c r="AXS6" s="2336"/>
      <c r="AXT6" s="2337"/>
      <c r="AXU6" s="2338"/>
      <c r="AXV6" s="2336"/>
      <c r="AXW6" s="2337"/>
      <c r="AXX6" s="2338"/>
      <c r="AXY6" s="2336"/>
      <c r="AXZ6" s="2337"/>
      <c r="AYA6" s="2338"/>
      <c r="AYB6" s="2336"/>
      <c r="AYC6" s="2337"/>
      <c r="AYD6" s="2338"/>
      <c r="AYE6" s="2336"/>
      <c r="AYF6" s="2337"/>
      <c r="AYG6" s="2338"/>
      <c r="AYH6" s="2336"/>
      <c r="AYI6" s="2337"/>
      <c r="AYJ6" s="2338"/>
      <c r="AYK6" s="2336"/>
      <c r="AYL6" s="2337"/>
      <c r="AYM6" s="2338"/>
      <c r="AYN6" s="2336"/>
      <c r="AYO6" s="2337"/>
      <c r="AYP6" s="2338"/>
      <c r="AYQ6" s="2336"/>
      <c r="AYR6" s="2337"/>
      <c r="AYS6" s="2338"/>
      <c r="AYT6" s="2336"/>
      <c r="AYU6" s="2337"/>
      <c r="AYV6" s="2338"/>
      <c r="AYW6" s="2336"/>
      <c r="AYX6" s="2337"/>
      <c r="AYY6" s="2338"/>
      <c r="AYZ6" s="2336"/>
      <c r="AZA6" s="2337"/>
      <c r="AZB6" s="2338"/>
      <c r="AZC6" s="2336"/>
      <c r="AZD6" s="2337"/>
      <c r="AZE6" s="2338"/>
      <c r="AZF6" s="2336"/>
      <c r="AZG6" s="2337"/>
      <c r="AZH6" s="2338"/>
      <c r="AZI6" s="2336"/>
      <c r="AZJ6" s="2337"/>
      <c r="AZK6" s="2338"/>
      <c r="AZL6" s="2336"/>
      <c r="AZM6" s="2337"/>
      <c r="AZN6" s="2338"/>
      <c r="AZO6" s="2336"/>
      <c r="AZP6" s="2337"/>
      <c r="AZQ6" s="2338"/>
      <c r="AZR6" s="2336"/>
      <c r="AZS6" s="2337"/>
      <c r="AZT6" s="2338"/>
      <c r="AZU6" s="2336"/>
      <c r="AZV6" s="2337"/>
      <c r="AZW6" s="2338"/>
      <c r="AZX6" s="2336"/>
      <c r="AZY6" s="2337"/>
      <c r="AZZ6" s="2338"/>
      <c r="BAA6" s="2336"/>
      <c r="BAB6" s="2337"/>
      <c r="BAC6" s="2338"/>
      <c r="BAD6" s="2336"/>
      <c r="BAE6" s="2337"/>
      <c r="BAF6" s="2338"/>
      <c r="BAG6" s="2336"/>
      <c r="BAH6" s="2337"/>
      <c r="BAI6" s="2338"/>
      <c r="BAJ6" s="2336"/>
      <c r="BAK6" s="2337"/>
      <c r="BAL6" s="2338"/>
      <c r="BAM6" s="2336"/>
      <c r="BAN6" s="2337"/>
      <c r="BAO6" s="2338"/>
      <c r="BAP6" s="2336"/>
      <c r="BAQ6" s="2337"/>
      <c r="BAR6" s="2338"/>
      <c r="BAS6" s="2336"/>
      <c r="BAT6" s="2337"/>
      <c r="BAU6" s="2338"/>
      <c r="BAV6" s="2336"/>
      <c r="BAW6" s="2337"/>
      <c r="BAX6" s="2338"/>
      <c r="BAY6" s="2336"/>
      <c r="BAZ6" s="2337"/>
      <c r="BBA6" s="2338"/>
      <c r="BBB6" s="2336"/>
      <c r="BBC6" s="2337"/>
      <c r="BBD6" s="2338"/>
      <c r="BBE6" s="2336"/>
      <c r="BBF6" s="2337"/>
      <c r="BBG6" s="2338"/>
      <c r="BBH6" s="2336"/>
      <c r="BBI6" s="2337"/>
      <c r="BBJ6" s="2338"/>
      <c r="BBK6" s="2336"/>
      <c r="BBL6" s="2337"/>
      <c r="BBM6" s="2338"/>
      <c r="BBN6" s="2336"/>
      <c r="BBO6" s="2337"/>
      <c r="BBP6" s="2338"/>
      <c r="BBQ6" s="2336"/>
      <c r="BBR6" s="2337"/>
      <c r="BBS6" s="2338"/>
      <c r="BBT6" s="2336"/>
      <c r="BBU6" s="2337"/>
      <c r="BBV6" s="2338"/>
      <c r="BBW6" s="2336"/>
      <c r="BBX6" s="2337"/>
      <c r="BBY6" s="2338"/>
      <c r="BBZ6" s="2336"/>
      <c r="BCA6" s="2337"/>
      <c r="BCB6" s="2338"/>
      <c r="BCC6" s="2336"/>
      <c r="BCD6" s="2337"/>
      <c r="BCE6" s="2338"/>
      <c r="BCF6" s="2336"/>
      <c r="BCG6" s="2337"/>
      <c r="BCH6" s="2338"/>
      <c r="BCI6" s="2336"/>
      <c r="BCJ6" s="2337"/>
      <c r="BCK6" s="2338"/>
      <c r="BCL6" s="2336"/>
      <c r="BCM6" s="2337"/>
      <c r="BCN6" s="2338"/>
      <c r="BCO6" s="2336"/>
      <c r="BCP6" s="2337"/>
      <c r="BCQ6" s="2338"/>
      <c r="BCR6" s="2336"/>
      <c r="BCS6" s="2337"/>
      <c r="BCT6" s="2338"/>
      <c r="BCU6" s="2336"/>
      <c r="BCV6" s="2337"/>
      <c r="BCW6" s="2338"/>
      <c r="BCX6" s="2336"/>
      <c r="BCY6" s="2337"/>
      <c r="BCZ6" s="2338"/>
      <c r="BDA6" s="2336"/>
      <c r="BDB6" s="2337"/>
      <c r="BDC6" s="2338"/>
      <c r="BDD6" s="2336"/>
      <c r="BDE6" s="2337"/>
      <c r="BDF6" s="2338"/>
      <c r="BDG6" s="2336"/>
      <c r="BDH6" s="2337"/>
      <c r="BDI6" s="2338"/>
      <c r="BDJ6" s="2336"/>
      <c r="BDK6" s="2337"/>
      <c r="BDL6" s="2338"/>
      <c r="BDM6" s="2336"/>
      <c r="BDN6" s="2337"/>
      <c r="BDO6" s="2338"/>
      <c r="BDP6" s="2336"/>
      <c r="BDQ6" s="2337"/>
      <c r="BDR6" s="2338"/>
      <c r="BDS6" s="2336"/>
      <c r="BDT6" s="2337"/>
      <c r="BDU6" s="2338"/>
      <c r="BDV6" s="2336"/>
      <c r="BDW6" s="2337"/>
      <c r="BDX6" s="2338"/>
      <c r="BDY6" s="2336"/>
      <c r="BDZ6" s="2337"/>
      <c r="BEA6" s="2338"/>
      <c r="BEB6" s="2336"/>
      <c r="BEC6" s="2337"/>
      <c r="BED6" s="2338"/>
      <c r="BEE6" s="2336"/>
      <c r="BEF6" s="2337"/>
      <c r="BEG6" s="2338"/>
      <c r="BEH6" s="2336"/>
      <c r="BEI6" s="2337"/>
      <c r="BEJ6" s="2338"/>
      <c r="BEK6" s="2336"/>
      <c r="BEL6" s="2337"/>
      <c r="BEM6" s="2338"/>
      <c r="BEN6" s="2336"/>
      <c r="BEO6" s="2337"/>
      <c r="BEP6" s="2338"/>
      <c r="BEQ6" s="2336"/>
      <c r="BER6" s="2337"/>
      <c r="BES6" s="2338"/>
      <c r="BET6" s="2336"/>
      <c r="BEU6" s="2337"/>
      <c r="BEV6" s="2338"/>
      <c r="BEW6" s="2336"/>
      <c r="BEX6" s="2337"/>
      <c r="BEY6" s="2338"/>
      <c r="BEZ6" s="2336"/>
      <c r="BFA6" s="2337"/>
      <c r="BFB6" s="2338"/>
      <c r="BFC6" s="2336"/>
      <c r="BFD6" s="2337"/>
      <c r="BFE6" s="2338"/>
      <c r="BFF6" s="2336"/>
      <c r="BFG6" s="2337"/>
      <c r="BFH6" s="2338"/>
      <c r="BFI6" s="2336"/>
      <c r="BFJ6" s="2337"/>
      <c r="BFK6" s="2338"/>
      <c r="BFL6" s="2336"/>
      <c r="BFM6" s="2337"/>
      <c r="BFN6" s="2338"/>
      <c r="BFO6" s="2336"/>
      <c r="BFP6" s="2337"/>
      <c r="BFQ6" s="2338"/>
      <c r="BFR6" s="2336"/>
      <c r="BFS6" s="2337"/>
      <c r="BFT6" s="2338"/>
      <c r="BFU6" s="2336"/>
      <c r="BFV6" s="2337"/>
      <c r="BFW6" s="2338"/>
      <c r="BFX6" s="2336"/>
      <c r="BFY6" s="2337"/>
      <c r="BFZ6" s="2338"/>
      <c r="BGA6" s="2336"/>
      <c r="BGB6" s="2337"/>
      <c r="BGC6" s="2338"/>
      <c r="BGD6" s="2336"/>
      <c r="BGE6" s="2337"/>
      <c r="BGF6" s="2338"/>
      <c r="BGG6" s="2336"/>
      <c r="BGH6" s="2337"/>
      <c r="BGI6" s="2338"/>
      <c r="BGJ6" s="2336"/>
      <c r="BGK6" s="2337"/>
      <c r="BGL6" s="2338"/>
      <c r="BGM6" s="2336"/>
      <c r="BGN6" s="2337"/>
      <c r="BGO6" s="2338"/>
      <c r="BGP6" s="2336"/>
      <c r="BGQ6" s="2337"/>
      <c r="BGR6" s="2338"/>
      <c r="BGS6" s="2336"/>
      <c r="BGT6" s="2337"/>
      <c r="BGU6" s="2338"/>
      <c r="BGV6" s="2336"/>
      <c r="BGW6" s="2337"/>
      <c r="BGX6" s="2338"/>
      <c r="BGY6" s="2336"/>
      <c r="BGZ6" s="2337"/>
      <c r="BHA6" s="2338"/>
      <c r="BHB6" s="2336"/>
      <c r="BHC6" s="2337"/>
      <c r="BHD6" s="2338"/>
      <c r="BHE6" s="2336"/>
      <c r="BHF6" s="2337"/>
      <c r="BHG6" s="2338"/>
      <c r="BHH6" s="2336"/>
      <c r="BHI6" s="2337"/>
      <c r="BHJ6" s="2338"/>
      <c r="BHK6" s="2336"/>
      <c r="BHL6" s="2337"/>
      <c r="BHM6" s="2338"/>
      <c r="BHN6" s="2336"/>
      <c r="BHO6" s="2337"/>
      <c r="BHP6" s="2338"/>
      <c r="BHQ6" s="2336"/>
      <c r="BHR6" s="2337"/>
      <c r="BHS6" s="2338"/>
      <c r="BHT6" s="2336"/>
      <c r="BHU6" s="2337"/>
      <c r="BHV6" s="2338"/>
      <c r="BHW6" s="2336"/>
      <c r="BHX6" s="2337"/>
      <c r="BHY6" s="2338"/>
      <c r="BHZ6" s="2336"/>
      <c r="BIA6" s="2337"/>
      <c r="BIB6" s="2338"/>
      <c r="BIC6" s="2336"/>
      <c r="BID6" s="2337"/>
      <c r="BIE6" s="2338"/>
      <c r="BIF6" s="2336"/>
      <c r="BIG6" s="2337"/>
      <c r="BIH6" s="2338"/>
      <c r="BII6" s="2336"/>
      <c r="BIJ6" s="2337"/>
      <c r="BIK6" s="2338"/>
      <c r="BIL6" s="2336"/>
      <c r="BIM6" s="2337"/>
      <c r="BIN6" s="2338"/>
      <c r="BIO6" s="2336"/>
      <c r="BIP6" s="2337"/>
      <c r="BIQ6" s="2338"/>
      <c r="BIR6" s="2336"/>
      <c r="BIS6" s="2337"/>
      <c r="BIT6" s="2338"/>
      <c r="BIU6" s="2336"/>
      <c r="BIV6" s="2337"/>
      <c r="BIW6" s="2338"/>
      <c r="BIX6" s="2336"/>
      <c r="BIY6" s="2337"/>
      <c r="BIZ6" s="2338"/>
      <c r="BJA6" s="2336"/>
      <c r="BJB6" s="2337"/>
      <c r="BJC6" s="2338"/>
      <c r="BJD6" s="2336"/>
      <c r="BJE6" s="2337"/>
      <c r="BJF6" s="2338"/>
      <c r="BJG6" s="2336"/>
      <c r="BJH6" s="2337"/>
      <c r="BJI6" s="2338"/>
      <c r="BJJ6" s="2336"/>
      <c r="BJK6" s="2337"/>
      <c r="BJL6" s="2338"/>
      <c r="BJM6" s="2336"/>
      <c r="BJN6" s="2337"/>
      <c r="BJO6" s="2338"/>
      <c r="BJP6" s="2336"/>
      <c r="BJQ6" s="2337"/>
      <c r="BJR6" s="2338"/>
      <c r="BJS6" s="2336"/>
      <c r="BJT6" s="2337"/>
      <c r="BJU6" s="2338"/>
      <c r="BJV6" s="2336"/>
      <c r="BJW6" s="2337"/>
      <c r="BJX6" s="2338"/>
      <c r="BJY6" s="2336"/>
      <c r="BJZ6" s="2337"/>
      <c r="BKA6" s="2338"/>
      <c r="BKB6" s="2336"/>
      <c r="BKC6" s="2337"/>
      <c r="BKD6" s="2338"/>
      <c r="BKE6" s="2336"/>
      <c r="BKF6" s="2337"/>
      <c r="BKG6" s="2338"/>
      <c r="BKH6" s="2336"/>
      <c r="BKI6" s="2337"/>
      <c r="BKJ6" s="2338"/>
      <c r="BKK6" s="2336"/>
      <c r="BKL6" s="2337"/>
      <c r="BKM6" s="2338"/>
      <c r="BKN6" s="2336"/>
      <c r="BKO6" s="2337"/>
      <c r="BKP6" s="2338"/>
      <c r="BKQ6" s="2336"/>
      <c r="BKR6" s="2337"/>
      <c r="BKS6" s="2338"/>
      <c r="BKT6" s="2336"/>
      <c r="BKU6" s="2337"/>
      <c r="BKV6" s="2338"/>
      <c r="BKW6" s="2336"/>
      <c r="BKX6" s="2337"/>
      <c r="BKY6" s="2338"/>
      <c r="BKZ6" s="2336"/>
      <c r="BLA6" s="2337"/>
      <c r="BLB6" s="2338"/>
      <c r="BLC6" s="2336"/>
      <c r="BLD6" s="2337"/>
      <c r="BLE6" s="2338"/>
      <c r="BLF6" s="2336"/>
      <c r="BLG6" s="2337"/>
      <c r="BLH6" s="2338"/>
      <c r="BLI6" s="2336"/>
      <c r="BLJ6" s="2337"/>
      <c r="BLK6" s="2338"/>
      <c r="BLL6" s="2336"/>
      <c r="BLM6" s="2337"/>
      <c r="BLN6" s="2338"/>
      <c r="BLO6" s="2336"/>
      <c r="BLP6" s="2337"/>
      <c r="BLQ6" s="2338"/>
      <c r="BLR6" s="2336"/>
      <c r="BLS6" s="2337"/>
      <c r="BLT6" s="2338"/>
      <c r="BLU6" s="2336"/>
      <c r="BLV6" s="2337"/>
      <c r="BLW6" s="2338"/>
      <c r="BLX6" s="2336"/>
      <c r="BLY6" s="2337"/>
      <c r="BLZ6" s="2338"/>
      <c r="BMA6" s="2336"/>
      <c r="BMB6" s="2337"/>
      <c r="BMC6" s="2338"/>
      <c r="BMD6" s="2336"/>
      <c r="BME6" s="2337"/>
      <c r="BMF6" s="2338"/>
      <c r="BMG6" s="2336"/>
      <c r="BMH6" s="2337"/>
      <c r="BMI6" s="2338"/>
      <c r="BMJ6" s="2336"/>
      <c r="BMK6" s="2337"/>
      <c r="BML6" s="2338"/>
      <c r="BMM6" s="2336"/>
      <c r="BMN6" s="2337"/>
      <c r="BMO6" s="2338"/>
      <c r="BMP6" s="2336"/>
      <c r="BMQ6" s="2337"/>
      <c r="BMR6" s="2338"/>
      <c r="BMS6" s="2336"/>
      <c r="BMT6" s="2337"/>
      <c r="BMU6" s="2338"/>
      <c r="BMV6" s="2336"/>
      <c r="BMW6" s="2337"/>
      <c r="BMX6" s="2338"/>
      <c r="BMY6" s="2336"/>
      <c r="BMZ6" s="2337"/>
      <c r="BNA6" s="2338"/>
      <c r="BNB6" s="2336"/>
      <c r="BNC6" s="2337"/>
      <c r="BND6" s="2338"/>
      <c r="BNE6" s="2336"/>
      <c r="BNF6" s="2337"/>
      <c r="BNG6" s="2338"/>
      <c r="BNH6" s="2336"/>
      <c r="BNI6" s="2337"/>
      <c r="BNJ6" s="2338"/>
      <c r="BNK6" s="2336"/>
      <c r="BNL6" s="2337"/>
      <c r="BNM6" s="2338"/>
      <c r="BNN6" s="2336"/>
      <c r="BNO6" s="2337"/>
      <c r="BNP6" s="2338"/>
      <c r="BNQ6" s="2336"/>
      <c r="BNR6" s="2337"/>
      <c r="BNS6" s="2338"/>
      <c r="BNT6" s="2336"/>
      <c r="BNU6" s="2337"/>
      <c r="BNV6" s="2338"/>
      <c r="BNW6" s="2336"/>
      <c r="BNX6" s="2337"/>
      <c r="BNY6" s="2338"/>
      <c r="BNZ6" s="2336"/>
      <c r="BOA6" s="2337"/>
      <c r="BOB6" s="2338"/>
      <c r="BOC6" s="2336"/>
      <c r="BOD6" s="2337"/>
      <c r="BOE6" s="2338"/>
      <c r="BOF6" s="2336"/>
      <c r="BOG6" s="2337"/>
      <c r="BOH6" s="2338"/>
      <c r="BOI6" s="2336"/>
      <c r="BOJ6" s="2337"/>
      <c r="BOK6" s="2338"/>
      <c r="BOL6" s="2336"/>
      <c r="BOM6" s="2337"/>
      <c r="BON6" s="2338"/>
      <c r="BOO6" s="2336"/>
      <c r="BOP6" s="2337"/>
      <c r="BOQ6" s="2338"/>
      <c r="BOR6" s="2336"/>
      <c r="BOS6" s="2337"/>
      <c r="BOT6" s="2338"/>
      <c r="BOU6" s="2336"/>
      <c r="BOV6" s="2337"/>
      <c r="BOW6" s="2338"/>
      <c r="BOX6" s="2336"/>
      <c r="BOY6" s="2337"/>
      <c r="BOZ6" s="2338"/>
      <c r="BPA6" s="2336"/>
      <c r="BPB6" s="2337"/>
      <c r="BPC6" s="2338"/>
      <c r="BPD6" s="2336"/>
      <c r="BPE6" s="2337"/>
      <c r="BPF6" s="2338"/>
      <c r="BPG6" s="2336"/>
      <c r="BPH6" s="2337"/>
      <c r="BPI6" s="2338"/>
      <c r="BPJ6" s="2336"/>
      <c r="BPK6" s="2337"/>
      <c r="BPL6" s="2338"/>
      <c r="BPM6" s="2336"/>
      <c r="BPN6" s="2337"/>
      <c r="BPO6" s="2338"/>
      <c r="BPP6" s="2336"/>
      <c r="BPQ6" s="2337"/>
      <c r="BPR6" s="2338"/>
      <c r="BPS6" s="2336"/>
      <c r="BPT6" s="2337"/>
      <c r="BPU6" s="2338"/>
      <c r="BPV6" s="2336"/>
      <c r="BPW6" s="2337"/>
      <c r="BPX6" s="2338"/>
      <c r="BPY6" s="2336"/>
      <c r="BPZ6" s="2337"/>
      <c r="BQA6" s="2338"/>
      <c r="BQB6" s="2336"/>
      <c r="BQC6" s="2337"/>
      <c r="BQD6" s="2338"/>
      <c r="BQE6" s="2336"/>
      <c r="BQF6" s="2337"/>
      <c r="BQG6" s="2338"/>
      <c r="BQH6" s="2336"/>
      <c r="BQI6" s="2337"/>
      <c r="BQJ6" s="2338"/>
      <c r="BQK6" s="2336"/>
      <c r="BQL6" s="2337"/>
      <c r="BQM6" s="2338"/>
      <c r="BQN6" s="2336"/>
      <c r="BQO6" s="2337"/>
      <c r="BQP6" s="2338"/>
      <c r="BQQ6" s="2336"/>
      <c r="BQR6" s="2337"/>
      <c r="BQS6" s="2338"/>
      <c r="BQT6" s="2336"/>
      <c r="BQU6" s="2337"/>
      <c r="BQV6" s="2338"/>
      <c r="BQW6" s="2336"/>
      <c r="BQX6" s="2337"/>
      <c r="BQY6" s="2338"/>
      <c r="BQZ6" s="2336"/>
      <c r="BRA6" s="2337"/>
      <c r="BRB6" s="2338"/>
      <c r="BRC6" s="2336"/>
      <c r="BRD6" s="2337"/>
      <c r="BRE6" s="2338"/>
      <c r="BRF6" s="2336"/>
      <c r="BRG6" s="2337"/>
      <c r="BRH6" s="2338"/>
      <c r="BRI6" s="2336"/>
      <c r="BRJ6" s="2337"/>
      <c r="BRK6" s="2338"/>
      <c r="BRL6" s="2336"/>
      <c r="BRM6" s="2337"/>
      <c r="BRN6" s="2338"/>
      <c r="BRO6" s="2336"/>
      <c r="BRP6" s="2337"/>
      <c r="BRQ6" s="2338"/>
      <c r="BRR6" s="2336"/>
      <c r="BRS6" s="2337"/>
      <c r="BRT6" s="2338"/>
      <c r="BRU6" s="2336"/>
      <c r="BRV6" s="2337"/>
      <c r="BRW6" s="2338"/>
      <c r="BRX6" s="2336"/>
      <c r="BRY6" s="2337"/>
      <c r="BRZ6" s="2338"/>
      <c r="BSA6" s="2336"/>
      <c r="BSB6" s="2337"/>
      <c r="BSC6" s="2338"/>
      <c r="BSD6" s="2336"/>
      <c r="BSE6" s="2337"/>
      <c r="BSF6" s="2338"/>
      <c r="BSG6" s="2336"/>
      <c r="BSH6" s="2337"/>
      <c r="BSI6" s="2338"/>
      <c r="BSJ6" s="2336"/>
      <c r="BSK6" s="2337"/>
      <c r="BSL6" s="2338"/>
      <c r="BSM6" s="2336"/>
      <c r="BSN6" s="2337"/>
      <c r="BSO6" s="2338"/>
      <c r="BSP6" s="2336"/>
      <c r="BSQ6" s="2337"/>
      <c r="BSR6" s="2338"/>
      <c r="BSS6" s="2336"/>
      <c r="BST6" s="2337"/>
      <c r="BSU6" s="2338"/>
      <c r="BSV6" s="2336"/>
      <c r="BSW6" s="2337"/>
      <c r="BSX6" s="2338"/>
      <c r="BSY6" s="2336"/>
      <c r="BSZ6" s="2337"/>
      <c r="BTA6" s="2338"/>
      <c r="BTB6" s="2336"/>
      <c r="BTC6" s="2337"/>
      <c r="BTD6" s="2338"/>
      <c r="BTE6" s="2336"/>
      <c r="BTF6" s="2337"/>
      <c r="BTG6" s="2338"/>
      <c r="BTH6" s="2336"/>
      <c r="BTI6" s="2337"/>
      <c r="BTJ6" s="2338"/>
      <c r="BTK6" s="2336"/>
      <c r="BTL6" s="2337"/>
      <c r="BTM6" s="2338"/>
      <c r="BTN6" s="2336"/>
      <c r="BTO6" s="2337"/>
      <c r="BTP6" s="2338"/>
      <c r="BTQ6" s="2336"/>
      <c r="BTR6" s="2337"/>
      <c r="BTS6" s="2338"/>
      <c r="BTT6" s="2336"/>
      <c r="BTU6" s="2337"/>
      <c r="BTV6" s="2338"/>
      <c r="BTW6" s="2336"/>
      <c r="BTX6" s="2337"/>
      <c r="BTY6" s="2338"/>
      <c r="BTZ6" s="2336"/>
      <c r="BUA6" s="2337"/>
      <c r="BUB6" s="2338"/>
      <c r="BUC6" s="2336"/>
      <c r="BUD6" s="2337"/>
      <c r="BUE6" s="2338"/>
      <c r="BUF6" s="2336"/>
      <c r="BUG6" s="2337"/>
      <c r="BUH6" s="2338"/>
      <c r="BUI6" s="2336"/>
      <c r="BUJ6" s="2337"/>
      <c r="BUK6" s="2338"/>
      <c r="BUL6" s="2336"/>
      <c r="BUM6" s="2337"/>
      <c r="BUN6" s="2338"/>
      <c r="BUO6" s="2336"/>
      <c r="BUP6" s="2337"/>
      <c r="BUQ6" s="2338"/>
      <c r="BUR6" s="2336"/>
      <c r="BUS6" s="2337"/>
      <c r="BUT6" s="2338"/>
      <c r="BUU6" s="2336"/>
      <c r="BUV6" s="2337"/>
      <c r="BUW6" s="2338"/>
      <c r="BUX6" s="2336"/>
      <c r="BUY6" s="2337"/>
      <c r="BUZ6" s="2338"/>
      <c r="BVA6" s="2336"/>
      <c r="BVB6" s="2337"/>
      <c r="BVC6" s="2338"/>
      <c r="BVD6" s="2336"/>
      <c r="BVE6" s="2337"/>
      <c r="BVF6" s="2338"/>
      <c r="BVG6" s="2336"/>
      <c r="BVH6" s="2337"/>
      <c r="BVI6" s="2338"/>
      <c r="BVJ6" s="2336"/>
      <c r="BVK6" s="2337"/>
      <c r="BVL6" s="2338"/>
      <c r="BVM6" s="2336"/>
      <c r="BVN6" s="2337"/>
      <c r="BVO6" s="2338"/>
      <c r="BVP6" s="2336"/>
      <c r="BVQ6" s="2337"/>
      <c r="BVR6" s="2338"/>
      <c r="BVS6" s="2336"/>
      <c r="BVT6" s="2337"/>
      <c r="BVU6" s="2338"/>
      <c r="BVV6" s="2336"/>
      <c r="BVW6" s="2337"/>
      <c r="BVX6" s="2338"/>
      <c r="BVY6" s="2336"/>
      <c r="BVZ6" s="2337"/>
      <c r="BWA6" s="2338"/>
      <c r="BWB6" s="2336"/>
      <c r="BWC6" s="2337"/>
      <c r="BWD6" s="2338"/>
      <c r="BWE6" s="2336"/>
      <c r="BWF6" s="2337"/>
      <c r="BWG6" s="2338"/>
      <c r="BWH6" s="2336"/>
      <c r="BWI6" s="2337"/>
      <c r="BWJ6" s="2338"/>
      <c r="BWK6" s="2336"/>
      <c r="BWL6" s="2337"/>
      <c r="BWM6" s="2338"/>
      <c r="BWN6" s="2336"/>
      <c r="BWO6" s="2337"/>
      <c r="BWP6" s="2338"/>
      <c r="BWQ6" s="2336"/>
      <c r="BWR6" s="2337"/>
      <c r="BWS6" s="2338"/>
      <c r="BWT6" s="2336"/>
      <c r="BWU6" s="2337"/>
      <c r="BWV6" s="2338"/>
      <c r="BWW6" s="2336"/>
      <c r="BWX6" s="2337"/>
      <c r="BWY6" s="2338"/>
      <c r="BWZ6" s="2336"/>
      <c r="BXA6" s="2337"/>
      <c r="BXB6" s="2338"/>
      <c r="BXC6" s="2336"/>
      <c r="BXD6" s="2337"/>
      <c r="BXE6" s="2338"/>
      <c r="BXF6" s="2336"/>
      <c r="BXG6" s="2337"/>
      <c r="BXH6" s="2338"/>
      <c r="BXI6" s="2336"/>
      <c r="BXJ6" s="2337"/>
      <c r="BXK6" s="2338"/>
      <c r="BXL6" s="2336"/>
      <c r="BXM6" s="2337"/>
      <c r="BXN6" s="2338"/>
      <c r="BXO6" s="2336"/>
      <c r="BXP6" s="2337"/>
      <c r="BXQ6" s="2338"/>
      <c r="BXR6" s="2336"/>
      <c r="BXS6" s="2337"/>
      <c r="BXT6" s="2338"/>
      <c r="BXU6" s="2336"/>
      <c r="BXV6" s="2337"/>
      <c r="BXW6" s="2338"/>
      <c r="BXX6" s="2336"/>
      <c r="BXY6" s="2337"/>
      <c r="BXZ6" s="2338"/>
      <c r="BYA6" s="2336"/>
      <c r="BYB6" s="2337"/>
      <c r="BYC6" s="2338"/>
      <c r="BYD6" s="2336"/>
      <c r="BYE6" s="2337"/>
      <c r="BYF6" s="2338"/>
      <c r="BYG6" s="2336"/>
      <c r="BYH6" s="2337"/>
      <c r="BYI6" s="2338"/>
      <c r="BYJ6" s="2336"/>
      <c r="BYK6" s="2337"/>
      <c r="BYL6" s="2338"/>
      <c r="BYM6" s="2336"/>
      <c r="BYN6" s="2337"/>
      <c r="BYO6" s="2338"/>
      <c r="BYP6" s="2336"/>
      <c r="BYQ6" s="2337"/>
      <c r="BYR6" s="2338"/>
      <c r="BYS6" s="2336"/>
      <c r="BYT6" s="2337"/>
      <c r="BYU6" s="2338"/>
      <c r="BYV6" s="2336"/>
      <c r="BYW6" s="2337"/>
      <c r="BYX6" s="2338"/>
      <c r="BYY6" s="2336"/>
      <c r="BYZ6" s="2337"/>
      <c r="BZA6" s="2338"/>
      <c r="BZB6" s="2336"/>
      <c r="BZC6" s="2337"/>
      <c r="BZD6" s="2338"/>
      <c r="BZE6" s="2336"/>
      <c r="BZF6" s="2337"/>
      <c r="BZG6" s="2338"/>
      <c r="BZH6" s="2336"/>
      <c r="BZI6" s="2337"/>
      <c r="BZJ6" s="2338"/>
      <c r="BZK6" s="2336"/>
      <c r="BZL6" s="2337"/>
      <c r="BZM6" s="2338"/>
      <c r="BZN6" s="2336"/>
      <c r="BZO6" s="2337"/>
      <c r="BZP6" s="2338"/>
      <c r="BZQ6" s="2336"/>
      <c r="BZR6" s="2337"/>
      <c r="BZS6" s="2338"/>
      <c r="BZT6" s="2336"/>
      <c r="BZU6" s="2337"/>
      <c r="BZV6" s="2338"/>
      <c r="BZW6" s="2336"/>
      <c r="BZX6" s="2337"/>
      <c r="BZY6" s="2338"/>
      <c r="BZZ6" s="2336"/>
      <c r="CAA6" s="2337"/>
      <c r="CAB6" s="2338"/>
      <c r="CAC6" s="2336"/>
      <c r="CAD6" s="2337"/>
      <c r="CAE6" s="2338"/>
      <c r="CAF6" s="2336"/>
      <c r="CAG6" s="2337"/>
      <c r="CAH6" s="2338"/>
      <c r="CAI6" s="2336"/>
      <c r="CAJ6" s="2337"/>
      <c r="CAK6" s="2338"/>
      <c r="CAL6" s="2336"/>
      <c r="CAM6" s="2337"/>
      <c r="CAN6" s="2338"/>
      <c r="CAO6" s="2336"/>
      <c r="CAP6" s="2337"/>
      <c r="CAQ6" s="2338"/>
      <c r="CAR6" s="2336"/>
      <c r="CAS6" s="2337"/>
      <c r="CAT6" s="2338"/>
      <c r="CAU6" s="2336"/>
      <c r="CAV6" s="2337"/>
      <c r="CAW6" s="2338"/>
      <c r="CAX6" s="2336"/>
      <c r="CAY6" s="2337"/>
      <c r="CAZ6" s="2338"/>
      <c r="CBA6" s="2336"/>
      <c r="CBB6" s="2337"/>
      <c r="CBC6" s="2338"/>
      <c r="CBD6" s="2336"/>
      <c r="CBE6" s="2337"/>
      <c r="CBF6" s="2338"/>
      <c r="CBG6" s="2336"/>
      <c r="CBH6" s="2337"/>
      <c r="CBI6" s="2338"/>
      <c r="CBJ6" s="2336"/>
      <c r="CBK6" s="2337"/>
      <c r="CBL6" s="2338"/>
      <c r="CBM6" s="2336"/>
      <c r="CBN6" s="2337"/>
      <c r="CBO6" s="2338"/>
      <c r="CBP6" s="2336"/>
      <c r="CBQ6" s="2337"/>
      <c r="CBR6" s="2338"/>
      <c r="CBS6" s="2336"/>
      <c r="CBT6" s="2337"/>
      <c r="CBU6" s="2338"/>
      <c r="CBV6" s="2336"/>
      <c r="CBW6" s="2337"/>
      <c r="CBX6" s="2338"/>
      <c r="CBY6" s="2336"/>
      <c r="CBZ6" s="2337"/>
      <c r="CCA6" s="2338"/>
      <c r="CCB6" s="2336"/>
      <c r="CCC6" s="2337"/>
      <c r="CCD6" s="2338"/>
      <c r="CCE6" s="2336"/>
      <c r="CCF6" s="2337"/>
      <c r="CCG6" s="2338"/>
      <c r="CCH6" s="2336"/>
      <c r="CCI6" s="2337"/>
      <c r="CCJ6" s="2338"/>
      <c r="CCK6" s="2336"/>
      <c r="CCL6" s="2337"/>
      <c r="CCM6" s="2338"/>
      <c r="CCN6" s="2336"/>
      <c r="CCO6" s="2337"/>
      <c r="CCP6" s="2338"/>
      <c r="CCQ6" s="2336"/>
      <c r="CCR6" s="2337"/>
      <c r="CCS6" s="2338"/>
      <c r="CCT6" s="2336"/>
      <c r="CCU6" s="2337"/>
      <c r="CCV6" s="2338"/>
      <c r="CCW6" s="2336"/>
      <c r="CCX6" s="2337"/>
      <c r="CCY6" s="2338"/>
      <c r="CCZ6" s="2336"/>
      <c r="CDA6" s="2337"/>
      <c r="CDB6" s="2338"/>
      <c r="CDC6" s="2336"/>
      <c r="CDD6" s="2337"/>
      <c r="CDE6" s="2338"/>
      <c r="CDF6" s="2336"/>
      <c r="CDG6" s="2337"/>
      <c r="CDH6" s="2338"/>
      <c r="CDI6" s="2336"/>
      <c r="CDJ6" s="2337"/>
      <c r="CDK6" s="2338"/>
      <c r="CDL6" s="2336"/>
      <c r="CDM6" s="2337"/>
      <c r="CDN6" s="2338"/>
      <c r="CDO6" s="2336"/>
      <c r="CDP6" s="2337"/>
      <c r="CDQ6" s="2338"/>
      <c r="CDR6" s="2336"/>
      <c r="CDS6" s="2337"/>
      <c r="CDT6" s="2338"/>
      <c r="CDU6" s="2336"/>
      <c r="CDV6" s="2337"/>
      <c r="CDW6" s="2338"/>
      <c r="CDX6" s="2336"/>
      <c r="CDY6" s="2337"/>
      <c r="CDZ6" s="2338"/>
      <c r="CEA6" s="2336"/>
      <c r="CEB6" s="2337"/>
      <c r="CEC6" s="2338"/>
      <c r="CED6" s="2336"/>
      <c r="CEE6" s="2337"/>
      <c r="CEF6" s="2338"/>
      <c r="CEG6" s="2336"/>
      <c r="CEH6" s="2337"/>
      <c r="CEI6" s="2338"/>
      <c r="CEJ6" s="2336"/>
      <c r="CEK6" s="2337"/>
      <c r="CEL6" s="2338"/>
      <c r="CEM6" s="2336"/>
      <c r="CEN6" s="2337"/>
      <c r="CEO6" s="2338"/>
      <c r="CEP6" s="2336"/>
      <c r="CEQ6" s="2337"/>
      <c r="CER6" s="2338"/>
      <c r="CES6" s="2336"/>
      <c r="CET6" s="2337"/>
      <c r="CEU6" s="2338"/>
      <c r="CEV6" s="2336"/>
      <c r="CEW6" s="2337"/>
      <c r="CEX6" s="2338"/>
      <c r="CEY6" s="2336"/>
      <c r="CEZ6" s="2337"/>
      <c r="CFA6" s="2338"/>
      <c r="CFB6" s="2336"/>
      <c r="CFC6" s="2337"/>
      <c r="CFD6" s="2338"/>
      <c r="CFE6" s="2336"/>
      <c r="CFF6" s="2337"/>
      <c r="CFG6" s="2338"/>
      <c r="CFH6" s="2336"/>
      <c r="CFI6" s="2337"/>
      <c r="CFJ6" s="2338"/>
      <c r="CFK6" s="2336"/>
      <c r="CFL6" s="2337"/>
      <c r="CFM6" s="2338"/>
      <c r="CFN6" s="2336"/>
      <c r="CFO6" s="2337"/>
      <c r="CFP6" s="2338"/>
      <c r="CFQ6" s="2336"/>
      <c r="CFR6" s="2337"/>
      <c r="CFS6" s="2338"/>
      <c r="CFT6" s="2336"/>
      <c r="CFU6" s="2337"/>
      <c r="CFV6" s="2338"/>
      <c r="CFW6" s="2336"/>
      <c r="CFX6" s="2337"/>
      <c r="CFY6" s="2338"/>
      <c r="CFZ6" s="2336"/>
      <c r="CGA6" s="2337"/>
      <c r="CGB6" s="2338"/>
      <c r="CGC6" s="2336"/>
      <c r="CGD6" s="2337"/>
      <c r="CGE6" s="2338"/>
      <c r="CGF6" s="2336"/>
      <c r="CGG6" s="2337"/>
      <c r="CGH6" s="2338"/>
      <c r="CGI6" s="2336"/>
      <c r="CGJ6" s="2337"/>
      <c r="CGK6" s="2338"/>
      <c r="CGL6" s="2336"/>
      <c r="CGM6" s="2337"/>
      <c r="CGN6" s="2338"/>
      <c r="CGO6" s="2336"/>
      <c r="CGP6" s="2337"/>
      <c r="CGQ6" s="2338"/>
      <c r="CGR6" s="2336"/>
      <c r="CGS6" s="2337"/>
      <c r="CGT6" s="2338"/>
      <c r="CGU6" s="2336"/>
      <c r="CGV6" s="2337"/>
      <c r="CGW6" s="2338"/>
      <c r="CGX6" s="2336"/>
      <c r="CGY6" s="2337"/>
      <c r="CGZ6" s="2338"/>
      <c r="CHA6" s="2336"/>
      <c r="CHB6" s="2337"/>
      <c r="CHC6" s="2338"/>
      <c r="CHD6" s="2336"/>
      <c r="CHE6" s="2337"/>
      <c r="CHF6" s="2338"/>
      <c r="CHG6" s="2336"/>
      <c r="CHH6" s="2337"/>
      <c r="CHI6" s="2338"/>
      <c r="CHJ6" s="2336"/>
      <c r="CHK6" s="2337"/>
      <c r="CHL6" s="2338"/>
      <c r="CHM6" s="2336"/>
      <c r="CHN6" s="2337"/>
      <c r="CHO6" s="2338"/>
      <c r="CHP6" s="2336"/>
      <c r="CHQ6" s="2337"/>
      <c r="CHR6" s="2338"/>
      <c r="CHS6" s="2336"/>
      <c r="CHT6" s="2337"/>
      <c r="CHU6" s="2338"/>
      <c r="CHV6" s="2336"/>
      <c r="CHW6" s="2337"/>
      <c r="CHX6" s="2338"/>
      <c r="CHY6" s="2336"/>
      <c r="CHZ6" s="2337"/>
      <c r="CIA6" s="2338"/>
      <c r="CIB6" s="2336"/>
      <c r="CIC6" s="2337"/>
      <c r="CID6" s="2338"/>
      <c r="CIE6" s="2336"/>
      <c r="CIF6" s="2337"/>
      <c r="CIG6" s="2338"/>
      <c r="CIH6" s="2336"/>
      <c r="CII6" s="2337"/>
      <c r="CIJ6" s="2338"/>
      <c r="CIK6" s="2336"/>
      <c r="CIL6" s="2337"/>
      <c r="CIM6" s="2338"/>
      <c r="CIN6" s="2336"/>
      <c r="CIO6" s="2337"/>
      <c r="CIP6" s="2338"/>
      <c r="CIQ6" s="2336"/>
      <c r="CIR6" s="2337"/>
      <c r="CIS6" s="2338"/>
      <c r="CIT6" s="2336"/>
      <c r="CIU6" s="2337"/>
      <c r="CIV6" s="2338"/>
      <c r="CIW6" s="2336"/>
      <c r="CIX6" s="2337"/>
      <c r="CIY6" s="2338"/>
      <c r="CIZ6" s="2336"/>
      <c r="CJA6" s="2337"/>
      <c r="CJB6" s="2338"/>
      <c r="CJC6" s="2336"/>
      <c r="CJD6" s="2337"/>
      <c r="CJE6" s="2338"/>
      <c r="CJF6" s="2336"/>
      <c r="CJG6" s="2337"/>
      <c r="CJH6" s="2338"/>
      <c r="CJI6" s="2336"/>
      <c r="CJJ6" s="2337"/>
      <c r="CJK6" s="2338"/>
      <c r="CJL6" s="2336"/>
      <c r="CJM6" s="2337"/>
      <c r="CJN6" s="2338"/>
      <c r="CJO6" s="2336"/>
      <c r="CJP6" s="2337"/>
      <c r="CJQ6" s="2338"/>
      <c r="CJR6" s="2336"/>
      <c r="CJS6" s="2337"/>
      <c r="CJT6" s="2338"/>
      <c r="CJU6" s="2336"/>
      <c r="CJV6" s="2337"/>
      <c r="CJW6" s="2338"/>
      <c r="CJX6" s="2336"/>
      <c r="CJY6" s="2337"/>
      <c r="CJZ6" s="2338"/>
      <c r="CKA6" s="2336"/>
      <c r="CKB6" s="2337"/>
      <c r="CKC6" s="2338"/>
      <c r="CKD6" s="2336"/>
      <c r="CKE6" s="2337"/>
      <c r="CKF6" s="2338"/>
      <c r="CKG6" s="2336"/>
      <c r="CKH6" s="2337"/>
      <c r="CKI6" s="2338"/>
      <c r="CKJ6" s="2336"/>
      <c r="CKK6" s="2337"/>
      <c r="CKL6" s="2338"/>
      <c r="CKM6" s="2336"/>
      <c r="CKN6" s="2337"/>
      <c r="CKO6" s="2338"/>
      <c r="CKP6" s="2336"/>
      <c r="CKQ6" s="2337"/>
      <c r="CKR6" s="2338"/>
      <c r="CKS6" s="2336"/>
      <c r="CKT6" s="2337"/>
      <c r="CKU6" s="2338"/>
      <c r="CKV6" s="2336"/>
      <c r="CKW6" s="2337"/>
      <c r="CKX6" s="2338"/>
      <c r="CKY6" s="2336"/>
      <c r="CKZ6" s="2337"/>
      <c r="CLA6" s="2338"/>
      <c r="CLB6" s="2336"/>
      <c r="CLC6" s="2337"/>
      <c r="CLD6" s="2338"/>
      <c r="CLE6" s="2336"/>
      <c r="CLF6" s="2337"/>
      <c r="CLG6" s="2338"/>
      <c r="CLH6" s="2336"/>
      <c r="CLI6" s="2337"/>
      <c r="CLJ6" s="2338"/>
      <c r="CLK6" s="2336"/>
      <c r="CLL6" s="2337"/>
      <c r="CLM6" s="2338"/>
      <c r="CLN6" s="2336"/>
      <c r="CLO6" s="2337"/>
      <c r="CLP6" s="2338"/>
      <c r="CLQ6" s="2336"/>
      <c r="CLR6" s="2337"/>
      <c r="CLS6" s="2338"/>
      <c r="CLT6" s="2336"/>
      <c r="CLU6" s="2337"/>
      <c r="CLV6" s="2338"/>
      <c r="CLW6" s="2336"/>
      <c r="CLX6" s="2337"/>
      <c r="CLY6" s="2338"/>
      <c r="CLZ6" s="2336"/>
      <c r="CMA6" s="2337"/>
      <c r="CMB6" s="2338"/>
      <c r="CMC6" s="2336"/>
      <c r="CMD6" s="2337"/>
      <c r="CME6" s="2338"/>
      <c r="CMF6" s="2336"/>
      <c r="CMG6" s="2337"/>
      <c r="CMH6" s="2338"/>
      <c r="CMI6" s="2336"/>
      <c r="CMJ6" s="2337"/>
      <c r="CMK6" s="2338"/>
      <c r="CML6" s="2336"/>
      <c r="CMM6" s="2337"/>
      <c r="CMN6" s="2338"/>
      <c r="CMO6" s="2336"/>
      <c r="CMP6" s="2337"/>
      <c r="CMQ6" s="2338"/>
      <c r="CMR6" s="2336"/>
      <c r="CMS6" s="2337"/>
      <c r="CMT6" s="2338"/>
      <c r="CMU6" s="2336"/>
      <c r="CMV6" s="2337"/>
      <c r="CMW6" s="2338"/>
      <c r="CMX6" s="2336"/>
      <c r="CMY6" s="2337"/>
      <c r="CMZ6" s="2338"/>
      <c r="CNA6" s="2336"/>
      <c r="CNB6" s="2337"/>
      <c r="CNC6" s="2338"/>
      <c r="CND6" s="2336"/>
      <c r="CNE6" s="2337"/>
      <c r="CNF6" s="2338"/>
      <c r="CNG6" s="2336"/>
      <c r="CNH6" s="2337"/>
      <c r="CNI6" s="2338"/>
      <c r="CNJ6" s="2336"/>
      <c r="CNK6" s="2337"/>
      <c r="CNL6" s="2338"/>
      <c r="CNM6" s="2336"/>
      <c r="CNN6" s="2337"/>
      <c r="CNO6" s="2338"/>
      <c r="CNP6" s="2336"/>
      <c r="CNQ6" s="2337"/>
      <c r="CNR6" s="2338"/>
      <c r="CNS6" s="2336"/>
      <c r="CNT6" s="2337"/>
      <c r="CNU6" s="2338"/>
      <c r="CNV6" s="2336"/>
      <c r="CNW6" s="2337"/>
      <c r="CNX6" s="2338"/>
      <c r="CNY6" s="2336"/>
      <c r="CNZ6" s="2337"/>
      <c r="COA6" s="2338"/>
      <c r="COB6" s="2336"/>
      <c r="COC6" s="2337"/>
      <c r="COD6" s="2338"/>
      <c r="COE6" s="2336"/>
      <c r="COF6" s="2337"/>
      <c r="COG6" s="2338"/>
      <c r="COH6" s="2336"/>
      <c r="COI6" s="2337"/>
      <c r="COJ6" s="2338"/>
      <c r="COK6" s="2336"/>
      <c r="COL6" s="2337"/>
      <c r="COM6" s="2338"/>
      <c r="CON6" s="2336"/>
      <c r="COO6" s="2337"/>
      <c r="COP6" s="2338"/>
      <c r="COQ6" s="2336"/>
      <c r="COR6" s="2337"/>
      <c r="COS6" s="2338"/>
      <c r="COT6" s="2336"/>
      <c r="COU6" s="2337"/>
      <c r="COV6" s="2338"/>
      <c r="COW6" s="2336"/>
      <c r="COX6" s="2337"/>
      <c r="COY6" s="2338"/>
      <c r="COZ6" s="2336"/>
      <c r="CPA6" s="2337"/>
      <c r="CPB6" s="2338"/>
      <c r="CPC6" s="2336"/>
      <c r="CPD6" s="2337"/>
      <c r="CPE6" s="2338"/>
      <c r="CPF6" s="2336"/>
      <c r="CPG6" s="2337"/>
      <c r="CPH6" s="2338"/>
      <c r="CPI6" s="2336"/>
      <c r="CPJ6" s="2337"/>
      <c r="CPK6" s="2338"/>
      <c r="CPL6" s="2336"/>
      <c r="CPM6" s="2337"/>
      <c r="CPN6" s="2338"/>
      <c r="CPO6" s="2336"/>
      <c r="CPP6" s="2337"/>
      <c r="CPQ6" s="2338"/>
      <c r="CPR6" s="2336"/>
      <c r="CPS6" s="2337"/>
      <c r="CPT6" s="2338"/>
      <c r="CPU6" s="2336"/>
      <c r="CPV6" s="2337"/>
      <c r="CPW6" s="2338"/>
      <c r="CPX6" s="2336"/>
      <c r="CPY6" s="2337"/>
      <c r="CPZ6" s="2338"/>
      <c r="CQA6" s="2336"/>
      <c r="CQB6" s="2337"/>
      <c r="CQC6" s="2338"/>
      <c r="CQD6" s="2336"/>
      <c r="CQE6" s="2337"/>
      <c r="CQF6" s="2338"/>
      <c r="CQG6" s="2336"/>
      <c r="CQH6" s="2337"/>
      <c r="CQI6" s="2338"/>
      <c r="CQJ6" s="2336"/>
      <c r="CQK6" s="2337"/>
      <c r="CQL6" s="2338"/>
      <c r="CQM6" s="2336"/>
      <c r="CQN6" s="2337"/>
      <c r="CQO6" s="2338"/>
      <c r="CQP6" s="2336"/>
      <c r="CQQ6" s="2337"/>
      <c r="CQR6" s="2338"/>
      <c r="CQS6" s="2336"/>
      <c r="CQT6" s="2337"/>
      <c r="CQU6" s="2338"/>
      <c r="CQV6" s="2336"/>
      <c r="CQW6" s="2337"/>
      <c r="CQX6" s="2338"/>
      <c r="CQY6" s="2336"/>
      <c r="CQZ6" s="2337"/>
      <c r="CRA6" s="2338"/>
      <c r="CRB6" s="2336"/>
      <c r="CRC6" s="2337"/>
      <c r="CRD6" s="2338"/>
      <c r="CRE6" s="2336"/>
      <c r="CRF6" s="2337"/>
      <c r="CRG6" s="2338"/>
      <c r="CRH6" s="2336"/>
      <c r="CRI6" s="2337"/>
      <c r="CRJ6" s="2338"/>
      <c r="CRK6" s="2336"/>
      <c r="CRL6" s="2337"/>
      <c r="CRM6" s="2338"/>
      <c r="CRN6" s="2336"/>
      <c r="CRO6" s="2337"/>
      <c r="CRP6" s="2338"/>
      <c r="CRQ6" s="2336"/>
      <c r="CRR6" s="2337"/>
      <c r="CRS6" s="2338"/>
      <c r="CRT6" s="2336"/>
      <c r="CRU6" s="2337"/>
      <c r="CRV6" s="2338"/>
      <c r="CRW6" s="2336"/>
      <c r="CRX6" s="2337"/>
      <c r="CRY6" s="2338"/>
      <c r="CRZ6" s="2336"/>
      <c r="CSA6" s="2337"/>
      <c r="CSB6" s="2338"/>
      <c r="CSC6" s="2336"/>
      <c r="CSD6" s="2337"/>
      <c r="CSE6" s="2338"/>
      <c r="CSF6" s="2336"/>
      <c r="CSG6" s="2337"/>
      <c r="CSH6" s="2338"/>
      <c r="CSI6" s="2336"/>
      <c r="CSJ6" s="2337"/>
      <c r="CSK6" s="2338"/>
      <c r="CSL6" s="2336"/>
      <c r="CSM6" s="2337"/>
      <c r="CSN6" s="2338"/>
      <c r="CSO6" s="2336"/>
      <c r="CSP6" s="2337"/>
      <c r="CSQ6" s="2338"/>
      <c r="CSR6" s="2336"/>
      <c r="CSS6" s="2337"/>
      <c r="CST6" s="2338"/>
      <c r="CSU6" s="2336"/>
      <c r="CSV6" s="2337"/>
      <c r="CSW6" s="2338"/>
      <c r="CSX6" s="2336"/>
      <c r="CSY6" s="2337"/>
      <c r="CSZ6" s="2338"/>
      <c r="CTA6" s="2336"/>
      <c r="CTB6" s="2337"/>
      <c r="CTC6" s="2338"/>
      <c r="CTD6" s="2336"/>
      <c r="CTE6" s="2337"/>
      <c r="CTF6" s="2338"/>
      <c r="CTG6" s="2336"/>
      <c r="CTH6" s="2337"/>
      <c r="CTI6" s="2338"/>
      <c r="CTJ6" s="2336"/>
      <c r="CTK6" s="2337"/>
      <c r="CTL6" s="2338"/>
      <c r="CTM6" s="2336"/>
      <c r="CTN6" s="2337"/>
      <c r="CTO6" s="2338"/>
      <c r="CTP6" s="2336"/>
      <c r="CTQ6" s="2337"/>
      <c r="CTR6" s="2338"/>
      <c r="CTS6" s="2336"/>
      <c r="CTT6" s="2337"/>
      <c r="CTU6" s="2338"/>
      <c r="CTV6" s="2336"/>
      <c r="CTW6" s="2337"/>
      <c r="CTX6" s="2338"/>
      <c r="CTY6" s="2336"/>
      <c r="CTZ6" s="2337"/>
      <c r="CUA6" s="2338"/>
      <c r="CUB6" s="2336"/>
      <c r="CUC6" s="2337"/>
      <c r="CUD6" s="2338"/>
      <c r="CUE6" s="2336"/>
      <c r="CUF6" s="2337"/>
      <c r="CUG6" s="2338"/>
      <c r="CUH6" s="2336"/>
      <c r="CUI6" s="2337"/>
      <c r="CUJ6" s="2338"/>
      <c r="CUK6" s="2336"/>
      <c r="CUL6" s="2337"/>
      <c r="CUM6" s="2338"/>
      <c r="CUN6" s="2336"/>
      <c r="CUO6" s="2337"/>
      <c r="CUP6" s="2338"/>
      <c r="CUQ6" s="2336"/>
      <c r="CUR6" s="2337"/>
      <c r="CUS6" s="2338"/>
      <c r="CUT6" s="2336"/>
      <c r="CUU6" s="2337"/>
      <c r="CUV6" s="2338"/>
      <c r="CUW6" s="2336"/>
      <c r="CUX6" s="2337"/>
      <c r="CUY6" s="2338"/>
      <c r="CUZ6" s="2336"/>
      <c r="CVA6" s="2337"/>
      <c r="CVB6" s="2338"/>
      <c r="CVC6" s="2336"/>
      <c r="CVD6" s="2337"/>
      <c r="CVE6" s="2338"/>
      <c r="CVF6" s="2336"/>
      <c r="CVG6" s="2337"/>
      <c r="CVH6" s="2338"/>
      <c r="CVI6" s="2336"/>
      <c r="CVJ6" s="2337"/>
      <c r="CVK6" s="2338"/>
      <c r="CVL6" s="2336"/>
      <c r="CVM6" s="2337"/>
      <c r="CVN6" s="2338"/>
      <c r="CVO6" s="2336"/>
      <c r="CVP6" s="2337"/>
      <c r="CVQ6" s="2338"/>
      <c r="CVR6" s="2336"/>
      <c r="CVS6" s="2337"/>
      <c r="CVT6" s="2338"/>
      <c r="CVU6" s="2336"/>
      <c r="CVV6" s="2337"/>
      <c r="CVW6" s="2338"/>
      <c r="CVX6" s="2336"/>
      <c r="CVY6" s="2337"/>
      <c r="CVZ6" s="2338"/>
      <c r="CWA6" s="2336"/>
      <c r="CWB6" s="2337"/>
      <c r="CWC6" s="2338"/>
      <c r="CWD6" s="2336"/>
      <c r="CWE6" s="2337"/>
      <c r="CWF6" s="2338"/>
      <c r="CWG6" s="2336"/>
      <c r="CWH6" s="2337"/>
      <c r="CWI6" s="2338"/>
      <c r="CWJ6" s="2336"/>
      <c r="CWK6" s="2337"/>
      <c r="CWL6" s="2338"/>
      <c r="CWM6" s="2336"/>
      <c r="CWN6" s="2337"/>
      <c r="CWO6" s="2338"/>
      <c r="CWP6" s="2336"/>
      <c r="CWQ6" s="2337"/>
      <c r="CWR6" s="2338"/>
      <c r="CWS6" s="2336"/>
      <c r="CWT6" s="2337"/>
      <c r="CWU6" s="2338"/>
      <c r="CWV6" s="2336"/>
      <c r="CWW6" s="2337"/>
      <c r="CWX6" s="2338"/>
      <c r="CWY6" s="2336"/>
      <c r="CWZ6" s="2337"/>
      <c r="CXA6" s="2338"/>
      <c r="CXB6" s="2336"/>
      <c r="CXC6" s="2337"/>
      <c r="CXD6" s="2338"/>
      <c r="CXE6" s="2336"/>
      <c r="CXF6" s="2337"/>
      <c r="CXG6" s="2338"/>
      <c r="CXH6" s="2336"/>
      <c r="CXI6" s="2337"/>
      <c r="CXJ6" s="2338"/>
      <c r="CXK6" s="2336"/>
      <c r="CXL6" s="2337"/>
      <c r="CXM6" s="2338"/>
      <c r="CXN6" s="2336"/>
      <c r="CXO6" s="2337"/>
      <c r="CXP6" s="2338"/>
      <c r="CXQ6" s="2336"/>
      <c r="CXR6" s="2337"/>
      <c r="CXS6" s="2338"/>
      <c r="CXT6" s="2336"/>
      <c r="CXU6" s="2337"/>
      <c r="CXV6" s="2338"/>
      <c r="CXW6" s="2336"/>
      <c r="CXX6" s="2337"/>
      <c r="CXY6" s="2338"/>
      <c r="CXZ6" s="2336"/>
      <c r="CYA6" s="2337"/>
      <c r="CYB6" s="2338"/>
      <c r="CYC6" s="2336"/>
      <c r="CYD6" s="2337"/>
      <c r="CYE6" s="2338"/>
      <c r="CYF6" s="2336"/>
      <c r="CYG6" s="2337"/>
      <c r="CYH6" s="2338"/>
      <c r="CYI6" s="2336"/>
      <c r="CYJ6" s="2337"/>
      <c r="CYK6" s="2338"/>
      <c r="CYL6" s="2336"/>
      <c r="CYM6" s="2337"/>
      <c r="CYN6" s="2338"/>
      <c r="CYO6" s="2336"/>
      <c r="CYP6" s="2337"/>
      <c r="CYQ6" s="2338"/>
      <c r="CYR6" s="2336"/>
      <c r="CYS6" s="2337"/>
      <c r="CYT6" s="2338"/>
      <c r="CYU6" s="2336"/>
      <c r="CYV6" s="2337"/>
      <c r="CYW6" s="2338"/>
      <c r="CYX6" s="2336"/>
      <c r="CYY6" s="2337"/>
      <c r="CYZ6" s="2338"/>
      <c r="CZA6" s="2336"/>
      <c r="CZB6" s="2337"/>
      <c r="CZC6" s="2338"/>
      <c r="CZD6" s="2336"/>
      <c r="CZE6" s="2337"/>
      <c r="CZF6" s="2338"/>
      <c r="CZG6" s="2336"/>
      <c r="CZH6" s="2337"/>
      <c r="CZI6" s="2338"/>
      <c r="CZJ6" s="2336"/>
      <c r="CZK6" s="2337"/>
      <c r="CZL6" s="2338"/>
      <c r="CZM6" s="2336"/>
      <c r="CZN6" s="2337"/>
      <c r="CZO6" s="2338"/>
      <c r="CZP6" s="2336"/>
      <c r="CZQ6" s="2337"/>
      <c r="CZR6" s="2338"/>
      <c r="CZS6" s="2336"/>
      <c r="CZT6" s="2337"/>
      <c r="CZU6" s="2338"/>
      <c r="CZV6" s="2336"/>
      <c r="CZW6" s="2337"/>
      <c r="CZX6" s="2338"/>
      <c r="CZY6" s="2336"/>
      <c r="CZZ6" s="2337"/>
      <c r="DAA6" s="2338"/>
      <c r="DAB6" s="2336"/>
      <c r="DAC6" s="2337"/>
      <c r="DAD6" s="2338"/>
      <c r="DAE6" s="2336"/>
      <c r="DAF6" s="2337"/>
      <c r="DAG6" s="2338"/>
      <c r="DAH6" s="2336"/>
      <c r="DAI6" s="2337"/>
      <c r="DAJ6" s="2338"/>
      <c r="DAK6" s="2336"/>
      <c r="DAL6" s="2337"/>
      <c r="DAM6" s="2338"/>
      <c r="DAN6" s="2336"/>
      <c r="DAO6" s="2337"/>
      <c r="DAP6" s="2338"/>
      <c r="DAQ6" s="2336"/>
      <c r="DAR6" s="2337"/>
      <c r="DAS6" s="2338"/>
      <c r="DAT6" s="2336"/>
      <c r="DAU6" s="2337"/>
      <c r="DAV6" s="2338"/>
      <c r="DAW6" s="2336"/>
      <c r="DAX6" s="2337"/>
      <c r="DAY6" s="2338"/>
      <c r="DAZ6" s="2336"/>
      <c r="DBA6" s="2337"/>
      <c r="DBB6" s="2338"/>
      <c r="DBC6" s="2336"/>
      <c r="DBD6" s="2337"/>
      <c r="DBE6" s="2338"/>
      <c r="DBF6" s="2336"/>
      <c r="DBG6" s="2337"/>
      <c r="DBH6" s="2338"/>
      <c r="DBI6" s="2336"/>
      <c r="DBJ6" s="2337"/>
      <c r="DBK6" s="2338"/>
      <c r="DBL6" s="2336"/>
      <c r="DBM6" s="2337"/>
      <c r="DBN6" s="2338"/>
      <c r="DBO6" s="2336"/>
      <c r="DBP6" s="2337"/>
      <c r="DBQ6" s="2338"/>
      <c r="DBR6" s="2336"/>
      <c r="DBS6" s="2337"/>
      <c r="DBT6" s="2338"/>
      <c r="DBU6" s="2336"/>
      <c r="DBV6" s="2337"/>
      <c r="DBW6" s="2338"/>
      <c r="DBX6" s="2336"/>
      <c r="DBY6" s="2337"/>
      <c r="DBZ6" s="2338"/>
      <c r="DCA6" s="2336"/>
      <c r="DCB6" s="2337"/>
      <c r="DCC6" s="2338"/>
      <c r="DCD6" s="2336"/>
      <c r="DCE6" s="2337"/>
      <c r="DCF6" s="2338"/>
      <c r="DCG6" s="2336"/>
      <c r="DCH6" s="2337"/>
      <c r="DCI6" s="2338"/>
      <c r="DCJ6" s="2336"/>
      <c r="DCK6" s="2337"/>
      <c r="DCL6" s="2338"/>
      <c r="DCM6" s="2336"/>
      <c r="DCN6" s="2337"/>
      <c r="DCO6" s="2338"/>
      <c r="DCP6" s="2336"/>
      <c r="DCQ6" s="2337"/>
      <c r="DCR6" s="2338"/>
      <c r="DCS6" s="2336"/>
      <c r="DCT6" s="2337"/>
      <c r="DCU6" s="2338"/>
      <c r="DCV6" s="2336"/>
      <c r="DCW6" s="2337"/>
      <c r="DCX6" s="2338"/>
      <c r="DCY6" s="2336"/>
      <c r="DCZ6" s="2337"/>
      <c r="DDA6" s="2338"/>
      <c r="DDB6" s="2336"/>
      <c r="DDC6" s="2337"/>
      <c r="DDD6" s="2338"/>
      <c r="DDE6" s="2336"/>
      <c r="DDF6" s="2337"/>
      <c r="DDG6" s="2338"/>
      <c r="DDH6" s="2336"/>
      <c r="DDI6" s="2337"/>
      <c r="DDJ6" s="2338"/>
      <c r="DDK6" s="2336"/>
      <c r="DDL6" s="2337"/>
      <c r="DDM6" s="2338"/>
      <c r="DDN6" s="2336"/>
      <c r="DDO6" s="2337"/>
      <c r="DDP6" s="2338"/>
      <c r="DDQ6" s="2336"/>
      <c r="DDR6" s="2337"/>
      <c r="DDS6" s="2338"/>
      <c r="DDT6" s="2336"/>
      <c r="DDU6" s="2337"/>
      <c r="DDV6" s="2338"/>
      <c r="DDW6" s="2336"/>
      <c r="DDX6" s="2337"/>
      <c r="DDY6" s="2338"/>
      <c r="DDZ6" s="2336"/>
      <c r="DEA6" s="2337"/>
      <c r="DEB6" s="2338"/>
      <c r="DEC6" s="2336"/>
      <c r="DED6" s="2337"/>
      <c r="DEE6" s="2338"/>
      <c r="DEF6" s="2336"/>
      <c r="DEG6" s="2337"/>
      <c r="DEH6" s="2338"/>
      <c r="DEI6" s="2336"/>
      <c r="DEJ6" s="2337"/>
      <c r="DEK6" s="2338"/>
      <c r="DEL6" s="2336"/>
      <c r="DEM6" s="2337"/>
      <c r="DEN6" s="2338"/>
      <c r="DEO6" s="2336"/>
      <c r="DEP6" s="2337"/>
      <c r="DEQ6" s="2338"/>
      <c r="DER6" s="2336"/>
      <c r="DES6" s="2337"/>
      <c r="DET6" s="2338"/>
      <c r="DEU6" s="2336"/>
      <c r="DEV6" s="2337"/>
      <c r="DEW6" s="2338"/>
      <c r="DEX6" s="2336"/>
      <c r="DEY6" s="2337"/>
      <c r="DEZ6" s="2338"/>
      <c r="DFA6" s="2336"/>
      <c r="DFB6" s="2337"/>
      <c r="DFC6" s="2338"/>
      <c r="DFD6" s="2336"/>
      <c r="DFE6" s="2337"/>
      <c r="DFF6" s="2338"/>
      <c r="DFG6" s="2336"/>
      <c r="DFH6" s="2337"/>
      <c r="DFI6" s="2338"/>
      <c r="DFJ6" s="2336"/>
      <c r="DFK6" s="2337"/>
      <c r="DFL6" s="2338"/>
      <c r="DFM6" s="2336"/>
      <c r="DFN6" s="2337"/>
      <c r="DFO6" s="2338"/>
      <c r="DFP6" s="2336"/>
      <c r="DFQ6" s="2337"/>
      <c r="DFR6" s="2338"/>
      <c r="DFS6" s="2336"/>
      <c r="DFT6" s="2337"/>
      <c r="DFU6" s="2338"/>
      <c r="DFV6" s="2336"/>
      <c r="DFW6" s="2337"/>
      <c r="DFX6" s="2338"/>
      <c r="DFY6" s="2336"/>
      <c r="DFZ6" s="2337"/>
      <c r="DGA6" s="2338"/>
      <c r="DGB6" s="2336"/>
      <c r="DGC6" s="2337"/>
      <c r="DGD6" s="2338"/>
      <c r="DGE6" s="2336"/>
      <c r="DGF6" s="2337"/>
      <c r="DGG6" s="2338"/>
      <c r="DGH6" s="2336"/>
      <c r="DGI6" s="2337"/>
      <c r="DGJ6" s="2338"/>
      <c r="DGK6" s="2336"/>
      <c r="DGL6" s="2337"/>
      <c r="DGM6" s="2338"/>
      <c r="DGN6" s="2336"/>
      <c r="DGO6" s="2337"/>
      <c r="DGP6" s="2338"/>
      <c r="DGQ6" s="2336"/>
      <c r="DGR6" s="2337"/>
      <c r="DGS6" s="2338"/>
      <c r="DGT6" s="2336"/>
      <c r="DGU6" s="2337"/>
      <c r="DGV6" s="2338"/>
      <c r="DGW6" s="2336"/>
      <c r="DGX6" s="2337"/>
      <c r="DGY6" s="2338"/>
      <c r="DGZ6" s="2336"/>
      <c r="DHA6" s="2337"/>
      <c r="DHB6" s="2338"/>
      <c r="DHC6" s="2336"/>
      <c r="DHD6" s="2337"/>
      <c r="DHE6" s="2338"/>
      <c r="DHF6" s="2336"/>
      <c r="DHG6" s="2337"/>
      <c r="DHH6" s="2338"/>
      <c r="DHI6" s="2336"/>
      <c r="DHJ6" s="2337"/>
      <c r="DHK6" s="2338"/>
      <c r="DHL6" s="2336"/>
      <c r="DHM6" s="2337"/>
      <c r="DHN6" s="2338"/>
      <c r="DHO6" s="2336"/>
      <c r="DHP6" s="2337"/>
      <c r="DHQ6" s="2338"/>
      <c r="DHR6" s="2336"/>
      <c r="DHS6" s="2337"/>
      <c r="DHT6" s="2338"/>
      <c r="DHU6" s="2336"/>
      <c r="DHV6" s="2337"/>
      <c r="DHW6" s="2338"/>
      <c r="DHX6" s="2336"/>
      <c r="DHY6" s="2337"/>
      <c r="DHZ6" s="2338"/>
      <c r="DIA6" s="2336"/>
      <c r="DIB6" s="2337"/>
      <c r="DIC6" s="2338"/>
      <c r="DID6" s="2336"/>
      <c r="DIE6" s="2337"/>
      <c r="DIF6" s="2338"/>
      <c r="DIG6" s="2336"/>
      <c r="DIH6" s="2337"/>
      <c r="DII6" s="2338"/>
      <c r="DIJ6" s="2336"/>
      <c r="DIK6" s="2337"/>
      <c r="DIL6" s="2338"/>
      <c r="DIM6" s="2336"/>
      <c r="DIN6" s="2337"/>
      <c r="DIO6" s="2338"/>
      <c r="DIP6" s="2336"/>
      <c r="DIQ6" s="2337"/>
      <c r="DIR6" s="2338"/>
      <c r="DIS6" s="2336"/>
      <c r="DIT6" s="2337"/>
      <c r="DIU6" s="2338"/>
      <c r="DIV6" s="2336"/>
      <c r="DIW6" s="2337"/>
      <c r="DIX6" s="2338"/>
      <c r="DIY6" s="2336"/>
      <c r="DIZ6" s="2337"/>
      <c r="DJA6" s="2338"/>
      <c r="DJB6" s="2336"/>
      <c r="DJC6" s="2337"/>
      <c r="DJD6" s="2338"/>
      <c r="DJE6" s="2336"/>
      <c r="DJF6" s="2337"/>
      <c r="DJG6" s="2338"/>
      <c r="DJH6" s="2336"/>
      <c r="DJI6" s="2337"/>
      <c r="DJJ6" s="2338"/>
      <c r="DJK6" s="2336"/>
      <c r="DJL6" s="2337"/>
      <c r="DJM6" s="2338"/>
      <c r="DJN6" s="2336"/>
      <c r="DJO6" s="2337"/>
      <c r="DJP6" s="2338"/>
      <c r="DJQ6" s="2336"/>
      <c r="DJR6" s="2337"/>
      <c r="DJS6" s="2338"/>
      <c r="DJT6" s="2336"/>
      <c r="DJU6" s="2337"/>
      <c r="DJV6" s="2338"/>
      <c r="DJW6" s="2336"/>
      <c r="DJX6" s="2337"/>
      <c r="DJY6" s="2338"/>
      <c r="DJZ6" s="2336"/>
      <c r="DKA6" s="2337"/>
      <c r="DKB6" s="2338"/>
      <c r="DKC6" s="2336"/>
      <c r="DKD6" s="2337"/>
      <c r="DKE6" s="2338"/>
      <c r="DKF6" s="2336"/>
      <c r="DKG6" s="2337"/>
      <c r="DKH6" s="2338"/>
      <c r="DKI6" s="2336"/>
      <c r="DKJ6" s="2337"/>
      <c r="DKK6" s="2338"/>
      <c r="DKL6" s="2336"/>
      <c r="DKM6" s="2337"/>
      <c r="DKN6" s="2338"/>
      <c r="DKO6" s="2336"/>
      <c r="DKP6" s="2337"/>
      <c r="DKQ6" s="2338"/>
      <c r="DKR6" s="2336"/>
      <c r="DKS6" s="2337"/>
      <c r="DKT6" s="2338"/>
      <c r="DKU6" s="2336"/>
      <c r="DKV6" s="2337"/>
      <c r="DKW6" s="2338"/>
      <c r="DKX6" s="2336"/>
      <c r="DKY6" s="2337"/>
      <c r="DKZ6" s="2338"/>
      <c r="DLA6" s="2336"/>
      <c r="DLB6" s="2337"/>
      <c r="DLC6" s="2338"/>
      <c r="DLD6" s="2336"/>
      <c r="DLE6" s="2337"/>
      <c r="DLF6" s="2338"/>
      <c r="DLG6" s="2336"/>
      <c r="DLH6" s="2337"/>
      <c r="DLI6" s="2338"/>
      <c r="DLJ6" s="2336"/>
      <c r="DLK6" s="2337"/>
      <c r="DLL6" s="2338"/>
      <c r="DLM6" s="2336"/>
      <c r="DLN6" s="2337"/>
      <c r="DLO6" s="2338"/>
      <c r="DLP6" s="2336"/>
      <c r="DLQ6" s="2337"/>
      <c r="DLR6" s="2338"/>
      <c r="DLS6" s="2336"/>
      <c r="DLT6" s="2337"/>
      <c r="DLU6" s="2338"/>
      <c r="DLV6" s="2336"/>
      <c r="DLW6" s="2337"/>
      <c r="DLX6" s="2338"/>
      <c r="DLY6" s="2336"/>
      <c r="DLZ6" s="2337"/>
      <c r="DMA6" s="2338"/>
      <c r="DMB6" s="2336"/>
      <c r="DMC6" s="2337"/>
      <c r="DMD6" s="2338"/>
      <c r="DME6" s="2336"/>
      <c r="DMF6" s="2337"/>
      <c r="DMG6" s="2338"/>
      <c r="DMH6" s="2336"/>
      <c r="DMI6" s="2337"/>
      <c r="DMJ6" s="2338"/>
      <c r="DMK6" s="2336"/>
      <c r="DML6" s="2337"/>
      <c r="DMM6" s="2338"/>
      <c r="DMN6" s="2336"/>
      <c r="DMO6" s="2337"/>
      <c r="DMP6" s="2338"/>
      <c r="DMQ6" s="2336"/>
      <c r="DMR6" s="2337"/>
      <c r="DMS6" s="2338"/>
      <c r="DMT6" s="2336"/>
      <c r="DMU6" s="2337"/>
      <c r="DMV6" s="2338"/>
      <c r="DMW6" s="2336"/>
      <c r="DMX6" s="2337"/>
      <c r="DMY6" s="2338"/>
      <c r="DMZ6" s="2336"/>
      <c r="DNA6" s="2337"/>
      <c r="DNB6" s="2338"/>
      <c r="DNC6" s="2336"/>
      <c r="DND6" s="2337"/>
      <c r="DNE6" s="2338"/>
      <c r="DNF6" s="2336"/>
      <c r="DNG6" s="2337"/>
      <c r="DNH6" s="2338"/>
      <c r="DNI6" s="2336"/>
      <c r="DNJ6" s="2337"/>
      <c r="DNK6" s="2338"/>
      <c r="DNL6" s="2336"/>
      <c r="DNM6" s="2337"/>
      <c r="DNN6" s="2338"/>
      <c r="DNO6" s="2336"/>
      <c r="DNP6" s="2337"/>
      <c r="DNQ6" s="2338"/>
      <c r="DNR6" s="2336"/>
      <c r="DNS6" s="2337"/>
      <c r="DNT6" s="2338"/>
      <c r="DNU6" s="2336"/>
      <c r="DNV6" s="2337"/>
      <c r="DNW6" s="2338"/>
      <c r="DNX6" s="2336"/>
      <c r="DNY6" s="2337"/>
      <c r="DNZ6" s="2338"/>
      <c r="DOA6" s="2336"/>
      <c r="DOB6" s="2337"/>
      <c r="DOC6" s="2338"/>
      <c r="DOD6" s="2336"/>
      <c r="DOE6" s="2337"/>
      <c r="DOF6" s="2338"/>
      <c r="DOG6" s="2336"/>
      <c r="DOH6" s="2337"/>
      <c r="DOI6" s="2338"/>
      <c r="DOJ6" s="2336"/>
      <c r="DOK6" s="2337"/>
      <c r="DOL6" s="2338"/>
      <c r="DOM6" s="2336"/>
      <c r="DON6" s="2337"/>
      <c r="DOO6" s="2338"/>
      <c r="DOP6" s="2336"/>
      <c r="DOQ6" s="2337"/>
      <c r="DOR6" s="2338"/>
      <c r="DOS6" s="2336"/>
      <c r="DOT6" s="2337"/>
      <c r="DOU6" s="2338"/>
      <c r="DOV6" s="2336"/>
      <c r="DOW6" s="2337"/>
      <c r="DOX6" s="2338"/>
      <c r="DOY6" s="2336"/>
      <c r="DOZ6" s="2337"/>
      <c r="DPA6" s="2338"/>
      <c r="DPB6" s="2336"/>
      <c r="DPC6" s="2337"/>
      <c r="DPD6" s="2338"/>
      <c r="DPE6" s="2336"/>
      <c r="DPF6" s="2337"/>
      <c r="DPG6" s="2338"/>
      <c r="DPH6" s="2336"/>
      <c r="DPI6" s="2337"/>
      <c r="DPJ6" s="2338"/>
      <c r="DPK6" s="2336"/>
      <c r="DPL6" s="2337"/>
      <c r="DPM6" s="2338"/>
      <c r="DPN6" s="2336"/>
      <c r="DPO6" s="2337"/>
      <c r="DPP6" s="2338"/>
      <c r="DPQ6" s="2336"/>
      <c r="DPR6" s="2337"/>
      <c r="DPS6" s="2338"/>
      <c r="DPT6" s="2336"/>
      <c r="DPU6" s="2337"/>
      <c r="DPV6" s="2338"/>
      <c r="DPW6" s="2336"/>
      <c r="DPX6" s="2337"/>
      <c r="DPY6" s="2338"/>
      <c r="DPZ6" s="2336"/>
      <c r="DQA6" s="2337"/>
      <c r="DQB6" s="2338"/>
      <c r="DQC6" s="2336"/>
      <c r="DQD6" s="2337"/>
      <c r="DQE6" s="2338"/>
      <c r="DQF6" s="2336"/>
      <c r="DQG6" s="2337"/>
      <c r="DQH6" s="2338"/>
      <c r="DQI6" s="2336"/>
      <c r="DQJ6" s="2337"/>
      <c r="DQK6" s="2338"/>
      <c r="DQL6" s="2336"/>
      <c r="DQM6" s="2337"/>
      <c r="DQN6" s="2338"/>
      <c r="DQO6" s="2336"/>
      <c r="DQP6" s="2337"/>
      <c r="DQQ6" s="2338"/>
      <c r="DQR6" s="2336"/>
      <c r="DQS6" s="2337"/>
      <c r="DQT6" s="2338"/>
      <c r="DQU6" s="2336"/>
      <c r="DQV6" s="2337"/>
      <c r="DQW6" s="2338"/>
      <c r="DQX6" s="2336"/>
      <c r="DQY6" s="2337"/>
      <c r="DQZ6" s="2338"/>
      <c r="DRA6" s="2336"/>
      <c r="DRB6" s="2337"/>
      <c r="DRC6" s="2338"/>
      <c r="DRD6" s="2336"/>
      <c r="DRE6" s="2337"/>
      <c r="DRF6" s="2338"/>
      <c r="DRG6" s="2336"/>
      <c r="DRH6" s="2337"/>
      <c r="DRI6" s="2338"/>
      <c r="DRJ6" s="2336"/>
      <c r="DRK6" s="2337"/>
      <c r="DRL6" s="2338"/>
      <c r="DRM6" s="2336"/>
      <c r="DRN6" s="2337"/>
      <c r="DRO6" s="2338"/>
      <c r="DRP6" s="2336"/>
      <c r="DRQ6" s="2337"/>
      <c r="DRR6" s="2338"/>
      <c r="DRS6" s="2336"/>
      <c r="DRT6" s="2337"/>
      <c r="DRU6" s="2338"/>
      <c r="DRV6" s="2336"/>
      <c r="DRW6" s="2337"/>
      <c r="DRX6" s="2338"/>
      <c r="DRY6" s="2336"/>
      <c r="DRZ6" s="2337"/>
      <c r="DSA6" s="2338"/>
      <c r="DSB6" s="2336"/>
      <c r="DSC6" s="2337"/>
      <c r="DSD6" s="2338"/>
      <c r="DSE6" s="2336"/>
      <c r="DSF6" s="2337"/>
      <c r="DSG6" s="2338"/>
      <c r="DSH6" s="2336"/>
      <c r="DSI6" s="2337"/>
      <c r="DSJ6" s="2338"/>
      <c r="DSK6" s="2336"/>
      <c r="DSL6" s="2337"/>
      <c r="DSM6" s="2338"/>
      <c r="DSN6" s="2336"/>
      <c r="DSO6" s="2337"/>
      <c r="DSP6" s="2338"/>
      <c r="DSQ6" s="2336"/>
      <c r="DSR6" s="2337"/>
      <c r="DSS6" s="2338"/>
      <c r="DST6" s="2336"/>
      <c r="DSU6" s="2337"/>
      <c r="DSV6" s="2338"/>
      <c r="DSW6" s="2336"/>
      <c r="DSX6" s="2337"/>
      <c r="DSY6" s="2338"/>
      <c r="DSZ6" s="2336"/>
      <c r="DTA6" s="2337"/>
      <c r="DTB6" s="2338"/>
      <c r="DTC6" s="2336"/>
      <c r="DTD6" s="2337"/>
      <c r="DTE6" s="2338"/>
      <c r="DTF6" s="2336"/>
      <c r="DTG6" s="2337"/>
      <c r="DTH6" s="2338"/>
      <c r="DTI6" s="2336"/>
      <c r="DTJ6" s="2337"/>
      <c r="DTK6" s="2338"/>
      <c r="DTL6" s="2336"/>
      <c r="DTM6" s="2337"/>
      <c r="DTN6" s="2338"/>
      <c r="DTO6" s="2336"/>
      <c r="DTP6" s="2337"/>
      <c r="DTQ6" s="2338"/>
      <c r="DTR6" s="2336"/>
      <c r="DTS6" s="2337"/>
      <c r="DTT6" s="2338"/>
      <c r="DTU6" s="2336"/>
      <c r="DTV6" s="2337"/>
      <c r="DTW6" s="2338"/>
      <c r="DTX6" s="2336"/>
      <c r="DTY6" s="2337"/>
      <c r="DTZ6" s="2338"/>
      <c r="DUA6" s="2336"/>
      <c r="DUB6" s="2337"/>
      <c r="DUC6" s="2338"/>
      <c r="DUD6" s="2336"/>
      <c r="DUE6" s="2337"/>
      <c r="DUF6" s="2338"/>
      <c r="DUG6" s="2336"/>
      <c r="DUH6" s="2337"/>
      <c r="DUI6" s="2338"/>
      <c r="DUJ6" s="2336"/>
      <c r="DUK6" s="2337"/>
      <c r="DUL6" s="2338"/>
      <c r="DUM6" s="2336"/>
      <c r="DUN6" s="2337"/>
      <c r="DUO6" s="2338"/>
      <c r="DUP6" s="2336"/>
      <c r="DUQ6" s="2337"/>
      <c r="DUR6" s="2338"/>
      <c r="DUS6" s="2336"/>
      <c r="DUT6" s="2337"/>
      <c r="DUU6" s="2338"/>
      <c r="DUV6" s="2336"/>
      <c r="DUW6" s="2337"/>
      <c r="DUX6" s="2338"/>
      <c r="DUY6" s="2336"/>
      <c r="DUZ6" s="2337"/>
      <c r="DVA6" s="2338"/>
      <c r="DVB6" s="2336"/>
      <c r="DVC6" s="2337"/>
      <c r="DVD6" s="2338"/>
      <c r="DVE6" s="2336"/>
      <c r="DVF6" s="2337"/>
      <c r="DVG6" s="2338"/>
      <c r="DVH6" s="2336"/>
      <c r="DVI6" s="2337"/>
      <c r="DVJ6" s="2338"/>
      <c r="DVK6" s="2336"/>
      <c r="DVL6" s="2337"/>
      <c r="DVM6" s="2338"/>
      <c r="DVN6" s="2336"/>
      <c r="DVO6" s="2337"/>
      <c r="DVP6" s="2338"/>
      <c r="DVQ6" s="2336"/>
      <c r="DVR6" s="2337"/>
      <c r="DVS6" s="2338"/>
      <c r="DVT6" s="2336"/>
      <c r="DVU6" s="2337"/>
      <c r="DVV6" s="2338"/>
      <c r="DVW6" s="2336"/>
      <c r="DVX6" s="2337"/>
      <c r="DVY6" s="2338"/>
      <c r="DVZ6" s="2336"/>
      <c r="DWA6" s="2337"/>
      <c r="DWB6" s="2338"/>
      <c r="DWC6" s="2336"/>
      <c r="DWD6" s="2337"/>
      <c r="DWE6" s="2338"/>
      <c r="DWF6" s="2336"/>
      <c r="DWG6" s="2337"/>
      <c r="DWH6" s="2338"/>
      <c r="DWI6" s="2336"/>
      <c r="DWJ6" s="2337"/>
      <c r="DWK6" s="2338"/>
      <c r="DWL6" s="2336"/>
      <c r="DWM6" s="2337"/>
      <c r="DWN6" s="2338"/>
      <c r="DWO6" s="2336"/>
      <c r="DWP6" s="2337"/>
      <c r="DWQ6" s="2338"/>
      <c r="DWR6" s="2336"/>
      <c r="DWS6" s="2337"/>
      <c r="DWT6" s="2338"/>
      <c r="DWU6" s="2336"/>
      <c r="DWV6" s="2337"/>
      <c r="DWW6" s="2338"/>
      <c r="DWX6" s="2336"/>
      <c r="DWY6" s="2337"/>
      <c r="DWZ6" s="2338"/>
      <c r="DXA6" s="2336"/>
      <c r="DXB6" s="2337"/>
      <c r="DXC6" s="2338"/>
      <c r="DXD6" s="2336"/>
      <c r="DXE6" s="2337"/>
      <c r="DXF6" s="2338"/>
      <c r="DXG6" s="2336"/>
      <c r="DXH6" s="2337"/>
      <c r="DXI6" s="2338"/>
      <c r="DXJ6" s="2336"/>
      <c r="DXK6" s="2337"/>
      <c r="DXL6" s="2338"/>
      <c r="DXM6" s="2336"/>
      <c r="DXN6" s="2337"/>
      <c r="DXO6" s="2338"/>
      <c r="DXP6" s="2336"/>
      <c r="DXQ6" s="2337"/>
      <c r="DXR6" s="2338"/>
      <c r="DXS6" s="2336"/>
      <c r="DXT6" s="2337"/>
      <c r="DXU6" s="2338"/>
      <c r="DXV6" s="2336"/>
      <c r="DXW6" s="2337"/>
      <c r="DXX6" s="2338"/>
      <c r="DXY6" s="2336"/>
      <c r="DXZ6" s="2337"/>
      <c r="DYA6" s="2338"/>
      <c r="DYB6" s="2336"/>
      <c r="DYC6" s="2337"/>
      <c r="DYD6" s="2338"/>
      <c r="DYE6" s="2336"/>
      <c r="DYF6" s="2337"/>
      <c r="DYG6" s="2338"/>
      <c r="DYH6" s="2336"/>
      <c r="DYI6" s="2337"/>
      <c r="DYJ6" s="2338"/>
      <c r="DYK6" s="2336"/>
      <c r="DYL6" s="2337"/>
      <c r="DYM6" s="2338"/>
      <c r="DYN6" s="2336"/>
      <c r="DYO6" s="2337"/>
      <c r="DYP6" s="2338"/>
      <c r="DYQ6" s="2336"/>
      <c r="DYR6" s="2337"/>
      <c r="DYS6" s="2338"/>
      <c r="DYT6" s="2336"/>
      <c r="DYU6" s="2337"/>
      <c r="DYV6" s="2338"/>
      <c r="DYW6" s="2336"/>
      <c r="DYX6" s="2337"/>
      <c r="DYY6" s="2338"/>
      <c r="DYZ6" s="2336"/>
      <c r="DZA6" s="2337"/>
      <c r="DZB6" s="2338"/>
      <c r="DZC6" s="2336"/>
      <c r="DZD6" s="2337"/>
      <c r="DZE6" s="2338"/>
      <c r="DZF6" s="2336"/>
      <c r="DZG6" s="2337"/>
      <c r="DZH6" s="2338"/>
      <c r="DZI6" s="2336"/>
      <c r="DZJ6" s="2337"/>
      <c r="DZK6" s="2338"/>
      <c r="DZL6" s="2336"/>
      <c r="DZM6" s="2337"/>
      <c r="DZN6" s="2338"/>
      <c r="DZO6" s="2336"/>
      <c r="DZP6" s="2337"/>
      <c r="DZQ6" s="2338"/>
      <c r="DZR6" s="2336"/>
      <c r="DZS6" s="2337"/>
      <c r="DZT6" s="2338"/>
      <c r="DZU6" s="2336"/>
      <c r="DZV6" s="2337"/>
      <c r="DZW6" s="2338"/>
      <c r="DZX6" s="2336"/>
      <c r="DZY6" s="2337"/>
      <c r="DZZ6" s="2338"/>
      <c r="EAA6" s="2336"/>
      <c r="EAB6" s="2337"/>
      <c r="EAC6" s="2338"/>
      <c r="EAD6" s="2336"/>
      <c r="EAE6" s="2337"/>
      <c r="EAF6" s="2338"/>
      <c r="EAG6" s="2336"/>
      <c r="EAH6" s="2337"/>
      <c r="EAI6" s="2338"/>
      <c r="EAJ6" s="2336"/>
      <c r="EAK6" s="2337"/>
      <c r="EAL6" s="2338"/>
      <c r="EAM6" s="2336"/>
      <c r="EAN6" s="2337"/>
      <c r="EAO6" s="2338"/>
      <c r="EAP6" s="2336"/>
      <c r="EAQ6" s="2337"/>
      <c r="EAR6" s="2338"/>
      <c r="EAS6" s="2336"/>
      <c r="EAT6" s="2337"/>
      <c r="EAU6" s="2338"/>
      <c r="EAV6" s="2336"/>
      <c r="EAW6" s="2337"/>
      <c r="EAX6" s="2338"/>
      <c r="EAY6" s="2336"/>
      <c r="EAZ6" s="2337"/>
      <c r="EBA6" s="2338"/>
      <c r="EBB6" s="2336"/>
      <c r="EBC6" s="2337"/>
      <c r="EBD6" s="2338"/>
      <c r="EBE6" s="2336"/>
      <c r="EBF6" s="2337"/>
      <c r="EBG6" s="2338"/>
      <c r="EBH6" s="2336"/>
      <c r="EBI6" s="2337"/>
      <c r="EBJ6" s="2338"/>
      <c r="EBK6" s="2336"/>
      <c r="EBL6" s="2337"/>
      <c r="EBM6" s="2338"/>
      <c r="EBN6" s="2336"/>
      <c r="EBO6" s="2337"/>
      <c r="EBP6" s="2338"/>
      <c r="EBQ6" s="2336"/>
      <c r="EBR6" s="2337"/>
      <c r="EBS6" s="2338"/>
      <c r="EBT6" s="2336"/>
      <c r="EBU6" s="2337"/>
      <c r="EBV6" s="2338"/>
      <c r="EBW6" s="2336"/>
      <c r="EBX6" s="2337"/>
      <c r="EBY6" s="2338"/>
      <c r="EBZ6" s="2336"/>
      <c r="ECA6" s="2337"/>
      <c r="ECB6" s="2338"/>
      <c r="ECC6" s="2336"/>
      <c r="ECD6" s="2337"/>
      <c r="ECE6" s="2338"/>
      <c r="ECF6" s="2336"/>
      <c r="ECG6" s="2337"/>
      <c r="ECH6" s="2338"/>
      <c r="ECI6" s="2336"/>
      <c r="ECJ6" s="2337"/>
      <c r="ECK6" s="2338"/>
      <c r="ECL6" s="2336"/>
      <c r="ECM6" s="2337"/>
      <c r="ECN6" s="2338"/>
      <c r="ECO6" s="2336"/>
      <c r="ECP6" s="2337"/>
      <c r="ECQ6" s="2338"/>
      <c r="ECR6" s="2336"/>
      <c r="ECS6" s="2337"/>
      <c r="ECT6" s="2338"/>
      <c r="ECU6" s="2336"/>
      <c r="ECV6" s="2337"/>
      <c r="ECW6" s="2338"/>
      <c r="ECX6" s="2336"/>
      <c r="ECY6" s="2337"/>
      <c r="ECZ6" s="2338"/>
      <c r="EDA6" s="2336"/>
      <c r="EDB6" s="2337"/>
      <c r="EDC6" s="2338"/>
      <c r="EDD6" s="2336"/>
      <c r="EDE6" s="2337"/>
      <c r="EDF6" s="2338"/>
      <c r="EDG6" s="2336"/>
      <c r="EDH6" s="2337"/>
      <c r="EDI6" s="2338"/>
      <c r="EDJ6" s="2336"/>
      <c r="EDK6" s="2337"/>
      <c r="EDL6" s="2338"/>
      <c r="EDM6" s="2336"/>
      <c r="EDN6" s="2337"/>
      <c r="EDO6" s="2338"/>
      <c r="EDP6" s="2336"/>
      <c r="EDQ6" s="2337"/>
      <c r="EDR6" s="2338"/>
      <c r="EDS6" s="2336"/>
      <c r="EDT6" s="2337"/>
      <c r="EDU6" s="2338"/>
      <c r="EDV6" s="2336"/>
      <c r="EDW6" s="2337"/>
      <c r="EDX6" s="2338"/>
      <c r="EDY6" s="2336"/>
      <c r="EDZ6" s="2337"/>
      <c r="EEA6" s="2338"/>
      <c r="EEB6" s="2336"/>
      <c r="EEC6" s="2337"/>
      <c r="EED6" s="2338"/>
      <c r="EEE6" s="2336"/>
      <c r="EEF6" s="2337"/>
      <c r="EEG6" s="2338"/>
      <c r="EEH6" s="2336"/>
      <c r="EEI6" s="2337"/>
      <c r="EEJ6" s="2338"/>
      <c r="EEK6" s="2336"/>
      <c r="EEL6" s="2337"/>
      <c r="EEM6" s="2338"/>
      <c r="EEN6" s="2336"/>
      <c r="EEO6" s="2337"/>
      <c r="EEP6" s="2338"/>
      <c r="EEQ6" s="2336"/>
      <c r="EER6" s="2337"/>
      <c r="EES6" s="2338"/>
      <c r="EET6" s="2336"/>
      <c r="EEU6" s="2337"/>
      <c r="EEV6" s="2338"/>
      <c r="EEW6" s="2336"/>
      <c r="EEX6" s="2337"/>
      <c r="EEY6" s="2338"/>
      <c r="EEZ6" s="2336"/>
      <c r="EFA6" s="2337"/>
      <c r="EFB6" s="2338"/>
      <c r="EFC6" s="2336"/>
      <c r="EFD6" s="2337"/>
      <c r="EFE6" s="2338"/>
      <c r="EFF6" s="2336"/>
      <c r="EFG6" s="2337"/>
      <c r="EFH6" s="2338"/>
      <c r="EFI6" s="2336"/>
      <c r="EFJ6" s="2337"/>
      <c r="EFK6" s="2338"/>
      <c r="EFL6" s="2336"/>
      <c r="EFM6" s="2337"/>
      <c r="EFN6" s="2338"/>
      <c r="EFO6" s="2336"/>
      <c r="EFP6" s="2337"/>
      <c r="EFQ6" s="2338"/>
      <c r="EFR6" s="2336"/>
      <c r="EFS6" s="2337"/>
      <c r="EFT6" s="2338"/>
      <c r="EFU6" s="2336"/>
      <c r="EFV6" s="2337"/>
      <c r="EFW6" s="2338"/>
      <c r="EFX6" s="2336"/>
      <c r="EFY6" s="2337"/>
      <c r="EFZ6" s="2338"/>
      <c r="EGA6" s="2336"/>
      <c r="EGB6" s="2337"/>
      <c r="EGC6" s="2338"/>
      <c r="EGD6" s="2336"/>
      <c r="EGE6" s="2337"/>
      <c r="EGF6" s="2338"/>
      <c r="EGG6" s="2336"/>
      <c r="EGH6" s="2337"/>
      <c r="EGI6" s="2338"/>
      <c r="EGJ6" s="2336"/>
      <c r="EGK6" s="2337"/>
      <c r="EGL6" s="2338"/>
      <c r="EGM6" s="2336"/>
      <c r="EGN6" s="2337"/>
      <c r="EGO6" s="2338"/>
      <c r="EGP6" s="2336"/>
      <c r="EGQ6" s="2337"/>
      <c r="EGR6" s="2338"/>
      <c r="EGS6" s="2336"/>
      <c r="EGT6" s="2337"/>
      <c r="EGU6" s="2338"/>
      <c r="EGV6" s="2336"/>
      <c r="EGW6" s="2337"/>
      <c r="EGX6" s="2338"/>
      <c r="EGY6" s="2336"/>
      <c r="EGZ6" s="2337"/>
      <c r="EHA6" s="2338"/>
      <c r="EHB6" s="2336"/>
      <c r="EHC6" s="2337"/>
      <c r="EHD6" s="2338"/>
      <c r="EHE6" s="2336"/>
      <c r="EHF6" s="2337"/>
      <c r="EHG6" s="2338"/>
      <c r="EHH6" s="2336"/>
      <c r="EHI6" s="2337"/>
      <c r="EHJ6" s="2338"/>
      <c r="EHK6" s="2336"/>
      <c r="EHL6" s="2337"/>
      <c r="EHM6" s="2338"/>
      <c r="EHN6" s="2336"/>
      <c r="EHO6" s="2337"/>
      <c r="EHP6" s="2338"/>
      <c r="EHQ6" s="2336"/>
      <c r="EHR6" s="2337"/>
      <c r="EHS6" s="2338"/>
      <c r="EHT6" s="2336"/>
      <c r="EHU6" s="2337"/>
      <c r="EHV6" s="2338"/>
      <c r="EHW6" s="2336"/>
      <c r="EHX6" s="2337"/>
      <c r="EHY6" s="2338"/>
      <c r="EHZ6" s="2336"/>
      <c r="EIA6" s="2337"/>
      <c r="EIB6" s="2338"/>
      <c r="EIC6" s="2336"/>
      <c r="EID6" s="2337"/>
      <c r="EIE6" s="2338"/>
      <c r="EIF6" s="2336"/>
      <c r="EIG6" s="2337"/>
      <c r="EIH6" s="2338"/>
      <c r="EII6" s="2336"/>
      <c r="EIJ6" s="2337"/>
      <c r="EIK6" s="2338"/>
      <c r="EIL6" s="2336"/>
      <c r="EIM6" s="2337"/>
      <c r="EIN6" s="2338"/>
      <c r="EIO6" s="2336"/>
      <c r="EIP6" s="2337"/>
      <c r="EIQ6" s="2338"/>
      <c r="EIR6" s="2336"/>
      <c r="EIS6" s="2337"/>
      <c r="EIT6" s="2338"/>
      <c r="EIU6" s="2336"/>
      <c r="EIV6" s="2337"/>
      <c r="EIW6" s="2338"/>
      <c r="EIX6" s="2336"/>
      <c r="EIY6" s="2337"/>
      <c r="EIZ6" s="2338"/>
      <c r="EJA6" s="2336"/>
      <c r="EJB6" s="2337"/>
      <c r="EJC6" s="2338"/>
      <c r="EJD6" s="2336"/>
      <c r="EJE6" s="2337"/>
      <c r="EJF6" s="2338"/>
      <c r="EJG6" s="2336"/>
      <c r="EJH6" s="2337"/>
      <c r="EJI6" s="2338"/>
      <c r="EJJ6" s="2336"/>
      <c r="EJK6" s="2337"/>
      <c r="EJL6" s="2338"/>
      <c r="EJM6" s="2336"/>
      <c r="EJN6" s="2337"/>
      <c r="EJO6" s="2338"/>
      <c r="EJP6" s="2336"/>
      <c r="EJQ6" s="2337"/>
      <c r="EJR6" s="2338"/>
      <c r="EJS6" s="2336"/>
      <c r="EJT6" s="2337"/>
      <c r="EJU6" s="2338"/>
      <c r="EJV6" s="2336"/>
      <c r="EJW6" s="2337"/>
      <c r="EJX6" s="2338"/>
      <c r="EJY6" s="2336"/>
      <c r="EJZ6" s="2337"/>
      <c r="EKA6" s="2338"/>
      <c r="EKB6" s="2336"/>
      <c r="EKC6" s="2337"/>
      <c r="EKD6" s="2338"/>
      <c r="EKE6" s="2336"/>
      <c r="EKF6" s="2337"/>
      <c r="EKG6" s="2338"/>
      <c r="EKH6" s="2336"/>
      <c r="EKI6" s="2337"/>
      <c r="EKJ6" s="2338"/>
      <c r="EKK6" s="2336"/>
      <c r="EKL6" s="2337"/>
      <c r="EKM6" s="2338"/>
      <c r="EKN6" s="2336"/>
      <c r="EKO6" s="2337"/>
      <c r="EKP6" s="2338"/>
      <c r="EKQ6" s="2336"/>
      <c r="EKR6" s="2337"/>
      <c r="EKS6" s="2338"/>
      <c r="EKT6" s="2336"/>
      <c r="EKU6" s="2337"/>
      <c r="EKV6" s="2338"/>
      <c r="EKW6" s="2336"/>
      <c r="EKX6" s="2337"/>
      <c r="EKY6" s="2338"/>
      <c r="EKZ6" s="2336"/>
      <c r="ELA6" s="2337"/>
      <c r="ELB6" s="2338"/>
      <c r="ELC6" s="2336"/>
      <c r="ELD6" s="2337"/>
      <c r="ELE6" s="2338"/>
      <c r="ELF6" s="2336"/>
      <c r="ELG6" s="2337"/>
      <c r="ELH6" s="2338"/>
      <c r="ELI6" s="2336"/>
      <c r="ELJ6" s="2337"/>
      <c r="ELK6" s="2338"/>
      <c r="ELL6" s="2336"/>
      <c r="ELM6" s="2337"/>
      <c r="ELN6" s="2338"/>
      <c r="ELO6" s="2336"/>
      <c r="ELP6" s="2337"/>
      <c r="ELQ6" s="2338"/>
      <c r="ELR6" s="2336"/>
      <c r="ELS6" s="2337"/>
      <c r="ELT6" s="2338"/>
      <c r="ELU6" s="2336"/>
      <c r="ELV6" s="2337"/>
      <c r="ELW6" s="2338"/>
      <c r="ELX6" s="2336"/>
      <c r="ELY6" s="2337"/>
      <c r="ELZ6" s="2338"/>
      <c r="EMA6" s="2336"/>
      <c r="EMB6" s="2337"/>
      <c r="EMC6" s="2338"/>
      <c r="EMD6" s="2336"/>
      <c r="EME6" s="2337"/>
      <c r="EMF6" s="2338"/>
      <c r="EMG6" s="2336"/>
      <c r="EMH6" s="2337"/>
      <c r="EMI6" s="2338"/>
      <c r="EMJ6" s="2336"/>
      <c r="EMK6" s="2337"/>
      <c r="EML6" s="2338"/>
      <c r="EMM6" s="2336"/>
      <c r="EMN6" s="2337"/>
      <c r="EMO6" s="2338"/>
      <c r="EMP6" s="2336"/>
      <c r="EMQ6" s="2337"/>
      <c r="EMR6" s="2338"/>
      <c r="EMS6" s="2336"/>
      <c r="EMT6" s="2337"/>
      <c r="EMU6" s="2338"/>
      <c r="EMV6" s="2336"/>
      <c r="EMW6" s="2337"/>
      <c r="EMX6" s="2338"/>
      <c r="EMY6" s="2336"/>
      <c r="EMZ6" s="2337"/>
      <c r="ENA6" s="2338"/>
      <c r="ENB6" s="2336"/>
      <c r="ENC6" s="2337"/>
      <c r="END6" s="2338"/>
      <c r="ENE6" s="2336"/>
      <c r="ENF6" s="2337"/>
      <c r="ENG6" s="2338"/>
      <c r="ENH6" s="2336"/>
      <c r="ENI6" s="2337"/>
      <c r="ENJ6" s="2338"/>
      <c r="ENK6" s="2336"/>
      <c r="ENL6" s="2337"/>
      <c r="ENM6" s="2338"/>
      <c r="ENN6" s="2336"/>
      <c r="ENO6" s="2337"/>
      <c r="ENP6" s="2338"/>
      <c r="ENQ6" s="2336"/>
      <c r="ENR6" s="2337"/>
      <c r="ENS6" s="2338"/>
      <c r="ENT6" s="2336"/>
      <c r="ENU6" s="2337"/>
      <c r="ENV6" s="2338"/>
      <c r="ENW6" s="2336"/>
      <c r="ENX6" s="2337"/>
      <c r="ENY6" s="2338"/>
      <c r="ENZ6" s="2336"/>
      <c r="EOA6" s="2337"/>
      <c r="EOB6" s="2338"/>
      <c r="EOC6" s="2336"/>
      <c r="EOD6" s="2337"/>
      <c r="EOE6" s="2338"/>
      <c r="EOF6" s="2336"/>
      <c r="EOG6" s="2337"/>
      <c r="EOH6" s="2338"/>
      <c r="EOI6" s="2336"/>
      <c r="EOJ6" s="2337"/>
      <c r="EOK6" s="2338"/>
      <c r="EOL6" s="2336"/>
      <c r="EOM6" s="2337"/>
      <c r="EON6" s="2338"/>
      <c r="EOO6" s="2336"/>
      <c r="EOP6" s="2337"/>
      <c r="EOQ6" s="2338"/>
      <c r="EOR6" s="2336"/>
      <c r="EOS6" s="2337"/>
      <c r="EOT6" s="2338"/>
      <c r="EOU6" s="2336"/>
      <c r="EOV6" s="2337"/>
      <c r="EOW6" s="2338"/>
      <c r="EOX6" s="2336"/>
      <c r="EOY6" s="2337"/>
      <c r="EOZ6" s="2338"/>
      <c r="EPA6" s="2336"/>
      <c r="EPB6" s="2337"/>
      <c r="EPC6" s="2338"/>
      <c r="EPD6" s="2336"/>
      <c r="EPE6" s="2337"/>
      <c r="EPF6" s="2338"/>
      <c r="EPG6" s="2336"/>
      <c r="EPH6" s="2337"/>
      <c r="EPI6" s="2338"/>
      <c r="EPJ6" s="2336"/>
      <c r="EPK6" s="2337"/>
      <c r="EPL6" s="2338"/>
      <c r="EPM6" s="2336"/>
      <c r="EPN6" s="2337"/>
      <c r="EPO6" s="2338"/>
      <c r="EPP6" s="2336"/>
      <c r="EPQ6" s="2337"/>
      <c r="EPR6" s="2338"/>
      <c r="EPS6" s="2336"/>
      <c r="EPT6" s="2337"/>
      <c r="EPU6" s="2338"/>
      <c r="EPV6" s="2336"/>
      <c r="EPW6" s="2337"/>
      <c r="EPX6" s="2338"/>
      <c r="EPY6" s="2336"/>
      <c r="EPZ6" s="2337"/>
      <c r="EQA6" s="2338"/>
      <c r="EQB6" s="2336"/>
      <c r="EQC6" s="2337"/>
      <c r="EQD6" s="2338"/>
      <c r="EQE6" s="2336"/>
      <c r="EQF6" s="2337"/>
      <c r="EQG6" s="2338"/>
      <c r="EQH6" s="2336"/>
      <c r="EQI6" s="2337"/>
      <c r="EQJ6" s="2338"/>
      <c r="EQK6" s="2336"/>
      <c r="EQL6" s="2337"/>
      <c r="EQM6" s="2338"/>
      <c r="EQN6" s="2336"/>
      <c r="EQO6" s="2337"/>
      <c r="EQP6" s="2338"/>
      <c r="EQQ6" s="2336"/>
      <c r="EQR6" s="2337"/>
      <c r="EQS6" s="2338"/>
      <c r="EQT6" s="2336"/>
      <c r="EQU6" s="2337"/>
      <c r="EQV6" s="2338"/>
      <c r="EQW6" s="2336"/>
      <c r="EQX6" s="2337"/>
      <c r="EQY6" s="2338"/>
      <c r="EQZ6" s="2336"/>
      <c r="ERA6" s="2337"/>
      <c r="ERB6" s="2338"/>
      <c r="ERC6" s="2336"/>
      <c r="ERD6" s="2337"/>
      <c r="ERE6" s="2338"/>
      <c r="ERF6" s="2336"/>
      <c r="ERG6" s="2337"/>
      <c r="ERH6" s="2338"/>
      <c r="ERI6" s="2336"/>
      <c r="ERJ6" s="2337"/>
      <c r="ERK6" s="2338"/>
      <c r="ERL6" s="2336"/>
      <c r="ERM6" s="2337"/>
      <c r="ERN6" s="2338"/>
      <c r="ERO6" s="2336"/>
      <c r="ERP6" s="2337"/>
      <c r="ERQ6" s="2338"/>
      <c r="ERR6" s="2336"/>
      <c r="ERS6" s="2337"/>
      <c r="ERT6" s="2338"/>
      <c r="ERU6" s="2336"/>
      <c r="ERV6" s="2337"/>
      <c r="ERW6" s="2338"/>
      <c r="ERX6" s="2336"/>
      <c r="ERY6" s="2337"/>
      <c r="ERZ6" s="2338"/>
      <c r="ESA6" s="2336"/>
      <c r="ESB6" s="2337"/>
      <c r="ESC6" s="2338"/>
      <c r="ESD6" s="2336"/>
      <c r="ESE6" s="2337"/>
      <c r="ESF6" s="2338"/>
      <c r="ESG6" s="2336"/>
      <c r="ESH6" s="2337"/>
      <c r="ESI6" s="2338"/>
      <c r="ESJ6" s="2336"/>
      <c r="ESK6" s="2337"/>
      <c r="ESL6" s="2338"/>
      <c r="ESM6" s="2336"/>
      <c r="ESN6" s="2337"/>
      <c r="ESO6" s="2338"/>
      <c r="ESP6" s="2336"/>
      <c r="ESQ6" s="2337"/>
      <c r="ESR6" s="2338"/>
      <c r="ESS6" s="2336"/>
      <c r="EST6" s="2337"/>
      <c r="ESU6" s="2338"/>
      <c r="ESV6" s="2336"/>
      <c r="ESW6" s="2337"/>
      <c r="ESX6" s="2338"/>
      <c r="ESY6" s="2336"/>
      <c r="ESZ6" s="2337"/>
      <c r="ETA6" s="2338"/>
      <c r="ETB6" s="2336"/>
      <c r="ETC6" s="2337"/>
      <c r="ETD6" s="2338"/>
      <c r="ETE6" s="2336"/>
      <c r="ETF6" s="2337"/>
      <c r="ETG6" s="2338"/>
      <c r="ETH6" s="2336"/>
      <c r="ETI6" s="2337"/>
      <c r="ETJ6" s="2338"/>
      <c r="ETK6" s="2336"/>
      <c r="ETL6" s="2337"/>
      <c r="ETM6" s="2338"/>
      <c r="ETN6" s="2336"/>
      <c r="ETO6" s="2337"/>
      <c r="ETP6" s="2338"/>
      <c r="ETQ6" s="2336"/>
      <c r="ETR6" s="2337"/>
      <c r="ETS6" s="2338"/>
      <c r="ETT6" s="2336"/>
      <c r="ETU6" s="2337"/>
      <c r="ETV6" s="2338"/>
      <c r="ETW6" s="2336"/>
      <c r="ETX6" s="2337"/>
      <c r="ETY6" s="2338"/>
      <c r="ETZ6" s="2336"/>
      <c r="EUA6" s="2337"/>
      <c r="EUB6" s="2338"/>
      <c r="EUC6" s="2336"/>
      <c r="EUD6" s="2337"/>
      <c r="EUE6" s="2338"/>
      <c r="EUF6" s="2336"/>
      <c r="EUG6" s="2337"/>
      <c r="EUH6" s="2338"/>
      <c r="EUI6" s="2336"/>
      <c r="EUJ6" s="2337"/>
      <c r="EUK6" s="2338"/>
      <c r="EUL6" s="2336"/>
      <c r="EUM6" s="2337"/>
      <c r="EUN6" s="2338"/>
      <c r="EUO6" s="2336"/>
      <c r="EUP6" s="2337"/>
      <c r="EUQ6" s="2338"/>
      <c r="EUR6" s="2336"/>
      <c r="EUS6" s="2337"/>
      <c r="EUT6" s="2338"/>
      <c r="EUU6" s="2336"/>
      <c r="EUV6" s="2337"/>
      <c r="EUW6" s="2338"/>
      <c r="EUX6" s="2336"/>
      <c r="EUY6" s="2337"/>
      <c r="EUZ6" s="2338"/>
      <c r="EVA6" s="2336"/>
      <c r="EVB6" s="2337"/>
      <c r="EVC6" s="2338"/>
      <c r="EVD6" s="2336"/>
      <c r="EVE6" s="2337"/>
      <c r="EVF6" s="2338"/>
      <c r="EVG6" s="2336"/>
      <c r="EVH6" s="2337"/>
      <c r="EVI6" s="2338"/>
      <c r="EVJ6" s="2336"/>
      <c r="EVK6" s="2337"/>
      <c r="EVL6" s="2338"/>
      <c r="EVM6" s="2336"/>
      <c r="EVN6" s="2337"/>
      <c r="EVO6" s="2338"/>
      <c r="EVP6" s="2336"/>
      <c r="EVQ6" s="2337"/>
      <c r="EVR6" s="2338"/>
      <c r="EVS6" s="2336"/>
      <c r="EVT6" s="2337"/>
      <c r="EVU6" s="2338"/>
      <c r="EVV6" s="2336"/>
      <c r="EVW6" s="2337"/>
      <c r="EVX6" s="2338"/>
      <c r="EVY6" s="2336"/>
      <c r="EVZ6" s="2337"/>
      <c r="EWA6" s="2338"/>
      <c r="EWB6" s="2336"/>
      <c r="EWC6" s="2337"/>
      <c r="EWD6" s="2338"/>
      <c r="EWE6" s="2336"/>
      <c r="EWF6" s="2337"/>
      <c r="EWG6" s="2338"/>
      <c r="EWH6" s="2336"/>
      <c r="EWI6" s="2337"/>
      <c r="EWJ6" s="2338"/>
      <c r="EWK6" s="2336"/>
      <c r="EWL6" s="2337"/>
      <c r="EWM6" s="2338"/>
      <c r="EWN6" s="2336"/>
      <c r="EWO6" s="2337"/>
      <c r="EWP6" s="2338"/>
      <c r="EWQ6" s="2336"/>
      <c r="EWR6" s="2337"/>
      <c r="EWS6" s="2338"/>
      <c r="EWT6" s="2336"/>
      <c r="EWU6" s="2337"/>
      <c r="EWV6" s="2338"/>
      <c r="EWW6" s="2336"/>
      <c r="EWX6" s="2337"/>
      <c r="EWY6" s="2338"/>
      <c r="EWZ6" s="2336"/>
      <c r="EXA6" s="2337"/>
      <c r="EXB6" s="2338"/>
      <c r="EXC6" s="2336"/>
      <c r="EXD6" s="2337"/>
      <c r="EXE6" s="2338"/>
      <c r="EXF6" s="2336"/>
      <c r="EXG6" s="2337"/>
      <c r="EXH6" s="2338"/>
      <c r="EXI6" s="2336"/>
      <c r="EXJ6" s="2337"/>
      <c r="EXK6" s="2338"/>
      <c r="EXL6" s="2336"/>
      <c r="EXM6" s="2337"/>
      <c r="EXN6" s="2338"/>
      <c r="EXO6" s="2336"/>
      <c r="EXP6" s="2337"/>
      <c r="EXQ6" s="2338"/>
      <c r="EXR6" s="2336"/>
      <c r="EXS6" s="2337"/>
      <c r="EXT6" s="2338"/>
      <c r="EXU6" s="2336"/>
      <c r="EXV6" s="2337"/>
      <c r="EXW6" s="2338"/>
      <c r="EXX6" s="2336"/>
      <c r="EXY6" s="2337"/>
      <c r="EXZ6" s="2338"/>
      <c r="EYA6" s="2336"/>
      <c r="EYB6" s="2337"/>
      <c r="EYC6" s="2338"/>
      <c r="EYD6" s="2336"/>
      <c r="EYE6" s="2337"/>
      <c r="EYF6" s="2338"/>
      <c r="EYG6" s="2336"/>
      <c r="EYH6" s="2337"/>
      <c r="EYI6" s="2338"/>
      <c r="EYJ6" s="2336"/>
      <c r="EYK6" s="2337"/>
      <c r="EYL6" s="2338"/>
      <c r="EYM6" s="2336"/>
      <c r="EYN6" s="2337"/>
      <c r="EYO6" s="2338"/>
      <c r="EYP6" s="2336"/>
      <c r="EYQ6" s="2337"/>
      <c r="EYR6" s="2338"/>
      <c r="EYS6" s="2336"/>
      <c r="EYT6" s="2337"/>
      <c r="EYU6" s="2338"/>
      <c r="EYV6" s="2336"/>
      <c r="EYW6" s="2337"/>
      <c r="EYX6" s="2338"/>
      <c r="EYY6" s="2336"/>
      <c r="EYZ6" s="2337"/>
      <c r="EZA6" s="2338"/>
      <c r="EZB6" s="2336"/>
      <c r="EZC6" s="2337"/>
      <c r="EZD6" s="2338"/>
      <c r="EZE6" s="2336"/>
      <c r="EZF6" s="2337"/>
      <c r="EZG6" s="2338"/>
      <c r="EZH6" s="2336"/>
      <c r="EZI6" s="2337"/>
      <c r="EZJ6" s="2338"/>
      <c r="EZK6" s="2336"/>
      <c r="EZL6" s="2337"/>
      <c r="EZM6" s="2338"/>
      <c r="EZN6" s="2336"/>
      <c r="EZO6" s="2337"/>
      <c r="EZP6" s="2338"/>
      <c r="EZQ6" s="2336"/>
      <c r="EZR6" s="2337"/>
      <c r="EZS6" s="2338"/>
      <c r="EZT6" s="2336"/>
      <c r="EZU6" s="2337"/>
      <c r="EZV6" s="2338"/>
      <c r="EZW6" s="2336"/>
      <c r="EZX6" s="2337"/>
      <c r="EZY6" s="2338"/>
      <c r="EZZ6" s="2336"/>
      <c r="FAA6" s="2337"/>
      <c r="FAB6" s="2338"/>
      <c r="FAC6" s="2336"/>
      <c r="FAD6" s="2337"/>
      <c r="FAE6" s="2338"/>
      <c r="FAF6" s="2336"/>
      <c r="FAG6" s="2337"/>
      <c r="FAH6" s="2338"/>
      <c r="FAI6" s="2336"/>
      <c r="FAJ6" s="2337"/>
      <c r="FAK6" s="2338"/>
      <c r="FAL6" s="2336"/>
      <c r="FAM6" s="2337"/>
      <c r="FAN6" s="2338"/>
      <c r="FAO6" s="2336"/>
      <c r="FAP6" s="2337"/>
      <c r="FAQ6" s="2338"/>
      <c r="FAR6" s="2336"/>
      <c r="FAS6" s="2337"/>
      <c r="FAT6" s="2338"/>
      <c r="FAU6" s="2336"/>
      <c r="FAV6" s="2337"/>
      <c r="FAW6" s="2338"/>
      <c r="FAX6" s="2336"/>
      <c r="FAY6" s="2337"/>
      <c r="FAZ6" s="2338"/>
      <c r="FBA6" s="2336"/>
      <c r="FBB6" s="2337"/>
      <c r="FBC6" s="2338"/>
      <c r="FBD6" s="2336"/>
      <c r="FBE6" s="2337"/>
      <c r="FBF6" s="2338"/>
      <c r="FBG6" s="2336"/>
      <c r="FBH6" s="2337"/>
      <c r="FBI6" s="2338"/>
      <c r="FBJ6" s="2336"/>
      <c r="FBK6" s="2337"/>
      <c r="FBL6" s="2338"/>
      <c r="FBM6" s="2336"/>
      <c r="FBN6" s="2337"/>
      <c r="FBO6" s="2338"/>
      <c r="FBP6" s="2336"/>
      <c r="FBQ6" s="2337"/>
      <c r="FBR6" s="2338"/>
      <c r="FBS6" s="2336"/>
      <c r="FBT6" s="2337"/>
      <c r="FBU6" s="2338"/>
      <c r="FBV6" s="2336"/>
      <c r="FBW6" s="2337"/>
      <c r="FBX6" s="2338"/>
      <c r="FBY6" s="2336"/>
      <c r="FBZ6" s="2337"/>
      <c r="FCA6" s="2338"/>
      <c r="FCB6" s="2336"/>
      <c r="FCC6" s="2337"/>
      <c r="FCD6" s="2338"/>
      <c r="FCE6" s="2336"/>
      <c r="FCF6" s="2337"/>
      <c r="FCG6" s="2338"/>
      <c r="FCH6" s="2336"/>
      <c r="FCI6" s="2337"/>
      <c r="FCJ6" s="2338"/>
      <c r="FCK6" s="2336"/>
      <c r="FCL6" s="2337"/>
      <c r="FCM6" s="2338"/>
      <c r="FCN6" s="2336"/>
      <c r="FCO6" s="2337"/>
      <c r="FCP6" s="2338"/>
      <c r="FCQ6" s="2336"/>
      <c r="FCR6" s="2337"/>
      <c r="FCS6" s="2338"/>
      <c r="FCT6" s="2336"/>
      <c r="FCU6" s="2337"/>
      <c r="FCV6" s="2338"/>
      <c r="FCW6" s="2336"/>
      <c r="FCX6" s="2337"/>
      <c r="FCY6" s="2338"/>
      <c r="FCZ6" s="2336"/>
      <c r="FDA6" s="2337"/>
      <c r="FDB6" s="2338"/>
      <c r="FDC6" s="2336"/>
      <c r="FDD6" s="2337"/>
      <c r="FDE6" s="2338"/>
      <c r="FDF6" s="2336"/>
      <c r="FDG6" s="2337"/>
      <c r="FDH6" s="2338"/>
      <c r="FDI6" s="2336"/>
      <c r="FDJ6" s="2337"/>
      <c r="FDK6" s="2338"/>
      <c r="FDL6" s="2336"/>
      <c r="FDM6" s="2337"/>
      <c r="FDN6" s="2338"/>
      <c r="FDO6" s="2336"/>
      <c r="FDP6" s="2337"/>
      <c r="FDQ6" s="2338"/>
      <c r="FDR6" s="2336"/>
      <c r="FDS6" s="2337"/>
      <c r="FDT6" s="2338"/>
      <c r="FDU6" s="2336"/>
      <c r="FDV6" s="2337"/>
      <c r="FDW6" s="2338"/>
      <c r="FDX6" s="2336"/>
      <c r="FDY6" s="2337"/>
      <c r="FDZ6" s="2338"/>
      <c r="FEA6" s="2336"/>
      <c r="FEB6" s="2337"/>
      <c r="FEC6" s="2338"/>
      <c r="FED6" s="2336"/>
      <c r="FEE6" s="2337"/>
      <c r="FEF6" s="2338"/>
      <c r="FEG6" s="2336"/>
      <c r="FEH6" s="2337"/>
      <c r="FEI6" s="2338"/>
      <c r="FEJ6" s="2336"/>
      <c r="FEK6" s="2337"/>
      <c r="FEL6" s="2338"/>
      <c r="FEM6" s="2336"/>
      <c r="FEN6" s="2337"/>
      <c r="FEO6" s="2338"/>
      <c r="FEP6" s="2336"/>
      <c r="FEQ6" s="2337"/>
      <c r="FER6" s="2338"/>
      <c r="FES6" s="2336"/>
      <c r="FET6" s="2337"/>
      <c r="FEU6" s="2338"/>
      <c r="FEV6" s="2336"/>
      <c r="FEW6" s="2337"/>
      <c r="FEX6" s="2338"/>
      <c r="FEY6" s="2336"/>
      <c r="FEZ6" s="2337"/>
      <c r="FFA6" s="2338"/>
      <c r="FFB6" s="2336"/>
      <c r="FFC6" s="2337"/>
      <c r="FFD6" s="2338"/>
      <c r="FFE6" s="2336"/>
      <c r="FFF6" s="2337"/>
      <c r="FFG6" s="2338"/>
      <c r="FFH6" s="2336"/>
      <c r="FFI6" s="2337"/>
      <c r="FFJ6" s="2338"/>
      <c r="FFK6" s="2336"/>
      <c r="FFL6" s="2337"/>
      <c r="FFM6" s="2338"/>
      <c r="FFN6" s="2336"/>
      <c r="FFO6" s="2337"/>
      <c r="FFP6" s="2338"/>
      <c r="FFQ6" s="2336"/>
      <c r="FFR6" s="2337"/>
      <c r="FFS6" s="2338"/>
      <c r="FFT6" s="2336"/>
      <c r="FFU6" s="2337"/>
      <c r="FFV6" s="2338"/>
      <c r="FFW6" s="2336"/>
      <c r="FFX6" s="2337"/>
      <c r="FFY6" s="2338"/>
      <c r="FFZ6" s="2336"/>
      <c r="FGA6" s="2337"/>
      <c r="FGB6" s="2338"/>
      <c r="FGC6" s="2336"/>
      <c r="FGD6" s="2337"/>
      <c r="FGE6" s="2338"/>
      <c r="FGF6" s="2336"/>
      <c r="FGG6" s="2337"/>
      <c r="FGH6" s="2338"/>
      <c r="FGI6" s="2336"/>
      <c r="FGJ6" s="2337"/>
      <c r="FGK6" s="2338"/>
      <c r="FGL6" s="2336"/>
      <c r="FGM6" s="2337"/>
      <c r="FGN6" s="2338"/>
      <c r="FGO6" s="2336"/>
      <c r="FGP6" s="2337"/>
      <c r="FGQ6" s="2338"/>
      <c r="FGR6" s="2336"/>
      <c r="FGS6" s="2337"/>
      <c r="FGT6" s="2338"/>
      <c r="FGU6" s="2336"/>
      <c r="FGV6" s="2337"/>
      <c r="FGW6" s="2338"/>
      <c r="FGX6" s="2336"/>
      <c r="FGY6" s="2337"/>
      <c r="FGZ6" s="2338"/>
      <c r="FHA6" s="2336"/>
      <c r="FHB6" s="2337"/>
      <c r="FHC6" s="2338"/>
      <c r="FHD6" s="2336"/>
      <c r="FHE6" s="2337"/>
      <c r="FHF6" s="2338"/>
      <c r="FHG6" s="2336"/>
      <c r="FHH6" s="2337"/>
      <c r="FHI6" s="2338"/>
      <c r="FHJ6" s="2336"/>
      <c r="FHK6" s="2337"/>
      <c r="FHL6" s="2338"/>
      <c r="FHM6" s="2336"/>
      <c r="FHN6" s="2337"/>
      <c r="FHO6" s="2338"/>
      <c r="FHP6" s="2336"/>
      <c r="FHQ6" s="2337"/>
      <c r="FHR6" s="2338"/>
      <c r="FHS6" s="2336"/>
      <c r="FHT6" s="2337"/>
      <c r="FHU6" s="2338"/>
      <c r="FHV6" s="2336"/>
      <c r="FHW6" s="2337"/>
      <c r="FHX6" s="2338"/>
      <c r="FHY6" s="2336"/>
      <c r="FHZ6" s="2337"/>
      <c r="FIA6" s="2338"/>
      <c r="FIB6" s="2336"/>
      <c r="FIC6" s="2337"/>
      <c r="FID6" s="2338"/>
      <c r="FIE6" s="2336"/>
      <c r="FIF6" s="2337"/>
      <c r="FIG6" s="2338"/>
      <c r="FIH6" s="2336"/>
      <c r="FII6" s="2337"/>
      <c r="FIJ6" s="2338"/>
      <c r="FIK6" s="2336"/>
      <c r="FIL6" s="2337"/>
      <c r="FIM6" s="2338"/>
      <c r="FIN6" s="2336"/>
      <c r="FIO6" s="2337"/>
      <c r="FIP6" s="2338"/>
      <c r="FIQ6" s="2336"/>
      <c r="FIR6" s="2337"/>
      <c r="FIS6" s="2338"/>
      <c r="FIT6" s="2336"/>
      <c r="FIU6" s="2337"/>
      <c r="FIV6" s="2338"/>
      <c r="FIW6" s="2336"/>
      <c r="FIX6" s="2337"/>
      <c r="FIY6" s="2338"/>
      <c r="FIZ6" s="2336"/>
      <c r="FJA6" s="2337"/>
      <c r="FJB6" s="2338"/>
      <c r="FJC6" s="2336"/>
      <c r="FJD6" s="2337"/>
      <c r="FJE6" s="2338"/>
      <c r="FJF6" s="2336"/>
      <c r="FJG6" s="2337"/>
      <c r="FJH6" s="2338"/>
      <c r="FJI6" s="2336"/>
      <c r="FJJ6" s="2337"/>
      <c r="FJK6" s="2338"/>
      <c r="FJL6" s="2336"/>
      <c r="FJM6" s="2337"/>
      <c r="FJN6" s="2338"/>
      <c r="FJO6" s="2336"/>
      <c r="FJP6" s="2337"/>
      <c r="FJQ6" s="2338"/>
      <c r="FJR6" s="2336"/>
      <c r="FJS6" s="2337"/>
      <c r="FJT6" s="2338"/>
      <c r="FJU6" s="2336"/>
      <c r="FJV6" s="2337"/>
      <c r="FJW6" s="2338"/>
      <c r="FJX6" s="2336"/>
      <c r="FJY6" s="2337"/>
      <c r="FJZ6" s="2338"/>
      <c r="FKA6" s="2336"/>
      <c r="FKB6" s="2337"/>
      <c r="FKC6" s="2338"/>
      <c r="FKD6" s="2336"/>
      <c r="FKE6" s="2337"/>
      <c r="FKF6" s="2338"/>
      <c r="FKG6" s="2336"/>
      <c r="FKH6" s="2337"/>
      <c r="FKI6" s="2338"/>
      <c r="FKJ6" s="2336"/>
      <c r="FKK6" s="2337"/>
      <c r="FKL6" s="2338"/>
      <c r="FKM6" s="2336"/>
      <c r="FKN6" s="2337"/>
      <c r="FKO6" s="2338"/>
      <c r="FKP6" s="2336"/>
      <c r="FKQ6" s="2337"/>
      <c r="FKR6" s="2338"/>
      <c r="FKS6" s="2336"/>
      <c r="FKT6" s="2337"/>
      <c r="FKU6" s="2338"/>
      <c r="FKV6" s="2336"/>
      <c r="FKW6" s="2337"/>
      <c r="FKX6" s="2338"/>
      <c r="FKY6" s="2336"/>
      <c r="FKZ6" s="2337"/>
      <c r="FLA6" s="2338"/>
      <c r="FLB6" s="2336"/>
      <c r="FLC6" s="2337"/>
      <c r="FLD6" s="2338"/>
      <c r="FLE6" s="2336"/>
      <c r="FLF6" s="2337"/>
      <c r="FLG6" s="2338"/>
      <c r="FLH6" s="2336"/>
      <c r="FLI6" s="2337"/>
      <c r="FLJ6" s="2338"/>
      <c r="FLK6" s="2336"/>
      <c r="FLL6" s="2337"/>
      <c r="FLM6" s="2338"/>
      <c r="FLN6" s="2336"/>
      <c r="FLO6" s="2337"/>
      <c r="FLP6" s="2338"/>
      <c r="FLQ6" s="2336"/>
      <c r="FLR6" s="2337"/>
      <c r="FLS6" s="2338"/>
      <c r="FLT6" s="2336"/>
      <c r="FLU6" s="2337"/>
      <c r="FLV6" s="2338"/>
      <c r="FLW6" s="2336"/>
      <c r="FLX6" s="2337"/>
      <c r="FLY6" s="2338"/>
      <c r="FLZ6" s="2336"/>
      <c r="FMA6" s="2337"/>
      <c r="FMB6" s="2338"/>
      <c r="FMC6" s="2336"/>
      <c r="FMD6" s="2337"/>
      <c r="FME6" s="2338"/>
      <c r="FMF6" s="2336"/>
      <c r="FMG6" s="2337"/>
      <c r="FMH6" s="2338"/>
      <c r="FMI6" s="2336"/>
      <c r="FMJ6" s="2337"/>
      <c r="FMK6" s="2338"/>
      <c r="FML6" s="2336"/>
      <c r="FMM6" s="2337"/>
      <c r="FMN6" s="2338"/>
      <c r="FMO6" s="2336"/>
      <c r="FMP6" s="2337"/>
      <c r="FMQ6" s="2338"/>
      <c r="FMR6" s="2336"/>
      <c r="FMS6" s="2337"/>
      <c r="FMT6" s="2338"/>
      <c r="FMU6" s="2336"/>
      <c r="FMV6" s="2337"/>
      <c r="FMW6" s="2338"/>
      <c r="FMX6" s="2336"/>
      <c r="FMY6" s="2337"/>
      <c r="FMZ6" s="2338"/>
      <c r="FNA6" s="2336"/>
      <c r="FNB6" s="2337"/>
      <c r="FNC6" s="2338"/>
      <c r="FND6" s="2336"/>
      <c r="FNE6" s="2337"/>
      <c r="FNF6" s="2338"/>
      <c r="FNG6" s="2336"/>
      <c r="FNH6" s="2337"/>
      <c r="FNI6" s="2338"/>
      <c r="FNJ6" s="2336"/>
      <c r="FNK6" s="2337"/>
      <c r="FNL6" s="2338"/>
      <c r="FNM6" s="2336"/>
      <c r="FNN6" s="2337"/>
      <c r="FNO6" s="2338"/>
      <c r="FNP6" s="2336"/>
      <c r="FNQ6" s="2337"/>
      <c r="FNR6" s="2338"/>
      <c r="FNS6" s="2336"/>
      <c r="FNT6" s="2337"/>
      <c r="FNU6" s="2338"/>
      <c r="FNV6" s="2336"/>
      <c r="FNW6" s="2337"/>
      <c r="FNX6" s="2338"/>
      <c r="FNY6" s="2336"/>
      <c r="FNZ6" s="2337"/>
      <c r="FOA6" s="2338"/>
      <c r="FOB6" s="2336"/>
      <c r="FOC6" s="2337"/>
      <c r="FOD6" s="2338"/>
      <c r="FOE6" s="2336"/>
      <c r="FOF6" s="2337"/>
      <c r="FOG6" s="2338"/>
      <c r="FOH6" s="2336"/>
      <c r="FOI6" s="2337"/>
      <c r="FOJ6" s="2338"/>
      <c r="FOK6" s="2336"/>
      <c r="FOL6" s="2337"/>
      <c r="FOM6" s="2338"/>
      <c r="FON6" s="2336"/>
      <c r="FOO6" s="2337"/>
      <c r="FOP6" s="2338"/>
      <c r="FOQ6" s="2336"/>
      <c r="FOR6" s="2337"/>
      <c r="FOS6" s="2338"/>
      <c r="FOT6" s="2336"/>
      <c r="FOU6" s="2337"/>
      <c r="FOV6" s="2338"/>
      <c r="FOW6" s="2336"/>
      <c r="FOX6" s="2337"/>
      <c r="FOY6" s="2338"/>
      <c r="FOZ6" s="2336"/>
      <c r="FPA6" s="2337"/>
      <c r="FPB6" s="2338"/>
      <c r="FPC6" s="2336"/>
      <c r="FPD6" s="2337"/>
      <c r="FPE6" s="2338"/>
      <c r="FPF6" s="2336"/>
      <c r="FPG6" s="2337"/>
      <c r="FPH6" s="2338"/>
      <c r="FPI6" s="2336"/>
      <c r="FPJ6" s="2337"/>
      <c r="FPK6" s="2338"/>
      <c r="FPL6" s="2336"/>
      <c r="FPM6" s="2337"/>
      <c r="FPN6" s="2338"/>
      <c r="FPO6" s="2336"/>
      <c r="FPP6" s="2337"/>
      <c r="FPQ6" s="2338"/>
      <c r="FPR6" s="2336"/>
      <c r="FPS6" s="2337"/>
      <c r="FPT6" s="2338"/>
      <c r="FPU6" s="2336"/>
      <c r="FPV6" s="2337"/>
      <c r="FPW6" s="2338"/>
      <c r="FPX6" s="2336"/>
      <c r="FPY6" s="2337"/>
      <c r="FPZ6" s="2338"/>
      <c r="FQA6" s="2336"/>
      <c r="FQB6" s="2337"/>
      <c r="FQC6" s="2338"/>
      <c r="FQD6" s="2336"/>
      <c r="FQE6" s="2337"/>
      <c r="FQF6" s="2338"/>
      <c r="FQG6" s="2336"/>
      <c r="FQH6" s="2337"/>
      <c r="FQI6" s="2338"/>
      <c r="FQJ6" s="2336"/>
      <c r="FQK6" s="2337"/>
      <c r="FQL6" s="2338"/>
      <c r="FQM6" s="2336"/>
      <c r="FQN6" s="2337"/>
      <c r="FQO6" s="2338"/>
      <c r="FQP6" s="2336"/>
      <c r="FQQ6" s="2337"/>
      <c r="FQR6" s="2338"/>
      <c r="FQS6" s="2336"/>
      <c r="FQT6" s="2337"/>
      <c r="FQU6" s="2338"/>
      <c r="FQV6" s="2336"/>
      <c r="FQW6" s="2337"/>
      <c r="FQX6" s="2338"/>
      <c r="FQY6" s="2336"/>
      <c r="FQZ6" s="2337"/>
      <c r="FRA6" s="2338"/>
      <c r="FRB6" s="2336"/>
      <c r="FRC6" s="2337"/>
      <c r="FRD6" s="2338"/>
      <c r="FRE6" s="2336"/>
      <c r="FRF6" s="2337"/>
      <c r="FRG6" s="2338"/>
      <c r="FRH6" s="2336"/>
      <c r="FRI6" s="2337"/>
      <c r="FRJ6" s="2338"/>
      <c r="FRK6" s="2336"/>
      <c r="FRL6" s="2337"/>
      <c r="FRM6" s="2338"/>
      <c r="FRN6" s="2336"/>
      <c r="FRO6" s="2337"/>
      <c r="FRP6" s="2338"/>
      <c r="FRQ6" s="2336"/>
      <c r="FRR6" s="2337"/>
      <c r="FRS6" s="2338"/>
      <c r="FRT6" s="2336"/>
      <c r="FRU6" s="2337"/>
      <c r="FRV6" s="2338"/>
      <c r="FRW6" s="2336"/>
      <c r="FRX6" s="2337"/>
      <c r="FRY6" s="2338"/>
      <c r="FRZ6" s="2336"/>
      <c r="FSA6" s="2337"/>
      <c r="FSB6" s="2338"/>
      <c r="FSC6" s="2336"/>
      <c r="FSD6" s="2337"/>
      <c r="FSE6" s="2338"/>
      <c r="FSF6" s="2336"/>
      <c r="FSG6" s="2337"/>
      <c r="FSH6" s="2338"/>
      <c r="FSI6" s="2336"/>
      <c r="FSJ6" s="2337"/>
      <c r="FSK6" s="2338"/>
      <c r="FSL6" s="2336"/>
      <c r="FSM6" s="2337"/>
      <c r="FSN6" s="2338"/>
      <c r="FSO6" s="2336"/>
      <c r="FSP6" s="2337"/>
      <c r="FSQ6" s="2338"/>
      <c r="FSR6" s="2336"/>
      <c r="FSS6" s="2337"/>
      <c r="FST6" s="2338"/>
      <c r="FSU6" s="2336"/>
      <c r="FSV6" s="2337"/>
      <c r="FSW6" s="2338"/>
      <c r="FSX6" s="2336"/>
      <c r="FSY6" s="2337"/>
      <c r="FSZ6" s="2338"/>
      <c r="FTA6" s="2336"/>
      <c r="FTB6" s="2337"/>
      <c r="FTC6" s="2338"/>
      <c r="FTD6" s="2336"/>
      <c r="FTE6" s="2337"/>
      <c r="FTF6" s="2338"/>
      <c r="FTG6" s="2336"/>
      <c r="FTH6" s="2337"/>
      <c r="FTI6" s="2338"/>
      <c r="FTJ6" s="2336"/>
      <c r="FTK6" s="2337"/>
      <c r="FTL6" s="2338"/>
      <c r="FTM6" s="2336"/>
      <c r="FTN6" s="2337"/>
      <c r="FTO6" s="2338"/>
      <c r="FTP6" s="2336"/>
      <c r="FTQ6" s="2337"/>
      <c r="FTR6" s="2338"/>
      <c r="FTS6" s="2336"/>
      <c r="FTT6" s="2337"/>
      <c r="FTU6" s="2338"/>
      <c r="FTV6" s="2336"/>
      <c r="FTW6" s="2337"/>
      <c r="FTX6" s="2338"/>
      <c r="FTY6" s="2336"/>
      <c r="FTZ6" s="2337"/>
      <c r="FUA6" s="2338"/>
      <c r="FUB6" s="2336"/>
      <c r="FUC6" s="2337"/>
      <c r="FUD6" s="2338"/>
      <c r="FUE6" s="2336"/>
      <c r="FUF6" s="2337"/>
      <c r="FUG6" s="2338"/>
      <c r="FUH6" s="2336"/>
      <c r="FUI6" s="2337"/>
      <c r="FUJ6" s="2338"/>
      <c r="FUK6" s="2336"/>
      <c r="FUL6" s="2337"/>
      <c r="FUM6" s="2338"/>
      <c r="FUN6" s="2336"/>
      <c r="FUO6" s="2337"/>
      <c r="FUP6" s="2338"/>
      <c r="FUQ6" s="2336"/>
      <c r="FUR6" s="2337"/>
      <c r="FUS6" s="2338"/>
      <c r="FUT6" s="2336"/>
      <c r="FUU6" s="2337"/>
      <c r="FUV6" s="2338"/>
      <c r="FUW6" s="2336"/>
      <c r="FUX6" s="2337"/>
      <c r="FUY6" s="2338"/>
      <c r="FUZ6" s="2336"/>
      <c r="FVA6" s="2337"/>
      <c r="FVB6" s="2338"/>
      <c r="FVC6" s="2336"/>
      <c r="FVD6" s="2337"/>
      <c r="FVE6" s="2338"/>
      <c r="FVF6" s="2336"/>
      <c r="FVG6" s="2337"/>
      <c r="FVH6" s="2338"/>
      <c r="FVI6" s="2336"/>
      <c r="FVJ6" s="2337"/>
      <c r="FVK6" s="2338"/>
      <c r="FVL6" s="2336"/>
      <c r="FVM6" s="2337"/>
      <c r="FVN6" s="2338"/>
      <c r="FVO6" s="2336"/>
      <c r="FVP6" s="2337"/>
      <c r="FVQ6" s="2338"/>
      <c r="FVR6" s="2336"/>
      <c r="FVS6" s="2337"/>
      <c r="FVT6" s="2338"/>
      <c r="FVU6" s="2336"/>
      <c r="FVV6" s="2337"/>
      <c r="FVW6" s="2338"/>
      <c r="FVX6" s="2336"/>
      <c r="FVY6" s="2337"/>
      <c r="FVZ6" s="2338"/>
      <c r="FWA6" s="2336"/>
      <c r="FWB6" s="2337"/>
      <c r="FWC6" s="2338"/>
      <c r="FWD6" s="2336"/>
      <c r="FWE6" s="2337"/>
      <c r="FWF6" s="2338"/>
      <c r="FWG6" s="2336"/>
      <c r="FWH6" s="2337"/>
      <c r="FWI6" s="2338"/>
      <c r="FWJ6" s="2336"/>
      <c r="FWK6" s="2337"/>
      <c r="FWL6" s="2338"/>
      <c r="FWM6" s="2336"/>
      <c r="FWN6" s="2337"/>
      <c r="FWO6" s="2338"/>
      <c r="FWP6" s="2336"/>
      <c r="FWQ6" s="2337"/>
      <c r="FWR6" s="2338"/>
      <c r="FWS6" s="2336"/>
      <c r="FWT6" s="2337"/>
      <c r="FWU6" s="2338"/>
      <c r="FWV6" s="2336"/>
      <c r="FWW6" s="2337"/>
      <c r="FWX6" s="2338"/>
      <c r="FWY6" s="2336"/>
      <c r="FWZ6" s="2337"/>
      <c r="FXA6" s="2338"/>
      <c r="FXB6" s="2336"/>
      <c r="FXC6" s="2337"/>
      <c r="FXD6" s="2338"/>
      <c r="FXE6" s="2336"/>
      <c r="FXF6" s="2337"/>
      <c r="FXG6" s="2338"/>
      <c r="FXH6" s="2336"/>
      <c r="FXI6" s="2337"/>
      <c r="FXJ6" s="2338"/>
      <c r="FXK6" s="2336"/>
      <c r="FXL6" s="2337"/>
      <c r="FXM6" s="2338"/>
      <c r="FXN6" s="2336"/>
      <c r="FXO6" s="2337"/>
      <c r="FXP6" s="2338"/>
      <c r="FXQ6" s="2336"/>
      <c r="FXR6" s="2337"/>
      <c r="FXS6" s="2338"/>
      <c r="FXT6" s="2336"/>
      <c r="FXU6" s="2337"/>
      <c r="FXV6" s="2338"/>
      <c r="FXW6" s="2336"/>
      <c r="FXX6" s="2337"/>
      <c r="FXY6" s="2338"/>
      <c r="FXZ6" s="2336"/>
      <c r="FYA6" s="2337"/>
      <c r="FYB6" s="2338"/>
      <c r="FYC6" s="2336"/>
      <c r="FYD6" s="2337"/>
      <c r="FYE6" s="2338"/>
      <c r="FYF6" s="2336"/>
      <c r="FYG6" s="2337"/>
      <c r="FYH6" s="2338"/>
      <c r="FYI6" s="2336"/>
      <c r="FYJ6" s="2337"/>
      <c r="FYK6" s="2338"/>
      <c r="FYL6" s="2336"/>
      <c r="FYM6" s="2337"/>
      <c r="FYN6" s="2338"/>
      <c r="FYO6" s="2336"/>
      <c r="FYP6" s="2337"/>
      <c r="FYQ6" s="2338"/>
      <c r="FYR6" s="2336"/>
      <c r="FYS6" s="2337"/>
      <c r="FYT6" s="2338"/>
      <c r="FYU6" s="2336"/>
      <c r="FYV6" s="2337"/>
      <c r="FYW6" s="2338"/>
      <c r="FYX6" s="2336"/>
      <c r="FYY6" s="2337"/>
      <c r="FYZ6" s="2338"/>
      <c r="FZA6" s="2336"/>
      <c r="FZB6" s="2337"/>
      <c r="FZC6" s="2338"/>
      <c r="FZD6" s="2336"/>
      <c r="FZE6" s="2337"/>
      <c r="FZF6" s="2338"/>
      <c r="FZG6" s="2336"/>
      <c r="FZH6" s="2337"/>
      <c r="FZI6" s="2338"/>
      <c r="FZJ6" s="2336"/>
      <c r="FZK6" s="2337"/>
      <c r="FZL6" s="2338"/>
      <c r="FZM6" s="2336"/>
      <c r="FZN6" s="2337"/>
      <c r="FZO6" s="2338"/>
      <c r="FZP6" s="2336"/>
      <c r="FZQ6" s="2337"/>
      <c r="FZR6" s="2338"/>
      <c r="FZS6" s="2336"/>
      <c r="FZT6" s="2337"/>
      <c r="FZU6" s="2338"/>
      <c r="FZV6" s="2336"/>
      <c r="FZW6" s="2337"/>
      <c r="FZX6" s="2338"/>
      <c r="FZY6" s="2336"/>
      <c r="FZZ6" s="2337"/>
      <c r="GAA6" s="2338"/>
      <c r="GAB6" s="2336"/>
      <c r="GAC6" s="2337"/>
      <c r="GAD6" s="2338"/>
      <c r="GAE6" s="2336"/>
      <c r="GAF6" s="2337"/>
      <c r="GAG6" s="2338"/>
      <c r="GAH6" s="2336"/>
      <c r="GAI6" s="2337"/>
      <c r="GAJ6" s="2338"/>
      <c r="GAK6" s="2336"/>
      <c r="GAL6" s="2337"/>
      <c r="GAM6" s="2338"/>
      <c r="GAN6" s="2336"/>
      <c r="GAO6" s="2337"/>
      <c r="GAP6" s="2338"/>
      <c r="GAQ6" s="2336"/>
      <c r="GAR6" s="2337"/>
      <c r="GAS6" s="2338"/>
      <c r="GAT6" s="2336"/>
      <c r="GAU6" s="2337"/>
      <c r="GAV6" s="2338"/>
      <c r="GAW6" s="2336"/>
      <c r="GAX6" s="2337"/>
      <c r="GAY6" s="2338"/>
      <c r="GAZ6" s="2336"/>
      <c r="GBA6" s="2337"/>
      <c r="GBB6" s="2338"/>
      <c r="GBC6" s="2336"/>
      <c r="GBD6" s="2337"/>
      <c r="GBE6" s="2338"/>
      <c r="GBF6" s="2336"/>
      <c r="GBG6" s="2337"/>
      <c r="GBH6" s="2338"/>
      <c r="GBI6" s="2336"/>
      <c r="GBJ6" s="2337"/>
      <c r="GBK6" s="2338"/>
      <c r="GBL6" s="2336"/>
      <c r="GBM6" s="2337"/>
      <c r="GBN6" s="2338"/>
      <c r="GBO6" s="2336"/>
      <c r="GBP6" s="2337"/>
      <c r="GBQ6" s="2338"/>
      <c r="GBR6" s="2336"/>
      <c r="GBS6" s="2337"/>
      <c r="GBT6" s="2338"/>
      <c r="GBU6" s="2336"/>
      <c r="GBV6" s="2337"/>
      <c r="GBW6" s="2338"/>
      <c r="GBX6" s="2336"/>
      <c r="GBY6" s="2337"/>
      <c r="GBZ6" s="2338"/>
      <c r="GCA6" s="2336"/>
      <c r="GCB6" s="2337"/>
      <c r="GCC6" s="2338"/>
      <c r="GCD6" s="2336"/>
      <c r="GCE6" s="2337"/>
      <c r="GCF6" s="2338"/>
      <c r="GCG6" s="2336"/>
      <c r="GCH6" s="2337"/>
      <c r="GCI6" s="2338"/>
      <c r="GCJ6" s="2336"/>
      <c r="GCK6" s="2337"/>
      <c r="GCL6" s="2338"/>
      <c r="GCM6" s="2336"/>
      <c r="GCN6" s="2337"/>
      <c r="GCO6" s="2338"/>
      <c r="GCP6" s="2336"/>
      <c r="GCQ6" s="2337"/>
      <c r="GCR6" s="2338"/>
      <c r="GCS6" s="2336"/>
      <c r="GCT6" s="2337"/>
      <c r="GCU6" s="2338"/>
      <c r="GCV6" s="2336"/>
      <c r="GCW6" s="2337"/>
      <c r="GCX6" s="2338"/>
      <c r="GCY6" s="2336"/>
      <c r="GCZ6" s="2337"/>
      <c r="GDA6" s="2338"/>
      <c r="GDB6" s="2336"/>
      <c r="GDC6" s="2337"/>
      <c r="GDD6" s="2338"/>
      <c r="GDE6" s="2336"/>
      <c r="GDF6" s="2337"/>
      <c r="GDG6" s="2338"/>
      <c r="GDH6" s="2336"/>
      <c r="GDI6" s="2337"/>
      <c r="GDJ6" s="2338"/>
      <c r="GDK6" s="2336"/>
      <c r="GDL6" s="2337"/>
      <c r="GDM6" s="2338"/>
      <c r="GDN6" s="2336"/>
      <c r="GDO6" s="2337"/>
      <c r="GDP6" s="2338"/>
      <c r="GDQ6" s="2336"/>
      <c r="GDR6" s="2337"/>
      <c r="GDS6" s="2338"/>
      <c r="GDT6" s="2336"/>
      <c r="GDU6" s="2337"/>
      <c r="GDV6" s="2338"/>
      <c r="GDW6" s="2336"/>
      <c r="GDX6" s="2337"/>
      <c r="GDY6" s="2338"/>
      <c r="GDZ6" s="2336"/>
      <c r="GEA6" s="2337"/>
      <c r="GEB6" s="2338"/>
      <c r="GEC6" s="2336"/>
      <c r="GED6" s="2337"/>
      <c r="GEE6" s="2338"/>
      <c r="GEF6" s="2336"/>
      <c r="GEG6" s="2337"/>
      <c r="GEH6" s="2338"/>
      <c r="GEI6" s="2336"/>
      <c r="GEJ6" s="2337"/>
      <c r="GEK6" s="2338"/>
      <c r="GEL6" s="2336"/>
      <c r="GEM6" s="2337"/>
      <c r="GEN6" s="2338"/>
      <c r="GEO6" s="2336"/>
      <c r="GEP6" s="2337"/>
      <c r="GEQ6" s="2338"/>
      <c r="GER6" s="2336"/>
      <c r="GES6" s="2337"/>
      <c r="GET6" s="2338"/>
      <c r="GEU6" s="2336"/>
      <c r="GEV6" s="2337"/>
      <c r="GEW6" s="2338"/>
      <c r="GEX6" s="2336"/>
      <c r="GEY6" s="2337"/>
      <c r="GEZ6" s="2338"/>
      <c r="GFA6" s="2336"/>
      <c r="GFB6" s="2337"/>
      <c r="GFC6" s="2338"/>
      <c r="GFD6" s="2336"/>
      <c r="GFE6" s="2337"/>
      <c r="GFF6" s="2338"/>
      <c r="GFG6" s="2336"/>
      <c r="GFH6" s="2337"/>
      <c r="GFI6" s="2338"/>
      <c r="GFJ6" s="2336"/>
      <c r="GFK6" s="2337"/>
      <c r="GFL6" s="2338"/>
      <c r="GFM6" s="2336"/>
      <c r="GFN6" s="2337"/>
      <c r="GFO6" s="2338"/>
      <c r="GFP6" s="2336"/>
      <c r="GFQ6" s="2337"/>
      <c r="GFR6" s="2338"/>
      <c r="GFS6" s="2336"/>
      <c r="GFT6" s="2337"/>
      <c r="GFU6" s="2338"/>
      <c r="GFV6" s="2336"/>
      <c r="GFW6" s="2337"/>
      <c r="GFX6" s="2338"/>
      <c r="GFY6" s="2336"/>
      <c r="GFZ6" s="2337"/>
      <c r="GGA6" s="2338"/>
      <c r="GGB6" s="2336"/>
      <c r="GGC6" s="2337"/>
      <c r="GGD6" s="2338"/>
      <c r="GGE6" s="2336"/>
      <c r="GGF6" s="2337"/>
      <c r="GGG6" s="2338"/>
      <c r="GGH6" s="2336"/>
      <c r="GGI6" s="2337"/>
      <c r="GGJ6" s="2338"/>
      <c r="GGK6" s="2336"/>
      <c r="GGL6" s="2337"/>
      <c r="GGM6" s="2338"/>
      <c r="GGN6" s="2336"/>
      <c r="GGO6" s="2337"/>
      <c r="GGP6" s="2338"/>
      <c r="GGQ6" s="2336"/>
      <c r="GGR6" s="2337"/>
      <c r="GGS6" s="2338"/>
      <c r="GGT6" s="2336"/>
      <c r="GGU6" s="2337"/>
      <c r="GGV6" s="2338"/>
      <c r="GGW6" s="2336"/>
      <c r="GGX6" s="2337"/>
      <c r="GGY6" s="2338"/>
      <c r="GGZ6" s="2336"/>
      <c r="GHA6" s="2337"/>
      <c r="GHB6" s="2338"/>
      <c r="GHC6" s="2336"/>
      <c r="GHD6" s="2337"/>
      <c r="GHE6" s="2338"/>
      <c r="GHF6" s="2336"/>
      <c r="GHG6" s="2337"/>
      <c r="GHH6" s="2338"/>
      <c r="GHI6" s="2336"/>
      <c r="GHJ6" s="2337"/>
      <c r="GHK6" s="2338"/>
      <c r="GHL6" s="2336"/>
      <c r="GHM6" s="2337"/>
      <c r="GHN6" s="2338"/>
      <c r="GHO6" s="2336"/>
      <c r="GHP6" s="2337"/>
      <c r="GHQ6" s="2338"/>
      <c r="GHR6" s="2336"/>
      <c r="GHS6" s="2337"/>
      <c r="GHT6" s="2338"/>
      <c r="GHU6" s="2336"/>
      <c r="GHV6" s="2337"/>
      <c r="GHW6" s="2338"/>
      <c r="GHX6" s="2336"/>
      <c r="GHY6" s="2337"/>
      <c r="GHZ6" s="2338"/>
      <c r="GIA6" s="2336"/>
      <c r="GIB6" s="2337"/>
      <c r="GIC6" s="2338"/>
      <c r="GID6" s="2336"/>
      <c r="GIE6" s="2337"/>
      <c r="GIF6" s="2338"/>
      <c r="GIG6" s="2336"/>
      <c r="GIH6" s="2337"/>
      <c r="GII6" s="2338"/>
      <c r="GIJ6" s="2336"/>
      <c r="GIK6" s="2337"/>
      <c r="GIL6" s="2338"/>
      <c r="GIM6" s="2336"/>
      <c r="GIN6" s="2337"/>
      <c r="GIO6" s="2338"/>
      <c r="GIP6" s="2336"/>
      <c r="GIQ6" s="2337"/>
      <c r="GIR6" s="2338"/>
      <c r="GIS6" s="2336"/>
      <c r="GIT6" s="2337"/>
      <c r="GIU6" s="2338"/>
      <c r="GIV6" s="2336"/>
      <c r="GIW6" s="2337"/>
      <c r="GIX6" s="2338"/>
      <c r="GIY6" s="2336"/>
      <c r="GIZ6" s="2337"/>
      <c r="GJA6" s="2338"/>
      <c r="GJB6" s="2336"/>
      <c r="GJC6" s="2337"/>
      <c r="GJD6" s="2338"/>
      <c r="GJE6" s="2336"/>
      <c r="GJF6" s="2337"/>
      <c r="GJG6" s="2338"/>
      <c r="GJH6" s="2336"/>
      <c r="GJI6" s="2337"/>
      <c r="GJJ6" s="2338"/>
      <c r="GJK6" s="2336"/>
      <c r="GJL6" s="2337"/>
      <c r="GJM6" s="2338"/>
      <c r="GJN6" s="2336"/>
      <c r="GJO6" s="2337"/>
      <c r="GJP6" s="2338"/>
      <c r="GJQ6" s="2336"/>
      <c r="GJR6" s="2337"/>
      <c r="GJS6" s="2338"/>
      <c r="GJT6" s="2336"/>
      <c r="GJU6" s="2337"/>
      <c r="GJV6" s="2338"/>
      <c r="GJW6" s="2336"/>
      <c r="GJX6" s="2337"/>
      <c r="GJY6" s="2338"/>
      <c r="GJZ6" s="2336"/>
      <c r="GKA6" s="2337"/>
      <c r="GKB6" s="2338"/>
      <c r="GKC6" s="2336"/>
      <c r="GKD6" s="2337"/>
      <c r="GKE6" s="2338"/>
      <c r="GKF6" s="2336"/>
      <c r="GKG6" s="2337"/>
      <c r="GKH6" s="2338"/>
      <c r="GKI6" s="2336"/>
      <c r="GKJ6" s="2337"/>
      <c r="GKK6" s="2338"/>
      <c r="GKL6" s="2336"/>
      <c r="GKM6" s="2337"/>
      <c r="GKN6" s="2338"/>
      <c r="GKO6" s="2336"/>
      <c r="GKP6" s="2337"/>
      <c r="GKQ6" s="2338"/>
      <c r="GKR6" s="2336"/>
      <c r="GKS6" s="2337"/>
      <c r="GKT6" s="2338"/>
      <c r="GKU6" s="2336"/>
      <c r="GKV6" s="2337"/>
      <c r="GKW6" s="2338"/>
      <c r="GKX6" s="2336"/>
      <c r="GKY6" s="2337"/>
      <c r="GKZ6" s="2338"/>
      <c r="GLA6" s="2336"/>
      <c r="GLB6" s="2337"/>
      <c r="GLC6" s="2338"/>
      <c r="GLD6" s="2336"/>
      <c r="GLE6" s="2337"/>
      <c r="GLF6" s="2338"/>
      <c r="GLG6" s="2336"/>
      <c r="GLH6" s="2337"/>
      <c r="GLI6" s="2338"/>
      <c r="GLJ6" s="2336"/>
      <c r="GLK6" s="2337"/>
      <c r="GLL6" s="2338"/>
      <c r="GLM6" s="2336"/>
      <c r="GLN6" s="2337"/>
      <c r="GLO6" s="2338"/>
      <c r="GLP6" s="2336"/>
      <c r="GLQ6" s="2337"/>
      <c r="GLR6" s="2338"/>
      <c r="GLS6" s="2336"/>
      <c r="GLT6" s="2337"/>
      <c r="GLU6" s="2338"/>
      <c r="GLV6" s="2336"/>
      <c r="GLW6" s="2337"/>
      <c r="GLX6" s="2338"/>
      <c r="GLY6" s="2336"/>
      <c r="GLZ6" s="2337"/>
      <c r="GMA6" s="2338"/>
      <c r="GMB6" s="2336"/>
      <c r="GMC6" s="2337"/>
      <c r="GMD6" s="2338"/>
      <c r="GME6" s="2336"/>
      <c r="GMF6" s="2337"/>
      <c r="GMG6" s="2338"/>
      <c r="GMH6" s="2336"/>
      <c r="GMI6" s="2337"/>
      <c r="GMJ6" s="2338"/>
      <c r="GMK6" s="2336"/>
      <c r="GML6" s="2337"/>
      <c r="GMM6" s="2338"/>
      <c r="GMN6" s="2336"/>
      <c r="GMO6" s="2337"/>
      <c r="GMP6" s="2338"/>
      <c r="GMQ6" s="2336"/>
      <c r="GMR6" s="2337"/>
      <c r="GMS6" s="2338"/>
      <c r="GMT6" s="2336"/>
      <c r="GMU6" s="2337"/>
      <c r="GMV6" s="2338"/>
      <c r="GMW6" s="2336"/>
      <c r="GMX6" s="2337"/>
      <c r="GMY6" s="2338"/>
      <c r="GMZ6" s="2336"/>
      <c r="GNA6" s="2337"/>
      <c r="GNB6" s="2338"/>
      <c r="GNC6" s="2336"/>
      <c r="GND6" s="2337"/>
      <c r="GNE6" s="2338"/>
      <c r="GNF6" s="2336"/>
      <c r="GNG6" s="2337"/>
      <c r="GNH6" s="2338"/>
      <c r="GNI6" s="2336"/>
      <c r="GNJ6" s="2337"/>
      <c r="GNK6" s="2338"/>
      <c r="GNL6" s="2336"/>
      <c r="GNM6" s="2337"/>
      <c r="GNN6" s="2338"/>
      <c r="GNO6" s="2336"/>
      <c r="GNP6" s="2337"/>
      <c r="GNQ6" s="2338"/>
      <c r="GNR6" s="2336"/>
      <c r="GNS6" s="2337"/>
      <c r="GNT6" s="2338"/>
      <c r="GNU6" s="2336"/>
      <c r="GNV6" s="2337"/>
      <c r="GNW6" s="2338"/>
      <c r="GNX6" s="2336"/>
      <c r="GNY6" s="2337"/>
      <c r="GNZ6" s="2338"/>
      <c r="GOA6" s="2336"/>
      <c r="GOB6" s="2337"/>
      <c r="GOC6" s="2338"/>
      <c r="GOD6" s="2336"/>
      <c r="GOE6" s="2337"/>
      <c r="GOF6" s="2338"/>
      <c r="GOG6" s="2336"/>
      <c r="GOH6" s="2337"/>
      <c r="GOI6" s="2338"/>
      <c r="GOJ6" s="2336"/>
      <c r="GOK6" s="2337"/>
      <c r="GOL6" s="2338"/>
      <c r="GOM6" s="2336"/>
      <c r="GON6" s="2337"/>
      <c r="GOO6" s="2338"/>
      <c r="GOP6" s="2336"/>
      <c r="GOQ6" s="2337"/>
      <c r="GOR6" s="2338"/>
      <c r="GOS6" s="2336"/>
      <c r="GOT6" s="2337"/>
      <c r="GOU6" s="2338"/>
      <c r="GOV6" s="2336"/>
      <c r="GOW6" s="2337"/>
      <c r="GOX6" s="2338"/>
      <c r="GOY6" s="2336"/>
      <c r="GOZ6" s="2337"/>
      <c r="GPA6" s="2338"/>
      <c r="GPB6" s="2336"/>
      <c r="GPC6" s="2337"/>
      <c r="GPD6" s="2338"/>
      <c r="GPE6" s="2336"/>
      <c r="GPF6" s="2337"/>
      <c r="GPG6" s="2338"/>
      <c r="GPH6" s="2336"/>
      <c r="GPI6" s="2337"/>
      <c r="GPJ6" s="2338"/>
      <c r="GPK6" s="2336"/>
      <c r="GPL6" s="2337"/>
      <c r="GPM6" s="2338"/>
      <c r="GPN6" s="2336"/>
      <c r="GPO6" s="2337"/>
      <c r="GPP6" s="2338"/>
      <c r="GPQ6" s="2336"/>
      <c r="GPR6" s="2337"/>
      <c r="GPS6" s="2338"/>
      <c r="GPT6" s="2336"/>
      <c r="GPU6" s="2337"/>
      <c r="GPV6" s="2338"/>
      <c r="GPW6" s="2336"/>
      <c r="GPX6" s="2337"/>
      <c r="GPY6" s="2338"/>
      <c r="GPZ6" s="2336"/>
      <c r="GQA6" s="2337"/>
      <c r="GQB6" s="2338"/>
      <c r="GQC6" s="2336"/>
      <c r="GQD6" s="2337"/>
      <c r="GQE6" s="2338"/>
      <c r="GQF6" s="2336"/>
      <c r="GQG6" s="2337"/>
      <c r="GQH6" s="2338"/>
      <c r="GQI6" s="2336"/>
      <c r="GQJ6" s="2337"/>
      <c r="GQK6" s="2338"/>
      <c r="GQL6" s="2336"/>
      <c r="GQM6" s="2337"/>
      <c r="GQN6" s="2338"/>
      <c r="GQO6" s="2336"/>
      <c r="GQP6" s="2337"/>
      <c r="GQQ6" s="2338"/>
      <c r="GQR6" s="2336"/>
      <c r="GQS6" s="2337"/>
      <c r="GQT6" s="2338"/>
      <c r="GQU6" s="2336"/>
      <c r="GQV6" s="2337"/>
      <c r="GQW6" s="2338"/>
      <c r="GQX6" s="2336"/>
      <c r="GQY6" s="2337"/>
      <c r="GQZ6" s="2338"/>
      <c r="GRA6" s="2336"/>
      <c r="GRB6" s="2337"/>
      <c r="GRC6" s="2338"/>
      <c r="GRD6" s="2336"/>
      <c r="GRE6" s="2337"/>
      <c r="GRF6" s="2338"/>
      <c r="GRG6" s="2336"/>
      <c r="GRH6" s="2337"/>
      <c r="GRI6" s="2338"/>
      <c r="GRJ6" s="2336"/>
      <c r="GRK6" s="2337"/>
      <c r="GRL6" s="2338"/>
      <c r="GRM6" s="2336"/>
      <c r="GRN6" s="2337"/>
      <c r="GRO6" s="2338"/>
      <c r="GRP6" s="2336"/>
      <c r="GRQ6" s="2337"/>
      <c r="GRR6" s="2338"/>
      <c r="GRS6" s="2336"/>
      <c r="GRT6" s="2337"/>
      <c r="GRU6" s="2338"/>
      <c r="GRV6" s="2336"/>
      <c r="GRW6" s="2337"/>
      <c r="GRX6" s="2338"/>
      <c r="GRY6" s="2336"/>
      <c r="GRZ6" s="2337"/>
      <c r="GSA6" s="2338"/>
      <c r="GSB6" s="2336"/>
      <c r="GSC6" s="2337"/>
      <c r="GSD6" s="2338"/>
      <c r="GSE6" s="2336"/>
      <c r="GSF6" s="2337"/>
      <c r="GSG6" s="2338"/>
      <c r="GSH6" s="2336"/>
      <c r="GSI6" s="2337"/>
      <c r="GSJ6" s="2338"/>
      <c r="GSK6" s="2336"/>
      <c r="GSL6" s="2337"/>
      <c r="GSM6" s="2338"/>
      <c r="GSN6" s="2336"/>
      <c r="GSO6" s="2337"/>
      <c r="GSP6" s="2338"/>
      <c r="GSQ6" s="2336"/>
      <c r="GSR6" s="2337"/>
      <c r="GSS6" s="2338"/>
      <c r="GST6" s="2336"/>
      <c r="GSU6" s="2337"/>
      <c r="GSV6" s="2338"/>
      <c r="GSW6" s="2336"/>
      <c r="GSX6" s="2337"/>
      <c r="GSY6" s="2338"/>
      <c r="GSZ6" s="2336"/>
      <c r="GTA6" s="2337"/>
      <c r="GTB6" s="2338"/>
      <c r="GTC6" s="2336"/>
      <c r="GTD6" s="2337"/>
      <c r="GTE6" s="2338"/>
      <c r="GTF6" s="2336"/>
      <c r="GTG6" s="2337"/>
      <c r="GTH6" s="2338"/>
      <c r="GTI6" s="2336"/>
      <c r="GTJ6" s="2337"/>
      <c r="GTK6" s="2338"/>
      <c r="GTL6" s="2336"/>
      <c r="GTM6" s="2337"/>
      <c r="GTN6" s="2338"/>
      <c r="GTO6" s="2336"/>
      <c r="GTP6" s="2337"/>
      <c r="GTQ6" s="2338"/>
      <c r="GTR6" s="2336"/>
      <c r="GTS6" s="2337"/>
      <c r="GTT6" s="2338"/>
      <c r="GTU6" s="2336"/>
      <c r="GTV6" s="2337"/>
      <c r="GTW6" s="2338"/>
      <c r="GTX6" s="2336"/>
      <c r="GTY6" s="2337"/>
      <c r="GTZ6" s="2338"/>
      <c r="GUA6" s="2336"/>
      <c r="GUB6" s="2337"/>
      <c r="GUC6" s="2338"/>
      <c r="GUD6" s="2336"/>
      <c r="GUE6" s="2337"/>
      <c r="GUF6" s="2338"/>
      <c r="GUG6" s="2336"/>
      <c r="GUH6" s="2337"/>
      <c r="GUI6" s="2338"/>
      <c r="GUJ6" s="2336"/>
      <c r="GUK6" s="2337"/>
      <c r="GUL6" s="2338"/>
      <c r="GUM6" s="2336"/>
      <c r="GUN6" s="2337"/>
      <c r="GUO6" s="2338"/>
      <c r="GUP6" s="2336"/>
      <c r="GUQ6" s="2337"/>
      <c r="GUR6" s="2338"/>
      <c r="GUS6" s="2336"/>
      <c r="GUT6" s="2337"/>
      <c r="GUU6" s="2338"/>
      <c r="GUV6" s="2336"/>
      <c r="GUW6" s="2337"/>
      <c r="GUX6" s="2338"/>
      <c r="GUY6" s="2336"/>
      <c r="GUZ6" s="2337"/>
      <c r="GVA6" s="2338"/>
      <c r="GVB6" s="2336"/>
      <c r="GVC6" s="2337"/>
      <c r="GVD6" s="2338"/>
      <c r="GVE6" s="2336"/>
      <c r="GVF6" s="2337"/>
      <c r="GVG6" s="2338"/>
      <c r="GVH6" s="2336"/>
      <c r="GVI6" s="2337"/>
      <c r="GVJ6" s="2338"/>
      <c r="GVK6" s="2336"/>
      <c r="GVL6" s="2337"/>
      <c r="GVM6" s="2338"/>
      <c r="GVN6" s="2336"/>
      <c r="GVO6" s="2337"/>
      <c r="GVP6" s="2338"/>
      <c r="GVQ6" s="2336"/>
      <c r="GVR6" s="2337"/>
      <c r="GVS6" s="2338"/>
      <c r="GVT6" s="2336"/>
      <c r="GVU6" s="2337"/>
      <c r="GVV6" s="2338"/>
      <c r="GVW6" s="2336"/>
      <c r="GVX6" s="2337"/>
      <c r="GVY6" s="2338"/>
      <c r="GVZ6" s="2336"/>
      <c r="GWA6" s="2337"/>
      <c r="GWB6" s="2338"/>
      <c r="GWC6" s="2336"/>
      <c r="GWD6" s="2337"/>
      <c r="GWE6" s="2338"/>
      <c r="GWF6" s="2336"/>
      <c r="GWG6" s="2337"/>
      <c r="GWH6" s="2338"/>
      <c r="GWI6" s="2336"/>
      <c r="GWJ6" s="2337"/>
      <c r="GWK6" s="2338"/>
      <c r="GWL6" s="2336"/>
      <c r="GWM6" s="2337"/>
      <c r="GWN6" s="2338"/>
      <c r="GWO6" s="2336"/>
      <c r="GWP6" s="2337"/>
      <c r="GWQ6" s="2338"/>
      <c r="GWR6" s="2336"/>
      <c r="GWS6" s="2337"/>
      <c r="GWT6" s="2338"/>
      <c r="GWU6" s="2336"/>
      <c r="GWV6" s="2337"/>
      <c r="GWW6" s="2338"/>
      <c r="GWX6" s="2336"/>
      <c r="GWY6" s="2337"/>
      <c r="GWZ6" s="2338"/>
      <c r="GXA6" s="2336"/>
      <c r="GXB6" s="2337"/>
      <c r="GXC6" s="2338"/>
      <c r="GXD6" s="2336"/>
      <c r="GXE6" s="2337"/>
      <c r="GXF6" s="2338"/>
      <c r="GXG6" s="2336"/>
      <c r="GXH6" s="2337"/>
      <c r="GXI6" s="2338"/>
      <c r="GXJ6" s="2336"/>
      <c r="GXK6" s="2337"/>
      <c r="GXL6" s="2338"/>
      <c r="GXM6" s="2336"/>
      <c r="GXN6" s="2337"/>
      <c r="GXO6" s="2338"/>
      <c r="GXP6" s="2336"/>
      <c r="GXQ6" s="2337"/>
      <c r="GXR6" s="2338"/>
      <c r="GXS6" s="2336"/>
      <c r="GXT6" s="2337"/>
      <c r="GXU6" s="2338"/>
      <c r="GXV6" s="2336"/>
      <c r="GXW6" s="2337"/>
      <c r="GXX6" s="2338"/>
      <c r="GXY6" s="2336"/>
      <c r="GXZ6" s="2337"/>
      <c r="GYA6" s="2338"/>
      <c r="GYB6" s="2336"/>
      <c r="GYC6" s="2337"/>
      <c r="GYD6" s="2338"/>
      <c r="GYE6" s="2336"/>
      <c r="GYF6" s="2337"/>
      <c r="GYG6" s="2338"/>
      <c r="GYH6" s="2336"/>
      <c r="GYI6" s="2337"/>
      <c r="GYJ6" s="2338"/>
      <c r="GYK6" s="2336"/>
      <c r="GYL6" s="2337"/>
      <c r="GYM6" s="2338"/>
      <c r="GYN6" s="2336"/>
      <c r="GYO6" s="2337"/>
      <c r="GYP6" s="2338"/>
      <c r="GYQ6" s="2336"/>
      <c r="GYR6" s="2337"/>
      <c r="GYS6" s="2338"/>
      <c r="GYT6" s="2336"/>
      <c r="GYU6" s="2337"/>
      <c r="GYV6" s="2338"/>
      <c r="GYW6" s="2336"/>
      <c r="GYX6" s="2337"/>
      <c r="GYY6" s="2338"/>
      <c r="GYZ6" s="2336"/>
      <c r="GZA6" s="2337"/>
      <c r="GZB6" s="2338"/>
      <c r="GZC6" s="2336"/>
      <c r="GZD6" s="2337"/>
      <c r="GZE6" s="2338"/>
      <c r="GZF6" s="2336"/>
      <c r="GZG6" s="2337"/>
      <c r="GZH6" s="2338"/>
      <c r="GZI6" s="2336"/>
      <c r="GZJ6" s="2337"/>
      <c r="GZK6" s="2338"/>
      <c r="GZL6" s="2336"/>
      <c r="GZM6" s="2337"/>
      <c r="GZN6" s="2338"/>
      <c r="GZO6" s="2336"/>
      <c r="GZP6" s="2337"/>
      <c r="GZQ6" s="2338"/>
      <c r="GZR6" s="2336"/>
      <c r="GZS6" s="2337"/>
      <c r="GZT6" s="2338"/>
      <c r="GZU6" s="2336"/>
      <c r="GZV6" s="2337"/>
      <c r="GZW6" s="2338"/>
      <c r="GZX6" s="2336"/>
      <c r="GZY6" s="2337"/>
      <c r="GZZ6" s="2338"/>
      <c r="HAA6" s="2336"/>
      <c r="HAB6" s="2337"/>
      <c r="HAC6" s="2338"/>
      <c r="HAD6" s="2336"/>
      <c r="HAE6" s="2337"/>
      <c r="HAF6" s="2338"/>
      <c r="HAG6" s="2336"/>
      <c r="HAH6" s="2337"/>
      <c r="HAI6" s="2338"/>
      <c r="HAJ6" s="2336"/>
      <c r="HAK6" s="2337"/>
      <c r="HAL6" s="2338"/>
      <c r="HAM6" s="2336"/>
      <c r="HAN6" s="2337"/>
      <c r="HAO6" s="2338"/>
      <c r="HAP6" s="2336"/>
      <c r="HAQ6" s="2337"/>
      <c r="HAR6" s="2338"/>
      <c r="HAS6" s="2336"/>
      <c r="HAT6" s="2337"/>
      <c r="HAU6" s="2338"/>
      <c r="HAV6" s="2336"/>
      <c r="HAW6" s="2337"/>
      <c r="HAX6" s="2338"/>
      <c r="HAY6" s="2336"/>
      <c r="HAZ6" s="2337"/>
      <c r="HBA6" s="2338"/>
      <c r="HBB6" s="2336"/>
      <c r="HBC6" s="2337"/>
      <c r="HBD6" s="2338"/>
      <c r="HBE6" s="2336"/>
      <c r="HBF6" s="2337"/>
      <c r="HBG6" s="2338"/>
      <c r="HBH6" s="2336"/>
      <c r="HBI6" s="2337"/>
      <c r="HBJ6" s="2338"/>
      <c r="HBK6" s="2336"/>
      <c r="HBL6" s="2337"/>
      <c r="HBM6" s="2338"/>
      <c r="HBN6" s="2336"/>
      <c r="HBO6" s="2337"/>
      <c r="HBP6" s="2338"/>
      <c r="HBQ6" s="2336"/>
      <c r="HBR6" s="2337"/>
      <c r="HBS6" s="2338"/>
      <c r="HBT6" s="2336"/>
      <c r="HBU6" s="2337"/>
      <c r="HBV6" s="2338"/>
      <c r="HBW6" s="2336"/>
      <c r="HBX6" s="2337"/>
      <c r="HBY6" s="2338"/>
      <c r="HBZ6" s="2336"/>
      <c r="HCA6" s="2337"/>
      <c r="HCB6" s="2338"/>
      <c r="HCC6" s="2336"/>
      <c r="HCD6" s="2337"/>
      <c r="HCE6" s="2338"/>
      <c r="HCF6" s="2336"/>
      <c r="HCG6" s="2337"/>
      <c r="HCH6" s="2338"/>
      <c r="HCI6" s="2336"/>
      <c r="HCJ6" s="2337"/>
      <c r="HCK6" s="2338"/>
      <c r="HCL6" s="2336"/>
      <c r="HCM6" s="2337"/>
      <c r="HCN6" s="2338"/>
      <c r="HCO6" s="2336"/>
      <c r="HCP6" s="2337"/>
      <c r="HCQ6" s="2338"/>
      <c r="HCR6" s="2336"/>
      <c r="HCS6" s="2337"/>
      <c r="HCT6" s="2338"/>
      <c r="HCU6" s="2336"/>
      <c r="HCV6" s="2337"/>
      <c r="HCW6" s="2338"/>
      <c r="HCX6" s="2336"/>
      <c r="HCY6" s="2337"/>
      <c r="HCZ6" s="2338"/>
      <c r="HDA6" s="2336"/>
      <c r="HDB6" s="2337"/>
      <c r="HDC6" s="2338"/>
      <c r="HDD6" s="2336"/>
      <c r="HDE6" s="2337"/>
      <c r="HDF6" s="2338"/>
      <c r="HDG6" s="2336"/>
      <c r="HDH6" s="2337"/>
      <c r="HDI6" s="2338"/>
      <c r="HDJ6" s="2336"/>
      <c r="HDK6" s="2337"/>
      <c r="HDL6" s="2338"/>
      <c r="HDM6" s="2336"/>
      <c r="HDN6" s="2337"/>
      <c r="HDO6" s="2338"/>
      <c r="HDP6" s="2336"/>
      <c r="HDQ6" s="2337"/>
      <c r="HDR6" s="2338"/>
      <c r="HDS6" s="2336"/>
      <c r="HDT6" s="2337"/>
      <c r="HDU6" s="2338"/>
      <c r="HDV6" s="2336"/>
      <c r="HDW6" s="2337"/>
      <c r="HDX6" s="2338"/>
      <c r="HDY6" s="2336"/>
      <c r="HDZ6" s="2337"/>
      <c r="HEA6" s="2338"/>
      <c r="HEB6" s="2336"/>
      <c r="HEC6" s="2337"/>
      <c r="HED6" s="2338"/>
      <c r="HEE6" s="2336"/>
      <c r="HEF6" s="2337"/>
      <c r="HEG6" s="2338"/>
      <c r="HEH6" s="2336"/>
      <c r="HEI6" s="2337"/>
      <c r="HEJ6" s="2338"/>
      <c r="HEK6" s="2336"/>
      <c r="HEL6" s="2337"/>
      <c r="HEM6" s="2338"/>
      <c r="HEN6" s="2336"/>
      <c r="HEO6" s="2337"/>
      <c r="HEP6" s="2338"/>
      <c r="HEQ6" s="2336"/>
      <c r="HER6" s="2337"/>
      <c r="HES6" s="2338"/>
      <c r="HET6" s="2336"/>
      <c r="HEU6" s="2337"/>
      <c r="HEV6" s="2338"/>
      <c r="HEW6" s="2336"/>
      <c r="HEX6" s="2337"/>
      <c r="HEY6" s="2338"/>
      <c r="HEZ6" s="2336"/>
      <c r="HFA6" s="2337"/>
      <c r="HFB6" s="2338"/>
      <c r="HFC6" s="2336"/>
      <c r="HFD6" s="2337"/>
      <c r="HFE6" s="2338"/>
      <c r="HFF6" s="2336"/>
      <c r="HFG6" s="2337"/>
      <c r="HFH6" s="2338"/>
      <c r="HFI6" s="2336"/>
      <c r="HFJ6" s="2337"/>
      <c r="HFK6" s="2338"/>
      <c r="HFL6" s="2336"/>
      <c r="HFM6" s="2337"/>
      <c r="HFN6" s="2338"/>
      <c r="HFO6" s="2336"/>
      <c r="HFP6" s="2337"/>
      <c r="HFQ6" s="2338"/>
      <c r="HFR6" s="2336"/>
      <c r="HFS6" s="2337"/>
      <c r="HFT6" s="2338"/>
      <c r="HFU6" s="2336"/>
      <c r="HFV6" s="2337"/>
      <c r="HFW6" s="2338"/>
      <c r="HFX6" s="2336"/>
      <c r="HFY6" s="2337"/>
      <c r="HFZ6" s="2338"/>
      <c r="HGA6" s="2336"/>
      <c r="HGB6" s="2337"/>
      <c r="HGC6" s="2338"/>
      <c r="HGD6" s="2336"/>
      <c r="HGE6" s="2337"/>
      <c r="HGF6" s="2338"/>
      <c r="HGG6" s="2336"/>
      <c r="HGH6" s="2337"/>
      <c r="HGI6" s="2338"/>
      <c r="HGJ6" s="2336"/>
      <c r="HGK6" s="2337"/>
      <c r="HGL6" s="2338"/>
      <c r="HGM6" s="2336"/>
      <c r="HGN6" s="2337"/>
      <c r="HGO6" s="2338"/>
      <c r="HGP6" s="2336"/>
      <c r="HGQ6" s="2337"/>
      <c r="HGR6" s="2338"/>
      <c r="HGS6" s="2336"/>
      <c r="HGT6" s="2337"/>
      <c r="HGU6" s="2338"/>
      <c r="HGV6" s="2336"/>
      <c r="HGW6" s="2337"/>
      <c r="HGX6" s="2338"/>
      <c r="HGY6" s="2336"/>
      <c r="HGZ6" s="2337"/>
      <c r="HHA6" s="2338"/>
      <c r="HHB6" s="2336"/>
      <c r="HHC6" s="2337"/>
      <c r="HHD6" s="2338"/>
      <c r="HHE6" s="2336"/>
      <c r="HHF6" s="2337"/>
      <c r="HHG6" s="2338"/>
      <c r="HHH6" s="2336"/>
      <c r="HHI6" s="2337"/>
      <c r="HHJ6" s="2338"/>
      <c r="HHK6" s="2336"/>
      <c r="HHL6" s="2337"/>
      <c r="HHM6" s="2338"/>
      <c r="HHN6" s="2336"/>
      <c r="HHO6" s="2337"/>
      <c r="HHP6" s="2338"/>
      <c r="HHQ6" s="2336"/>
      <c r="HHR6" s="2337"/>
      <c r="HHS6" s="2338"/>
      <c r="HHT6" s="2336"/>
      <c r="HHU6" s="2337"/>
      <c r="HHV6" s="2338"/>
      <c r="HHW6" s="2336"/>
      <c r="HHX6" s="2337"/>
      <c r="HHY6" s="2338"/>
      <c r="HHZ6" s="2336"/>
      <c r="HIA6" s="2337"/>
      <c r="HIB6" s="2338"/>
      <c r="HIC6" s="2336"/>
      <c r="HID6" s="2337"/>
      <c r="HIE6" s="2338"/>
      <c r="HIF6" s="2336"/>
      <c r="HIG6" s="2337"/>
      <c r="HIH6" s="2338"/>
      <c r="HII6" s="2336"/>
      <c r="HIJ6" s="2337"/>
      <c r="HIK6" s="2338"/>
      <c r="HIL6" s="2336"/>
      <c r="HIM6" s="2337"/>
      <c r="HIN6" s="2338"/>
      <c r="HIO6" s="2336"/>
      <c r="HIP6" s="2337"/>
      <c r="HIQ6" s="2338"/>
      <c r="HIR6" s="2336"/>
      <c r="HIS6" s="2337"/>
      <c r="HIT6" s="2338"/>
      <c r="HIU6" s="2336"/>
      <c r="HIV6" s="2337"/>
      <c r="HIW6" s="2338"/>
      <c r="HIX6" s="2336"/>
      <c r="HIY6" s="2337"/>
      <c r="HIZ6" s="2338"/>
      <c r="HJA6" s="2336"/>
      <c r="HJB6" s="2337"/>
      <c r="HJC6" s="2338"/>
      <c r="HJD6" s="2336"/>
      <c r="HJE6" s="2337"/>
      <c r="HJF6" s="2338"/>
      <c r="HJG6" s="2336"/>
      <c r="HJH6" s="2337"/>
      <c r="HJI6" s="2338"/>
      <c r="HJJ6" s="2336"/>
      <c r="HJK6" s="2337"/>
      <c r="HJL6" s="2338"/>
      <c r="HJM6" s="2336"/>
      <c r="HJN6" s="2337"/>
      <c r="HJO6" s="2338"/>
      <c r="HJP6" s="2336"/>
      <c r="HJQ6" s="2337"/>
      <c r="HJR6" s="2338"/>
      <c r="HJS6" s="2336"/>
      <c r="HJT6" s="2337"/>
      <c r="HJU6" s="2338"/>
      <c r="HJV6" s="2336"/>
      <c r="HJW6" s="2337"/>
      <c r="HJX6" s="2338"/>
      <c r="HJY6" s="2336"/>
      <c r="HJZ6" s="2337"/>
      <c r="HKA6" s="2338"/>
      <c r="HKB6" s="2336"/>
      <c r="HKC6" s="2337"/>
      <c r="HKD6" s="2338"/>
      <c r="HKE6" s="2336"/>
      <c r="HKF6" s="2337"/>
      <c r="HKG6" s="2338"/>
      <c r="HKH6" s="2336"/>
      <c r="HKI6" s="2337"/>
      <c r="HKJ6" s="2338"/>
      <c r="HKK6" s="2336"/>
      <c r="HKL6" s="2337"/>
      <c r="HKM6" s="2338"/>
      <c r="HKN6" s="2336"/>
      <c r="HKO6" s="2337"/>
      <c r="HKP6" s="2338"/>
      <c r="HKQ6" s="2336"/>
      <c r="HKR6" s="2337"/>
      <c r="HKS6" s="2338"/>
      <c r="HKT6" s="2336"/>
      <c r="HKU6" s="2337"/>
      <c r="HKV6" s="2338"/>
      <c r="HKW6" s="2336"/>
      <c r="HKX6" s="2337"/>
      <c r="HKY6" s="2338"/>
      <c r="HKZ6" s="2336"/>
      <c r="HLA6" s="2337"/>
      <c r="HLB6" s="2338"/>
      <c r="HLC6" s="2336"/>
      <c r="HLD6" s="2337"/>
      <c r="HLE6" s="2338"/>
      <c r="HLF6" s="2336"/>
      <c r="HLG6" s="2337"/>
      <c r="HLH6" s="2338"/>
      <c r="HLI6" s="2336"/>
      <c r="HLJ6" s="2337"/>
      <c r="HLK6" s="2338"/>
      <c r="HLL6" s="2336"/>
      <c r="HLM6" s="2337"/>
      <c r="HLN6" s="2338"/>
      <c r="HLO6" s="2336"/>
      <c r="HLP6" s="2337"/>
      <c r="HLQ6" s="2338"/>
      <c r="HLR6" s="2336"/>
      <c r="HLS6" s="2337"/>
      <c r="HLT6" s="2338"/>
      <c r="HLU6" s="2336"/>
      <c r="HLV6" s="2337"/>
      <c r="HLW6" s="2338"/>
      <c r="HLX6" s="2336"/>
      <c r="HLY6" s="2337"/>
      <c r="HLZ6" s="2338"/>
      <c r="HMA6" s="2336"/>
      <c r="HMB6" s="2337"/>
      <c r="HMC6" s="2338"/>
      <c r="HMD6" s="2336"/>
      <c r="HME6" s="2337"/>
      <c r="HMF6" s="2338"/>
      <c r="HMG6" s="2336"/>
      <c r="HMH6" s="2337"/>
      <c r="HMI6" s="2338"/>
      <c r="HMJ6" s="2336"/>
      <c r="HMK6" s="2337"/>
      <c r="HML6" s="2338"/>
      <c r="HMM6" s="2336"/>
      <c r="HMN6" s="2337"/>
      <c r="HMO6" s="2338"/>
      <c r="HMP6" s="2336"/>
      <c r="HMQ6" s="2337"/>
      <c r="HMR6" s="2338"/>
      <c r="HMS6" s="2336"/>
      <c r="HMT6" s="2337"/>
      <c r="HMU6" s="2338"/>
      <c r="HMV6" s="2336"/>
      <c r="HMW6" s="2337"/>
      <c r="HMX6" s="2338"/>
      <c r="HMY6" s="2336"/>
      <c r="HMZ6" s="2337"/>
      <c r="HNA6" s="2338"/>
      <c r="HNB6" s="2336"/>
      <c r="HNC6" s="2337"/>
      <c r="HND6" s="2338"/>
      <c r="HNE6" s="2336"/>
      <c r="HNF6" s="2337"/>
      <c r="HNG6" s="2338"/>
      <c r="HNH6" s="2336"/>
      <c r="HNI6" s="2337"/>
      <c r="HNJ6" s="2338"/>
      <c r="HNK6" s="2336"/>
      <c r="HNL6" s="2337"/>
      <c r="HNM6" s="2338"/>
      <c r="HNN6" s="2336"/>
      <c r="HNO6" s="2337"/>
      <c r="HNP6" s="2338"/>
      <c r="HNQ6" s="2336"/>
      <c r="HNR6" s="2337"/>
      <c r="HNS6" s="2338"/>
      <c r="HNT6" s="2336"/>
      <c r="HNU6" s="2337"/>
      <c r="HNV6" s="2338"/>
      <c r="HNW6" s="2336"/>
      <c r="HNX6" s="2337"/>
      <c r="HNY6" s="2338"/>
      <c r="HNZ6" s="2336"/>
      <c r="HOA6" s="2337"/>
      <c r="HOB6" s="2338"/>
      <c r="HOC6" s="2336"/>
      <c r="HOD6" s="2337"/>
      <c r="HOE6" s="2338"/>
      <c r="HOF6" s="2336"/>
      <c r="HOG6" s="2337"/>
      <c r="HOH6" s="2338"/>
      <c r="HOI6" s="2336"/>
      <c r="HOJ6" s="2337"/>
      <c r="HOK6" s="2338"/>
      <c r="HOL6" s="2336"/>
      <c r="HOM6" s="2337"/>
      <c r="HON6" s="2338"/>
      <c r="HOO6" s="2336"/>
      <c r="HOP6" s="2337"/>
      <c r="HOQ6" s="2338"/>
      <c r="HOR6" s="2336"/>
      <c r="HOS6" s="2337"/>
      <c r="HOT6" s="2338"/>
      <c r="HOU6" s="2336"/>
      <c r="HOV6" s="2337"/>
      <c r="HOW6" s="2338"/>
      <c r="HOX6" s="2336"/>
      <c r="HOY6" s="2337"/>
      <c r="HOZ6" s="2338"/>
      <c r="HPA6" s="2336"/>
      <c r="HPB6" s="2337"/>
      <c r="HPC6" s="2338"/>
      <c r="HPD6" s="2336"/>
      <c r="HPE6" s="2337"/>
      <c r="HPF6" s="2338"/>
      <c r="HPG6" s="2336"/>
      <c r="HPH6" s="2337"/>
      <c r="HPI6" s="2338"/>
      <c r="HPJ6" s="2336"/>
      <c r="HPK6" s="2337"/>
      <c r="HPL6" s="2338"/>
      <c r="HPM6" s="2336"/>
      <c r="HPN6" s="2337"/>
      <c r="HPO6" s="2338"/>
      <c r="HPP6" s="2336"/>
      <c r="HPQ6" s="2337"/>
      <c r="HPR6" s="2338"/>
      <c r="HPS6" s="2336"/>
      <c r="HPT6" s="2337"/>
      <c r="HPU6" s="2338"/>
      <c r="HPV6" s="2336"/>
      <c r="HPW6" s="2337"/>
      <c r="HPX6" s="2338"/>
      <c r="HPY6" s="2336"/>
      <c r="HPZ6" s="2337"/>
      <c r="HQA6" s="2338"/>
      <c r="HQB6" s="2336"/>
      <c r="HQC6" s="2337"/>
      <c r="HQD6" s="2338"/>
      <c r="HQE6" s="2336"/>
      <c r="HQF6" s="2337"/>
      <c r="HQG6" s="2338"/>
      <c r="HQH6" s="2336"/>
      <c r="HQI6" s="2337"/>
      <c r="HQJ6" s="2338"/>
      <c r="HQK6" s="2336"/>
      <c r="HQL6" s="2337"/>
      <c r="HQM6" s="2338"/>
      <c r="HQN6" s="2336"/>
      <c r="HQO6" s="2337"/>
      <c r="HQP6" s="2338"/>
      <c r="HQQ6" s="2336"/>
      <c r="HQR6" s="2337"/>
      <c r="HQS6" s="2338"/>
      <c r="HQT6" s="2336"/>
      <c r="HQU6" s="2337"/>
      <c r="HQV6" s="2338"/>
      <c r="HQW6" s="2336"/>
      <c r="HQX6" s="2337"/>
      <c r="HQY6" s="2338"/>
      <c r="HQZ6" s="2336"/>
      <c r="HRA6" s="2337"/>
      <c r="HRB6" s="2338"/>
      <c r="HRC6" s="2336"/>
      <c r="HRD6" s="2337"/>
      <c r="HRE6" s="2338"/>
      <c r="HRF6" s="2336"/>
      <c r="HRG6" s="2337"/>
      <c r="HRH6" s="2338"/>
      <c r="HRI6" s="2336"/>
      <c r="HRJ6" s="2337"/>
      <c r="HRK6" s="2338"/>
      <c r="HRL6" s="2336"/>
      <c r="HRM6" s="2337"/>
      <c r="HRN6" s="2338"/>
      <c r="HRO6" s="2336"/>
      <c r="HRP6" s="2337"/>
      <c r="HRQ6" s="2338"/>
      <c r="HRR6" s="2336"/>
      <c r="HRS6" s="2337"/>
      <c r="HRT6" s="2338"/>
      <c r="HRU6" s="2336"/>
      <c r="HRV6" s="2337"/>
      <c r="HRW6" s="2338"/>
      <c r="HRX6" s="2336"/>
      <c r="HRY6" s="2337"/>
      <c r="HRZ6" s="2338"/>
      <c r="HSA6" s="2336"/>
      <c r="HSB6" s="2337"/>
      <c r="HSC6" s="2338"/>
      <c r="HSD6" s="2336"/>
      <c r="HSE6" s="2337"/>
      <c r="HSF6" s="2338"/>
      <c r="HSG6" s="2336"/>
      <c r="HSH6" s="2337"/>
      <c r="HSI6" s="2338"/>
      <c r="HSJ6" s="2336"/>
      <c r="HSK6" s="2337"/>
      <c r="HSL6" s="2338"/>
      <c r="HSM6" s="2336"/>
      <c r="HSN6" s="2337"/>
      <c r="HSO6" s="2338"/>
      <c r="HSP6" s="2336"/>
      <c r="HSQ6" s="2337"/>
      <c r="HSR6" s="2338"/>
      <c r="HSS6" s="2336"/>
      <c r="HST6" s="2337"/>
      <c r="HSU6" s="2338"/>
      <c r="HSV6" s="2336"/>
      <c r="HSW6" s="2337"/>
      <c r="HSX6" s="2338"/>
      <c r="HSY6" s="2336"/>
      <c r="HSZ6" s="2337"/>
      <c r="HTA6" s="2338"/>
      <c r="HTB6" s="2336"/>
      <c r="HTC6" s="2337"/>
      <c r="HTD6" s="2338"/>
      <c r="HTE6" s="2336"/>
      <c r="HTF6" s="2337"/>
      <c r="HTG6" s="2338"/>
      <c r="HTH6" s="2336"/>
      <c r="HTI6" s="2337"/>
      <c r="HTJ6" s="2338"/>
      <c r="HTK6" s="2336"/>
      <c r="HTL6" s="2337"/>
      <c r="HTM6" s="2338"/>
      <c r="HTN6" s="2336"/>
      <c r="HTO6" s="2337"/>
      <c r="HTP6" s="2338"/>
      <c r="HTQ6" s="2336"/>
      <c r="HTR6" s="2337"/>
      <c r="HTS6" s="2338"/>
      <c r="HTT6" s="2336"/>
      <c r="HTU6" s="2337"/>
      <c r="HTV6" s="2338"/>
      <c r="HTW6" s="2336"/>
      <c r="HTX6" s="2337"/>
      <c r="HTY6" s="2338"/>
      <c r="HTZ6" s="2336"/>
      <c r="HUA6" s="2337"/>
      <c r="HUB6" s="2338"/>
      <c r="HUC6" s="2336"/>
      <c r="HUD6" s="2337"/>
      <c r="HUE6" s="2338"/>
      <c r="HUF6" s="2336"/>
      <c r="HUG6" s="2337"/>
      <c r="HUH6" s="2338"/>
      <c r="HUI6" s="2336"/>
      <c r="HUJ6" s="2337"/>
      <c r="HUK6" s="2338"/>
      <c r="HUL6" s="2336"/>
      <c r="HUM6" s="2337"/>
      <c r="HUN6" s="2338"/>
      <c r="HUO6" s="2336"/>
      <c r="HUP6" s="2337"/>
      <c r="HUQ6" s="2338"/>
      <c r="HUR6" s="2336"/>
      <c r="HUS6" s="2337"/>
      <c r="HUT6" s="2338"/>
      <c r="HUU6" s="2336"/>
      <c r="HUV6" s="2337"/>
      <c r="HUW6" s="2338"/>
      <c r="HUX6" s="2336"/>
      <c r="HUY6" s="2337"/>
      <c r="HUZ6" s="2338"/>
      <c r="HVA6" s="2336"/>
      <c r="HVB6" s="2337"/>
      <c r="HVC6" s="2338"/>
      <c r="HVD6" s="2336"/>
      <c r="HVE6" s="2337"/>
      <c r="HVF6" s="2338"/>
      <c r="HVG6" s="2336"/>
      <c r="HVH6" s="2337"/>
      <c r="HVI6" s="2338"/>
      <c r="HVJ6" s="2336"/>
      <c r="HVK6" s="2337"/>
      <c r="HVL6" s="2338"/>
      <c r="HVM6" s="2336"/>
      <c r="HVN6" s="2337"/>
      <c r="HVO6" s="2338"/>
      <c r="HVP6" s="2336"/>
      <c r="HVQ6" s="2337"/>
      <c r="HVR6" s="2338"/>
      <c r="HVS6" s="2336"/>
      <c r="HVT6" s="2337"/>
      <c r="HVU6" s="2338"/>
      <c r="HVV6" s="2336"/>
      <c r="HVW6" s="2337"/>
      <c r="HVX6" s="2338"/>
      <c r="HVY6" s="2336"/>
      <c r="HVZ6" s="2337"/>
      <c r="HWA6" s="2338"/>
      <c r="HWB6" s="2336"/>
      <c r="HWC6" s="2337"/>
      <c r="HWD6" s="2338"/>
      <c r="HWE6" s="2336"/>
      <c r="HWF6" s="2337"/>
      <c r="HWG6" s="2338"/>
      <c r="HWH6" s="2336"/>
      <c r="HWI6" s="2337"/>
      <c r="HWJ6" s="2338"/>
      <c r="HWK6" s="2336"/>
      <c r="HWL6" s="2337"/>
      <c r="HWM6" s="2338"/>
      <c r="HWN6" s="2336"/>
      <c r="HWO6" s="2337"/>
      <c r="HWP6" s="2338"/>
      <c r="HWQ6" s="2336"/>
      <c r="HWR6" s="2337"/>
      <c r="HWS6" s="2338"/>
      <c r="HWT6" s="2336"/>
      <c r="HWU6" s="2337"/>
      <c r="HWV6" s="2338"/>
      <c r="HWW6" s="2336"/>
      <c r="HWX6" s="2337"/>
      <c r="HWY6" s="2338"/>
      <c r="HWZ6" s="2336"/>
      <c r="HXA6" s="2337"/>
      <c r="HXB6" s="2338"/>
      <c r="HXC6" s="2336"/>
      <c r="HXD6" s="2337"/>
      <c r="HXE6" s="2338"/>
      <c r="HXF6" s="2336"/>
      <c r="HXG6" s="2337"/>
      <c r="HXH6" s="2338"/>
      <c r="HXI6" s="2336"/>
      <c r="HXJ6" s="2337"/>
      <c r="HXK6" s="2338"/>
      <c r="HXL6" s="2336"/>
      <c r="HXM6" s="2337"/>
      <c r="HXN6" s="2338"/>
      <c r="HXO6" s="2336"/>
      <c r="HXP6" s="2337"/>
      <c r="HXQ6" s="2338"/>
      <c r="HXR6" s="2336"/>
      <c r="HXS6" s="2337"/>
      <c r="HXT6" s="2338"/>
      <c r="HXU6" s="2336"/>
      <c r="HXV6" s="2337"/>
      <c r="HXW6" s="2338"/>
      <c r="HXX6" s="2336"/>
      <c r="HXY6" s="2337"/>
      <c r="HXZ6" s="2338"/>
      <c r="HYA6" s="2336"/>
      <c r="HYB6" s="2337"/>
      <c r="HYC6" s="2338"/>
      <c r="HYD6" s="2336"/>
      <c r="HYE6" s="2337"/>
      <c r="HYF6" s="2338"/>
      <c r="HYG6" s="2336"/>
      <c r="HYH6" s="2337"/>
      <c r="HYI6" s="2338"/>
      <c r="HYJ6" s="2336"/>
      <c r="HYK6" s="2337"/>
      <c r="HYL6" s="2338"/>
      <c r="HYM6" s="2336"/>
      <c r="HYN6" s="2337"/>
      <c r="HYO6" s="2338"/>
      <c r="HYP6" s="2336"/>
      <c r="HYQ6" s="2337"/>
      <c r="HYR6" s="2338"/>
      <c r="HYS6" s="2336"/>
      <c r="HYT6" s="2337"/>
      <c r="HYU6" s="2338"/>
      <c r="HYV6" s="2336"/>
      <c r="HYW6" s="2337"/>
      <c r="HYX6" s="2338"/>
      <c r="HYY6" s="2336"/>
      <c r="HYZ6" s="2337"/>
      <c r="HZA6" s="2338"/>
      <c r="HZB6" s="2336"/>
      <c r="HZC6" s="2337"/>
      <c r="HZD6" s="2338"/>
      <c r="HZE6" s="2336"/>
      <c r="HZF6" s="2337"/>
      <c r="HZG6" s="2338"/>
      <c r="HZH6" s="2336"/>
      <c r="HZI6" s="2337"/>
      <c r="HZJ6" s="2338"/>
      <c r="HZK6" s="2336"/>
      <c r="HZL6" s="2337"/>
      <c r="HZM6" s="2338"/>
      <c r="HZN6" s="2336"/>
      <c r="HZO6" s="2337"/>
      <c r="HZP6" s="2338"/>
      <c r="HZQ6" s="2336"/>
      <c r="HZR6" s="2337"/>
      <c r="HZS6" s="2338"/>
      <c r="HZT6" s="2336"/>
      <c r="HZU6" s="2337"/>
      <c r="HZV6" s="2338"/>
      <c r="HZW6" s="2336"/>
      <c r="HZX6" s="2337"/>
      <c r="HZY6" s="2338"/>
      <c r="HZZ6" s="2336"/>
      <c r="IAA6" s="2337"/>
      <c r="IAB6" s="2338"/>
      <c r="IAC6" s="2336"/>
      <c r="IAD6" s="2337"/>
      <c r="IAE6" s="2338"/>
      <c r="IAF6" s="2336"/>
      <c r="IAG6" s="2337"/>
      <c r="IAH6" s="2338"/>
      <c r="IAI6" s="2336"/>
      <c r="IAJ6" s="2337"/>
      <c r="IAK6" s="2338"/>
      <c r="IAL6" s="2336"/>
      <c r="IAM6" s="2337"/>
      <c r="IAN6" s="2338"/>
      <c r="IAO6" s="2336"/>
      <c r="IAP6" s="2337"/>
      <c r="IAQ6" s="2338"/>
      <c r="IAR6" s="2336"/>
      <c r="IAS6" s="2337"/>
      <c r="IAT6" s="2338"/>
      <c r="IAU6" s="2336"/>
      <c r="IAV6" s="2337"/>
      <c r="IAW6" s="2338"/>
      <c r="IAX6" s="2336"/>
      <c r="IAY6" s="2337"/>
      <c r="IAZ6" s="2338"/>
      <c r="IBA6" s="2336"/>
      <c r="IBB6" s="2337"/>
      <c r="IBC6" s="2338"/>
      <c r="IBD6" s="2336"/>
      <c r="IBE6" s="2337"/>
      <c r="IBF6" s="2338"/>
      <c r="IBG6" s="2336"/>
      <c r="IBH6" s="2337"/>
      <c r="IBI6" s="2338"/>
      <c r="IBJ6" s="2336"/>
      <c r="IBK6" s="2337"/>
      <c r="IBL6" s="2338"/>
      <c r="IBM6" s="2336"/>
      <c r="IBN6" s="2337"/>
      <c r="IBO6" s="2338"/>
      <c r="IBP6" s="2336"/>
      <c r="IBQ6" s="2337"/>
      <c r="IBR6" s="2338"/>
      <c r="IBS6" s="2336"/>
      <c r="IBT6" s="2337"/>
      <c r="IBU6" s="2338"/>
      <c r="IBV6" s="2336"/>
      <c r="IBW6" s="2337"/>
      <c r="IBX6" s="2338"/>
      <c r="IBY6" s="2336"/>
      <c r="IBZ6" s="2337"/>
      <c r="ICA6" s="2338"/>
      <c r="ICB6" s="2336"/>
      <c r="ICC6" s="2337"/>
      <c r="ICD6" s="2338"/>
      <c r="ICE6" s="2336"/>
      <c r="ICF6" s="2337"/>
      <c r="ICG6" s="2338"/>
      <c r="ICH6" s="2336"/>
      <c r="ICI6" s="2337"/>
      <c r="ICJ6" s="2338"/>
      <c r="ICK6" s="2336"/>
      <c r="ICL6" s="2337"/>
      <c r="ICM6" s="2338"/>
      <c r="ICN6" s="2336"/>
      <c r="ICO6" s="2337"/>
      <c r="ICP6" s="2338"/>
      <c r="ICQ6" s="2336"/>
      <c r="ICR6" s="2337"/>
      <c r="ICS6" s="2338"/>
      <c r="ICT6" s="2336"/>
      <c r="ICU6" s="2337"/>
      <c r="ICV6" s="2338"/>
      <c r="ICW6" s="2336"/>
      <c r="ICX6" s="2337"/>
      <c r="ICY6" s="2338"/>
      <c r="ICZ6" s="2336"/>
      <c r="IDA6" s="2337"/>
      <c r="IDB6" s="2338"/>
      <c r="IDC6" s="2336"/>
      <c r="IDD6" s="2337"/>
      <c r="IDE6" s="2338"/>
      <c r="IDF6" s="2336"/>
      <c r="IDG6" s="2337"/>
      <c r="IDH6" s="2338"/>
      <c r="IDI6" s="2336"/>
      <c r="IDJ6" s="2337"/>
      <c r="IDK6" s="2338"/>
      <c r="IDL6" s="2336"/>
      <c r="IDM6" s="2337"/>
      <c r="IDN6" s="2338"/>
      <c r="IDO6" s="2336"/>
      <c r="IDP6" s="2337"/>
      <c r="IDQ6" s="2338"/>
      <c r="IDR6" s="2336"/>
      <c r="IDS6" s="2337"/>
      <c r="IDT6" s="2338"/>
      <c r="IDU6" s="2336"/>
      <c r="IDV6" s="2337"/>
      <c r="IDW6" s="2338"/>
      <c r="IDX6" s="2336"/>
      <c r="IDY6" s="2337"/>
      <c r="IDZ6" s="2338"/>
      <c r="IEA6" s="2336"/>
      <c r="IEB6" s="2337"/>
      <c r="IEC6" s="2338"/>
      <c r="IED6" s="2336"/>
      <c r="IEE6" s="2337"/>
      <c r="IEF6" s="2338"/>
      <c r="IEG6" s="2336"/>
      <c r="IEH6" s="2337"/>
      <c r="IEI6" s="2338"/>
      <c r="IEJ6" s="2336"/>
      <c r="IEK6" s="2337"/>
      <c r="IEL6" s="2338"/>
      <c r="IEM6" s="2336"/>
      <c r="IEN6" s="2337"/>
      <c r="IEO6" s="2338"/>
      <c r="IEP6" s="2336"/>
      <c r="IEQ6" s="2337"/>
      <c r="IER6" s="2338"/>
      <c r="IES6" s="2336"/>
      <c r="IET6" s="2337"/>
      <c r="IEU6" s="2338"/>
      <c r="IEV6" s="2336"/>
      <c r="IEW6" s="2337"/>
      <c r="IEX6" s="2338"/>
      <c r="IEY6" s="2336"/>
      <c r="IEZ6" s="2337"/>
      <c r="IFA6" s="2338"/>
      <c r="IFB6" s="2336"/>
      <c r="IFC6" s="2337"/>
      <c r="IFD6" s="2338"/>
      <c r="IFE6" s="2336"/>
      <c r="IFF6" s="2337"/>
      <c r="IFG6" s="2338"/>
      <c r="IFH6" s="2336"/>
      <c r="IFI6" s="2337"/>
      <c r="IFJ6" s="2338"/>
      <c r="IFK6" s="2336"/>
      <c r="IFL6" s="2337"/>
      <c r="IFM6" s="2338"/>
      <c r="IFN6" s="2336"/>
      <c r="IFO6" s="2337"/>
      <c r="IFP6" s="2338"/>
      <c r="IFQ6" s="2336"/>
      <c r="IFR6" s="2337"/>
      <c r="IFS6" s="2338"/>
      <c r="IFT6" s="2336"/>
      <c r="IFU6" s="2337"/>
      <c r="IFV6" s="2338"/>
      <c r="IFW6" s="2336"/>
      <c r="IFX6" s="2337"/>
      <c r="IFY6" s="2338"/>
      <c r="IFZ6" s="2336"/>
      <c r="IGA6" s="2337"/>
      <c r="IGB6" s="2338"/>
      <c r="IGC6" s="2336"/>
      <c r="IGD6" s="2337"/>
      <c r="IGE6" s="2338"/>
      <c r="IGF6" s="2336"/>
      <c r="IGG6" s="2337"/>
      <c r="IGH6" s="2338"/>
      <c r="IGI6" s="2336"/>
      <c r="IGJ6" s="2337"/>
      <c r="IGK6" s="2338"/>
      <c r="IGL6" s="2336"/>
      <c r="IGM6" s="2337"/>
      <c r="IGN6" s="2338"/>
      <c r="IGO6" s="2336"/>
      <c r="IGP6" s="2337"/>
      <c r="IGQ6" s="2338"/>
      <c r="IGR6" s="2336"/>
      <c r="IGS6" s="2337"/>
      <c r="IGT6" s="2338"/>
      <c r="IGU6" s="2336"/>
      <c r="IGV6" s="2337"/>
      <c r="IGW6" s="2338"/>
      <c r="IGX6" s="2336"/>
      <c r="IGY6" s="2337"/>
      <c r="IGZ6" s="2338"/>
      <c r="IHA6" s="2336"/>
      <c r="IHB6" s="2337"/>
      <c r="IHC6" s="2338"/>
      <c r="IHD6" s="2336"/>
      <c r="IHE6" s="2337"/>
      <c r="IHF6" s="2338"/>
      <c r="IHG6" s="2336"/>
      <c r="IHH6" s="2337"/>
      <c r="IHI6" s="2338"/>
      <c r="IHJ6" s="2336"/>
      <c r="IHK6" s="2337"/>
      <c r="IHL6" s="2338"/>
      <c r="IHM6" s="2336"/>
      <c r="IHN6" s="2337"/>
      <c r="IHO6" s="2338"/>
      <c r="IHP6" s="2336"/>
      <c r="IHQ6" s="2337"/>
      <c r="IHR6" s="2338"/>
      <c r="IHS6" s="2336"/>
      <c r="IHT6" s="2337"/>
      <c r="IHU6" s="2338"/>
      <c r="IHV6" s="2336"/>
      <c r="IHW6" s="2337"/>
      <c r="IHX6" s="2338"/>
      <c r="IHY6" s="2336"/>
      <c r="IHZ6" s="2337"/>
      <c r="IIA6" s="2338"/>
      <c r="IIB6" s="2336"/>
      <c r="IIC6" s="2337"/>
      <c r="IID6" s="2338"/>
      <c r="IIE6" s="2336"/>
      <c r="IIF6" s="2337"/>
      <c r="IIG6" s="2338"/>
      <c r="IIH6" s="2336"/>
      <c r="III6" s="2337"/>
      <c r="IIJ6" s="2338"/>
      <c r="IIK6" s="2336"/>
      <c r="IIL6" s="2337"/>
      <c r="IIM6" s="2338"/>
      <c r="IIN6" s="2336"/>
      <c r="IIO6" s="2337"/>
      <c r="IIP6" s="2338"/>
      <c r="IIQ6" s="2336"/>
      <c r="IIR6" s="2337"/>
      <c r="IIS6" s="2338"/>
      <c r="IIT6" s="2336"/>
      <c r="IIU6" s="2337"/>
      <c r="IIV6" s="2338"/>
      <c r="IIW6" s="2336"/>
      <c r="IIX6" s="2337"/>
      <c r="IIY6" s="2338"/>
      <c r="IIZ6" s="2336"/>
      <c r="IJA6" s="2337"/>
      <c r="IJB6" s="2338"/>
      <c r="IJC6" s="2336"/>
      <c r="IJD6" s="2337"/>
      <c r="IJE6" s="2338"/>
      <c r="IJF6" s="2336"/>
      <c r="IJG6" s="2337"/>
      <c r="IJH6" s="2338"/>
      <c r="IJI6" s="2336"/>
      <c r="IJJ6" s="2337"/>
      <c r="IJK6" s="2338"/>
      <c r="IJL6" s="2336"/>
      <c r="IJM6" s="2337"/>
      <c r="IJN6" s="2338"/>
      <c r="IJO6" s="2336"/>
      <c r="IJP6" s="2337"/>
      <c r="IJQ6" s="2338"/>
      <c r="IJR6" s="2336"/>
      <c r="IJS6" s="2337"/>
      <c r="IJT6" s="2338"/>
      <c r="IJU6" s="2336"/>
      <c r="IJV6" s="2337"/>
      <c r="IJW6" s="2338"/>
      <c r="IJX6" s="2336"/>
      <c r="IJY6" s="2337"/>
      <c r="IJZ6" s="2338"/>
      <c r="IKA6" s="2336"/>
      <c r="IKB6" s="2337"/>
      <c r="IKC6" s="2338"/>
      <c r="IKD6" s="2336"/>
      <c r="IKE6" s="2337"/>
      <c r="IKF6" s="2338"/>
      <c r="IKG6" s="2336"/>
      <c r="IKH6" s="2337"/>
      <c r="IKI6" s="2338"/>
      <c r="IKJ6" s="2336"/>
      <c r="IKK6" s="2337"/>
      <c r="IKL6" s="2338"/>
      <c r="IKM6" s="2336"/>
      <c r="IKN6" s="2337"/>
      <c r="IKO6" s="2338"/>
      <c r="IKP6" s="2336"/>
      <c r="IKQ6" s="2337"/>
      <c r="IKR6" s="2338"/>
      <c r="IKS6" s="2336"/>
      <c r="IKT6" s="2337"/>
      <c r="IKU6" s="2338"/>
      <c r="IKV6" s="2336"/>
      <c r="IKW6" s="2337"/>
      <c r="IKX6" s="2338"/>
      <c r="IKY6" s="2336"/>
      <c r="IKZ6" s="2337"/>
      <c r="ILA6" s="2338"/>
      <c r="ILB6" s="2336"/>
      <c r="ILC6" s="2337"/>
      <c r="ILD6" s="2338"/>
      <c r="ILE6" s="2336"/>
      <c r="ILF6" s="2337"/>
      <c r="ILG6" s="2338"/>
      <c r="ILH6" s="2336"/>
      <c r="ILI6" s="2337"/>
      <c r="ILJ6" s="2338"/>
      <c r="ILK6" s="2336"/>
      <c r="ILL6" s="2337"/>
      <c r="ILM6" s="2338"/>
      <c r="ILN6" s="2336"/>
      <c r="ILO6" s="2337"/>
      <c r="ILP6" s="2338"/>
      <c r="ILQ6" s="2336"/>
      <c r="ILR6" s="2337"/>
      <c r="ILS6" s="2338"/>
      <c r="ILT6" s="2336"/>
      <c r="ILU6" s="2337"/>
      <c r="ILV6" s="2338"/>
      <c r="ILW6" s="2336"/>
      <c r="ILX6" s="2337"/>
      <c r="ILY6" s="2338"/>
      <c r="ILZ6" s="2336"/>
      <c r="IMA6" s="2337"/>
      <c r="IMB6" s="2338"/>
      <c r="IMC6" s="2336"/>
      <c r="IMD6" s="2337"/>
      <c r="IME6" s="2338"/>
      <c r="IMF6" s="2336"/>
      <c r="IMG6" s="2337"/>
      <c r="IMH6" s="2338"/>
      <c r="IMI6" s="2336"/>
      <c r="IMJ6" s="2337"/>
      <c r="IMK6" s="2338"/>
      <c r="IML6" s="2336"/>
      <c r="IMM6" s="2337"/>
      <c r="IMN6" s="2338"/>
      <c r="IMO6" s="2336"/>
      <c r="IMP6" s="2337"/>
      <c r="IMQ6" s="2338"/>
      <c r="IMR6" s="2336"/>
      <c r="IMS6" s="2337"/>
      <c r="IMT6" s="2338"/>
      <c r="IMU6" s="2336"/>
      <c r="IMV6" s="2337"/>
      <c r="IMW6" s="2338"/>
      <c r="IMX6" s="2336"/>
      <c r="IMY6" s="2337"/>
      <c r="IMZ6" s="2338"/>
      <c r="INA6" s="2336"/>
      <c r="INB6" s="2337"/>
      <c r="INC6" s="2338"/>
      <c r="IND6" s="2336"/>
      <c r="INE6" s="2337"/>
      <c r="INF6" s="2338"/>
      <c r="ING6" s="2336"/>
      <c r="INH6" s="2337"/>
      <c r="INI6" s="2338"/>
      <c r="INJ6" s="2336"/>
      <c r="INK6" s="2337"/>
      <c r="INL6" s="2338"/>
      <c r="INM6" s="2336"/>
      <c r="INN6" s="2337"/>
      <c r="INO6" s="2338"/>
      <c r="INP6" s="2336"/>
      <c r="INQ6" s="2337"/>
      <c r="INR6" s="2338"/>
      <c r="INS6" s="2336"/>
      <c r="INT6" s="2337"/>
      <c r="INU6" s="2338"/>
      <c r="INV6" s="2336"/>
      <c r="INW6" s="2337"/>
      <c r="INX6" s="2338"/>
      <c r="INY6" s="2336"/>
      <c r="INZ6" s="2337"/>
      <c r="IOA6" s="2338"/>
      <c r="IOB6" s="2336"/>
      <c r="IOC6" s="2337"/>
      <c r="IOD6" s="2338"/>
      <c r="IOE6" s="2336"/>
      <c r="IOF6" s="2337"/>
      <c r="IOG6" s="2338"/>
      <c r="IOH6" s="2336"/>
      <c r="IOI6" s="2337"/>
      <c r="IOJ6" s="2338"/>
      <c r="IOK6" s="2336"/>
      <c r="IOL6" s="2337"/>
      <c r="IOM6" s="2338"/>
      <c r="ION6" s="2336"/>
      <c r="IOO6" s="2337"/>
      <c r="IOP6" s="2338"/>
      <c r="IOQ6" s="2336"/>
      <c r="IOR6" s="2337"/>
      <c r="IOS6" s="2338"/>
      <c r="IOT6" s="2336"/>
      <c r="IOU6" s="2337"/>
      <c r="IOV6" s="2338"/>
      <c r="IOW6" s="2336"/>
      <c r="IOX6" s="2337"/>
      <c r="IOY6" s="2338"/>
      <c r="IOZ6" s="2336"/>
      <c r="IPA6" s="2337"/>
      <c r="IPB6" s="2338"/>
      <c r="IPC6" s="2336"/>
      <c r="IPD6" s="2337"/>
      <c r="IPE6" s="2338"/>
      <c r="IPF6" s="2336"/>
      <c r="IPG6" s="2337"/>
      <c r="IPH6" s="2338"/>
      <c r="IPI6" s="2336"/>
      <c r="IPJ6" s="2337"/>
      <c r="IPK6" s="2338"/>
      <c r="IPL6" s="2336"/>
      <c r="IPM6" s="2337"/>
      <c r="IPN6" s="2338"/>
      <c r="IPO6" s="2336"/>
      <c r="IPP6" s="2337"/>
      <c r="IPQ6" s="2338"/>
      <c r="IPR6" s="2336"/>
      <c r="IPS6" s="2337"/>
      <c r="IPT6" s="2338"/>
      <c r="IPU6" s="2336"/>
      <c r="IPV6" s="2337"/>
      <c r="IPW6" s="2338"/>
      <c r="IPX6" s="2336"/>
      <c r="IPY6" s="2337"/>
      <c r="IPZ6" s="2338"/>
      <c r="IQA6" s="2336"/>
      <c r="IQB6" s="2337"/>
      <c r="IQC6" s="2338"/>
      <c r="IQD6" s="2336"/>
      <c r="IQE6" s="2337"/>
      <c r="IQF6" s="2338"/>
      <c r="IQG6" s="2336"/>
      <c r="IQH6" s="2337"/>
      <c r="IQI6" s="2338"/>
      <c r="IQJ6" s="2336"/>
      <c r="IQK6" s="2337"/>
      <c r="IQL6" s="2338"/>
      <c r="IQM6" s="2336"/>
      <c r="IQN6" s="2337"/>
      <c r="IQO6" s="2338"/>
      <c r="IQP6" s="2336"/>
      <c r="IQQ6" s="2337"/>
      <c r="IQR6" s="2338"/>
      <c r="IQS6" s="2336"/>
      <c r="IQT6" s="2337"/>
      <c r="IQU6" s="2338"/>
      <c r="IQV6" s="2336"/>
      <c r="IQW6" s="2337"/>
      <c r="IQX6" s="2338"/>
      <c r="IQY6" s="2336"/>
      <c r="IQZ6" s="2337"/>
      <c r="IRA6" s="2338"/>
      <c r="IRB6" s="2336"/>
      <c r="IRC6" s="2337"/>
      <c r="IRD6" s="2338"/>
      <c r="IRE6" s="2336"/>
      <c r="IRF6" s="2337"/>
      <c r="IRG6" s="2338"/>
      <c r="IRH6" s="2336"/>
      <c r="IRI6" s="2337"/>
      <c r="IRJ6" s="2338"/>
      <c r="IRK6" s="2336"/>
      <c r="IRL6" s="2337"/>
      <c r="IRM6" s="2338"/>
      <c r="IRN6" s="2336"/>
      <c r="IRO6" s="2337"/>
      <c r="IRP6" s="2338"/>
      <c r="IRQ6" s="2336"/>
      <c r="IRR6" s="2337"/>
      <c r="IRS6" s="2338"/>
      <c r="IRT6" s="2336"/>
      <c r="IRU6" s="2337"/>
      <c r="IRV6" s="2338"/>
      <c r="IRW6" s="2336"/>
      <c r="IRX6" s="2337"/>
      <c r="IRY6" s="2338"/>
      <c r="IRZ6" s="2336"/>
      <c r="ISA6" s="2337"/>
      <c r="ISB6" s="2338"/>
      <c r="ISC6" s="2336"/>
      <c r="ISD6" s="2337"/>
      <c r="ISE6" s="2338"/>
      <c r="ISF6" s="2336"/>
      <c r="ISG6" s="2337"/>
      <c r="ISH6" s="2338"/>
      <c r="ISI6" s="2336"/>
      <c r="ISJ6" s="2337"/>
      <c r="ISK6" s="2338"/>
      <c r="ISL6" s="2336"/>
      <c r="ISM6" s="2337"/>
      <c r="ISN6" s="2338"/>
      <c r="ISO6" s="2336"/>
      <c r="ISP6" s="2337"/>
      <c r="ISQ6" s="2338"/>
      <c r="ISR6" s="2336"/>
      <c r="ISS6" s="2337"/>
      <c r="IST6" s="2338"/>
      <c r="ISU6" s="2336"/>
      <c r="ISV6" s="2337"/>
      <c r="ISW6" s="2338"/>
      <c r="ISX6" s="2336"/>
      <c r="ISY6" s="2337"/>
      <c r="ISZ6" s="2338"/>
      <c r="ITA6" s="2336"/>
      <c r="ITB6" s="2337"/>
      <c r="ITC6" s="2338"/>
      <c r="ITD6" s="2336"/>
      <c r="ITE6" s="2337"/>
      <c r="ITF6" s="2338"/>
      <c r="ITG6" s="2336"/>
      <c r="ITH6" s="2337"/>
      <c r="ITI6" s="2338"/>
      <c r="ITJ6" s="2336"/>
      <c r="ITK6" s="2337"/>
      <c r="ITL6" s="2338"/>
      <c r="ITM6" s="2336"/>
      <c r="ITN6" s="2337"/>
      <c r="ITO6" s="2338"/>
      <c r="ITP6" s="2336"/>
      <c r="ITQ6" s="2337"/>
      <c r="ITR6" s="2338"/>
      <c r="ITS6" s="2336"/>
      <c r="ITT6" s="2337"/>
      <c r="ITU6" s="2338"/>
      <c r="ITV6" s="2336"/>
      <c r="ITW6" s="2337"/>
      <c r="ITX6" s="2338"/>
      <c r="ITY6" s="2336"/>
      <c r="ITZ6" s="2337"/>
      <c r="IUA6" s="2338"/>
      <c r="IUB6" s="2336"/>
      <c r="IUC6" s="2337"/>
      <c r="IUD6" s="2338"/>
      <c r="IUE6" s="2336"/>
      <c r="IUF6" s="2337"/>
      <c r="IUG6" s="2338"/>
      <c r="IUH6" s="2336"/>
      <c r="IUI6" s="2337"/>
      <c r="IUJ6" s="2338"/>
      <c r="IUK6" s="2336"/>
      <c r="IUL6" s="2337"/>
      <c r="IUM6" s="2338"/>
      <c r="IUN6" s="2336"/>
      <c r="IUO6" s="2337"/>
      <c r="IUP6" s="2338"/>
      <c r="IUQ6" s="2336"/>
      <c r="IUR6" s="2337"/>
      <c r="IUS6" s="2338"/>
      <c r="IUT6" s="2336"/>
      <c r="IUU6" s="2337"/>
      <c r="IUV6" s="2338"/>
      <c r="IUW6" s="2336"/>
      <c r="IUX6" s="2337"/>
      <c r="IUY6" s="2338"/>
      <c r="IUZ6" s="2336"/>
      <c r="IVA6" s="2337"/>
      <c r="IVB6" s="2338"/>
      <c r="IVC6" s="2336"/>
      <c r="IVD6" s="2337"/>
      <c r="IVE6" s="2338"/>
      <c r="IVF6" s="2336"/>
      <c r="IVG6" s="2337"/>
      <c r="IVH6" s="2338"/>
      <c r="IVI6" s="2336"/>
      <c r="IVJ6" s="2337"/>
      <c r="IVK6" s="2338"/>
      <c r="IVL6" s="2336"/>
      <c r="IVM6" s="2337"/>
      <c r="IVN6" s="2338"/>
      <c r="IVO6" s="2336"/>
      <c r="IVP6" s="2337"/>
      <c r="IVQ6" s="2338"/>
      <c r="IVR6" s="2336"/>
      <c r="IVS6" s="2337"/>
      <c r="IVT6" s="2338"/>
      <c r="IVU6" s="2336"/>
      <c r="IVV6" s="2337"/>
      <c r="IVW6" s="2338"/>
      <c r="IVX6" s="2336"/>
      <c r="IVY6" s="2337"/>
      <c r="IVZ6" s="2338"/>
      <c r="IWA6" s="2336"/>
      <c r="IWB6" s="2337"/>
      <c r="IWC6" s="2338"/>
      <c r="IWD6" s="2336"/>
      <c r="IWE6" s="2337"/>
      <c r="IWF6" s="2338"/>
      <c r="IWG6" s="2336"/>
      <c r="IWH6" s="2337"/>
      <c r="IWI6" s="2338"/>
      <c r="IWJ6" s="2336"/>
      <c r="IWK6" s="2337"/>
      <c r="IWL6" s="2338"/>
      <c r="IWM6" s="2336"/>
      <c r="IWN6" s="2337"/>
      <c r="IWO6" s="2338"/>
      <c r="IWP6" s="2336"/>
      <c r="IWQ6" s="2337"/>
      <c r="IWR6" s="2338"/>
      <c r="IWS6" s="2336"/>
      <c r="IWT6" s="2337"/>
      <c r="IWU6" s="2338"/>
      <c r="IWV6" s="2336"/>
      <c r="IWW6" s="2337"/>
      <c r="IWX6" s="2338"/>
      <c r="IWY6" s="2336"/>
      <c r="IWZ6" s="2337"/>
      <c r="IXA6" s="2338"/>
      <c r="IXB6" s="2336"/>
      <c r="IXC6" s="2337"/>
      <c r="IXD6" s="2338"/>
      <c r="IXE6" s="2336"/>
      <c r="IXF6" s="2337"/>
      <c r="IXG6" s="2338"/>
      <c r="IXH6" s="2336"/>
      <c r="IXI6" s="2337"/>
      <c r="IXJ6" s="2338"/>
      <c r="IXK6" s="2336"/>
      <c r="IXL6" s="2337"/>
      <c r="IXM6" s="2338"/>
      <c r="IXN6" s="2336"/>
      <c r="IXO6" s="2337"/>
      <c r="IXP6" s="2338"/>
      <c r="IXQ6" s="2336"/>
      <c r="IXR6" s="2337"/>
      <c r="IXS6" s="2338"/>
      <c r="IXT6" s="2336"/>
      <c r="IXU6" s="2337"/>
      <c r="IXV6" s="2338"/>
      <c r="IXW6" s="2336"/>
      <c r="IXX6" s="2337"/>
      <c r="IXY6" s="2338"/>
      <c r="IXZ6" s="2336"/>
      <c r="IYA6" s="2337"/>
      <c r="IYB6" s="2338"/>
      <c r="IYC6" s="2336"/>
      <c r="IYD6" s="2337"/>
      <c r="IYE6" s="2338"/>
      <c r="IYF6" s="2336"/>
      <c r="IYG6" s="2337"/>
      <c r="IYH6" s="2338"/>
      <c r="IYI6" s="2336"/>
      <c r="IYJ6" s="2337"/>
      <c r="IYK6" s="2338"/>
      <c r="IYL6" s="2336"/>
      <c r="IYM6" s="2337"/>
      <c r="IYN6" s="2338"/>
      <c r="IYO6" s="2336"/>
      <c r="IYP6" s="2337"/>
      <c r="IYQ6" s="2338"/>
      <c r="IYR6" s="2336"/>
      <c r="IYS6" s="2337"/>
      <c r="IYT6" s="2338"/>
      <c r="IYU6" s="2336"/>
      <c r="IYV6" s="2337"/>
      <c r="IYW6" s="2338"/>
      <c r="IYX6" s="2336"/>
      <c r="IYY6" s="2337"/>
      <c r="IYZ6" s="2338"/>
      <c r="IZA6" s="2336"/>
      <c r="IZB6" s="2337"/>
      <c r="IZC6" s="2338"/>
      <c r="IZD6" s="2336"/>
      <c r="IZE6" s="2337"/>
      <c r="IZF6" s="2338"/>
      <c r="IZG6" s="2336"/>
      <c r="IZH6" s="2337"/>
      <c r="IZI6" s="2338"/>
      <c r="IZJ6" s="2336"/>
      <c r="IZK6" s="2337"/>
      <c r="IZL6" s="2338"/>
      <c r="IZM6" s="2336"/>
      <c r="IZN6" s="2337"/>
      <c r="IZO6" s="2338"/>
      <c r="IZP6" s="2336"/>
      <c r="IZQ6" s="2337"/>
      <c r="IZR6" s="2338"/>
      <c r="IZS6" s="2336"/>
      <c r="IZT6" s="2337"/>
      <c r="IZU6" s="2338"/>
      <c r="IZV6" s="2336"/>
      <c r="IZW6" s="2337"/>
      <c r="IZX6" s="2338"/>
      <c r="IZY6" s="2336"/>
      <c r="IZZ6" s="2337"/>
      <c r="JAA6" s="2338"/>
      <c r="JAB6" s="2336"/>
      <c r="JAC6" s="2337"/>
      <c r="JAD6" s="2338"/>
      <c r="JAE6" s="2336"/>
      <c r="JAF6" s="2337"/>
      <c r="JAG6" s="2338"/>
      <c r="JAH6" s="2336"/>
      <c r="JAI6" s="2337"/>
      <c r="JAJ6" s="2338"/>
      <c r="JAK6" s="2336"/>
      <c r="JAL6" s="2337"/>
      <c r="JAM6" s="2338"/>
      <c r="JAN6" s="2336"/>
      <c r="JAO6" s="2337"/>
      <c r="JAP6" s="2338"/>
      <c r="JAQ6" s="2336"/>
      <c r="JAR6" s="2337"/>
      <c r="JAS6" s="2338"/>
      <c r="JAT6" s="2336"/>
      <c r="JAU6" s="2337"/>
      <c r="JAV6" s="2338"/>
      <c r="JAW6" s="2336"/>
      <c r="JAX6" s="2337"/>
      <c r="JAY6" s="2338"/>
      <c r="JAZ6" s="2336"/>
      <c r="JBA6" s="2337"/>
      <c r="JBB6" s="2338"/>
      <c r="JBC6" s="2336"/>
      <c r="JBD6" s="2337"/>
      <c r="JBE6" s="2338"/>
      <c r="JBF6" s="2336"/>
      <c r="JBG6" s="2337"/>
      <c r="JBH6" s="2338"/>
      <c r="JBI6" s="2336"/>
      <c r="JBJ6" s="2337"/>
      <c r="JBK6" s="2338"/>
      <c r="JBL6" s="2336"/>
      <c r="JBM6" s="2337"/>
      <c r="JBN6" s="2338"/>
      <c r="JBO6" s="2336"/>
      <c r="JBP6" s="2337"/>
      <c r="JBQ6" s="2338"/>
      <c r="JBR6" s="2336"/>
      <c r="JBS6" s="2337"/>
      <c r="JBT6" s="2338"/>
      <c r="JBU6" s="2336"/>
      <c r="JBV6" s="2337"/>
      <c r="JBW6" s="2338"/>
      <c r="JBX6" s="2336"/>
      <c r="JBY6" s="2337"/>
      <c r="JBZ6" s="2338"/>
      <c r="JCA6" s="2336"/>
      <c r="JCB6" s="2337"/>
      <c r="JCC6" s="2338"/>
      <c r="JCD6" s="2336"/>
      <c r="JCE6" s="2337"/>
      <c r="JCF6" s="2338"/>
      <c r="JCG6" s="2336"/>
      <c r="JCH6" s="2337"/>
      <c r="JCI6" s="2338"/>
      <c r="JCJ6" s="2336"/>
      <c r="JCK6" s="2337"/>
      <c r="JCL6" s="2338"/>
      <c r="JCM6" s="2336"/>
      <c r="JCN6" s="2337"/>
      <c r="JCO6" s="2338"/>
      <c r="JCP6" s="2336"/>
      <c r="JCQ6" s="2337"/>
      <c r="JCR6" s="2338"/>
      <c r="JCS6" s="2336"/>
      <c r="JCT6" s="2337"/>
      <c r="JCU6" s="2338"/>
      <c r="JCV6" s="2336"/>
      <c r="JCW6" s="2337"/>
      <c r="JCX6" s="2338"/>
      <c r="JCY6" s="2336"/>
      <c r="JCZ6" s="2337"/>
      <c r="JDA6" s="2338"/>
      <c r="JDB6" s="2336"/>
      <c r="JDC6" s="2337"/>
      <c r="JDD6" s="2338"/>
      <c r="JDE6" s="2336"/>
      <c r="JDF6" s="2337"/>
      <c r="JDG6" s="2338"/>
      <c r="JDH6" s="2336"/>
      <c r="JDI6" s="2337"/>
      <c r="JDJ6" s="2338"/>
      <c r="JDK6" s="2336"/>
      <c r="JDL6" s="2337"/>
      <c r="JDM6" s="2338"/>
      <c r="JDN6" s="2336"/>
      <c r="JDO6" s="2337"/>
      <c r="JDP6" s="2338"/>
      <c r="JDQ6" s="2336"/>
      <c r="JDR6" s="2337"/>
      <c r="JDS6" s="2338"/>
      <c r="JDT6" s="2336"/>
      <c r="JDU6" s="2337"/>
      <c r="JDV6" s="2338"/>
      <c r="JDW6" s="2336"/>
      <c r="JDX6" s="2337"/>
      <c r="JDY6" s="2338"/>
      <c r="JDZ6" s="2336"/>
      <c r="JEA6" s="2337"/>
      <c r="JEB6" s="2338"/>
      <c r="JEC6" s="2336"/>
      <c r="JED6" s="2337"/>
      <c r="JEE6" s="2338"/>
      <c r="JEF6" s="2336"/>
      <c r="JEG6" s="2337"/>
      <c r="JEH6" s="2338"/>
      <c r="JEI6" s="2336"/>
      <c r="JEJ6" s="2337"/>
      <c r="JEK6" s="2338"/>
      <c r="JEL6" s="2336"/>
      <c r="JEM6" s="2337"/>
      <c r="JEN6" s="2338"/>
      <c r="JEO6" s="2336"/>
      <c r="JEP6" s="2337"/>
      <c r="JEQ6" s="2338"/>
      <c r="JER6" s="2336"/>
      <c r="JES6" s="2337"/>
      <c r="JET6" s="2338"/>
      <c r="JEU6" s="2336"/>
      <c r="JEV6" s="2337"/>
      <c r="JEW6" s="2338"/>
      <c r="JEX6" s="2336"/>
      <c r="JEY6" s="2337"/>
      <c r="JEZ6" s="2338"/>
      <c r="JFA6" s="2336"/>
      <c r="JFB6" s="2337"/>
      <c r="JFC6" s="2338"/>
      <c r="JFD6" s="2336"/>
      <c r="JFE6" s="2337"/>
      <c r="JFF6" s="2338"/>
      <c r="JFG6" s="2336"/>
      <c r="JFH6" s="2337"/>
      <c r="JFI6" s="2338"/>
      <c r="JFJ6" s="2336"/>
      <c r="JFK6" s="2337"/>
      <c r="JFL6" s="2338"/>
      <c r="JFM6" s="2336"/>
      <c r="JFN6" s="2337"/>
      <c r="JFO6" s="2338"/>
      <c r="JFP6" s="2336"/>
      <c r="JFQ6" s="2337"/>
      <c r="JFR6" s="2338"/>
      <c r="JFS6" s="2336"/>
      <c r="JFT6" s="2337"/>
      <c r="JFU6" s="2338"/>
      <c r="JFV6" s="2336"/>
      <c r="JFW6" s="2337"/>
      <c r="JFX6" s="2338"/>
      <c r="JFY6" s="2336"/>
      <c r="JFZ6" s="2337"/>
      <c r="JGA6" s="2338"/>
      <c r="JGB6" s="2336"/>
      <c r="JGC6" s="2337"/>
      <c r="JGD6" s="2338"/>
      <c r="JGE6" s="2336"/>
      <c r="JGF6" s="2337"/>
      <c r="JGG6" s="2338"/>
      <c r="JGH6" s="2336"/>
      <c r="JGI6" s="2337"/>
      <c r="JGJ6" s="2338"/>
      <c r="JGK6" s="2336"/>
      <c r="JGL6" s="2337"/>
      <c r="JGM6" s="2338"/>
      <c r="JGN6" s="2336"/>
      <c r="JGO6" s="2337"/>
      <c r="JGP6" s="2338"/>
      <c r="JGQ6" s="2336"/>
      <c r="JGR6" s="2337"/>
      <c r="JGS6" s="2338"/>
      <c r="JGT6" s="2336"/>
      <c r="JGU6" s="2337"/>
      <c r="JGV6" s="2338"/>
      <c r="JGW6" s="2336"/>
      <c r="JGX6" s="2337"/>
      <c r="JGY6" s="2338"/>
      <c r="JGZ6" s="2336"/>
      <c r="JHA6" s="2337"/>
      <c r="JHB6" s="2338"/>
      <c r="JHC6" s="2336"/>
      <c r="JHD6" s="2337"/>
      <c r="JHE6" s="2338"/>
      <c r="JHF6" s="2336"/>
      <c r="JHG6" s="2337"/>
      <c r="JHH6" s="2338"/>
      <c r="JHI6" s="2336"/>
      <c r="JHJ6" s="2337"/>
      <c r="JHK6" s="2338"/>
      <c r="JHL6" s="2336"/>
      <c r="JHM6" s="2337"/>
      <c r="JHN6" s="2338"/>
      <c r="JHO6" s="2336"/>
      <c r="JHP6" s="2337"/>
      <c r="JHQ6" s="2338"/>
      <c r="JHR6" s="2336"/>
      <c r="JHS6" s="2337"/>
      <c r="JHT6" s="2338"/>
      <c r="JHU6" s="2336"/>
      <c r="JHV6" s="2337"/>
      <c r="JHW6" s="2338"/>
      <c r="JHX6" s="2336"/>
      <c r="JHY6" s="2337"/>
      <c r="JHZ6" s="2338"/>
      <c r="JIA6" s="2336"/>
      <c r="JIB6" s="2337"/>
      <c r="JIC6" s="2338"/>
      <c r="JID6" s="2336"/>
      <c r="JIE6" s="2337"/>
      <c r="JIF6" s="2338"/>
      <c r="JIG6" s="2336"/>
      <c r="JIH6" s="2337"/>
      <c r="JII6" s="2338"/>
      <c r="JIJ6" s="2336"/>
      <c r="JIK6" s="2337"/>
      <c r="JIL6" s="2338"/>
      <c r="JIM6" s="2336"/>
      <c r="JIN6" s="2337"/>
      <c r="JIO6" s="2338"/>
      <c r="JIP6" s="2336"/>
      <c r="JIQ6" s="2337"/>
      <c r="JIR6" s="2338"/>
      <c r="JIS6" s="2336"/>
      <c r="JIT6" s="2337"/>
      <c r="JIU6" s="2338"/>
      <c r="JIV6" s="2336"/>
      <c r="JIW6" s="2337"/>
      <c r="JIX6" s="2338"/>
      <c r="JIY6" s="2336"/>
      <c r="JIZ6" s="2337"/>
      <c r="JJA6" s="2338"/>
      <c r="JJB6" s="2336"/>
      <c r="JJC6" s="2337"/>
      <c r="JJD6" s="2338"/>
      <c r="JJE6" s="2336"/>
      <c r="JJF6" s="2337"/>
      <c r="JJG6" s="2338"/>
      <c r="JJH6" s="2336"/>
      <c r="JJI6" s="2337"/>
      <c r="JJJ6" s="2338"/>
      <c r="JJK6" s="2336"/>
      <c r="JJL6" s="2337"/>
      <c r="JJM6" s="2338"/>
      <c r="JJN6" s="2336"/>
      <c r="JJO6" s="2337"/>
      <c r="JJP6" s="2338"/>
      <c r="JJQ6" s="2336"/>
      <c r="JJR6" s="2337"/>
      <c r="JJS6" s="2338"/>
      <c r="JJT6" s="2336"/>
      <c r="JJU6" s="2337"/>
      <c r="JJV6" s="2338"/>
      <c r="JJW6" s="2336"/>
      <c r="JJX6" s="2337"/>
      <c r="JJY6" s="2338"/>
      <c r="JJZ6" s="2336"/>
      <c r="JKA6" s="2337"/>
      <c r="JKB6" s="2338"/>
      <c r="JKC6" s="2336"/>
      <c r="JKD6" s="2337"/>
      <c r="JKE6" s="2338"/>
      <c r="JKF6" s="2336"/>
      <c r="JKG6" s="2337"/>
      <c r="JKH6" s="2338"/>
      <c r="JKI6" s="2336"/>
      <c r="JKJ6" s="2337"/>
      <c r="JKK6" s="2338"/>
      <c r="JKL6" s="2336"/>
      <c r="JKM6" s="2337"/>
      <c r="JKN6" s="2338"/>
      <c r="JKO6" s="2336"/>
      <c r="JKP6" s="2337"/>
      <c r="JKQ6" s="2338"/>
      <c r="JKR6" s="2336"/>
      <c r="JKS6" s="2337"/>
      <c r="JKT6" s="2338"/>
      <c r="JKU6" s="2336"/>
      <c r="JKV6" s="2337"/>
      <c r="JKW6" s="2338"/>
      <c r="JKX6" s="2336"/>
      <c r="JKY6" s="2337"/>
      <c r="JKZ6" s="2338"/>
      <c r="JLA6" s="2336"/>
      <c r="JLB6" s="2337"/>
      <c r="JLC6" s="2338"/>
      <c r="JLD6" s="2336"/>
      <c r="JLE6" s="2337"/>
      <c r="JLF6" s="2338"/>
      <c r="JLG6" s="2336"/>
      <c r="JLH6" s="2337"/>
      <c r="JLI6" s="2338"/>
      <c r="JLJ6" s="2336"/>
      <c r="JLK6" s="2337"/>
      <c r="JLL6" s="2338"/>
      <c r="JLM6" s="2336"/>
      <c r="JLN6" s="2337"/>
      <c r="JLO6" s="2338"/>
      <c r="JLP6" s="2336"/>
      <c r="JLQ6" s="2337"/>
      <c r="JLR6" s="2338"/>
      <c r="JLS6" s="2336"/>
      <c r="JLT6" s="2337"/>
      <c r="JLU6" s="2338"/>
      <c r="JLV6" s="2336"/>
      <c r="JLW6" s="2337"/>
      <c r="JLX6" s="2338"/>
      <c r="JLY6" s="2336"/>
      <c r="JLZ6" s="2337"/>
      <c r="JMA6" s="2338"/>
      <c r="JMB6" s="2336"/>
      <c r="JMC6" s="2337"/>
      <c r="JMD6" s="2338"/>
      <c r="JME6" s="2336"/>
      <c r="JMF6" s="2337"/>
      <c r="JMG6" s="2338"/>
      <c r="JMH6" s="2336"/>
      <c r="JMI6" s="2337"/>
      <c r="JMJ6" s="2338"/>
      <c r="JMK6" s="2336"/>
      <c r="JML6" s="2337"/>
      <c r="JMM6" s="2338"/>
      <c r="JMN6" s="2336"/>
      <c r="JMO6" s="2337"/>
      <c r="JMP6" s="2338"/>
      <c r="JMQ6" s="2336"/>
      <c r="JMR6" s="2337"/>
      <c r="JMS6" s="2338"/>
      <c r="JMT6" s="2336"/>
      <c r="JMU6" s="2337"/>
      <c r="JMV6" s="2338"/>
      <c r="JMW6" s="2336"/>
      <c r="JMX6" s="2337"/>
      <c r="JMY6" s="2338"/>
      <c r="JMZ6" s="2336"/>
      <c r="JNA6" s="2337"/>
      <c r="JNB6" s="2338"/>
      <c r="JNC6" s="2336"/>
      <c r="JND6" s="2337"/>
      <c r="JNE6" s="2338"/>
      <c r="JNF6" s="2336"/>
      <c r="JNG6" s="2337"/>
      <c r="JNH6" s="2338"/>
      <c r="JNI6" s="2336"/>
      <c r="JNJ6" s="2337"/>
      <c r="JNK6" s="2338"/>
      <c r="JNL6" s="2336"/>
      <c r="JNM6" s="2337"/>
      <c r="JNN6" s="2338"/>
      <c r="JNO6" s="2336"/>
      <c r="JNP6" s="2337"/>
      <c r="JNQ6" s="2338"/>
      <c r="JNR6" s="2336"/>
      <c r="JNS6" s="2337"/>
      <c r="JNT6" s="2338"/>
      <c r="JNU6" s="2336"/>
      <c r="JNV6" s="2337"/>
      <c r="JNW6" s="2338"/>
      <c r="JNX6" s="2336"/>
      <c r="JNY6" s="2337"/>
      <c r="JNZ6" s="2338"/>
      <c r="JOA6" s="2336"/>
      <c r="JOB6" s="2337"/>
      <c r="JOC6" s="2338"/>
      <c r="JOD6" s="2336"/>
      <c r="JOE6" s="2337"/>
      <c r="JOF6" s="2338"/>
      <c r="JOG6" s="2336"/>
      <c r="JOH6" s="2337"/>
      <c r="JOI6" s="2338"/>
      <c r="JOJ6" s="2336"/>
      <c r="JOK6" s="2337"/>
      <c r="JOL6" s="2338"/>
      <c r="JOM6" s="2336"/>
      <c r="JON6" s="2337"/>
      <c r="JOO6" s="2338"/>
      <c r="JOP6" s="2336"/>
      <c r="JOQ6" s="2337"/>
      <c r="JOR6" s="2338"/>
      <c r="JOS6" s="2336"/>
      <c r="JOT6" s="2337"/>
      <c r="JOU6" s="2338"/>
      <c r="JOV6" s="2336"/>
      <c r="JOW6" s="2337"/>
      <c r="JOX6" s="2338"/>
      <c r="JOY6" s="2336"/>
      <c r="JOZ6" s="2337"/>
      <c r="JPA6" s="2338"/>
      <c r="JPB6" s="2336"/>
      <c r="JPC6" s="2337"/>
      <c r="JPD6" s="2338"/>
      <c r="JPE6" s="2336"/>
      <c r="JPF6" s="2337"/>
      <c r="JPG6" s="2338"/>
      <c r="JPH6" s="2336"/>
      <c r="JPI6" s="2337"/>
      <c r="JPJ6" s="2338"/>
      <c r="JPK6" s="2336"/>
      <c r="JPL6" s="2337"/>
      <c r="JPM6" s="2338"/>
      <c r="JPN6" s="2336"/>
      <c r="JPO6" s="2337"/>
      <c r="JPP6" s="2338"/>
      <c r="JPQ6" s="2336"/>
      <c r="JPR6" s="2337"/>
      <c r="JPS6" s="2338"/>
      <c r="JPT6" s="2336"/>
      <c r="JPU6" s="2337"/>
      <c r="JPV6" s="2338"/>
      <c r="JPW6" s="2336"/>
      <c r="JPX6" s="2337"/>
      <c r="JPY6" s="2338"/>
      <c r="JPZ6" s="2336"/>
      <c r="JQA6" s="2337"/>
      <c r="JQB6" s="2338"/>
      <c r="JQC6" s="2336"/>
      <c r="JQD6" s="2337"/>
      <c r="JQE6" s="2338"/>
      <c r="JQF6" s="2336"/>
      <c r="JQG6" s="2337"/>
      <c r="JQH6" s="2338"/>
      <c r="JQI6" s="2336"/>
      <c r="JQJ6" s="2337"/>
      <c r="JQK6" s="2338"/>
      <c r="JQL6" s="2336"/>
      <c r="JQM6" s="2337"/>
      <c r="JQN6" s="2338"/>
      <c r="JQO6" s="2336"/>
      <c r="JQP6" s="2337"/>
      <c r="JQQ6" s="2338"/>
      <c r="JQR6" s="2336"/>
      <c r="JQS6" s="2337"/>
      <c r="JQT6" s="2338"/>
      <c r="JQU6" s="2336"/>
      <c r="JQV6" s="2337"/>
      <c r="JQW6" s="2338"/>
      <c r="JQX6" s="2336"/>
      <c r="JQY6" s="2337"/>
      <c r="JQZ6" s="2338"/>
      <c r="JRA6" s="2336"/>
      <c r="JRB6" s="2337"/>
      <c r="JRC6" s="2338"/>
      <c r="JRD6" s="2336"/>
      <c r="JRE6" s="2337"/>
      <c r="JRF6" s="2338"/>
      <c r="JRG6" s="2336"/>
      <c r="JRH6" s="2337"/>
      <c r="JRI6" s="2338"/>
      <c r="JRJ6" s="2336"/>
      <c r="JRK6" s="2337"/>
      <c r="JRL6" s="2338"/>
      <c r="JRM6" s="2336"/>
      <c r="JRN6" s="2337"/>
      <c r="JRO6" s="2338"/>
      <c r="JRP6" s="2336"/>
      <c r="JRQ6" s="2337"/>
      <c r="JRR6" s="2338"/>
      <c r="JRS6" s="2336"/>
      <c r="JRT6" s="2337"/>
      <c r="JRU6" s="2338"/>
      <c r="JRV6" s="2336"/>
      <c r="JRW6" s="2337"/>
      <c r="JRX6" s="2338"/>
      <c r="JRY6" s="2336"/>
      <c r="JRZ6" s="2337"/>
      <c r="JSA6" s="2338"/>
      <c r="JSB6" s="2336"/>
      <c r="JSC6" s="2337"/>
      <c r="JSD6" s="2338"/>
      <c r="JSE6" s="2336"/>
      <c r="JSF6" s="2337"/>
      <c r="JSG6" s="2338"/>
      <c r="JSH6" s="2336"/>
      <c r="JSI6" s="2337"/>
      <c r="JSJ6" s="2338"/>
      <c r="JSK6" s="2336"/>
      <c r="JSL6" s="2337"/>
      <c r="JSM6" s="2338"/>
      <c r="JSN6" s="2336"/>
      <c r="JSO6" s="2337"/>
      <c r="JSP6" s="2338"/>
      <c r="JSQ6" s="2336"/>
      <c r="JSR6" s="2337"/>
      <c r="JSS6" s="2338"/>
      <c r="JST6" s="2336"/>
      <c r="JSU6" s="2337"/>
      <c r="JSV6" s="2338"/>
      <c r="JSW6" s="2336"/>
      <c r="JSX6" s="2337"/>
      <c r="JSY6" s="2338"/>
      <c r="JSZ6" s="2336"/>
      <c r="JTA6" s="2337"/>
      <c r="JTB6" s="2338"/>
      <c r="JTC6" s="2336"/>
      <c r="JTD6" s="2337"/>
      <c r="JTE6" s="2338"/>
      <c r="JTF6" s="2336"/>
      <c r="JTG6" s="2337"/>
      <c r="JTH6" s="2338"/>
      <c r="JTI6" s="2336"/>
      <c r="JTJ6" s="2337"/>
      <c r="JTK6" s="2338"/>
      <c r="JTL6" s="2336"/>
      <c r="JTM6" s="2337"/>
      <c r="JTN6" s="2338"/>
      <c r="JTO6" s="2336"/>
      <c r="JTP6" s="2337"/>
      <c r="JTQ6" s="2338"/>
      <c r="JTR6" s="2336"/>
      <c r="JTS6" s="2337"/>
      <c r="JTT6" s="2338"/>
      <c r="JTU6" s="2336"/>
      <c r="JTV6" s="2337"/>
      <c r="JTW6" s="2338"/>
      <c r="JTX6" s="2336"/>
      <c r="JTY6" s="2337"/>
      <c r="JTZ6" s="2338"/>
      <c r="JUA6" s="2336"/>
      <c r="JUB6" s="2337"/>
      <c r="JUC6" s="2338"/>
      <c r="JUD6" s="2336"/>
      <c r="JUE6" s="2337"/>
      <c r="JUF6" s="2338"/>
      <c r="JUG6" s="2336"/>
      <c r="JUH6" s="2337"/>
      <c r="JUI6" s="2338"/>
      <c r="JUJ6" s="2336"/>
      <c r="JUK6" s="2337"/>
      <c r="JUL6" s="2338"/>
      <c r="JUM6" s="2336"/>
      <c r="JUN6" s="2337"/>
      <c r="JUO6" s="2338"/>
      <c r="JUP6" s="2336"/>
      <c r="JUQ6" s="2337"/>
      <c r="JUR6" s="2338"/>
      <c r="JUS6" s="2336"/>
      <c r="JUT6" s="2337"/>
      <c r="JUU6" s="2338"/>
      <c r="JUV6" s="2336"/>
      <c r="JUW6" s="2337"/>
      <c r="JUX6" s="2338"/>
      <c r="JUY6" s="2336"/>
      <c r="JUZ6" s="2337"/>
      <c r="JVA6" s="2338"/>
      <c r="JVB6" s="2336"/>
      <c r="JVC6" s="2337"/>
      <c r="JVD6" s="2338"/>
      <c r="JVE6" s="2336"/>
      <c r="JVF6" s="2337"/>
      <c r="JVG6" s="2338"/>
      <c r="JVH6" s="2336"/>
      <c r="JVI6" s="2337"/>
      <c r="JVJ6" s="2338"/>
      <c r="JVK6" s="2336"/>
      <c r="JVL6" s="2337"/>
      <c r="JVM6" s="2338"/>
      <c r="JVN6" s="2336"/>
      <c r="JVO6" s="2337"/>
      <c r="JVP6" s="2338"/>
      <c r="JVQ6" s="2336"/>
      <c r="JVR6" s="2337"/>
      <c r="JVS6" s="2338"/>
      <c r="JVT6" s="2336"/>
      <c r="JVU6" s="2337"/>
      <c r="JVV6" s="2338"/>
      <c r="JVW6" s="2336"/>
      <c r="JVX6" s="2337"/>
      <c r="JVY6" s="2338"/>
      <c r="JVZ6" s="2336"/>
      <c r="JWA6" s="2337"/>
      <c r="JWB6" s="2338"/>
      <c r="JWC6" s="2336"/>
      <c r="JWD6" s="2337"/>
      <c r="JWE6" s="2338"/>
      <c r="JWF6" s="2336"/>
      <c r="JWG6" s="2337"/>
      <c r="JWH6" s="2338"/>
      <c r="JWI6" s="2336"/>
      <c r="JWJ6" s="2337"/>
      <c r="JWK6" s="2338"/>
      <c r="JWL6" s="2336"/>
      <c r="JWM6" s="2337"/>
      <c r="JWN6" s="2338"/>
      <c r="JWO6" s="2336"/>
      <c r="JWP6" s="2337"/>
      <c r="JWQ6" s="2338"/>
      <c r="JWR6" s="2336"/>
      <c r="JWS6" s="2337"/>
      <c r="JWT6" s="2338"/>
      <c r="JWU6" s="2336"/>
      <c r="JWV6" s="2337"/>
      <c r="JWW6" s="2338"/>
      <c r="JWX6" s="2336"/>
      <c r="JWY6" s="2337"/>
      <c r="JWZ6" s="2338"/>
      <c r="JXA6" s="2336"/>
      <c r="JXB6" s="2337"/>
      <c r="JXC6" s="2338"/>
      <c r="JXD6" s="2336"/>
      <c r="JXE6" s="2337"/>
      <c r="JXF6" s="2338"/>
      <c r="JXG6" s="2336"/>
      <c r="JXH6" s="2337"/>
      <c r="JXI6" s="2338"/>
      <c r="JXJ6" s="2336"/>
      <c r="JXK6" s="2337"/>
      <c r="JXL6" s="2338"/>
      <c r="JXM6" s="2336"/>
      <c r="JXN6" s="2337"/>
      <c r="JXO6" s="2338"/>
      <c r="JXP6" s="2336"/>
      <c r="JXQ6" s="2337"/>
      <c r="JXR6" s="2338"/>
      <c r="JXS6" s="2336"/>
      <c r="JXT6" s="2337"/>
      <c r="JXU6" s="2338"/>
      <c r="JXV6" s="2336"/>
      <c r="JXW6" s="2337"/>
      <c r="JXX6" s="2338"/>
      <c r="JXY6" s="2336"/>
      <c r="JXZ6" s="2337"/>
      <c r="JYA6" s="2338"/>
      <c r="JYB6" s="2336"/>
      <c r="JYC6" s="2337"/>
      <c r="JYD6" s="2338"/>
      <c r="JYE6" s="2336"/>
      <c r="JYF6" s="2337"/>
      <c r="JYG6" s="2338"/>
      <c r="JYH6" s="2336"/>
      <c r="JYI6" s="2337"/>
      <c r="JYJ6" s="2338"/>
      <c r="JYK6" s="2336"/>
      <c r="JYL6" s="2337"/>
      <c r="JYM6" s="2338"/>
      <c r="JYN6" s="2336"/>
      <c r="JYO6" s="2337"/>
      <c r="JYP6" s="2338"/>
      <c r="JYQ6" s="2336"/>
      <c r="JYR6" s="2337"/>
      <c r="JYS6" s="2338"/>
      <c r="JYT6" s="2336"/>
      <c r="JYU6" s="2337"/>
      <c r="JYV6" s="2338"/>
      <c r="JYW6" s="2336"/>
      <c r="JYX6" s="2337"/>
      <c r="JYY6" s="2338"/>
      <c r="JYZ6" s="2336"/>
      <c r="JZA6" s="2337"/>
      <c r="JZB6" s="2338"/>
      <c r="JZC6" s="2336"/>
      <c r="JZD6" s="2337"/>
      <c r="JZE6" s="2338"/>
      <c r="JZF6" s="2336"/>
      <c r="JZG6" s="2337"/>
      <c r="JZH6" s="2338"/>
      <c r="JZI6" s="2336"/>
      <c r="JZJ6" s="2337"/>
      <c r="JZK6" s="2338"/>
      <c r="JZL6" s="2336"/>
      <c r="JZM6" s="2337"/>
      <c r="JZN6" s="2338"/>
      <c r="JZO6" s="2336"/>
      <c r="JZP6" s="2337"/>
      <c r="JZQ6" s="2338"/>
      <c r="JZR6" s="2336"/>
      <c r="JZS6" s="2337"/>
      <c r="JZT6" s="2338"/>
      <c r="JZU6" s="2336"/>
      <c r="JZV6" s="2337"/>
      <c r="JZW6" s="2338"/>
      <c r="JZX6" s="2336"/>
      <c r="JZY6" s="2337"/>
      <c r="JZZ6" s="2338"/>
      <c r="KAA6" s="2336"/>
      <c r="KAB6" s="2337"/>
      <c r="KAC6" s="2338"/>
      <c r="KAD6" s="2336"/>
      <c r="KAE6" s="2337"/>
      <c r="KAF6" s="2338"/>
      <c r="KAG6" s="2336"/>
      <c r="KAH6" s="2337"/>
      <c r="KAI6" s="2338"/>
      <c r="KAJ6" s="2336"/>
      <c r="KAK6" s="2337"/>
      <c r="KAL6" s="2338"/>
      <c r="KAM6" s="2336"/>
      <c r="KAN6" s="2337"/>
      <c r="KAO6" s="2338"/>
      <c r="KAP6" s="2336"/>
      <c r="KAQ6" s="2337"/>
      <c r="KAR6" s="2338"/>
      <c r="KAS6" s="2336"/>
      <c r="KAT6" s="2337"/>
      <c r="KAU6" s="2338"/>
      <c r="KAV6" s="2336"/>
      <c r="KAW6" s="2337"/>
      <c r="KAX6" s="2338"/>
      <c r="KAY6" s="2336"/>
      <c r="KAZ6" s="2337"/>
      <c r="KBA6" s="2338"/>
      <c r="KBB6" s="2336"/>
      <c r="KBC6" s="2337"/>
      <c r="KBD6" s="2338"/>
      <c r="KBE6" s="2336"/>
      <c r="KBF6" s="2337"/>
      <c r="KBG6" s="2338"/>
      <c r="KBH6" s="2336"/>
      <c r="KBI6" s="2337"/>
      <c r="KBJ6" s="2338"/>
      <c r="KBK6" s="2336"/>
      <c r="KBL6" s="2337"/>
      <c r="KBM6" s="2338"/>
      <c r="KBN6" s="2336"/>
      <c r="KBO6" s="2337"/>
      <c r="KBP6" s="2338"/>
      <c r="KBQ6" s="2336"/>
      <c r="KBR6" s="2337"/>
      <c r="KBS6" s="2338"/>
      <c r="KBT6" s="2336"/>
      <c r="KBU6" s="2337"/>
      <c r="KBV6" s="2338"/>
      <c r="KBW6" s="2336"/>
      <c r="KBX6" s="2337"/>
      <c r="KBY6" s="2338"/>
      <c r="KBZ6" s="2336"/>
      <c r="KCA6" s="2337"/>
      <c r="KCB6" s="2338"/>
      <c r="KCC6" s="2336"/>
      <c r="KCD6" s="2337"/>
      <c r="KCE6" s="2338"/>
      <c r="KCF6" s="2336"/>
      <c r="KCG6" s="2337"/>
      <c r="KCH6" s="2338"/>
      <c r="KCI6" s="2336"/>
      <c r="KCJ6" s="2337"/>
      <c r="KCK6" s="2338"/>
      <c r="KCL6" s="2336"/>
      <c r="KCM6" s="2337"/>
      <c r="KCN6" s="2338"/>
      <c r="KCO6" s="2336"/>
      <c r="KCP6" s="2337"/>
      <c r="KCQ6" s="2338"/>
      <c r="KCR6" s="2336"/>
      <c r="KCS6" s="2337"/>
      <c r="KCT6" s="2338"/>
      <c r="KCU6" s="2336"/>
      <c r="KCV6" s="2337"/>
      <c r="KCW6" s="2338"/>
      <c r="KCX6" s="2336"/>
      <c r="KCY6" s="2337"/>
      <c r="KCZ6" s="2338"/>
      <c r="KDA6" s="2336"/>
      <c r="KDB6" s="2337"/>
      <c r="KDC6" s="2338"/>
      <c r="KDD6" s="2336"/>
      <c r="KDE6" s="2337"/>
      <c r="KDF6" s="2338"/>
      <c r="KDG6" s="2336"/>
      <c r="KDH6" s="2337"/>
      <c r="KDI6" s="2338"/>
      <c r="KDJ6" s="2336"/>
      <c r="KDK6" s="2337"/>
      <c r="KDL6" s="2338"/>
      <c r="KDM6" s="2336"/>
      <c r="KDN6" s="2337"/>
      <c r="KDO6" s="2338"/>
      <c r="KDP6" s="2336"/>
      <c r="KDQ6" s="2337"/>
      <c r="KDR6" s="2338"/>
      <c r="KDS6" s="2336"/>
      <c r="KDT6" s="2337"/>
      <c r="KDU6" s="2338"/>
      <c r="KDV6" s="2336"/>
      <c r="KDW6" s="2337"/>
      <c r="KDX6" s="2338"/>
      <c r="KDY6" s="2336"/>
      <c r="KDZ6" s="2337"/>
      <c r="KEA6" s="2338"/>
      <c r="KEB6" s="2336"/>
      <c r="KEC6" s="2337"/>
      <c r="KED6" s="2338"/>
      <c r="KEE6" s="2336"/>
      <c r="KEF6" s="2337"/>
      <c r="KEG6" s="2338"/>
      <c r="KEH6" s="2336"/>
      <c r="KEI6" s="2337"/>
      <c r="KEJ6" s="2338"/>
      <c r="KEK6" s="2336"/>
      <c r="KEL6" s="2337"/>
      <c r="KEM6" s="2338"/>
      <c r="KEN6" s="2336"/>
      <c r="KEO6" s="2337"/>
      <c r="KEP6" s="2338"/>
      <c r="KEQ6" s="2336"/>
      <c r="KER6" s="2337"/>
      <c r="KES6" s="2338"/>
      <c r="KET6" s="2336"/>
      <c r="KEU6" s="2337"/>
      <c r="KEV6" s="2338"/>
      <c r="KEW6" s="2336"/>
      <c r="KEX6" s="2337"/>
      <c r="KEY6" s="2338"/>
      <c r="KEZ6" s="2336"/>
      <c r="KFA6" s="2337"/>
      <c r="KFB6" s="2338"/>
      <c r="KFC6" s="2336"/>
      <c r="KFD6" s="2337"/>
      <c r="KFE6" s="2338"/>
      <c r="KFF6" s="2336"/>
      <c r="KFG6" s="2337"/>
      <c r="KFH6" s="2338"/>
      <c r="KFI6" s="2336"/>
      <c r="KFJ6" s="2337"/>
      <c r="KFK6" s="2338"/>
      <c r="KFL6" s="2336"/>
      <c r="KFM6" s="2337"/>
      <c r="KFN6" s="2338"/>
      <c r="KFO6" s="2336"/>
      <c r="KFP6" s="2337"/>
      <c r="KFQ6" s="2338"/>
      <c r="KFR6" s="2336"/>
      <c r="KFS6" s="2337"/>
      <c r="KFT6" s="2338"/>
      <c r="KFU6" s="2336"/>
      <c r="KFV6" s="2337"/>
      <c r="KFW6" s="2338"/>
      <c r="KFX6" s="2336"/>
      <c r="KFY6" s="2337"/>
      <c r="KFZ6" s="2338"/>
      <c r="KGA6" s="2336"/>
      <c r="KGB6" s="2337"/>
      <c r="KGC6" s="2338"/>
      <c r="KGD6" s="2336"/>
      <c r="KGE6" s="2337"/>
      <c r="KGF6" s="2338"/>
      <c r="KGG6" s="2336"/>
      <c r="KGH6" s="2337"/>
      <c r="KGI6" s="2338"/>
      <c r="KGJ6" s="2336"/>
      <c r="KGK6" s="2337"/>
      <c r="KGL6" s="2338"/>
      <c r="KGM6" s="2336"/>
      <c r="KGN6" s="2337"/>
      <c r="KGO6" s="2338"/>
      <c r="KGP6" s="2336"/>
      <c r="KGQ6" s="2337"/>
      <c r="KGR6" s="2338"/>
      <c r="KGS6" s="2336"/>
      <c r="KGT6" s="2337"/>
      <c r="KGU6" s="2338"/>
      <c r="KGV6" s="2336"/>
      <c r="KGW6" s="2337"/>
      <c r="KGX6" s="2338"/>
      <c r="KGY6" s="2336"/>
      <c r="KGZ6" s="2337"/>
      <c r="KHA6" s="2338"/>
      <c r="KHB6" s="2336"/>
      <c r="KHC6" s="2337"/>
      <c r="KHD6" s="2338"/>
      <c r="KHE6" s="2336"/>
      <c r="KHF6" s="2337"/>
      <c r="KHG6" s="2338"/>
      <c r="KHH6" s="2336"/>
      <c r="KHI6" s="2337"/>
      <c r="KHJ6" s="2338"/>
      <c r="KHK6" s="2336"/>
      <c r="KHL6" s="2337"/>
      <c r="KHM6" s="2338"/>
      <c r="KHN6" s="2336"/>
      <c r="KHO6" s="2337"/>
      <c r="KHP6" s="2338"/>
      <c r="KHQ6" s="2336"/>
      <c r="KHR6" s="2337"/>
      <c r="KHS6" s="2338"/>
      <c r="KHT6" s="2336"/>
      <c r="KHU6" s="2337"/>
      <c r="KHV6" s="2338"/>
      <c r="KHW6" s="2336"/>
      <c r="KHX6" s="2337"/>
      <c r="KHY6" s="2338"/>
      <c r="KHZ6" s="2336"/>
      <c r="KIA6" s="2337"/>
      <c r="KIB6" s="2338"/>
      <c r="KIC6" s="2336"/>
      <c r="KID6" s="2337"/>
      <c r="KIE6" s="2338"/>
      <c r="KIF6" s="2336"/>
      <c r="KIG6" s="2337"/>
      <c r="KIH6" s="2338"/>
      <c r="KII6" s="2336"/>
      <c r="KIJ6" s="2337"/>
      <c r="KIK6" s="2338"/>
      <c r="KIL6" s="2336"/>
      <c r="KIM6" s="2337"/>
      <c r="KIN6" s="2338"/>
      <c r="KIO6" s="2336"/>
      <c r="KIP6" s="2337"/>
      <c r="KIQ6" s="2338"/>
      <c r="KIR6" s="2336"/>
      <c r="KIS6" s="2337"/>
      <c r="KIT6" s="2338"/>
      <c r="KIU6" s="2336"/>
      <c r="KIV6" s="2337"/>
      <c r="KIW6" s="2338"/>
      <c r="KIX6" s="2336"/>
      <c r="KIY6" s="2337"/>
      <c r="KIZ6" s="2338"/>
      <c r="KJA6" s="2336"/>
      <c r="KJB6" s="2337"/>
      <c r="KJC6" s="2338"/>
      <c r="KJD6" s="2336"/>
      <c r="KJE6" s="2337"/>
      <c r="KJF6" s="2338"/>
      <c r="KJG6" s="2336"/>
      <c r="KJH6" s="2337"/>
      <c r="KJI6" s="2338"/>
      <c r="KJJ6" s="2336"/>
      <c r="KJK6" s="2337"/>
      <c r="KJL6" s="2338"/>
      <c r="KJM6" s="2336"/>
      <c r="KJN6" s="2337"/>
      <c r="KJO6" s="2338"/>
      <c r="KJP6" s="2336"/>
      <c r="KJQ6" s="2337"/>
      <c r="KJR6" s="2338"/>
      <c r="KJS6" s="2336"/>
      <c r="KJT6" s="2337"/>
      <c r="KJU6" s="2338"/>
      <c r="KJV6" s="2336"/>
      <c r="KJW6" s="2337"/>
      <c r="KJX6" s="2338"/>
      <c r="KJY6" s="2336"/>
      <c r="KJZ6" s="2337"/>
      <c r="KKA6" s="2338"/>
      <c r="KKB6" s="2336"/>
      <c r="KKC6" s="2337"/>
      <c r="KKD6" s="2338"/>
      <c r="KKE6" s="2336"/>
      <c r="KKF6" s="2337"/>
      <c r="KKG6" s="2338"/>
      <c r="KKH6" s="2336"/>
      <c r="KKI6" s="2337"/>
      <c r="KKJ6" s="2338"/>
      <c r="KKK6" s="2336"/>
      <c r="KKL6" s="2337"/>
      <c r="KKM6" s="2338"/>
      <c r="KKN6" s="2336"/>
      <c r="KKO6" s="2337"/>
      <c r="KKP6" s="2338"/>
      <c r="KKQ6" s="2336"/>
      <c r="KKR6" s="2337"/>
      <c r="KKS6" s="2338"/>
      <c r="KKT6" s="2336"/>
      <c r="KKU6" s="2337"/>
      <c r="KKV6" s="2338"/>
      <c r="KKW6" s="2336"/>
      <c r="KKX6" s="2337"/>
      <c r="KKY6" s="2338"/>
      <c r="KKZ6" s="2336"/>
      <c r="KLA6" s="2337"/>
      <c r="KLB6" s="2338"/>
      <c r="KLC6" s="2336"/>
      <c r="KLD6" s="2337"/>
      <c r="KLE6" s="2338"/>
      <c r="KLF6" s="2336"/>
      <c r="KLG6" s="2337"/>
      <c r="KLH6" s="2338"/>
      <c r="KLI6" s="2336"/>
      <c r="KLJ6" s="2337"/>
      <c r="KLK6" s="2338"/>
      <c r="KLL6" s="2336"/>
      <c r="KLM6" s="2337"/>
      <c r="KLN6" s="2338"/>
      <c r="KLO6" s="2336"/>
      <c r="KLP6" s="2337"/>
      <c r="KLQ6" s="2338"/>
      <c r="KLR6" s="2336"/>
      <c r="KLS6" s="2337"/>
      <c r="KLT6" s="2338"/>
      <c r="KLU6" s="2336"/>
      <c r="KLV6" s="2337"/>
      <c r="KLW6" s="2338"/>
      <c r="KLX6" s="2336"/>
      <c r="KLY6" s="2337"/>
      <c r="KLZ6" s="2338"/>
      <c r="KMA6" s="2336"/>
      <c r="KMB6" s="2337"/>
      <c r="KMC6" s="2338"/>
      <c r="KMD6" s="2336"/>
      <c r="KME6" s="2337"/>
      <c r="KMF6" s="2338"/>
      <c r="KMG6" s="2336"/>
      <c r="KMH6" s="2337"/>
      <c r="KMI6" s="2338"/>
      <c r="KMJ6" s="2336"/>
      <c r="KMK6" s="2337"/>
      <c r="KML6" s="2338"/>
      <c r="KMM6" s="2336"/>
      <c r="KMN6" s="2337"/>
      <c r="KMO6" s="2338"/>
      <c r="KMP6" s="2336"/>
      <c r="KMQ6" s="2337"/>
      <c r="KMR6" s="2338"/>
      <c r="KMS6" s="2336"/>
      <c r="KMT6" s="2337"/>
      <c r="KMU6" s="2338"/>
      <c r="KMV6" s="2336"/>
      <c r="KMW6" s="2337"/>
      <c r="KMX6" s="2338"/>
      <c r="KMY6" s="2336"/>
      <c r="KMZ6" s="2337"/>
      <c r="KNA6" s="2338"/>
      <c r="KNB6" s="2336"/>
      <c r="KNC6" s="2337"/>
      <c r="KND6" s="2338"/>
      <c r="KNE6" s="2336"/>
      <c r="KNF6" s="2337"/>
      <c r="KNG6" s="2338"/>
      <c r="KNH6" s="2336"/>
      <c r="KNI6" s="2337"/>
      <c r="KNJ6" s="2338"/>
      <c r="KNK6" s="2336"/>
      <c r="KNL6" s="2337"/>
      <c r="KNM6" s="2338"/>
      <c r="KNN6" s="2336"/>
      <c r="KNO6" s="2337"/>
      <c r="KNP6" s="2338"/>
      <c r="KNQ6" s="2336"/>
      <c r="KNR6" s="2337"/>
      <c r="KNS6" s="2338"/>
      <c r="KNT6" s="2336"/>
      <c r="KNU6" s="2337"/>
      <c r="KNV6" s="2338"/>
      <c r="KNW6" s="2336"/>
      <c r="KNX6" s="2337"/>
      <c r="KNY6" s="2338"/>
      <c r="KNZ6" s="2336"/>
      <c r="KOA6" s="2337"/>
      <c r="KOB6" s="2338"/>
      <c r="KOC6" s="2336"/>
      <c r="KOD6" s="2337"/>
      <c r="KOE6" s="2338"/>
      <c r="KOF6" s="2336"/>
      <c r="KOG6" s="2337"/>
      <c r="KOH6" s="2338"/>
      <c r="KOI6" s="2336"/>
      <c r="KOJ6" s="2337"/>
      <c r="KOK6" s="2338"/>
      <c r="KOL6" s="2336"/>
      <c r="KOM6" s="2337"/>
      <c r="KON6" s="2338"/>
      <c r="KOO6" s="2336"/>
      <c r="KOP6" s="2337"/>
      <c r="KOQ6" s="2338"/>
      <c r="KOR6" s="2336"/>
      <c r="KOS6" s="2337"/>
      <c r="KOT6" s="2338"/>
      <c r="KOU6" s="2336"/>
      <c r="KOV6" s="2337"/>
      <c r="KOW6" s="2338"/>
      <c r="KOX6" s="2336"/>
      <c r="KOY6" s="2337"/>
      <c r="KOZ6" s="2338"/>
      <c r="KPA6" s="2336"/>
      <c r="KPB6" s="2337"/>
      <c r="KPC6" s="2338"/>
      <c r="KPD6" s="2336"/>
      <c r="KPE6" s="2337"/>
      <c r="KPF6" s="2338"/>
      <c r="KPG6" s="2336"/>
      <c r="KPH6" s="2337"/>
      <c r="KPI6" s="2338"/>
      <c r="KPJ6" s="2336"/>
      <c r="KPK6" s="2337"/>
      <c r="KPL6" s="2338"/>
      <c r="KPM6" s="2336"/>
      <c r="KPN6" s="2337"/>
      <c r="KPO6" s="2338"/>
      <c r="KPP6" s="2336"/>
      <c r="KPQ6" s="2337"/>
      <c r="KPR6" s="2338"/>
      <c r="KPS6" s="2336"/>
      <c r="KPT6" s="2337"/>
      <c r="KPU6" s="2338"/>
      <c r="KPV6" s="2336"/>
      <c r="KPW6" s="2337"/>
      <c r="KPX6" s="2338"/>
      <c r="KPY6" s="2336"/>
      <c r="KPZ6" s="2337"/>
      <c r="KQA6" s="2338"/>
      <c r="KQB6" s="2336"/>
      <c r="KQC6" s="2337"/>
      <c r="KQD6" s="2338"/>
      <c r="KQE6" s="2336"/>
      <c r="KQF6" s="2337"/>
      <c r="KQG6" s="2338"/>
      <c r="KQH6" s="2336"/>
      <c r="KQI6" s="2337"/>
      <c r="KQJ6" s="2338"/>
      <c r="KQK6" s="2336"/>
      <c r="KQL6" s="2337"/>
      <c r="KQM6" s="2338"/>
      <c r="KQN6" s="2336"/>
      <c r="KQO6" s="2337"/>
      <c r="KQP6" s="2338"/>
      <c r="KQQ6" s="2336"/>
      <c r="KQR6" s="2337"/>
      <c r="KQS6" s="2338"/>
      <c r="KQT6" s="2336"/>
      <c r="KQU6" s="2337"/>
      <c r="KQV6" s="2338"/>
      <c r="KQW6" s="2336"/>
      <c r="KQX6" s="2337"/>
      <c r="KQY6" s="2338"/>
      <c r="KQZ6" s="2336"/>
      <c r="KRA6" s="2337"/>
      <c r="KRB6" s="2338"/>
      <c r="KRC6" s="2336"/>
      <c r="KRD6" s="2337"/>
      <c r="KRE6" s="2338"/>
      <c r="KRF6" s="2336"/>
      <c r="KRG6" s="2337"/>
      <c r="KRH6" s="2338"/>
      <c r="KRI6" s="2336"/>
      <c r="KRJ6" s="2337"/>
      <c r="KRK6" s="2338"/>
      <c r="KRL6" s="2336"/>
      <c r="KRM6" s="2337"/>
      <c r="KRN6" s="2338"/>
      <c r="KRO6" s="2336"/>
      <c r="KRP6" s="2337"/>
      <c r="KRQ6" s="2338"/>
      <c r="KRR6" s="2336"/>
      <c r="KRS6" s="2337"/>
      <c r="KRT6" s="2338"/>
      <c r="KRU6" s="2336"/>
      <c r="KRV6" s="2337"/>
      <c r="KRW6" s="2338"/>
      <c r="KRX6" s="2336"/>
      <c r="KRY6" s="2337"/>
      <c r="KRZ6" s="2338"/>
      <c r="KSA6" s="2336"/>
      <c r="KSB6" s="2337"/>
      <c r="KSC6" s="2338"/>
      <c r="KSD6" s="2336"/>
      <c r="KSE6" s="2337"/>
      <c r="KSF6" s="2338"/>
      <c r="KSG6" s="2336"/>
      <c r="KSH6" s="2337"/>
      <c r="KSI6" s="2338"/>
      <c r="KSJ6" s="2336"/>
      <c r="KSK6" s="2337"/>
      <c r="KSL6" s="2338"/>
      <c r="KSM6" s="2336"/>
      <c r="KSN6" s="2337"/>
      <c r="KSO6" s="2338"/>
      <c r="KSP6" s="2336"/>
      <c r="KSQ6" s="2337"/>
      <c r="KSR6" s="2338"/>
      <c r="KSS6" s="2336"/>
      <c r="KST6" s="2337"/>
      <c r="KSU6" s="2338"/>
      <c r="KSV6" s="2336"/>
      <c r="KSW6" s="2337"/>
      <c r="KSX6" s="2338"/>
      <c r="KSY6" s="2336"/>
      <c r="KSZ6" s="2337"/>
      <c r="KTA6" s="2338"/>
      <c r="KTB6" s="2336"/>
      <c r="KTC6" s="2337"/>
      <c r="KTD6" s="2338"/>
      <c r="KTE6" s="2336"/>
      <c r="KTF6" s="2337"/>
      <c r="KTG6" s="2338"/>
      <c r="KTH6" s="2336"/>
      <c r="KTI6" s="2337"/>
      <c r="KTJ6" s="2338"/>
      <c r="KTK6" s="2336"/>
      <c r="KTL6" s="2337"/>
      <c r="KTM6" s="2338"/>
      <c r="KTN6" s="2336"/>
      <c r="KTO6" s="2337"/>
      <c r="KTP6" s="2338"/>
      <c r="KTQ6" s="2336"/>
      <c r="KTR6" s="2337"/>
      <c r="KTS6" s="2338"/>
      <c r="KTT6" s="2336"/>
      <c r="KTU6" s="2337"/>
      <c r="KTV6" s="2338"/>
      <c r="KTW6" s="2336"/>
      <c r="KTX6" s="2337"/>
      <c r="KTY6" s="2338"/>
      <c r="KTZ6" s="2336"/>
      <c r="KUA6" s="2337"/>
      <c r="KUB6" s="2338"/>
      <c r="KUC6" s="2336"/>
      <c r="KUD6" s="2337"/>
      <c r="KUE6" s="2338"/>
      <c r="KUF6" s="2336"/>
      <c r="KUG6" s="2337"/>
      <c r="KUH6" s="2338"/>
      <c r="KUI6" s="2336"/>
      <c r="KUJ6" s="2337"/>
      <c r="KUK6" s="2338"/>
      <c r="KUL6" s="2336"/>
      <c r="KUM6" s="2337"/>
      <c r="KUN6" s="2338"/>
      <c r="KUO6" s="2336"/>
      <c r="KUP6" s="2337"/>
      <c r="KUQ6" s="2338"/>
      <c r="KUR6" s="2336"/>
      <c r="KUS6" s="2337"/>
      <c r="KUT6" s="2338"/>
      <c r="KUU6" s="2336"/>
      <c r="KUV6" s="2337"/>
      <c r="KUW6" s="2338"/>
      <c r="KUX6" s="2336"/>
      <c r="KUY6" s="2337"/>
      <c r="KUZ6" s="2338"/>
      <c r="KVA6" s="2336"/>
      <c r="KVB6" s="2337"/>
      <c r="KVC6" s="2338"/>
      <c r="KVD6" s="2336"/>
      <c r="KVE6" s="2337"/>
      <c r="KVF6" s="2338"/>
      <c r="KVG6" s="2336"/>
      <c r="KVH6" s="2337"/>
      <c r="KVI6" s="2338"/>
      <c r="KVJ6" s="2336"/>
      <c r="KVK6" s="2337"/>
      <c r="KVL6" s="2338"/>
      <c r="KVM6" s="2336"/>
      <c r="KVN6" s="2337"/>
      <c r="KVO6" s="2338"/>
      <c r="KVP6" s="2336"/>
      <c r="KVQ6" s="2337"/>
      <c r="KVR6" s="2338"/>
      <c r="KVS6" s="2336"/>
      <c r="KVT6" s="2337"/>
      <c r="KVU6" s="2338"/>
      <c r="KVV6" s="2336"/>
      <c r="KVW6" s="2337"/>
      <c r="KVX6" s="2338"/>
      <c r="KVY6" s="2336"/>
      <c r="KVZ6" s="2337"/>
      <c r="KWA6" s="2338"/>
      <c r="KWB6" s="2336"/>
      <c r="KWC6" s="2337"/>
      <c r="KWD6" s="2338"/>
      <c r="KWE6" s="2336"/>
      <c r="KWF6" s="2337"/>
      <c r="KWG6" s="2338"/>
      <c r="KWH6" s="2336"/>
      <c r="KWI6" s="2337"/>
      <c r="KWJ6" s="2338"/>
      <c r="KWK6" s="2336"/>
      <c r="KWL6" s="2337"/>
      <c r="KWM6" s="2338"/>
      <c r="KWN6" s="2336"/>
      <c r="KWO6" s="2337"/>
      <c r="KWP6" s="2338"/>
      <c r="KWQ6" s="2336"/>
      <c r="KWR6" s="2337"/>
      <c r="KWS6" s="2338"/>
      <c r="KWT6" s="2336"/>
      <c r="KWU6" s="2337"/>
      <c r="KWV6" s="2338"/>
      <c r="KWW6" s="2336"/>
      <c r="KWX6" s="2337"/>
      <c r="KWY6" s="2338"/>
      <c r="KWZ6" s="2336"/>
      <c r="KXA6" s="2337"/>
      <c r="KXB6" s="2338"/>
      <c r="KXC6" s="2336"/>
      <c r="KXD6" s="2337"/>
      <c r="KXE6" s="2338"/>
      <c r="KXF6" s="2336"/>
      <c r="KXG6" s="2337"/>
      <c r="KXH6" s="2338"/>
      <c r="KXI6" s="2336"/>
      <c r="KXJ6" s="2337"/>
      <c r="KXK6" s="2338"/>
      <c r="KXL6" s="2336"/>
      <c r="KXM6" s="2337"/>
      <c r="KXN6" s="2338"/>
      <c r="KXO6" s="2336"/>
      <c r="KXP6" s="2337"/>
      <c r="KXQ6" s="2338"/>
      <c r="KXR6" s="2336"/>
      <c r="KXS6" s="2337"/>
      <c r="KXT6" s="2338"/>
      <c r="KXU6" s="2336"/>
      <c r="KXV6" s="2337"/>
      <c r="KXW6" s="2338"/>
      <c r="KXX6" s="2336"/>
      <c r="KXY6" s="2337"/>
      <c r="KXZ6" s="2338"/>
      <c r="KYA6" s="2336"/>
      <c r="KYB6" s="2337"/>
      <c r="KYC6" s="2338"/>
      <c r="KYD6" s="2336"/>
      <c r="KYE6" s="2337"/>
      <c r="KYF6" s="2338"/>
      <c r="KYG6" s="2336"/>
      <c r="KYH6" s="2337"/>
      <c r="KYI6" s="2338"/>
      <c r="KYJ6" s="2336"/>
      <c r="KYK6" s="2337"/>
      <c r="KYL6" s="2338"/>
      <c r="KYM6" s="2336"/>
      <c r="KYN6" s="2337"/>
      <c r="KYO6" s="2338"/>
      <c r="KYP6" s="2336"/>
      <c r="KYQ6" s="2337"/>
      <c r="KYR6" s="2338"/>
      <c r="KYS6" s="2336"/>
      <c r="KYT6" s="2337"/>
      <c r="KYU6" s="2338"/>
      <c r="KYV6" s="2336"/>
      <c r="KYW6" s="2337"/>
      <c r="KYX6" s="2338"/>
      <c r="KYY6" s="2336"/>
      <c r="KYZ6" s="2337"/>
      <c r="KZA6" s="2338"/>
      <c r="KZB6" s="2336"/>
      <c r="KZC6" s="2337"/>
      <c r="KZD6" s="2338"/>
      <c r="KZE6" s="2336"/>
      <c r="KZF6" s="2337"/>
      <c r="KZG6" s="2338"/>
      <c r="KZH6" s="2336"/>
      <c r="KZI6" s="2337"/>
      <c r="KZJ6" s="2338"/>
      <c r="KZK6" s="2336"/>
      <c r="KZL6" s="2337"/>
      <c r="KZM6" s="2338"/>
      <c r="KZN6" s="2336"/>
      <c r="KZO6" s="2337"/>
      <c r="KZP6" s="2338"/>
      <c r="KZQ6" s="2336"/>
      <c r="KZR6" s="2337"/>
      <c r="KZS6" s="2338"/>
      <c r="KZT6" s="2336"/>
      <c r="KZU6" s="2337"/>
      <c r="KZV6" s="2338"/>
      <c r="KZW6" s="2336"/>
      <c r="KZX6" s="2337"/>
      <c r="KZY6" s="2338"/>
      <c r="KZZ6" s="2336"/>
      <c r="LAA6" s="2337"/>
      <c r="LAB6" s="2338"/>
      <c r="LAC6" s="2336"/>
      <c r="LAD6" s="2337"/>
      <c r="LAE6" s="2338"/>
      <c r="LAF6" s="2336"/>
      <c r="LAG6" s="2337"/>
      <c r="LAH6" s="2338"/>
      <c r="LAI6" s="2336"/>
      <c r="LAJ6" s="2337"/>
      <c r="LAK6" s="2338"/>
      <c r="LAL6" s="2336"/>
      <c r="LAM6" s="2337"/>
      <c r="LAN6" s="2338"/>
      <c r="LAO6" s="2336"/>
      <c r="LAP6" s="2337"/>
      <c r="LAQ6" s="2338"/>
      <c r="LAR6" s="2336"/>
      <c r="LAS6" s="2337"/>
      <c r="LAT6" s="2338"/>
      <c r="LAU6" s="2336"/>
      <c r="LAV6" s="2337"/>
      <c r="LAW6" s="2338"/>
      <c r="LAX6" s="2336"/>
      <c r="LAY6" s="2337"/>
      <c r="LAZ6" s="2338"/>
      <c r="LBA6" s="2336"/>
      <c r="LBB6" s="2337"/>
      <c r="LBC6" s="2338"/>
      <c r="LBD6" s="2336"/>
      <c r="LBE6" s="2337"/>
      <c r="LBF6" s="2338"/>
      <c r="LBG6" s="2336"/>
      <c r="LBH6" s="2337"/>
      <c r="LBI6" s="2338"/>
      <c r="LBJ6" s="2336"/>
      <c r="LBK6" s="2337"/>
      <c r="LBL6" s="2338"/>
      <c r="LBM6" s="2336"/>
      <c r="LBN6" s="2337"/>
      <c r="LBO6" s="2338"/>
      <c r="LBP6" s="2336"/>
      <c r="LBQ6" s="2337"/>
      <c r="LBR6" s="2338"/>
      <c r="LBS6" s="2336"/>
      <c r="LBT6" s="2337"/>
      <c r="LBU6" s="2338"/>
      <c r="LBV6" s="2336"/>
      <c r="LBW6" s="2337"/>
      <c r="LBX6" s="2338"/>
      <c r="LBY6" s="2336"/>
      <c r="LBZ6" s="2337"/>
      <c r="LCA6" s="2338"/>
      <c r="LCB6" s="2336"/>
      <c r="LCC6" s="2337"/>
      <c r="LCD6" s="2338"/>
      <c r="LCE6" s="2336"/>
      <c r="LCF6" s="2337"/>
      <c r="LCG6" s="2338"/>
      <c r="LCH6" s="2336"/>
      <c r="LCI6" s="2337"/>
      <c r="LCJ6" s="2338"/>
      <c r="LCK6" s="2336"/>
      <c r="LCL6" s="2337"/>
      <c r="LCM6" s="2338"/>
      <c r="LCN6" s="2336"/>
      <c r="LCO6" s="2337"/>
      <c r="LCP6" s="2338"/>
      <c r="LCQ6" s="2336"/>
      <c r="LCR6" s="2337"/>
      <c r="LCS6" s="2338"/>
      <c r="LCT6" s="2336"/>
      <c r="LCU6" s="2337"/>
      <c r="LCV6" s="2338"/>
      <c r="LCW6" s="2336"/>
      <c r="LCX6" s="2337"/>
      <c r="LCY6" s="2338"/>
      <c r="LCZ6" s="2336"/>
      <c r="LDA6" s="2337"/>
      <c r="LDB6" s="2338"/>
      <c r="LDC6" s="2336"/>
      <c r="LDD6" s="2337"/>
      <c r="LDE6" s="2338"/>
      <c r="LDF6" s="2336"/>
      <c r="LDG6" s="2337"/>
      <c r="LDH6" s="2338"/>
      <c r="LDI6" s="2336"/>
      <c r="LDJ6" s="2337"/>
      <c r="LDK6" s="2338"/>
      <c r="LDL6" s="2336"/>
      <c r="LDM6" s="2337"/>
      <c r="LDN6" s="2338"/>
      <c r="LDO6" s="2336"/>
      <c r="LDP6" s="2337"/>
      <c r="LDQ6" s="2338"/>
      <c r="LDR6" s="2336"/>
      <c r="LDS6" s="2337"/>
      <c r="LDT6" s="2338"/>
      <c r="LDU6" s="2336"/>
      <c r="LDV6" s="2337"/>
      <c r="LDW6" s="2338"/>
      <c r="LDX6" s="2336"/>
      <c r="LDY6" s="2337"/>
      <c r="LDZ6" s="2338"/>
      <c r="LEA6" s="2336"/>
      <c r="LEB6" s="2337"/>
      <c r="LEC6" s="2338"/>
      <c r="LED6" s="2336"/>
      <c r="LEE6" s="2337"/>
      <c r="LEF6" s="2338"/>
      <c r="LEG6" s="2336"/>
      <c r="LEH6" s="2337"/>
      <c r="LEI6" s="2338"/>
      <c r="LEJ6" s="2336"/>
      <c r="LEK6" s="2337"/>
      <c r="LEL6" s="2338"/>
      <c r="LEM6" s="2336"/>
      <c r="LEN6" s="2337"/>
      <c r="LEO6" s="2338"/>
      <c r="LEP6" s="2336"/>
      <c r="LEQ6" s="2337"/>
      <c r="LER6" s="2338"/>
      <c r="LES6" s="2336"/>
      <c r="LET6" s="2337"/>
      <c r="LEU6" s="2338"/>
      <c r="LEV6" s="2336"/>
      <c r="LEW6" s="2337"/>
      <c r="LEX6" s="2338"/>
      <c r="LEY6" s="2336"/>
      <c r="LEZ6" s="2337"/>
      <c r="LFA6" s="2338"/>
      <c r="LFB6" s="2336"/>
      <c r="LFC6" s="2337"/>
      <c r="LFD6" s="2338"/>
      <c r="LFE6" s="2336"/>
      <c r="LFF6" s="2337"/>
      <c r="LFG6" s="2338"/>
      <c r="LFH6" s="2336"/>
      <c r="LFI6" s="2337"/>
      <c r="LFJ6" s="2338"/>
      <c r="LFK6" s="2336"/>
      <c r="LFL6" s="2337"/>
      <c r="LFM6" s="2338"/>
      <c r="LFN6" s="2336"/>
      <c r="LFO6" s="2337"/>
      <c r="LFP6" s="2338"/>
      <c r="LFQ6" s="2336"/>
      <c r="LFR6" s="2337"/>
      <c r="LFS6" s="2338"/>
      <c r="LFT6" s="2336"/>
      <c r="LFU6" s="2337"/>
      <c r="LFV6" s="2338"/>
      <c r="LFW6" s="2336"/>
      <c r="LFX6" s="2337"/>
      <c r="LFY6" s="2338"/>
      <c r="LFZ6" s="2336"/>
      <c r="LGA6" s="2337"/>
      <c r="LGB6" s="2338"/>
      <c r="LGC6" s="2336"/>
      <c r="LGD6" s="2337"/>
      <c r="LGE6" s="2338"/>
      <c r="LGF6" s="2336"/>
      <c r="LGG6" s="2337"/>
      <c r="LGH6" s="2338"/>
      <c r="LGI6" s="2336"/>
      <c r="LGJ6" s="2337"/>
      <c r="LGK6" s="2338"/>
      <c r="LGL6" s="2336"/>
      <c r="LGM6" s="2337"/>
      <c r="LGN6" s="2338"/>
      <c r="LGO6" s="2336"/>
      <c r="LGP6" s="2337"/>
      <c r="LGQ6" s="2338"/>
      <c r="LGR6" s="2336"/>
      <c r="LGS6" s="2337"/>
      <c r="LGT6" s="2338"/>
      <c r="LGU6" s="2336"/>
      <c r="LGV6" s="2337"/>
      <c r="LGW6" s="2338"/>
      <c r="LGX6" s="2336"/>
      <c r="LGY6" s="2337"/>
      <c r="LGZ6" s="2338"/>
      <c r="LHA6" s="2336"/>
      <c r="LHB6" s="2337"/>
      <c r="LHC6" s="2338"/>
      <c r="LHD6" s="2336"/>
      <c r="LHE6" s="2337"/>
      <c r="LHF6" s="2338"/>
      <c r="LHG6" s="2336"/>
      <c r="LHH6" s="2337"/>
      <c r="LHI6" s="2338"/>
      <c r="LHJ6" s="2336"/>
      <c r="LHK6" s="2337"/>
      <c r="LHL6" s="2338"/>
      <c r="LHM6" s="2336"/>
      <c r="LHN6" s="2337"/>
      <c r="LHO6" s="2338"/>
      <c r="LHP6" s="2336"/>
      <c r="LHQ6" s="2337"/>
      <c r="LHR6" s="2338"/>
      <c r="LHS6" s="2336"/>
      <c r="LHT6" s="2337"/>
      <c r="LHU6" s="2338"/>
      <c r="LHV6" s="2336"/>
      <c r="LHW6" s="2337"/>
      <c r="LHX6" s="2338"/>
      <c r="LHY6" s="2336"/>
      <c r="LHZ6" s="2337"/>
      <c r="LIA6" s="2338"/>
      <c r="LIB6" s="2336"/>
      <c r="LIC6" s="2337"/>
      <c r="LID6" s="2338"/>
      <c r="LIE6" s="2336"/>
      <c r="LIF6" s="2337"/>
      <c r="LIG6" s="2338"/>
      <c r="LIH6" s="2336"/>
      <c r="LII6" s="2337"/>
      <c r="LIJ6" s="2338"/>
      <c r="LIK6" s="2336"/>
      <c r="LIL6" s="2337"/>
      <c r="LIM6" s="2338"/>
      <c r="LIN6" s="2336"/>
      <c r="LIO6" s="2337"/>
      <c r="LIP6" s="2338"/>
      <c r="LIQ6" s="2336"/>
      <c r="LIR6" s="2337"/>
      <c r="LIS6" s="2338"/>
      <c r="LIT6" s="2336"/>
      <c r="LIU6" s="2337"/>
      <c r="LIV6" s="2338"/>
      <c r="LIW6" s="2336"/>
      <c r="LIX6" s="2337"/>
      <c r="LIY6" s="2338"/>
      <c r="LIZ6" s="2336"/>
      <c r="LJA6" s="2337"/>
      <c r="LJB6" s="2338"/>
      <c r="LJC6" s="2336"/>
      <c r="LJD6" s="2337"/>
      <c r="LJE6" s="2338"/>
      <c r="LJF6" s="2336"/>
      <c r="LJG6" s="2337"/>
      <c r="LJH6" s="2338"/>
      <c r="LJI6" s="2336"/>
      <c r="LJJ6" s="2337"/>
      <c r="LJK6" s="2338"/>
      <c r="LJL6" s="2336"/>
      <c r="LJM6" s="2337"/>
      <c r="LJN6" s="2338"/>
      <c r="LJO6" s="2336"/>
      <c r="LJP6" s="2337"/>
      <c r="LJQ6" s="2338"/>
      <c r="LJR6" s="2336"/>
      <c r="LJS6" s="2337"/>
      <c r="LJT6" s="2338"/>
      <c r="LJU6" s="2336"/>
      <c r="LJV6" s="2337"/>
      <c r="LJW6" s="2338"/>
      <c r="LJX6" s="2336"/>
      <c r="LJY6" s="2337"/>
      <c r="LJZ6" s="2338"/>
      <c r="LKA6" s="2336"/>
      <c r="LKB6" s="2337"/>
      <c r="LKC6" s="2338"/>
      <c r="LKD6" s="2336"/>
      <c r="LKE6" s="2337"/>
      <c r="LKF6" s="2338"/>
      <c r="LKG6" s="2336"/>
      <c r="LKH6" s="2337"/>
      <c r="LKI6" s="2338"/>
      <c r="LKJ6" s="2336"/>
      <c r="LKK6" s="2337"/>
      <c r="LKL6" s="2338"/>
      <c r="LKM6" s="2336"/>
      <c r="LKN6" s="2337"/>
      <c r="LKO6" s="2338"/>
      <c r="LKP6" s="2336"/>
      <c r="LKQ6" s="2337"/>
      <c r="LKR6" s="2338"/>
      <c r="LKS6" s="2336"/>
      <c r="LKT6" s="2337"/>
      <c r="LKU6" s="2338"/>
      <c r="LKV6" s="2336"/>
      <c r="LKW6" s="2337"/>
      <c r="LKX6" s="2338"/>
      <c r="LKY6" s="2336"/>
      <c r="LKZ6" s="2337"/>
      <c r="LLA6" s="2338"/>
      <c r="LLB6" s="2336"/>
      <c r="LLC6" s="2337"/>
      <c r="LLD6" s="2338"/>
      <c r="LLE6" s="2336"/>
      <c r="LLF6" s="2337"/>
      <c r="LLG6" s="2338"/>
      <c r="LLH6" s="2336"/>
      <c r="LLI6" s="2337"/>
      <c r="LLJ6" s="2338"/>
      <c r="LLK6" s="2336"/>
      <c r="LLL6" s="2337"/>
      <c r="LLM6" s="2338"/>
      <c r="LLN6" s="2336"/>
      <c r="LLO6" s="2337"/>
      <c r="LLP6" s="2338"/>
      <c r="LLQ6" s="2336"/>
      <c r="LLR6" s="2337"/>
      <c r="LLS6" s="2338"/>
      <c r="LLT6" s="2336"/>
      <c r="LLU6" s="2337"/>
      <c r="LLV6" s="2338"/>
      <c r="LLW6" s="2336"/>
      <c r="LLX6" s="2337"/>
      <c r="LLY6" s="2338"/>
      <c r="LLZ6" s="2336"/>
      <c r="LMA6" s="2337"/>
      <c r="LMB6" s="2338"/>
      <c r="LMC6" s="2336"/>
      <c r="LMD6" s="2337"/>
      <c r="LME6" s="2338"/>
      <c r="LMF6" s="2336"/>
      <c r="LMG6" s="2337"/>
      <c r="LMH6" s="2338"/>
      <c r="LMI6" s="2336"/>
      <c r="LMJ6" s="2337"/>
      <c r="LMK6" s="2338"/>
      <c r="LML6" s="2336"/>
      <c r="LMM6" s="2337"/>
      <c r="LMN6" s="2338"/>
      <c r="LMO6" s="2336"/>
      <c r="LMP6" s="2337"/>
      <c r="LMQ6" s="2338"/>
      <c r="LMR6" s="2336"/>
      <c r="LMS6" s="2337"/>
      <c r="LMT6" s="2338"/>
      <c r="LMU6" s="2336"/>
      <c r="LMV6" s="2337"/>
      <c r="LMW6" s="2338"/>
      <c r="LMX6" s="2336"/>
      <c r="LMY6" s="2337"/>
      <c r="LMZ6" s="2338"/>
      <c r="LNA6" s="2336"/>
      <c r="LNB6" s="2337"/>
      <c r="LNC6" s="2338"/>
      <c r="LND6" s="2336"/>
      <c r="LNE6" s="2337"/>
      <c r="LNF6" s="2338"/>
      <c r="LNG6" s="2336"/>
      <c r="LNH6" s="2337"/>
      <c r="LNI6" s="2338"/>
      <c r="LNJ6" s="2336"/>
      <c r="LNK6" s="2337"/>
      <c r="LNL6" s="2338"/>
      <c r="LNM6" s="2336"/>
      <c r="LNN6" s="2337"/>
      <c r="LNO6" s="2338"/>
      <c r="LNP6" s="2336"/>
      <c r="LNQ6" s="2337"/>
      <c r="LNR6" s="2338"/>
      <c r="LNS6" s="2336"/>
      <c r="LNT6" s="2337"/>
      <c r="LNU6" s="2338"/>
      <c r="LNV6" s="2336"/>
      <c r="LNW6" s="2337"/>
      <c r="LNX6" s="2338"/>
      <c r="LNY6" s="2336"/>
      <c r="LNZ6" s="2337"/>
      <c r="LOA6" s="2338"/>
      <c r="LOB6" s="2336"/>
      <c r="LOC6" s="2337"/>
      <c r="LOD6" s="2338"/>
      <c r="LOE6" s="2336"/>
      <c r="LOF6" s="2337"/>
      <c r="LOG6" s="2338"/>
      <c r="LOH6" s="2336"/>
      <c r="LOI6" s="2337"/>
      <c r="LOJ6" s="2338"/>
      <c r="LOK6" s="2336"/>
      <c r="LOL6" s="2337"/>
      <c r="LOM6" s="2338"/>
      <c r="LON6" s="2336"/>
      <c r="LOO6" s="2337"/>
      <c r="LOP6" s="2338"/>
      <c r="LOQ6" s="2336"/>
      <c r="LOR6" s="2337"/>
      <c r="LOS6" s="2338"/>
      <c r="LOT6" s="2336"/>
      <c r="LOU6" s="2337"/>
      <c r="LOV6" s="2338"/>
      <c r="LOW6" s="2336"/>
      <c r="LOX6" s="2337"/>
      <c r="LOY6" s="2338"/>
      <c r="LOZ6" s="2336"/>
      <c r="LPA6" s="2337"/>
      <c r="LPB6" s="2338"/>
      <c r="LPC6" s="2336"/>
      <c r="LPD6" s="2337"/>
      <c r="LPE6" s="2338"/>
      <c r="LPF6" s="2336"/>
      <c r="LPG6" s="2337"/>
      <c r="LPH6" s="2338"/>
      <c r="LPI6" s="2336"/>
      <c r="LPJ6" s="2337"/>
      <c r="LPK6" s="2338"/>
      <c r="LPL6" s="2336"/>
      <c r="LPM6" s="2337"/>
      <c r="LPN6" s="2338"/>
      <c r="LPO6" s="2336"/>
      <c r="LPP6" s="2337"/>
      <c r="LPQ6" s="2338"/>
      <c r="LPR6" s="2336"/>
      <c r="LPS6" s="2337"/>
      <c r="LPT6" s="2338"/>
      <c r="LPU6" s="2336"/>
      <c r="LPV6" s="2337"/>
      <c r="LPW6" s="2338"/>
      <c r="LPX6" s="2336"/>
      <c r="LPY6" s="2337"/>
      <c r="LPZ6" s="2338"/>
      <c r="LQA6" s="2336"/>
      <c r="LQB6" s="2337"/>
      <c r="LQC6" s="2338"/>
      <c r="LQD6" s="2336"/>
      <c r="LQE6" s="2337"/>
      <c r="LQF6" s="2338"/>
      <c r="LQG6" s="2336"/>
      <c r="LQH6" s="2337"/>
      <c r="LQI6" s="2338"/>
      <c r="LQJ6" s="2336"/>
      <c r="LQK6" s="2337"/>
      <c r="LQL6" s="2338"/>
      <c r="LQM6" s="2336"/>
      <c r="LQN6" s="2337"/>
      <c r="LQO6" s="2338"/>
      <c r="LQP6" s="2336"/>
      <c r="LQQ6" s="2337"/>
      <c r="LQR6" s="2338"/>
      <c r="LQS6" s="2336"/>
      <c r="LQT6" s="2337"/>
      <c r="LQU6" s="2338"/>
      <c r="LQV6" s="2336"/>
      <c r="LQW6" s="2337"/>
      <c r="LQX6" s="2338"/>
      <c r="LQY6" s="2336"/>
      <c r="LQZ6" s="2337"/>
      <c r="LRA6" s="2338"/>
      <c r="LRB6" s="2336"/>
      <c r="LRC6" s="2337"/>
      <c r="LRD6" s="2338"/>
      <c r="LRE6" s="2336"/>
      <c r="LRF6" s="2337"/>
      <c r="LRG6" s="2338"/>
      <c r="LRH6" s="2336"/>
      <c r="LRI6" s="2337"/>
      <c r="LRJ6" s="2338"/>
      <c r="LRK6" s="2336"/>
      <c r="LRL6" s="2337"/>
      <c r="LRM6" s="2338"/>
      <c r="LRN6" s="2336"/>
      <c r="LRO6" s="2337"/>
      <c r="LRP6" s="2338"/>
      <c r="LRQ6" s="2336"/>
      <c r="LRR6" s="2337"/>
      <c r="LRS6" s="2338"/>
      <c r="LRT6" s="2336"/>
      <c r="LRU6" s="2337"/>
      <c r="LRV6" s="2338"/>
      <c r="LRW6" s="2336"/>
      <c r="LRX6" s="2337"/>
      <c r="LRY6" s="2338"/>
      <c r="LRZ6" s="2336"/>
      <c r="LSA6" s="2337"/>
      <c r="LSB6" s="2338"/>
      <c r="LSC6" s="2336"/>
      <c r="LSD6" s="2337"/>
      <c r="LSE6" s="2338"/>
      <c r="LSF6" s="2336"/>
      <c r="LSG6" s="2337"/>
      <c r="LSH6" s="2338"/>
      <c r="LSI6" s="2336"/>
      <c r="LSJ6" s="2337"/>
      <c r="LSK6" s="2338"/>
      <c r="LSL6" s="2336"/>
      <c r="LSM6" s="2337"/>
      <c r="LSN6" s="2338"/>
      <c r="LSO6" s="2336"/>
      <c r="LSP6" s="2337"/>
      <c r="LSQ6" s="2338"/>
      <c r="LSR6" s="2336"/>
      <c r="LSS6" s="2337"/>
      <c r="LST6" s="2338"/>
      <c r="LSU6" s="2336"/>
      <c r="LSV6" s="2337"/>
      <c r="LSW6" s="2338"/>
      <c r="LSX6" s="2336"/>
      <c r="LSY6" s="2337"/>
      <c r="LSZ6" s="2338"/>
      <c r="LTA6" s="2336"/>
      <c r="LTB6" s="2337"/>
      <c r="LTC6" s="2338"/>
      <c r="LTD6" s="2336"/>
      <c r="LTE6" s="2337"/>
      <c r="LTF6" s="2338"/>
      <c r="LTG6" s="2336"/>
      <c r="LTH6" s="2337"/>
      <c r="LTI6" s="2338"/>
      <c r="LTJ6" s="2336"/>
      <c r="LTK6" s="2337"/>
      <c r="LTL6" s="2338"/>
      <c r="LTM6" s="2336"/>
      <c r="LTN6" s="2337"/>
      <c r="LTO6" s="2338"/>
      <c r="LTP6" s="2336"/>
      <c r="LTQ6" s="2337"/>
      <c r="LTR6" s="2338"/>
      <c r="LTS6" s="2336"/>
      <c r="LTT6" s="2337"/>
      <c r="LTU6" s="2338"/>
      <c r="LTV6" s="2336"/>
      <c r="LTW6" s="2337"/>
      <c r="LTX6" s="2338"/>
      <c r="LTY6" s="2336"/>
      <c r="LTZ6" s="2337"/>
      <c r="LUA6" s="2338"/>
      <c r="LUB6" s="2336"/>
      <c r="LUC6" s="2337"/>
      <c r="LUD6" s="2338"/>
      <c r="LUE6" s="2336"/>
      <c r="LUF6" s="2337"/>
      <c r="LUG6" s="2338"/>
      <c r="LUH6" s="2336"/>
      <c r="LUI6" s="2337"/>
      <c r="LUJ6" s="2338"/>
      <c r="LUK6" s="2336"/>
      <c r="LUL6" s="2337"/>
      <c r="LUM6" s="2338"/>
      <c r="LUN6" s="2336"/>
      <c r="LUO6" s="2337"/>
      <c r="LUP6" s="2338"/>
      <c r="LUQ6" s="2336"/>
      <c r="LUR6" s="2337"/>
      <c r="LUS6" s="2338"/>
      <c r="LUT6" s="2336"/>
      <c r="LUU6" s="2337"/>
      <c r="LUV6" s="2338"/>
      <c r="LUW6" s="2336"/>
      <c r="LUX6" s="2337"/>
      <c r="LUY6" s="2338"/>
      <c r="LUZ6" s="2336"/>
      <c r="LVA6" s="2337"/>
      <c r="LVB6" s="2338"/>
      <c r="LVC6" s="2336"/>
      <c r="LVD6" s="2337"/>
      <c r="LVE6" s="2338"/>
      <c r="LVF6" s="2336"/>
      <c r="LVG6" s="2337"/>
      <c r="LVH6" s="2338"/>
      <c r="LVI6" s="2336"/>
      <c r="LVJ6" s="2337"/>
      <c r="LVK6" s="2338"/>
      <c r="LVL6" s="2336"/>
      <c r="LVM6" s="2337"/>
      <c r="LVN6" s="2338"/>
      <c r="LVO6" s="2336"/>
      <c r="LVP6" s="2337"/>
      <c r="LVQ6" s="2338"/>
      <c r="LVR6" s="2336"/>
      <c r="LVS6" s="2337"/>
      <c r="LVT6" s="2338"/>
      <c r="LVU6" s="2336"/>
      <c r="LVV6" s="2337"/>
      <c r="LVW6" s="2338"/>
      <c r="LVX6" s="2336"/>
      <c r="LVY6" s="2337"/>
      <c r="LVZ6" s="2338"/>
      <c r="LWA6" s="2336"/>
      <c r="LWB6" s="2337"/>
      <c r="LWC6" s="2338"/>
      <c r="LWD6" s="2336"/>
      <c r="LWE6" s="2337"/>
      <c r="LWF6" s="2338"/>
      <c r="LWG6" s="2336"/>
      <c r="LWH6" s="2337"/>
      <c r="LWI6" s="2338"/>
      <c r="LWJ6" s="2336"/>
      <c r="LWK6" s="2337"/>
      <c r="LWL6" s="2338"/>
      <c r="LWM6" s="2336"/>
      <c r="LWN6" s="2337"/>
      <c r="LWO6" s="2338"/>
      <c r="LWP6" s="2336"/>
      <c r="LWQ6" s="2337"/>
      <c r="LWR6" s="2338"/>
      <c r="LWS6" s="2336"/>
      <c r="LWT6" s="2337"/>
      <c r="LWU6" s="2338"/>
      <c r="LWV6" s="2336"/>
      <c r="LWW6" s="2337"/>
      <c r="LWX6" s="2338"/>
      <c r="LWY6" s="2336"/>
      <c r="LWZ6" s="2337"/>
      <c r="LXA6" s="2338"/>
      <c r="LXB6" s="2336"/>
      <c r="LXC6" s="2337"/>
      <c r="LXD6" s="2338"/>
      <c r="LXE6" s="2336"/>
      <c r="LXF6" s="2337"/>
      <c r="LXG6" s="2338"/>
      <c r="LXH6" s="2336"/>
      <c r="LXI6" s="2337"/>
      <c r="LXJ6" s="2338"/>
      <c r="LXK6" s="2336"/>
      <c r="LXL6" s="2337"/>
      <c r="LXM6" s="2338"/>
      <c r="LXN6" s="2336"/>
      <c r="LXO6" s="2337"/>
      <c r="LXP6" s="2338"/>
      <c r="LXQ6" s="2336"/>
      <c r="LXR6" s="2337"/>
      <c r="LXS6" s="2338"/>
      <c r="LXT6" s="2336"/>
      <c r="LXU6" s="2337"/>
      <c r="LXV6" s="2338"/>
      <c r="LXW6" s="2336"/>
      <c r="LXX6" s="2337"/>
      <c r="LXY6" s="2338"/>
      <c r="LXZ6" s="2336"/>
      <c r="LYA6" s="2337"/>
      <c r="LYB6" s="2338"/>
      <c r="LYC6" s="2336"/>
      <c r="LYD6" s="2337"/>
      <c r="LYE6" s="2338"/>
      <c r="LYF6" s="2336"/>
      <c r="LYG6" s="2337"/>
      <c r="LYH6" s="2338"/>
      <c r="LYI6" s="2336"/>
      <c r="LYJ6" s="2337"/>
      <c r="LYK6" s="2338"/>
      <c r="LYL6" s="2336"/>
      <c r="LYM6" s="2337"/>
      <c r="LYN6" s="2338"/>
      <c r="LYO6" s="2336"/>
      <c r="LYP6" s="2337"/>
      <c r="LYQ6" s="2338"/>
      <c r="LYR6" s="2336"/>
      <c r="LYS6" s="2337"/>
      <c r="LYT6" s="2338"/>
      <c r="LYU6" s="2336"/>
      <c r="LYV6" s="2337"/>
      <c r="LYW6" s="2338"/>
      <c r="LYX6" s="2336"/>
      <c r="LYY6" s="2337"/>
      <c r="LYZ6" s="2338"/>
      <c r="LZA6" s="2336"/>
      <c r="LZB6" s="2337"/>
      <c r="LZC6" s="2338"/>
      <c r="LZD6" s="2336"/>
      <c r="LZE6" s="2337"/>
      <c r="LZF6" s="2338"/>
      <c r="LZG6" s="2336"/>
      <c r="LZH6" s="2337"/>
      <c r="LZI6" s="2338"/>
      <c r="LZJ6" s="2336"/>
      <c r="LZK6" s="2337"/>
      <c r="LZL6" s="2338"/>
      <c r="LZM6" s="2336"/>
      <c r="LZN6" s="2337"/>
      <c r="LZO6" s="2338"/>
      <c r="LZP6" s="2336"/>
      <c r="LZQ6" s="2337"/>
      <c r="LZR6" s="2338"/>
      <c r="LZS6" s="2336"/>
      <c r="LZT6" s="2337"/>
      <c r="LZU6" s="2338"/>
      <c r="LZV6" s="2336"/>
      <c r="LZW6" s="2337"/>
      <c r="LZX6" s="2338"/>
      <c r="LZY6" s="2336"/>
      <c r="LZZ6" s="2337"/>
      <c r="MAA6" s="2338"/>
      <c r="MAB6" s="2336"/>
      <c r="MAC6" s="2337"/>
      <c r="MAD6" s="2338"/>
      <c r="MAE6" s="2336"/>
      <c r="MAF6" s="2337"/>
      <c r="MAG6" s="2338"/>
      <c r="MAH6" s="2336"/>
      <c r="MAI6" s="2337"/>
      <c r="MAJ6" s="2338"/>
      <c r="MAK6" s="2336"/>
      <c r="MAL6" s="2337"/>
      <c r="MAM6" s="2338"/>
      <c r="MAN6" s="2336"/>
      <c r="MAO6" s="2337"/>
      <c r="MAP6" s="2338"/>
      <c r="MAQ6" s="2336"/>
      <c r="MAR6" s="2337"/>
      <c r="MAS6" s="2338"/>
      <c r="MAT6" s="2336"/>
      <c r="MAU6" s="2337"/>
      <c r="MAV6" s="2338"/>
      <c r="MAW6" s="2336"/>
      <c r="MAX6" s="2337"/>
      <c r="MAY6" s="2338"/>
      <c r="MAZ6" s="2336"/>
      <c r="MBA6" s="2337"/>
      <c r="MBB6" s="2338"/>
      <c r="MBC6" s="2336"/>
      <c r="MBD6" s="2337"/>
      <c r="MBE6" s="2338"/>
      <c r="MBF6" s="2336"/>
      <c r="MBG6" s="2337"/>
      <c r="MBH6" s="2338"/>
      <c r="MBI6" s="2336"/>
      <c r="MBJ6" s="2337"/>
      <c r="MBK6" s="2338"/>
      <c r="MBL6" s="2336"/>
      <c r="MBM6" s="2337"/>
      <c r="MBN6" s="2338"/>
      <c r="MBO6" s="2336"/>
      <c r="MBP6" s="2337"/>
      <c r="MBQ6" s="2338"/>
      <c r="MBR6" s="2336"/>
      <c r="MBS6" s="2337"/>
      <c r="MBT6" s="2338"/>
      <c r="MBU6" s="2336"/>
      <c r="MBV6" s="2337"/>
      <c r="MBW6" s="2338"/>
      <c r="MBX6" s="2336"/>
      <c r="MBY6" s="2337"/>
      <c r="MBZ6" s="2338"/>
      <c r="MCA6" s="2336"/>
      <c r="MCB6" s="2337"/>
      <c r="MCC6" s="2338"/>
      <c r="MCD6" s="2336"/>
      <c r="MCE6" s="2337"/>
      <c r="MCF6" s="2338"/>
      <c r="MCG6" s="2336"/>
      <c r="MCH6" s="2337"/>
      <c r="MCI6" s="2338"/>
      <c r="MCJ6" s="2336"/>
      <c r="MCK6" s="2337"/>
      <c r="MCL6" s="2338"/>
      <c r="MCM6" s="2336"/>
      <c r="MCN6" s="2337"/>
      <c r="MCO6" s="2338"/>
      <c r="MCP6" s="2336"/>
      <c r="MCQ6" s="2337"/>
      <c r="MCR6" s="2338"/>
      <c r="MCS6" s="2336"/>
      <c r="MCT6" s="2337"/>
      <c r="MCU6" s="2338"/>
      <c r="MCV6" s="2336"/>
      <c r="MCW6" s="2337"/>
      <c r="MCX6" s="2338"/>
      <c r="MCY6" s="2336"/>
      <c r="MCZ6" s="2337"/>
      <c r="MDA6" s="2338"/>
      <c r="MDB6" s="2336"/>
      <c r="MDC6" s="2337"/>
      <c r="MDD6" s="2338"/>
      <c r="MDE6" s="2336"/>
      <c r="MDF6" s="2337"/>
      <c r="MDG6" s="2338"/>
      <c r="MDH6" s="2336"/>
      <c r="MDI6" s="2337"/>
      <c r="MDJ6" s="2338"/>
      <c r="MDK6" s="2336"/>
      <c r="MDL6" s="2337"/>
      <c r="MDM6" s="2338"/>
      <c r="MDN6" s="2336"/>
      <c r="MDO6" s="2337"/>
      <c r="MDP6" s="2338"/>
      <c r="MDQ6" s="2336"/>
      <c r="MDR6" s="2337"/>
      <c r="MDS6" s="2338"/>
      <c r="MDT6" s="2336"/>
      <c r="MDU6" s="2337"/>
      <c r="MDV6" s="2338"/>
      <c r="MDW6" s="2336"/>
      <c r="MDX6" s="2337"/>
      <c r="MDY6" s="2338"/>
      <c r="MDZ6" s="2336"/>
      <c r="MEA6" s="2337"/>
      <c r="MEB6" s="2338"/>
      <c r="MEC6" s="2336"/>
      <c r="MED6" s="2337"/>
      <c r="MEE6" s="2338"/>
      <c r="MEF6" s="2336"/>
      <c r="MEG6" s="2337"/>
      <c r="MEH6" s="2338"/>
      <c r="MEI6" s="2336"/>
      <c r="MEJ6" s="2337"/>
      <c r="MEK6" s="2338"/>
      <c r="MEL6" s="2336"/>
      <c r="MEM6" s="2337"/>
      <c r="MEN6" s="2338"/>
      <c r="MEO6" s="2336"/>
      <c r="MEP6" s="2337"/>
      <c r="MEQ6" s="2338"/>
      <c r="MER6" s="2336"/>
      <c r="MES6" s="2337"/>
      <c r="MET6" s="2338"/>
      <c r="MEU6" s="2336"/>
      <c r="MEV6" s="2337"/>
      <c r="MEW6" s="2338"/>
      <c r="MEX6" s="2336"/>
      <c r="MEY6" s="2337"/>
      <c r="MEZ6" s="2338"/>
      <c r="MFA6" s="2336"/>
      <c r="MFB6" s="2337"/>
      <c r="MFC6" s="2338"/>
      <c r="MFD6" s="2336"/>
      <c r="MFE6" s="2337"/>
      <c r="MFF6" s="2338"/>
      <c r="MFG6" s="2336"/>
      <c r="MFH6" s="2337"/>
      <c r="MFI6" s="2338"/>
      <c r="MFJ6" s="2336"/>
      <c r="MFK6" s="2337"/>
      <c r="MFL6" s="2338"/>
      <c r="MFM6" s="2336"/>
      <c r="MFN6" s="2337"/>
      <c r="MFO6" s="2338"/>
      <c r="MFP6" s="2336"/>
      <c r="MFQ6" s="2337"/>
      <c r="MFR6" s="2338"/>
      <c r="MFS6" s="2336"/>
      <c r="MFT6" s="2337"/>
      <c r="MFU6" s="2338"/>
      <c r="MFV6" s="2336"/>
      <c r="MFW6" s="2337"/>
      <c r="MFX6" s="2338"/>
      <c r="MFY6" s="2336"/>
      <c r="MFZ6" s="2337"/>
      <c r="MGA6" s="2338"/>
      <c r="MGB6" s="2336"/>
      <c r="MGC6" s="2337"/>
      <c r="MGD6" s="2338"/>
      <c r="MGE6" s="2336"/>
      <c r="MGF6" s="2337"/>
      <c r="MGG6" s="2338"/>
      <c r="MGH6" s="2336"/>
      <c r="MGI6" s="2337"/>
      <c r="MGJ6" s="2338"/>
      <c r="MGK6" s="2336"/>
      <c r="MGL6" s="2337"/>
      <c r="MGM6" s="2338"/>
      <c r="MGN6" s="2336"/>
      <c r="MGO6" s="2337"/>
      <c r="MGP6" s="2338"/>
      <c r="MGQ6" s="2336"/>
      <c r="MGR6" s="2337"/>
      <c r="MGS6" s="2338"/>
      <c r="MGT6" s="2336"/>
      <c r="MGU6" s="2337"/>
      <c r="MGV6" s="2338"/>
      <c r="MGW6" s="2336"/>
      <c r="MGX6" s="2337"/>
      <c r="MGY6" s="2338"/>
      <c r="MGZ6" s="2336"/>
      <c r="MHA6" s="2337"/>
      <c r="MHB6" s="2338"/>
      <c r="MHC6" s="2336"/>
      <c r="MHD6" s="2337"/>
      <c r="MHE6" s="2338"/>
      <c r="MHF6" s="2336"/>
      <c r="MHG6" s="2337"/>
      <c r="MHH6" s="2338"/>
      <c r="MHI6" s="2336"/>
      <c r="MHJ6" s="2337"/>
      <c r="MHK6" s="2338"/>
      <c r="MHL6" s="2336"/>
      <c r="MHM6" s="2337"/>
      <c r="MHN6" s="2338"/>
      <c r="MHO6" s="2336"/>
      <c r="MHP6" s="2337"/>
      <c r="MHQ6" s="2338"/>
      <c r="MHR6" s="2336"/>
      <c r="MHS6" s="2337"/>
      <c r="MHT6" s="2338"/>
      <c r="MHU6" s="2336"/>
      <c r="MHV6" s="2337"/>
      <c r="MHW6" s="2338"/>
      <c r="MHX6" s="2336"/>
      <c r="MHY6" s="2337"/>
      <c r="MHZ6" s="2338"/>
      <c r="MIA6" s="2336"/>
      <c r="MIB6" s="2337"/>
      <c r="MIC6" s="2338"/>
      <c r="MID6" s="2336"/>
      <c r="MIE6" s="2337"/>
      <c r="MIF6" s="2338"/>
      <c r="MIG6" s="2336"/>
      <c r="MIH6" s="2337"/>
      <c r="MII6" s="2338"/>
      <c r="MIJ6" s="2336"/>
      <c r="MIK6" s="2337"/>
      <c r="MIL6" s="2338"/>
      <c r="MIM6" s="2336"/>
      <c r="MIN6" s="2337"/>
      <c r="MIO6" s="2338"/>
      <c r="MIP6" s="2336"/>
      <c r="MIQ6" s="2337"/>
      <c r="MIR6" s="2338"/>
      <c r="MIS6" s="2336"/>
      <c r="MIT6" s="2337"/>
      <c r="MIU6" s="2338"/>
      <c r="MIV6" s="2336"/>
      <c r="MIW6" s="2337"/>
      <c r="MIX6" s="2338"/>
      <c r="MIY6" s="2336"/>
      <c r="MIZ6" s="2337"/>
      <c r="MJA6" s="2338"/>
      <c r="MJB6" s="2336"/>
      <c r="MJC6" s="2337"/>
      <c r="MJD6" s="2338"/>
      <c r="MJE6" s="2336"/>
      <c r="MJF6" s="2337"/>
      <c r="MJG6" s="2338"/>
      <c r="MJH6" s="2336"/>
      <c r="MJI6" s="2337"/>
      <c r="MJJ6" s="2338"/>
      <c r="MJK6" s="2336"/>
      <c r="MJL6" s="2337"/>
      <c r="MJM6" s="2338"/>
      <c r="MJN6" s="2336"/>
      <c r="MJO6" s="2337"/>
      <c r="MJP6" s="2338"/>
      <c r="MJQ6" s="2336"/>
      <c r="MJR6" s="2337"/>
      <c r="MJS6" s="2338"/>
      <c r="MJT6" s="2336"/>
      <c r="MJU6" s="2337"/>
      <c r="MJV6" s="2338"/>
      <c r="MJW6" s="2336"/>
      <c r="MJX6" s="2337"/>
      <c r="MJY6" s="2338"/>
      <c r="MJZ6" s="2336"/>
      <c r="MKA6" s="2337"/>
      <c r="MKB6" s="2338"/>
      <c r="MKC6" s="2336"/>
      <c r="MKD6" s="2337"/>
      <c r="MKE6" s="2338"/>
      <c r="MKF6" s="2336"/>
      <c r="MKG6" s="2337"/>
      <c r="MKH6" s="2338"/>
      <c r="MKI6" s="2336"/>
      <c r="MKJ6" s="2337"/>
      <c r="MKK6" s="2338"/>
      <c r="MKL6" s="2336"/>
      <c r="MKM6" s="2337"/>
      <c r="MKN6" s="2338"/>
      <c r="MKO6" s="2336"/>
      <c r="MKP6" s="2337"/>
      <c r="MKQ6" s="2338"/>
      <c r="MKR6" s="2336"/>
      <c r="MKS6" s="2337"/>
      <c r="MKT6" s="2338"/>
      <c r="MKU6" s="2336"/>
      <c r="MKV6" s="2337"/>
      <c r="MKW6" s="2338"/>
      <c r="MKX6" s="2336"/>
      <c r="MKY6" s="2337"/>
      <c r="MKZ6" s="2338"/>
      <c r="MLA6" s="2336"/>
      <c r="MLB6" s="2337"/>
      <c r="MLC6" s="2338"/>
      <c r="MLD6" s="2336"/>
      <c r="MLE6" s="2337"/>
      <c r="MLF6" s="2338"/>
      <c r="MLG6" s="2336"/>
      <c r="MLH6" s="2337"/>
      <c r="MLI6" s="2338"/>
      <c r="MLJ6" s="2336"/>
      <c r="MLK6" s="2337"/>
      <c r="MLL6" s="2338"/>
      <c r="MLM6" s="2336"/>
      <c r="MLN6" s="2337"/>
      <c r="MLO6" s="2338"/>
      <c r="MLP6" s="2336"/>
      <c r="MLQ6" s="2337"/>
      <c r="MLR6" s="2338"/>
      <c r="MLS6" s="2336"/>
      <c r="MLT6" s="2337"/>
      <c r="MLU6" s="2338"/>
      <c r="MLV6" s="2336"/>
      <c r="MLW6" s="2337"/>
      <c r="MLX6" s="2338"/>
      <c r="MLY6" s="2336"/>
      <c r="MLZ6" s="2337"/>
      <c r="MMA6" s="2338"/>
      <c r="MMB6" s="2336"/>
      <c r="MMC6" s="2337"/>
      <c r="MMD6" s="2338"/>
      <c r="MME6" s="2336"/>
      <c r="MMF6" s="2337"/>
      <c r="MMG6" s="2338"/>
      <c r="MMH6" s="2336"/>
      <c r="MMI6" s="2337"/>
      <c r="MMJ6" s="2338"/>
      <c r="MMK6" s="2336"/>
      <c r="MML6" s="2337"/>
      <c r="MMM6" s="2338"/>
      <c r="MMN6" s="2336"/>
      <c r="MMO6" s="2337"/>
      <c r="MMP6" s="2338"/>
      <c r="MMQ6" s="2336"/>
      <c r="MMR6" s="2337"/>
      <c r="MMS6" s="2338"/>
      <c r="MMT6" s="2336"/>
      <c r="MMU6" s="2337"/>
      <c r="MMV6" s="2338"/>
      <c r="MMW6" s="2336"/>
      <c r="MMX6" s="2337"/>
      <c r="MMY6" s="2338"/>
      <c r="MMZ6" s="2336"/>
      <c r="MNA6" s="2337"/>
      <c r="MNB6" s="2338"/>
      <c r="MNC6" s="2336"/>
      <c r="MND6" s="2337"/>
      <c r="MNE6" s="2338"/>
      <c r="MNF6" s="2336"/>
      <c r="MNG6" s="2337"/>
      <c r="MNH6" s="2338"/>
      <c r="MNI6" s="2336"/>
      <c r="MNJ6" s="2337"/>
      <c r="MNK6" s="2338"/>
      <c r="MNL6" s="2336"/>
      <c r="MNM6" s="2337"/>
      <c r="MNN6" s="2338"/>
      <c r="MNO6" s="2336"/>
      <c r="MNP6" s="2337"/>
      <c r="MNQ6" s="2338"/>
      <c r="MNR6" s="2336"/>
      <c r="MNS6" s="2337"/>
      <c r="MNT6" s="2338"/>
      <c r="MNU6" s="2336"/>
      <c r="MNV6" s="2337"/>
      <c r="MNW6" s="2338"/>
      <c r="MNX6" s="2336"/>
      <c r="MNY6" s="2337"/>
      <c r="MNZ6" s="2338"/>
      <c r="MOA6" s="2336"/>
      <c r="MOB6" s="2337"/>
      <c r="MOC6" s="2338"/>
      <c r="MOD6" s="2336"/>
      <c r="MOE6" s="2337"/>
      <c r="MOF6" s="2338"/>
      <c r="MOG6" s="2336"/>
      <c r="MOH6" s="2337"/>
      <c r="MOI6" s="2338"/>
      <c r="MOJ6" s="2336"/>
      <c r="MOK6" s="2337"/>
      <c r="MOL6" s="2338"/>
      <c r="MOM6" s="2336"/>
      <c r="MON6" s="2337"/>
      <c r="MOO6" s="2338"/>
      <c r="MOP6" s="2336"/>
      <c r="MOQ6" s="2337"/>
      <c r="MOR6" s="2338"/>
      <c r="MOS6" s="2336"/>
      <c r="MOT6" s="2337"/>
      <c r="MOU6" s="2338"/>
      <c r="MOV6" s="2336"/>
      <c r="MOW6" s="2337"/>
      <c r="MOX6" s="2338"/>
      <c r="MOY6" s="2336"/>
      <c r="MOZ6" s="2337"/>
      <c r="MPA6" s="2338"/>
      <c r="MPB6" s="2336"/>
      <c r="MPC6" s="2337"/>
      <c r="MPD6" s="2338"/>
      <c r="MPE6" s="2336"/>
      <c r="MPF6" s="2337"/>
      <c r="MPG6" s="2338"/>
      <c r="MPH6" s="2336"/>
      <c r="MPI6" s="2337"/>
      <c r="MPJ6" s="2338"/>
      <c r="MPK6" s="2336"/>
      <c r="MPL6" s="2337"/>
      <c r="MPM6" s="2338"/>
      <c r="MPN6" s="2336"/>
      <c r="MPO6" s="2337"/>
      <c r="MPP6" s="2338"/>
      <c r="MPQ6" s="2336"/>
      <c r="MPR6" s="2337"/>
      <c r="MPS6" s="2338"/>
      <c r="MPT6" s="2336"/>
      <c r="MPU6" s="2337"/>
      <c r="MPV6" s="2338"/>
      <c r="MPW6" s="2336"/>
      <c r="MPX6" s="2337"/>
      <c r="MPY6" s="2338"/>
      <c r="MPZ6" s="2336"/>
      <c r="MQA6" s="2337"/>
      <c r="MQB6" s="2338"/>
      <c r="MQC6" s="2336"/>
      <c r="MQD6" s="2337"/>
      <c r="MQE6" s="2338"/>
      <c r="MQF6" s="2336"/>
      <c r="MQG6" s="2337"/>
      <c r="MQH6" s="2338"/>
      <c r="MQI6" s="2336"/>
      <c r="MQJ6" s="2337"/>
      <c r="MQK6" s="2338"/>
      <c r="MQL6" s="2336"/>
      <c r="MQM6" s="2337"/>
      <c r="MQN6" s="2338"/>
      <c r="MQO6" s="2336"/>
      <c r="MQP6" s="2337"/>
      <c r="MQQ6" s="2338"/>
      <c r="MQR6" s="2336"/>
      <c r="MQS6" s="2337"/>
      <c r="MQT6" s="2338"/>
      <c r="MQU6" s="2336"/>
      <c r="MQV6" s="2337"/>
      <c r="MQW6" s="2338"/>
      <c r="MQX6" s="2336"/>
      <c r="MQY6" s="2337"/>
      <c r="MQZ6" s="2338"/>
      <c r="MRA6" s="2336"/>
      <c r="MRB6" s="2337"/>
      <c r="MRC6" s="2338"/>
      <c r="MRD6" s="2336"/>
      <c r="MRE6" s="2337"/>
      <c r="MRF6" s="2338"/>
      <c r="MRG6" s="2336"/>
      <c r="MRH6" s="2337"/>
      <c r="MRI6" s="2338"/>
      <c r="MRJ6" s="2336"/>
      <c r="MRK6" s="2337"/>
      <c r="MRL6" s="2338"/>
      <c r="MRM6" s="2336"/>
      <c r="MRN6" s="2337"/>
      <c r="MRO6" s="2338"/>
      <c r="MRP6" s="2336"/>
      <c r="MRQ6" s="2337"/>
      <c r="MRR6" s="2338"/>
      <c r="MRS6" s="2336"/>
      <c r="MRT6" s="2337"/>
      <c r="MRU6" s="2338"/>
      <c r="MRV6" s="2336"/>
      <c r="MRW6" s="2337"/>
      <c r="MRX6" s="2338"/>
      <c r="MRY6" s="2336"/>
      <c r="MRZ6" s="2337"/>
      <c r="MSA6" s="2338"/>
      <c r="MSB6" s="2336"/>
      <c r="MSC6" s="2337"/>
      <c r="MSD6" s="2338"/>
      <c r="MSE6" s="2336"/>
      <c r="MSF6" s="2337"/>
      <c r="MSG6" s="2338"/>
      <c r="MSH6" s="2336"/>
      <c r="MSI6" s="2337"/>
      <c r="MSJ6" s="2338"/>
      <c r="MSK6" s="2336"/>
      <c r="MSL6" s="2337"/>
      <c r="MSM6" s="2338"/>
      <c r="MSN6" s="2336"/>
      <c r="MSO6" s="2337"/>
      <c r="MSP6" s="2338"/>
      <c r="MSQ6" s="2336"/>
      <c r="MSR6" s="2337"/>
      <c r="MSS6" s="2338"/>
      <c r="MST6" s="2336"/>
      <c r="MSU6" s="2337"/>
      <c r="MSV6" s="2338"/>
      <c r="MSW6" s="2336"/>
      <c r="MSX6" s="2337"/>
      <c r="MSY6" s="2338"/>
      <c r="MSZ6" s="2336"/>
      <c r="MTA6" s="2337"/>
      <c r="MTB6" s="2338"/>
      <c r="MTC6" s="2336"/>
      <c r="MTD6" s="2337"/>
      <c r="MTE6" s="2338"/>
      <c r="MTF6" s="2336"/>
      <c r="MTG6" s="2337"/>
      <c r="MTH6" s="2338"/>
      <c r="MTI6" s="2336"/>
      <c r="MTJ6" s="2337"/>
      <c r="MTK6" s="2338"/>
      <c r="MTL6" s="2336"/>
      <c r="MTM6" s="2337"/>
      <c r="MTN6" s="2338"/>
      <c r="MTO6" s="2336"/>
      <c r="MTP6" s="2337"/>
      <c r="MTQ6" s="2338"/>
      <c r="MTR6" s="2336"/>
      <c r="MTS6" s="2337"/>
      <c r="MTT6" s="2338"/>
      <c r="MTU6" s="2336"/>
      <c r="MTV6" s="2337"/>
      <c r="MTW6" s="2338"/>
      <c r="MTX6" s="2336"/>
      <c r="MTY6" s="2337"/>
      <c r="MTZ6" s="2338"/>
      <c r="MUA6" s="2336"/>
      <c r="MUB6" s="2337"/>
      <c r="MUC6" s="2338"/>
      <c r="MUD6" s="2336"/>
      <c r="MUE6" s="2337"/>
      <c r="MUF6" s="2338"/>
      <c r="MUG6" s="2336"/>
      <c r="MUH6" s="2337"/>
      <c r="MUI6" s="2338"/>
      <c r="MUJ6" s="2336"/>
      <c r="MUK6" s="2337"/>
      <c r="MUL6" s="2338"/>
      <c r="MUM6" s="2336"/>
      <c r="MUN6" s="2337"/>
      <c r="MUO6" s="2338"/>
      <c r="MUP6" s="2336"/>
      <c r="MUQ6" s="2337"/>
      <c r="MUR6" s="2338"/>
      <c r="MUS6" s="2336"/>
      <c r="MUT6" s="2337"/>
      <c r="MUU6" s="2338"/>
      <c r="MUV6" s="2336"/>
      <c r="MUW6" s="2337"/>
      <c r="MUX6" s="2338"/>
      <c r="MUY6" s="2336"/>
      <c r="MUZ6" s="2337"/>
      <c r="MVA6" s="2338"/>
      <c r="MVB6" s="2336"/>
      <c r="MVC6" s="2337"/>
      <c r="MVD6" s="2338"/>
      <c r="MVE6" s="2336"/>
      <c r="MVF6" s="2337"/>
      <c r="MVG6" s="2338"/>
      <c r="MVH6" s="2336"/>
      <c r="MVI6" s="2337"/>
      <c r="MVJ6" s="2338"/>
      <c r="MVK6" s="2336"/>
      <c r="MVL6" s="2337"/>
      <c r="MVM6" s="2338"/>
      <c r="MVN6" s="2336"/>
      <c r="MVO6" s="2337"/>
      <c r="MVP6" s="2338"/>
      <c r="MVQ6" s="2336"/>
      <c r="MVR6" s="2337"/>
      <c r="MVS6" s="2338"/>
      <c r="MVT6" s="2336"/>
      <c r="MVU6" s="2337"/>
      <c r="MVV6" s="2338"/>
      <c r="MVW6" s="2336"/>
      <c r="MVX6" s="2337"/>
      <c r="MVY6" s="2338"/>
      <c r="MVZ6" s="2336"/>
      <c r="MWA6" s="2337"/>
      <c r="MWB6" s="2338"/>
      <c r="MWC6" s="2336"/>
      <c r="MWD6" s="2337"/>
      <c r="MWE6" s="2338"/>
      <c r="MWF6" s="2336"/>
      <c r="MWG6" s="2337"/>
      <c r="MWH6" s="2338"/>
      <c r="MWI6" s="2336"/>
      <c r="MWJ6" s="2337"/>
      <c r="MWK6" s="2338"/>
      <c r="MWL6" s="2336"/>
      <c r="MWM6" s="2337"/>
      <c r="MWN6" s="2338"/>
      <c r="MWO6" s="2336"/>
      <c r="MWP6" s="2337"/>
      <c r="MWQ6" s="2338"/>
      <c r="MWR6" s="2336"/>
      <c r="MWS6" s="2337"/>
      <c r="MWT6" s="2338"/>
      <c r="MWU6" s="2336"/>
      <c r="MWV6" s="2337"/>
      <c r="MWW6" s="2338"/>
      <c r="MWX6" s="2336"/>
      <c r="MWY6" s="2337"/>
      <c r="MWZ6" s="2338"/>
      <c r="MXA6" s="2336"/>
      <c r="MXB6" s="2337"/>
      <c r="MXC6" s="2338"/>
      <c r="MXD6" s="2336"/>
      <c r="MXE6" s="2337"/>
      <c r="MXF6" s="2338"/>
      <c r="MXG6" s="2336"/>
      <c r="MXH6" s="2337"/>
      <c r="MXI6" s="2338"/>
      <c r="MXJ6" s="2336"/>
      <c r="MXK6" s="2337"/>
      <c r="MXL6" s="2338"/>
      <c r="MXM6" s="2336"/>
      <c r="MXN6" s="2337"/>
      <c r="MXO6" s="2338"/>
      <c r="MXP6" s="2336"/>
      <c r="MXQ6" s="2337"/>
      <c r="MXR6" s="2338"/>
      <c r="MXS6" s="2336"/>
      <c r="MXT6" s="2337"/>
      <c r="MXU6" s="2338"/>
      <c r="MXV6" s="2336"/>
      <c r="MXW6" s="2337"/>
      <c r="MXX6" s="2338"/>
      <c r="MXY6" s="2336"/>
      <c r="MXZ6" s="2337"/>
      <c r="MYA6" s="2338"/>
      <c r="MYB6" s="2336"/>
      <c r="MYC6" s="2337"/>
      <c r="MYD6" s="2338"/>
      <c r="MYE6" s="2336"/>
      <c r="MYF6" s="2337"/>
      <c r="MYG6" s="2338"/>
      <c r="MYH6" s="2336"/>
      <c r="MYI6" s="2337"/>
      <c r="MYJ6" s="2338"/>
      <c r="MYK6" s="2336"/>
      <c r="MYL6" s="2337"/>
      <c r="MYM6" s="2338"/>
      <c r="MYN6" s="2336"/>
      <c r="MYO6" s="2337"/>
      <c r="MYP6" s="2338"/>
      <c r="MYQ6" s="2336"/>
      <c r="MYR6" s="2337"/>
      <c r="MYS6" s="2338"/>
      <c r="MYT6" s="2336"/>
      <c r="MYU6" s="2337"/>
      <c r="MYV6" s="2338"/>
      <c r="MYW6" s="2336"/>
      <c r="MYX6" s="2337"/>
      <c r="MYY6" s="2338"/>
      <c r="MYZ6" s="2336"/>
      <c r="MZA6" s="2337"/>
      <c r="MZB6" s="2338"/>
      <c r="MZC6" s="2336"/>
      <c r="MZD6" s="2337"/>
      <c r="MZE6" s="2338"/>
      <c r="MZF6" s="2336"/>
      <c r="MZG6" s="2337"/>
      <c r="MZH6" s="2338"/>
      <c r="MZI6" s="2336"/>
      <c r="MZJ6" s="2337"/>
      <c r="MZK6" s="2338"/>
      <c r="MZL6" s="2336"/>
      <c r="MZM6" s="2337"/>
      <c r="MZN6" s="2338"/>
      <c r="MZO6" s="2336"/>
      <c r="MZP6" s="2337"/>
      <c r="MZQ6" s="2338"/>
      <c r="MZR6" s="2336"/>
      <c r="MZS6" s="2337"/>
      <c r="MZT6" s="2338"/>
      <c r="MZU6" s="2336"/>
      <c r="MZV6" s="2337"/>
      <c r="MZW6" s="2338"/>
      <c r="MZX6" s="2336"/>
      <c r="MZY6" s="2337"/>
      <c r="MZZ6" s="2338"/>
      <c r="NAA6" s="2336"/>
      <c r="NAB6" s="2337"/>
      <c r="NAC6" s="2338"/>
      <c r="NAD6" s="2336"/>
      <c r="NAE6" s="2337"/>
      <c r="NAF6" s="2338"/>
      <c r="NAG6" s="2336"/>
      <c r="NAH6" s="2337"/>
      <c r="NAI6" s="2338"/>
      <c r="NAJ6" s="2336"/>
      <c r="NAK6" s="2337"/>
      <c r="NAL6" s="2338"/>
      <c r="NAM6" s="2336"/>
      <c r="NAN6" s="2337"/>
      <c r="NAO6" s="2338"/>
      <c r="NAP6" s="2336"/>
      <c r="NAQ6" s="2337"/>
      <c r="NAR6" s="2338"/>
      <c r="NAS6" s="2336"/>
      <c r="NAT6" s="2337"/>
      <c r="NAU6" s="2338"/>
      <c r="NAV6" s="2336"/>
      <c r="NAW6" s="2337"/>
      <c r="NAX6" s="2338"/>
      <c r="NAY6" s="2336"/>
      <c r="NAZ6" s="2337"/>
      <c r="NBA6" s="2338"/>
      <c r="NBB6" s="2336"/>
      <c r="NBC6" s="2337"/>
      <c r="NBD6" s="2338"/>
      <c r="NBE6" s="2336"/>
      <c r="NBF6" s="2337"/>
      <c r="NBG6" s="2338"/>
      <c r="NBH6" s="2336"/>
      <c r="NBI6" s="2337"/>
      <c r="NBJ6" s="2338"/>
      <c r="NBK6" s="2336"/>
      <c r="NBL6" s="2337"/>
      <c r="NBM6" s="2338"/>
      <c r="NBN6" s="2336"/>
      <c r="NBO6" s="2337"/>
      <c r="NBP6" s="2338"/>
      <c r="NBQ6" s="2336"/>
      <c r="NBR6" s="2337"/>
      <c r="NBS6" s="2338"/>
      <c r="NBT6" s="2336"/>
      <c r="NBU6" s="2337"/>
      <c r="NBV6" s="2338"/>
      <c r="NBW6" s="2336"/>
      <c r="NBX6" s="2337"/>
      <c r="NBY6" s="2338"/>
      <c r="NBZ6" s="2336"/>
      <c r="NCA6" s="2337"/>
      <c r="NCB6" s="2338"/>
      <c r="NCC6" s="2336"/>
      <c r="NCD6" s="2337"/>
      <c r="NCE6" s="2338"/>
      <c r="NCF6" s="2336"/>
      <c r="NCG6" s="2337"/>
      <c r="NCH6" s="2338"/>
      <c r="NCI6" s="2336"/>
      <c r="NCJ6" s="2337"/>
      <c r="NCK6" s="2338"/>
      <c r="NCL6" s="2336"/>
      <c r="NCM6" s="2337"/>
      <c r="NCN6" s="2338"/>
      <c r="NCO6" s="2336"/>
      <c r="NCP6" s="2337"/>
      <c r="NCQ6" s="2338"/>
      <c r="NCR6" s="2336"/>
      <c r="NCS6" s="2337"/>
      <c r="NCT6" s="2338"/>
      <c r="NCU6" s="2336"/>
      <c r="NCV6" s="2337"/>
      <c r="NCW6" s="2338"/>
      <c r="NCX6" s="2336"/>
      <c r="NCY6" s="2337"/>
      <c r="NCZ6" s="2338"/>
      <c r="NDA6" s="2336"/>
      <c r="NDB6" s="2337"/>
      <c r="NDC6" s="2338"/>
      <c r="NDD6" s="2336"/>
      <c r="NDE6" s="2337"/>
      <c r="NDF6" s="2338"/>
      <c r="NDG6" s="2336"/>
      <c r="NDH6" s="2337"/>
      <c r="NDI6" s="2338"/>
      <c r="NDJ6" s="2336"/>
      <c r="NDK6" s="2337"/>
      <c r="NDL6" s="2338"/>
      <c r="NDM6" s="2336"/>
      <c r="NDN6" s="2337"/>
      <c r="NDO6" s="2338"/>
      <c r="NDP6" s="2336"/>
      <c r="NDQ6" s="2337"/>
      <c r="NDR6" s="2338"/>
      <c r="NDS6" s="2336"/>
      <c r="NDT6" s="2337"/>
      <c r="NDU6" s="2338"/>
      <c r="NDV6" s="2336"/>
      <c r="NDW6" s="2337"/>
      <c r="NDX6" s="2338"/>
      <c r="NDY6" s="2336"/>
      <c r="NDZ6" s="2337"/>
      <c r="NEA6" s="2338"/>
      <c r="NEB6" s="2336"/>
      <c r="NEC6" s="2337"/>
      <c r="NED6" s="2338"/>
      <c r="NEE6" s="2336"/>
      <c r="NEF6" s="2337"/>
      <c r="NEG6" s="2338"/>
      <c r="NEH6" s="2336"/>
      <c r="NEI6" s="2337"/>
      <c r="NEJ6" s="2338"/>
      <c r="NEK6" s="2336"/>
      <c r="NEL6" s="2337"/>
      <c r="NEM6" s="2338"/>
      <c r="NEN6" s="2336"/>
      <c r="NEO6" s="2337"/>
      <c r="NEP6" s="2338"/>
      <c r="NEQ6" s="2336"/>
      <c r="NER6" s="2337"/>
      <c r="NES6" s="2338"/>
      <c r="NET6" s="2336"/>
      <c r="NEU6" s="2337"/>
      <c r="NEV6" s="2338"/>
      <c r="NEW6" s="2336"/>
      <c r="NEX6" s="2337"/>
      <c r="NEY6" s="2338"/>
      <c r="NEZ6" s="2336"/>
      <c r="NFA6" s="2337"/>
      <c r="NFB6" s="2338"/>
      <c r="NFC6" s="2336"/>
      <c r="NFD6" s="2337"/>
      <c r="NFE6" s="2338"/>
      <c r="NFF6" s="2336"/>
      <c r="NFG6" s="2337"/>
      <c r="NFH6" s="2338"/>
      <c r="NFI6" s="2336"/>
      <c r="NFJ6" s="2337"/>
      <c r="NFK6" s="2338"/>
      <c r="NFL6" s="2336"/>
      <c r="NFM6" s="2337"/>
      <c r="NFN6" s="2338"/>
      <c r="NFO6" s="2336"/>
      <c r="NFP6" s="2337"/>
      <c r="NFQ6" s="2338"/>
      <c r="NFR6" s="2336"/>
      <c r="NFS6" s="2337"/>
      <c r="NFT6" s="2338"/>
      <c r="NFU6" s="2336"/>
      <c r="NFV6" s="2337"/>
      <c r="NFW6" s="2338"/>
      <c r="NFX6" s="2336"/>
      <c r="NFY6" s="2337"/>
      <c r="NFZ6" s="2338"/>
      <c r="NGA6" s="2336"/>
      <c r="NGB6" s="2337"/>
      <c r="NGC6" s="2338"/>
      <c r="NGD6" s="2336"/>
      <c r="NGE6" s="2337"/>
      <c r="NGF6" s="2338"/>
      <c r="NGG6" s="2336"/>
      <c r="NGH6" s="2337"/>
      <c r="NGI6" s="2338"/>
      <c r="NGJ6" s="2336"/>
      <c r="NGK6" s="2337"/>
      <c r="NGL6" s="2338"/>
      <c r="NGM6" s="2336"/>
      <c r="NGN6" s="2337"/>
      <c r="NGO6" s="2338"/>
      <c r="NGP6" s="2336"/>
      <c r="NGQ6" s="2337"/>
      <c r="NGR6" s="2338"/>
      <c r="NGS6" s="2336"/>
      <c r="NGT6" s="2337"/>
      <c r="NGU6" s="2338"/>
      <c r="NGV6" s="2336"/>
      <c r="NGW6" s="2337"/>
      <c r="NGX6" s="2338"/>
      <c r="NGY6" s="2336"/>
      <c r="NGZ6" s="2337"/>
      <c r="NHA6" s="2338"/>
      <c r="NHB6" s="2336"/>
      <c r="NHC6" s="2337"/>
      <c r="NHD6" s="2338"/>
      <c r="NHE6" s="2336"/>
      <c r="NHF6" s="2337"/>
      <c r="NHG6" s="2338"/>
      <c r="NHH6" s="2336"/>
      <c r="NHI6" s="2337"/>
      <c r="NHJ6" s="2338"/>
      <c r="NHK6" s="2336"/>
      <c r="NHL6" s="2337"/>
      <c r="NHM6" s="2338"/>
      <c r="NHN6" s="2336"/>
      <c r="NHO6" s="2337"/>
      <c r="NHP6" s="2338"/>
      <c r="NHQ6" s="2336"/>
      <c r="NHR6" s="2337"/>
      <c r="NHS6" s="2338"/>
      <c r="NHT6" s="2336"/>
      <c r="NHU6" s="2337"/>
      <c r="NHV6" s="2338"/>
      <c r="NHW6" s="2336"/>
      <c r="NHX6" s="2337"/>
      <c r="NHY6" s="2338"/>
      <c r="NHZ6" s="2336"/>
      <c r="NIA6" s="2337"/>
      <c r="NIB6" s="2338"/>
      <c r="NIC6" s="2336"/>
      <c r="NID6" s="2337"/>
      <c r="NIE6" s="2338"/>
      <c r="NIF6" s="2336"/>
      <c r="NIG6" s="2337"/>
      <c r="NIH6" s="2338"/>
      <c r="NII6" s="2336"/>
      <c r="NIJ6" s="2337"/>
      <c r="NIK6" s="2338"/>
      <c r="NIL6" s="2336"/>
      <c r="NIM6" s="2337"/>
      <c r="NIN6" s="2338"/>
      <c r="NIO6" s="2336"/>
      <c r="NIP6" s="2337"/>
      <c r="NIQ6" s="2338"/>
      <c r="NIR6" s="2336"/>
      <c r="NIS6" s="2337"/>
      <c r="NIT6" s="2338"/>
      <c r="NIU6" s="2336"/>
      <c r="NIV6" s="2337"/>
      <c r="NIW6" s="2338"/>
      <c r="NIX6" s="2336"/>
      <c r="NIY6" s="2337"/>
      <c r="NIZ6" s="2338"/>
      <c r="NJA6" s="2336"/>
      <c r="NJB6" s="2337"/>
      <c r="NJC6" s="2338"/>
      <c r="NJD6" s="2336"/>
      <c r="NJE6" s="2337"/>
      <c r="NJF6" s="2338"/>
      <c r="NJG6" s="2336"/>
      <c r="NJH6" s="2337"/>
      <c r="NJI6" s="2338"/>
      <c r="NJJ6" s="2336"/>
      <c r="NJK6" s="2337"/>
      <c r="NJL6" s="2338"/>
      <c r="NJM6" s="2336"/>
      <c r="NJN6" s="2337"/>
      <c r="NJO6" s="2338"/>
      <c r="NJP6" s="2336"/>
      <c r="NJQ6" s="2337"/>
      <c r="NJR6" s="2338"/>
      <c r="NJS6" s="2336"/>
      <c r="NJT6" s="2337"/>
      <c r="NJU6" s="2338"/>
      <c r="NJV6" s="2336"/>
      <c r="NJW6" s="2337"/>
      <c r="NJX6" s="2338"/>
      <c r="NJY6" s="2336"/>
      <c r="NJZ6" s="2337"/>
      <c r="NKA6" s="2338"/>
      <c r="NKB6" s="2336"/>
      <c r="NKC6" s="2337"/>
      <c r="NKD6" s="2338"/>
      <c r="NKE6" s="2336"/>
      <c r="NKF6" s="2337"/>
      <c r="NKG6" s="2338"/>
      <c r="NKH6" s="2336"/>
      <c r="NKI6" s="2337"/>
      <c r="NKJ6" s="2338"/>
      <c r="NKK6" s="2336"/>
      <c r="NKL6" s="2337"/>
      <c r="NKM6" s="2338"/>
      <c r="NKN6" s="2336"/>
      <c r="NKO6" s="2337"/>
      <c r="NKP6" s="2338"/>
      <c r="NKQ6" s="2336"/>
      <c r="NKR6" s="2337"/>
      <c r="NKS6" s="2338"/>
      <c r="NKT6" s="2336"/>
      <c r="NKU6" s="2337"/>
      <c r="NKV6" s="2338"/>
      <c r="NKW6" s="2336"/>
      <c r="NKX6" s="2337"/>
      <c r="NKY6" s="2338"/>
      <c r="NKZ6" s="2336"/>
      <c r="NLA6" s="2337"/>
      <c r="NLB6" s="2338"/>
      <c r="NLC6" s="2336"/>
      <c r="NLD6" s="2337"/>
      <c r="NLE6" s="2338"/>
      <c r="NLF6" s="2336"/>
      <c r="NLG6" s="2337"/>
      <c r="NLH6" s="2338"/>
      <c r="NLI6" s="2336"/>
      <c r="NLJ6" s="2337"/>
      <c r="NLK6" s="2338"/>
      <c r="NLL6" s="2336"/>
      <c r="NLM6" s="2337"/>
      <c r="NLN6" s="2338"/>
      <c r="NLO6" s="2336"/>
      <c r="NLP6" s="2337"/>
      <c r="NLQ6" s="2338"/>
      <c r="NLR6" s="2336"/>
      <c r="NLS6" s="2337"/>
      <c r="NLT6" s="2338"/>
      <c r="NLU6" s="2336"/>
      <c r="NLV6" s="2337"/>
      <c r="NLW6" s="2338"/>
      <c r="NLX6" s="2336"/>
      <c r="NLY6" s="2337"/>
      <c r="NLZ6" s="2338"/>
      <c r="NMA6" s="2336"/>
      <c r="NMB6" s="2337"/>
      <c r="NMC6" s="2338"/>
      <c r="NMD6" s="2336"/>
      <c r="NME6" s="2337"/>
      <c r="NMF6" s="2338"/>
      <c r="NMG6" s="2336"/>
      <c r="NMH6" s="2337"/>
      <c r="NMI6" s="2338"/>
      <c r="NMJ6" s="2336"/>
      <c r="NMK6" s="2337"/>
      <c r="NML6" s="2338"/>
      <c r="NMM6" s="2336"/>
      <c r="NMN6" s="2337"/>
      <c r="NMO6" s="2338"/>
      <c r="NMP6" s="2336"/>
      <c r="NMQ6" s="2337"/>
      <c r="NMR6" s="2338"/>
      <c r="NMS6" s="2336"/>
      <c r="NMT6" s="2337"/>
      <c r="NMU6" s="2338"/>
      <c r="NMV6" s="2336"/>
      <c r="NMW6" s="2337"/>
      <c r="NMX6" s="2338"/>
      <c r="NMY6" s="2336"/>
      <c r="NMZ6" s="2337"/>
      <c r="NNA6" s="2338"/>
      <c r="NNB6" s="2336"/>
      <c r="NNC6" s="2337"/>
      <c r="NND6" s="2338"/>
      <c r="NNE6" s="2336"/>
      <c r="NNF6" s="2337"/>
      <c r="NNG6" s="2338"/>
      <c r="NNH6" s="2336"/>
      <c r="NNI6" s="2337"/>
      <c r="NNJ6" s="2338"/>
      <c r="NNK6" s="2336"/>
      <c r="NNL6" s="2337"/>
      <c r="NNM6" s="2338"/>
      <c r="NNN6" s="2336"/>
      <c r="NNO6" s="2337"/>
      <c r="NNP6" s="2338"/>
      <c r="NNQ6" s="2336"/>
      <c r="NNR6" s="2337"/>
      <c r="NNS6" s="2338"/>
      <c r="NNT6" s="2336"/>
      <c r="NNU6" s="2337"/>
      <c r="NNV6" s="2338"/>
      <c r="NNW6" s="2336"/>
      <c r="NNX6" s="2337"/>
      <c r="NNY6" s="2338"/>
      <c r="NNZ6" s="2336"/>
      <c r="NOA6" s="2337"/>
      <c r="NOB6" s="2338"/>
      <c r="NOC6" s="2336"/>
      <c r="NOD6" s="2337"/>
      <c r="NOE6" s="2338"/>
      <c r="NOF6" s="2336"/>
      <c r="NOG6" s="2337"/>
      <c r="NOH6" s="2338"/>
      <c r="NOI6" s="2336"/>
      <c r="NOJ6" s="2337"/>
      <c r="NOK6" s="2338"/>
      <c r="NOL6" s="2336"/>
      <c r="NOM6" s="2337"/>
      <c r="NON6" s="2338"/>
      <c r="NOO6" s="2336"/>
      <c r="NOP6" s="2337"/>
      <c r="NOQ6" s="2338"/>
      <c r="NOR6" s="2336"/>
      <c r="NOS6" s="2337"/>
      <c r="NOT6" s="2338"/>
      <c r="NOU6" s="2336"/>
      <c r="NOV6" s="2337"/>
      <c r="NOW6" s="2338"/>
      <c r="NOX6" s="2336"/>
      <c r="NOY6" s="2337"/>
      <c r="NOZ6" s="2338"/>
      <c r="NPA6" s="2336"/>
      <c r="NPB6" s="2337"/>
      <c r="NPC6" s="2338"/>
      <c r="NPD6" s="2336"/>
      <c r="NPE6" s="2337"/>
      <c r="NPF6" s="2338"/>
      <c r="NPG6" s="2336"/>
      <c r="NPH6" s="2337"/>
      <c r="NPI6" s="2338"/>
      <c r="NPJ6" s="2336"/>
      <c r="NPK6" s="2337"/>
      <c r="NPL6" s="2338"/>
      <c r="NPM6" s="2336"/>
      <c r="NPN6" s="2337"/>
      <c r="NPO6" s="2338"/>
      <c r="NPP6" s="2336"/>
      <c r="NPQ6" s="2337"/>
      <c r="NPR6" s="2338"/>
      <c r="NPS6" s="2336"/>
      <c r="NPT6" s="2337"/>
      <c r="NPU6" s="2338"/>
      <c r="NPV6" s="2336"/>
      <c r="NPW6" s="2337"/>
      <c r="NPX6" s="2338"/>
      <c r="NPY6" s="2336"/>
      <c r="NPZ6" s="2337"/>
      <c r="NQA6" s="2338"/>
      <c r="NQB6" s="2336"/>
      <c r="NQC6" s="2337"/>
      <c r="NQD6" s="2338"/>
      <c r="NQE6" s="2336"/>
      <c r="NQF6" s="2337"/>
      <c r="NQG6" s="2338"/>
      <c r="NQH6" s="2336"/>
      <c r="NQI6" s="2337"/>
      <c r="NQJ6" s="2338"/>
      <c r="NQK6" s="2336"/>
      <c r="NQL6" s="2337"/>
      <c r="NQM6" s="2338"/>
      <c r="NQN6" s="2336"/>
      <c r="NQO6" s="2337"/>
      <c r="NQP6" s="2338"/>
      <c r="NQQ6" s="2336"/>
      <c r="NQR6" s="2337"/>
      <c r="NQS6" s="2338"/>
      <c r="NQT6" s="2336"/>
      <c r="NQU6" s="2337"/>
      <c r="NQV6" s="2338"/>
      <c r="NQW6" s="2336"/>
      <c r="NQX6" s="2337"/>
      <c r="NQY6" s="2338"/>
      <c r="NQZ6" s="2336"/>
      <c r="NRA6" s="2337"/>
      <c r="NRB6" s="2338"/>
      <c r="NRC6" s="2336"/>
      <c r="NRD6" s="2337"/>
      <c r="NRE6" s="2338"/>
      <c r="NRF6" s="2336"/>
      <c r="NRG6" s="2337"/>
      <c r="NRH6" s="2338"/>
      <c r="NRI6" s="2336"/>
      <c r="NRJ6" s="2337"/>
      <c r="NRK6" s="2338"/>
      <c r="NRL6" s="2336"/>
      <c r="NRM6" s="2337"/>
      <c r="NRN6" s="2338"/>
      <c r="NRO6" s="2336"/>
      <c r="NRP6" s="2337"/>
      <c r="NRQ6" s="2338"/>
      <c r="NRR6" s="2336"/>
      <c r="NRS6" s="2337"/>
      <c r="NRT6" s="2338"/>
      <c r="NRU6" s="2336"/>
      <c r="NRV6" s="2337"/>
      <c r="NRW6" s="2338"/>
      <c r="NRX6" s="2336"/>
      <c r="NRY6" s="2337"/>
      <c r="NRZ6" s="2338"/>
      <c r="NSA6" s="2336"/>
      <c r="NSB6" s="2337"/>
      <c r="NSC6" s="2338"/>
      <c r="NSD6" s="2336"/>
      <c r="NSE6" s="2337"/>
      <c r="NSF6" s="2338"/>
      <c r="NSG6" s="2336"/>
      <c r="NSH6" s="2337"/>
      <c r="NSI6" s="2338"/>
      <c r="NSJ6" s="2336"/>
      <c r="NSK6" s="2337"/>
      <c r="NSL6" s="2338"/>
      <c r="NSM6" s="2336"/>
      <c r="NSN6" s="2337"/>
      <c r="NSO6" s="2338"/>
      <c r="NSP6" s="2336"/>
      <c r="NSQ6" s="2337"/>
      <c r="NSR6" s="2338"/>
      <c r="NSS6" s="2336"/>
      <c r="NST6" s="2337"/>
      <c r="NSU6" s="2338"/>
      <c r="NSV6" s="2336"/>
      <c r="NSW6" s="2337"/>
      <c r="NSX6" s="2338"/>
      <c r="NSY6" s="2336"/>
      <c r="NSZ6" s="2337"/>
      <c r="NTA6" s="2338"/>
      <c r="NTB6" s="2336"/>
      <c r="NTC6" s="2337"/>
      <c r="NTD6" s="2338"/>
      <c r="NTE6" s="2336"/>
      <c r="NTF6" s="2337"/>
      <c r="NTG6" s="2338"/>
      <c r="NTH6" s="2336"/>
      <c r="NTI6" s="2337"/>
      <c r="NTJ6" s="2338"/>
      <c r="NTK6" s="2336"/>
      <c r="NTL6" s="2337"/>
      <c r="NTM6" s="2338"/>
      <c r="NTN6" s="2336"/>
      <c r="NTO6" s="2337"/>
      <c r="NTP6" s="2338"/>
      <c r="NTQ6" s="2336"/>
      <c r="NTR6" s="2337"/>
      <c r="NTS6" s="2338"/>
      <c r="NTT6" s="2336"/>
      <c r="NTU6" s="2337"/>
      <c r="NTV6" s="2338"/>
      <c r="NTW6" s="2336"/>
      <c r="NTX6" s="2337"/>
      <c r="NTY6" s="2338"/>
      <c r="NTZ6" s="2336"/>
      <c r="NUA6" s="2337"/>
      <c r="NUB6" s="2338"/>
      <c r="NUC6" s="2336"/>
      <c r="NUD6" s="2337"/>
      <c r="NUE6" s="2338"/>
      <c r="NUF6" s="2336"/>
      <c r="NUG6" s="2337"/>
      <c r="NUH6" s="2338"/>
      <c r="NUI6" s="2336"/>
      <c r="NUJ6" s="2337"/>
      <c r="NUK6" s="2338"/>
      <c r="NUL6" s="2336"/>
      <c r="NUM6" s="2337"/>
      <c r="NUN6" s="2338"/>
      <c r="NUO6" s="2336"/>
      <c r="NUP6" s="2337"/>
      <c r="NUQ6" s="2338"/>
      <c r="NUR6" s="2336"/>
      <c r="NUS6" s="2337"/>
      <c r="NUT6" s="2338"/>
      <c r="NUU6" s="2336"/>
      <c r="NUV6" s="2337"/>
      <c r="NUW6" s="2338"/>
      <c r="NUX6" s="2336"/>
      <c r="NUY6" s="2337"/>
      <c r="NUZ6" s="2338"/>
      <c r="NVA6" s="2336"/>
      <c r="NVB6" s="2337"/>
      <c r="NVC6" s="2338"/>
      <c r="NVD6" s="2336"/>
      <c r="NVE6" s="2337"/>
      <c r="NVF6" s="2338"/>
      <c r="NVG6" s="2336"/>
      <c r="NVH6" s="2337"/>
      <c r="NVI6" s="2338"/>
      <c r="NVJ6" s="2336"/>
      <c r="NVK6" s="2337"/>
      <c r="NVL6" s="2338"/>
      <c r="NVM6" s="2336"/>
      <c r="NVN6" s="2337"/>
      <c r="NVO6" s="2338"/>
      <c r="NVP6" s="2336"/>
      <c r="NVQ6" s="2337"/>
      <c r="NVR6" s="2338"/>
      <c r="NVS6" s="2336"/>
      <c r="NVT6" s="2337"/>
      <c r="NVU6" s="2338"/>
      <c r="NVV6" s="2336"/>
      <c r="NVW6" s="2337"/>
      <c r="NVX6" s="2338"/>
      <c r="NVY6" s="2336"/>
      <c r="NVZ6" s="2337"/>
      <c r="NWA6" s="2338"/>
      <c r="NWB6" s="2336"/>
      <c r="NWC6" s="2337"/>
      <c r="NWD6" s="2338"/>
      <c r="NWE6" s="2336"/>
      <c r="NWF6" s="2337"/>
      <c r="NWG6" s="2338"/>
      <c r="NWH6" s="2336"/>
      <c r="NWI6" s="2337"/>
      <c r="NWJ6" s="2338"/>
      <c r="NWK6" s="2336"/>
      <c r="NWL6" s="2337"/>
      <c r="NWM6" s="2338"/>
      <c r="NWN6" s="2336"/>
      <c r="NWO6" s="2337"/>
      <c r="NWP6" s="2338"/>
      <c r="NWQ6" s="2336"/>
      <c r="NWR6" s="2337"/>
      <c r="NWS6" s="2338"/>
      <c r="NWT6" s="2336"/>
      <c r="NWU6" s="2337"/>
      <c r="NWV6" s="2338"/>
      <c r="NWW6" s="2336"/>
      <c r="NWX6" s="2337"/>
      <c r="NWY6" s="2338"/>
      <c r="NWZ6" s="2336"/>
      <c r="NXA6" s="2337"/>
      <c r="NXB6" s="2338"/>
      <c r="NXC6" s="2336"/>
      <c r="NXD6" s="2337"/>
      <c r="NXE6" s="2338"/>
      <c r="NXF6" s="2336"/>
      <c r="NXG6" s="2337"/>
      <c r="NXH6" s="2338"/>
      <c r="NXI6" s="2336"/>
      <c r="NXJ6" s="2337"/>
      <c r="NXK6" s="2338"/>
      <c r="NXL6" s="2336"/>
      <c r="NXM6" s="2337"/>
      <c r="NXN6" s="2338"/>
      <c r="NXO6" s="2336"/>
      <c r="NXP6" s="2337"/>
      <c r="NXQ6" s="2338"/>
      <c r="NXR6" s="2336"/>
      <c r="NXS6" s="2337"/>
      <c r="NXT6" s="2338"/>
      <c r="NXU6" s="2336"/>
      <c r="NXV6" s="2337"/>
      <c r="NXW6" s="2338"/>
      <c r="NXX6" s="2336"/>
      <c r="NXY6" s="2337"/>
      <c r="NXZ6" s="2338"/>
      <c r="NYA6" s="2336"/>
      <c r="NYB6" s="2337"/>
      <c r="NYC6" s="2338"/>
      <c r="NYD6" s="2336"/>
      <c r="NYE6" s="2337"/>
      <c r="NYF6" s="2338"/>
      <c r="NYG6" s="2336"/>
      <c r="NYH6" s="2337"/>
      <c r="NYI6" s="2338"/>
      <c r="NYJ6" s="2336"/>
      <c r="NYK6" s="2337"/>
      <c r="NYL6" s="2338"/>
      <c r="NYM6" s="2336"/>
      <c r="NYN6" s="2337"/>
      <c r="NYO6" s="2338"/>
      <c r="NYP6" s="2336"/>
      <c r="NYQ6" s="2337"/>
      <c r="NYR6" s="2338"/>
      <c r="NYS6" s="2336"/>
      <c r="NYT6" s="2337"/>
      <c r="NYU6" s="2338"/>
      <c r="NYV6" s="2336"/>
      <c r="NYW6" s="2337"/>
      <c r="NYX6" s="2338"/>
      <c r="NYY6" s="2336"/>
      <c r="NYZ6" s="2337"/>
      <c r="NZA6" s="2338"/>
      <c r="NZB6" s="2336"/>
      <c r="NZC6" s="2337"/>
      <c r="NZD6" s="2338"/>
      <c r="NZE6" s="2336"/>
      <c r="NZF6" s="2337"/>
      <c r="NZG6" s="2338"/>
      <c r="NZH6" s="2336"/>
      <c r="NZI6" s="2337"/>
      <c r="NZJ6" s="2338"/>
      <c r="NZK6" s="2336"/>
      <c r="NZL6" s="2337"/>
      <c r="NZM6" s="2338"/>
      <c r="NZN6" s="2336"/>
      <c r="NZO6" s="2337"/>
      <c r="NZP6" s="2338"/>
      <c r="NZQ6" s="2336"/>
      <c r="NZR6" s="2337"/>
      <c r="NZS6" s="2338"/>
      <c r="NZT6" s="2336"/>
      <c r="NZU6" s="2337"/>
      <c r="NZV6" s="2338"/>
      <c r="NZW6" s="2336"/>
      <c r="NZX6" s="2337"/>
      <c r="NZY6" s="2338"/>
      <c r="NZZ6" s="2336"/>
      <c r="OAA6" s="2337"/>
      <c r="OAB6" s="2338"/>
      <c r="OAC6" s="2336"/>
      <c r="OAD6" s="2337"/>
      <c r="OAE6" s="2338"/>
      <c r="OAF6" s="2336"/>
      <c r="OAG6" s="2337"/>
      <c r="OAH6" s="2338"/>
      <c r="OAI6" s="2336"/>
      <c r="OAJ6" s="2337"/>
      <c r="OAK6" s="2338"/>
      <c r="OAL6" s="2336"/>
      <c r="OAM6" s="2337"/>
      <c r="OAN6" s="2338"/>
      <c r="OAO6" s="2336"/>
      <c r="OAP6" s="2337"/>
      <c r="OAQ6" s="2338"/>
      <c r="OAR6" s="2336"/>
      <c r="OAS6" s="2337"/>
      <c r="OAT6" s="2338"/>
      <c r="OAU6" s="2336"/>
      <c r="OAV6" s="2337"/>
      <c r="OAW6" s="2338"/>
      <c r="OAX6" s="2336"/>
      <c r="OAY6" s="2337"/>
      <c r="OAZ6" s="2338"/>
      <c r="OBA6" s="2336"/>
      <c r="OBB6" s="2337"/>
      <c r="OBC6" s="2338"/>
      <c r="OBD6" s="2336"/>
      <c r="OBE6" s="2337"/>
      <c r="OBF6" s="2338"/>
      <c r="OBG6" s="2336"/>
      <c r="OBH6" s="2337"/>
      <c r="OBI6" s="2338"/>
      <c r="OBJ6" s="2336"/>
      <c r="OBK6" s="2337"/>
      <c r="OBL6" s="2338"/>
      <c r="OBM6" s="2336"/>
      <c r="OBN6" s="2337"/>
      <c r="OBO6" s="2338"/>
      <c r="OBP6" s="2336"/>
      <c r="OBQ6" s="2337"/>
      <c r="OBR6" s="2338"/>
      <c r="OBS6" s="2336"/>
      <c r="OBT6" s="2337"/>
      <c r="OBU6" s="2338"/>
      <c r="OBV6" s="2336"/>
      <c r="OBW6" s="2337"/>
      <c r="OBX6" s="2338"/>
      <c r="OBY6" s="2336"/>
      <c r="OBZ6" s="2337"/>
      <c r="OCA6" s="2338"/>
      <c r="OCB6" s="2336"/>
      <c r="OCC6" s="2337"/>
      <c r="OCD6" s="2338"/>
      <c r="OCE6" s="2336"/>
      <c r="OCF6" s="2337"/>
      <c r="OCG6" s="2338"/>
      <c r="OCH6" s="2336"/>
      <c r="OCI6" s="2337"/>
      <c r="OCJ6" s="2338"/>
      <c r="OCK6" s="2336"/>
      <c r="OCL6" s="2337"/>
      <c r="OCM6" s="2338"/>
      <c r="OCN6" s="2336"/>
      <c r="OCO6" s="2337"/>
      <c r="OCP6" s="2338"/>
      <c r="OCQ6" s="2336"/>
      <c r="OCR6" s="2337"/>
      <c r="OCS6" s="2338"/>
      <c r="OCT6" s="2336"/>
      <c r="OCU6" s="2337"/>
      <c r="OCV6" s="2338"/>
      <c r="OCW6" s="2336"/>
      <c r="OCX6" s="2337"/>
      <c r="OCY6" s="2338"/>
      <c r="OCZ6" s="2336"/>
      <c r="ODA6" s="2337"/>
      <c r="ODB6" s="2338"/>
      <c r="ODC6" s="2336"/>
      <c r="ODD6" s="2337"/>
      <c r="ODE6" s="2338"/>
      <c r="ODF6" s="2336"/>
      <c r="ODG6" s="2337"/>
      <c r="ODH6" s="2338"/>
      <c r="ODI6" s="2336"/>
      <c r="ODJ6" s="2337"/>
      <c r="ODK6" s="2338"/>
      <c r="ODL6" s="2336"/>
      <c r="ODM6" s="2337"/>
      <c r="ODN6" s="2338"/>
      <c r="ODO6" s="2336"/>
      <c r="ODP6" s="2337"/>
      <c r="ODQ6" s="2338"/>
      <c r="ODR6" s="2336"/>
      <c r="ODS6" s="2337"/>
      <c r="ODT6" s="2338"/>
      <c r="ODU6" s="2336"/>
      <c r="ODV6" s="2337"/>
      <c r="ODW6" s="2338"/>
      <c r="ODX6" s="2336"/>
      <c r="ODY6" s="2337"/>
      <c r="ODZ6" s="2338"/>
      <c r="OEA6" s="2336"/>
      <c r="OEB6" s="2337"/>
      <c r="OEC6" s="2338"/>
      <c r="OED6" s="2336"/>
      <c r="OEE6" s="2337"/>
      <c r="OEF6" s="2338"/>
      <c r="OEG6" s="2336"/>
      <c r="OEH6" s="2337"/>
      <c r="OEI6" s="2338"/>
      <c r="OEJ6" s="2336"/>
      <c r="OEK6" s="2337"/>
      <c r="OEL6" s="2338"/>
      <c r="OEM6" s="2336"/>
      <c r="OEN6" s="2337"/>
      <c r="OEO6" s="2338"/>
      <c r="OEP6" s="2336"/>
      <c r="OEQ6" s="2337"/>
      <c r="OER6" s="2338"/>
      <c r="OES6" s="2336"/>
      <c r="OET6" s="2337"/>
      <c r="OEU6" s="2338"/>
      <c r="OEV6" s="2336"/>
      <c r="OEW6" s="2337"/>
      <c r="OEX6" s="2338"/>
      <c r="OEY6" s="2336"/>
      <c r="OEZ6" s="2337"/>
      <c r="OFA6" s="2338"/>
      <c r="OFB6" s="2336"/>
      <c r="OFC6" s="2337"/>
      <c r="OFD6" s="2338"/>
      <c r="OFE6" s="2336"/>
      <c r="OFF6" s="2337"/>
      <c r="OFG6" s="2338"/>
      <c r="OFH6" s="2336"/>
      <c r="OFI6" s="2337"/>
      <c r="OFJ6" s="2338"/>
      <c r="OFK6" s="2336"/>
      <c r="OFL6" s="2337"/>
      <c r="OFM6" s="2338"/>
      <c r="OFN6" s="2336"/>
      <c r="OFO6" s="2337"/>
      <c r="OFP6" s="2338"/>
      <c r="OFQ6" s="2336"/>
      <c r="OFR6" s="2337"/>
      <c r="OFS6" s="2338"/>
      <c r="OFT6" s="2336"/>
      <c r="OFU6" s="2337"/>
      <c r="OFV6" s="2338"/>
      <c r="OFW6" s="2336"/>
      <c r="OFX6" s="2337"/>
      <c r="OFY6" s="2338"/>
      <c r="OFZ6" s="2336"/>
      <c r="OGA6" s="2337"/>
      <c r="OGB6" s="2338"/>
      <c r="OGC6" s="2336"/>
      <c r="OGD6" s="2337"/>
      <c r="OGE6" s="2338"/>
      <c r="OGF6" s="2336"/>
      <c r="OGG6" s="2337"/>
      <c r="OGH6" s="2338"/>
      <c r="OGI6" s="2336"/>
      <c r="OGJ6" s="2337"/>
      <c r="OGK6" s="2338"/>
      <c r="OGL6" s="2336"/>
      <c r="OGM6" s="2337"/>
      <c r="OGN6" s="2338"/>
      <c r="OGO6" s="2336"/>
      <c r="OGP6" s="2337"/>
      <c r="OGQ6" s="2338"/>
      <c r="OGR6" s="2336"/>
      <c r="OGS6" s="2337"/>
      <c r="OGT6" s="2338"/>
      <c r="OGU6" s="2336"/>
      <c r="OGV6" s="2337"/>
      <c r="OGW6" s="2338"/>
      <c r="OGX6" s="2336"/>
      <c r="OGY6" s="2337"/>
      <c r="OGZ6" s="2338"/>
      <c r="OHA6" s="2336"/>
      <c r="OHB6" s="2337"/>
      <c r="OHC6" s="2338"/>
      <c r="OHD6" s="2336"/>
      <c r="OHE6" s="2337"/>
      <c r="OHF6" s="2338"/>
      <c r="OHG6" s="2336"/>
      <c r="OHH6" s="2337"/>
      <c r="OHI6" s="2338"/>
      <c r="OHJ6" s="2336"/>
      <c r="OHK6" s="2337"/>
      <c r="OHL6" s="2338"/>
      <c r="OHM6" s="2336"/>
      <c r="OHN6" s="2337"/>
      <c r="OHO6" s="2338"/>
      <c r="OHP6" s="2336"/>
      <c r="OHQ6" s="2337"/>
      <c r="OHR6" s="2338"/>
      <c r="OHS6" s="2336"/>
      <c r="OHT6" s="2337"/>
      <c r="OHU6" s="2338"/>
      <c r="OHV6" s="2336"/>
      <c r="OHW6" s="2337"/>
      <c r="OHX6" s="2338"/>
      <c r="OHY6" s="2336"/>
      <c r="OHZ6" s="2337"/>
      <c r="OIA6" s="2338"/>
      <c r="OIB6" s="2336"/>
      <c r="OIC6" s="2337"/>
      <c r="OID6" s="2338"/>
      <c r="OIE6" s="2336"/>
      <c r="OIF6" s="2337"/>
      <c r="OIG6" s="2338"/>
      <c r="OIH6" s="2336"/>
      <c r="OII6" s="2337"/>
      <c r="OIJ6" s="2338"/>
      <c r="OIK6" s="2336"/>
      <c r="OIL6" s="2337"/>
      <c r="OIM6" s="2338"/>
      <c r="OIN6" s="2336"/>
      <c r="OIO6" s="2337"/>
      <c r="OIP6" s="2338"/>
      <c r="OIQ6" s="2336"/>
      <c r="OIR6" s="2337"/>
      <c r="OIS6" s="2338"/>
      <c r="OIT6" s="2336"/>
      <c r="OIU6" s="2337"/>
      <c r="OIV6" s="2338"/>
      <c r="OIW6" s="2336"/>
      <c r="OIX6" s="2337"/>
      <c r="OIY6" s="2338"/>
      <c r="OIZ6" s="2336"/>
      <c r="OJA6" s="2337"/>
      <c r="OJB6" s="2338"/>
      <c r="OJC6" s="2336"/>
      <c r="OJD6" s="2337"/>
      <c r="OJE6" s="2338"/>
      <c r="OJF6" s="2336"/>
      <c r="OJG6" s="2337"/>
      <c r="OJH6" s="2338"/>
      <c r="OJI6" s="2336"/>
      <c r="OJJ6" s="2337"/>
      <c r="OJK6" s="2338"/>
      <c r="OJL6" s="2336"/>
      <c r="OJM6" s="2337"/>
      <c r="OJN6" s="2338"/>
      <c r="OJO6" s="2336"/>
      <c r="OJP6" s="2337"/>
      <c r="OJQ6" s="2338"/>
      <c r="OJR6" s="2336"/>
      <c r="OJS6" s="2337"/>
      <c r="OJT6" s="2338"/>
      <c r="OJU6" s="2336"/>
      <c r="OJV6" s="2337"/>
      <c r="OJW6" s="2338"/>
      <c r="OJX6" s="2336"/>
      <c r="OJY6" s="2337"/>
      <c r="OJZ6" s="2338"/>
      <c r="OKA6" s="2336"/>
      <c r="OKB6" s="2337"/>
      <c r="OKC6" s="2338"/>
      <c r="OKD6" s="2336"/>
      <c r="OKE6" s="2337"/>
      <c r="OKF6" s="2338"/>
      <c r="OKG6" s="2336"/>
      <c r="OKH6" s="2337"/>
      <c r="OKI6" s="2338"/>
      <c r="OKJ6" s="2336"/>
      <c r="OKK6" s="2337"/>
      <c r="OKL6" s="2338"/>
      <c r="OKM6" s="2336"/>
      <c r="OKN6" s="2337"/>
      <c r="OKO6" s="2338"/>
      <c r="OKP6" s="2336"/>
      <c r="OKQ6" s="2337"/>
      <c r="OKR6" s="2338"/>
      <c r="OKS6" s="2336"/>
      <c r="OKT6" s="2337"/>
      <c r="OKU6" s="2338"/>
      <c r="OKV6" s="2336"/>
      <c r="OKW6" s="2337"/>
      <c r="OKX6" s="2338"/>
      <c r="OKY6" s="2336"/>
      <c r="OKZ6" s="2337"/>
      <c r="OLA6" s="2338"/>
      <c r="OLB6" s="2336"/>
      <c r="OLC6" s="2337"/>
      <c r="OLD6" s="2338"/>
      <c r="OLE6" s="2336"/>
      <c r="OLF6" s="2337"/>
      <c r="OLG6" s="2338"/>
      <c r="OLH6" s="2336"/>
      <c r="OLI6" s="2337"/>
      <c r="OLJ6" s="2338"/>
      <c r="OLK6" s="2336"/>
      <c r="OLL6" s="2337"/>
      <c r="OLM6" s="2338"/>
      <c r="OLN6" s="2336"/>
      <c r="OLO6" s="2337"/>
      <c r="OLP6" s="2338"/>
      <c r="OLQ6" s="2336"/>
      <c r="OLR6" s="2337"/>
      <c r="OLS6" s="2338"/>
      <c r="OLT6" s="2336"/>
      <c r="OLU6" s="2337"/>
      <c r="OLV6" s="2338"/>
      <c r="OLW6" s="2336"/>
      <c r="OLX6" s="2337"/>
      <c r="OLY6" s="2338"/>
      <c r="OLZ6" s="2336"/>
      <c r="OMA6" s="2337"/>
      <c r="OMB6" s="2338"/>
      <c r="OMC6" s="2336"/>
      <c r="OMD6" s="2337"/>
      <c r="OME6" s="2338"/>
      <c r="OMF6" s="2336"/>
      <c r="OMG6" s="2337"/>
      <c r="OMH6" s="2338"/>
      <c r="OMI6" s="2336"/>
      <c r="OMJ6" s="2337"/>
      <c r="OMK6" s="2338"/>
      <c r="OML6" s="2336"/>
      <c r="OMM6" s="2337"/>
      <c r="OMN6" s="2338"/>
      <c r="OMO6" s="2336"/>
      <c r="OMP6" s="2337"/>
      <c r="OMQ6" s="2338"/>
      <c r="OMR6" s="2336"/>
      <c r="OMS6" s="2337"/>
      <c r="OMT6" s="2338"/>
      <c r="OMU6" s="2336"/>
      <c r="OMV6" s="2337"/>
      <c r="OMW6" s="2338"/>
      <c r="OMX6" s="2336"/>
      <c r="OMY6" s="2337"/>
      <c r="OMZ6" s="2338"/>
      <c r="ONA6" s="2336"/>
      <c r="ONB6" s="2337"/>
      <c r="ONC6" s="2338"/>
      <c r="OND6" s="2336"/>
      <c r="ONE6" s="2337"/>
      <c r="ONF6" s="2338"/>
      <c r="ONG6" s="2336"/>
      <c r="ONH6" s="2337"/>
      <c r="ONI6" s="2338"/>
      <c r="ONJ6" s="2336"/>
      <c r="ONK6" s="2337"/>
      <c r="ONL6" s="2338"/>
      <c r="ONM6" s="2336"/>
      <c r="ONN6" s="2337"/>
      <c r="ONO6" s="2338"/>
      <c r="ONP6" s="2336"/>
      <c r="ONQ6" s="2337"/>
      <c r="ONR6" s="2338"/>
      <c r="ONS6" s="2336"/>
      <c r="ONT6" s="2337"/>
      <c r="ONU6" s="2338"/>
      <c r="ONV6" s="2336"/>
      <c r="ONW6" s="2337"/>
      <c r="ONX6" s="2338"/>
      <c r="ONY6" s="2336"/>
      <c r="ONZ6" s="2337"/>
      <c r="OOA6" s="2338"/>
      <c r="OOB6" s="2336"/>
      <c r="OOC6" s="2337"/>
      <c r="OOD6" s="2338"/>
      <c r="OOE6" s="2336"/>
      <c r="OOF6" s="2337"/>
      <c r="OOG6" s="2338"/>
      <c r="OOH6" s="2336"/>
      <c r="OOI6" s="2337"/>
      <c r="OOJ6" s="2338"/>
      <c r="OOK6" s="2336"/>
      <c r="OOL6" s="2337"/>
      <c r="OOM6" s="2338"/>
      <c r="OON6" s="2336"/>
      <c r="OOO6" s="2337"/>
      <c r="OOP6" s="2338"/>
      <c r="OOQ6" s="2336"/>
      <c r="OOR6" s="2337"/>
      <c r="OOS6" s="2338"/>
      <c r="OOT6" s="2336"/>
      <c r="OOU6" s="2337"/>
      <c r="OOV6" s="2338"/>
      <c r="OOW6" s="2336"/>
      <c r="OOX6" s="2337"/>
      <c r="OOY6" s="2338"/>
      <c r="OOZ6" s="2336"/>
      <c r="OPA6" s="2337"/>
      <c r="OPB6" s="2338"/>
      <c r="OPC6" s="2336"/>
      <c r="OPD6" s="2337"/>
      <c r="OPE6" s="2338"/>
      <c r="OPF6" s="2336"/>
      <c r="OPG6" s="2337"/>
      <c r="OPH6" s="2338"/>
      <c r="OPI6" s="2336"/>
      <c r="OPJ6" s="2337"/>
      <c r="OPK6" s="2338"/>
      <c r="OPL6" s="2336"/>
      <c r="OPM6" s="2337"/>
      <c r="OPN6" s="2338"/>
      <c r="OPO6" s="2336"/>
      <c r="OPP6" s="2337"/>
      <c r="OPQ6" s="2338"/>
      <c r="OPR6" s="2336"/>
      <c r="OPS6" s="2337"/>
      <c r="OPT6" s="2338"/>
      <c r="OPU6" s="2336"/>
      <c r="OPV6" s="2337"/>
      <c r="OPW6" s="2338"/>
      <c r="OPX6" s="2336"/>
      <c r="OPY6" s="2337"/>
      <c r="OPZ6" s="2338"/>
      <c r="OQA6" s="2336"/>
      <c r="OQB6" s="2337"/>
      <c r="OQC6" s="2338"/>
      <c r="OQD6" s="2336"/>
      <c r="OQE6" s="2337"/>
      <c r="OQF6" s="2338"/>
      <c r="OQG6" s="2336"/>
      <c r="OQH6" s="2337"/>
      <c r="OQI6" s="2338"/>
      <c r="OQJ6" s="2336"/>
      <c r="OQK6" s="2337"/>
      <c r="OQL6" s="2338"/>
      <c r="OQM6" s="2336"/>
      <c r="OQN6" s="2337"/>
      <c r="OQO6" s="2338"/>
      <c r="OQP6" s="2336"/>
      <c r="OQQ6" s="2337"/>
      <c r="OQR6" s="2338"/>
      <c r="OQS6" s="2336"/>
      <c r="OQT6" s="2337"/>
      <c r="OQU6" s="2338"/>
      <c r="OQV6" s="2336"/>
      <c r="OQW6" s="2337"/>
      <c r="OQX6" s="2338"/>
      <c r="OQY6" s="2336"/>
      <c r="OQZ6" s="2337"/>
      <c r="ORA6" s="2338"/>
      <c r="ORB6" s="2336"/>
      <c r="ORC6" s="2337"/>
      <c r="ORD6" s="2338"/>
      <c r="ORE6" s="2336"/>
      <c r="ORF6" s="2337"/>
      <c r="ORG6" s="2338"/>
      <c r="ORH6" s="2336"/>
      <c r="ORI6" s="2337"/>
      <c r="ORJ6" s="2338"/>
      <c r="ORK6" s="2336"/>
      <c r="ORL6" s="2337"/>
      <c r="ORM6" s="2338"/>
      <c r="ORN6" s="2336"/>
      <c r="ORO6" s="2337"/>
      <c r="ORP6" s="2338"/>
      <c r="ORQ6" s="2336"/>
      <c r="ORR6" s="2337"/>
      <c r="ORS6" s="2338"/>
      <c r="ORT6" s="2336"/>
      <c r="ORU6" s="2337"/>
      <c r="ORV6" s="2338"/>
      <c r="ORW6" s="2336"/>
      <c r="ORX6" s="2337"/>
      <c r="ORY6" s="2338"/>
      <c r="ORZ6" s="2336"/>
      <c r="OSA6" s="2337"/>
      <c r="OSB6" s="2338"/>
      <c r="OSC6" s="2336"/>
      <c r="OSD6" s="2337"/>
      <c r="OSE6" s="2338"/>
      <c r="OSF6" s="2336"/>
      <c r="OSG6" s="2337"/>
      <c r="OSH6" s="2338"/>
      <c r="OSI6" s="2336"/>
      <c r="OSJ6" s="2337"/>
      <c r="OSK6" s="2338"/>
      <c r="OSL6" s="2336"/>
      <c r="OSM6" s="2337"/>
      <c r="OSN6" s="2338"/>
      <c r="OSO6" s="2336"/>
      <c r="OSP6" s="2337"/>
      <c r="OSQ6" s="2338"/>
      <c r="OSR6" s="2336"/>
      <c r="OSS6" s="2337"/>
      <c r="OST6" s="2338"/>
      <c r="OSU6" s="2336"/>
      <c r="OSV6" s="2337"/>
      <c r="OSW6" s="2338"/>
      <c r="OSX6" s="2336"/>
      <c r="OSY6" s="2337"/>
      <c r="OSZ6" s="2338"/>
      <c r="OTA6" s="2336"/>
      <c r="OTB6" s="2337"/>
      <c r="OTC6" s="2338"/>
      <c r="OTD6" s="2336"/>
      <c r="OTE6" s="2337"/>
      <c r="OTF6" s="2338"/>
      <c r="OTG6" s="2336"/>
      <c r="OTH6" s="2337"/>
      <c r="OTI6" s="2338"/>
      <c r="OTJ6" s="2336"/>
      <c r="OTK6" s="2337"/>
      <c r="OTL6" s="2338"/>
      <c r="OTM6" s="2336"/>
      <c r="OTN6" s="2337"/>
      <c r="OTO6" s="2338"/>
      <c r="OTP6" s="2336"/>
      <c r="OTQ6" s="2337"/>
      <c r="OTR6" s="2338"/>
      <c r="OTS6" s="2336"/>
      <c r="OTT6" s="2337"/>
      <c r="OTU6" s="2338"/>
      <c r="OTV6" s="2336"/>
      <c r="OTW6" s="2337"/>
      <c r="OTX6" s="2338"/>
      <c r="OTY6" s="2336"/>
      <c r="OTZ6" s="2337"/>
      <c r="OUA6" s="2338"/>
      <c r="OUB6" s="2336"/>
      <c r="OUC6" s="2337"/>
      <c r="OUD6" s="2338"/>
      <c r="OUE6" s="2336"/>
      <c r="OUF6" s="2337"/>
      <c r="OUG6" s="2338"/>
      <c r="OUH6" s="2336"/>
      <c r="OUI6" s="2337"/>
      <c r="OUJ6" s="2338"/>
      <c r="OUK6" s="2336"/>
      <c r="OUL6" s="2337"/>
      <c r="OUM6" s="2338"/>
      <c r="OUN6" s="2336"/>
      <c r="OUO6" s="2337"/>
      <c r="OUP6" s="2338"/>
      <c r="OUQ6" s="2336"/>
      <c r="OUR6" s="2337"/>
      <c r="OUS6" s="2338"/>
      <c r="OUT6" s="2336"/>
      <c r="OUU6" s="2337"/>
      <c r="OUV6" s="2338"/>
      <c r="OUW6" s="2336"/>
      <c r="OUX6" s="2337"/>
      <c r="OUY6" s="2338"/>
      <c r="OUZ6" s="2336"/>
      <c r="OVA6" s="2337"/>
      <c r="OVB6" s="2338"/>
      <c r="OVC6" s="2336"/>
      <c r="OVD6" s="2337"/>
      <c r="OVE6" s="2338"/>
      <c r="OVF6" s="2336"/>
      <c r="OVG6" s="2337"/>
      <c r="OVH6" s="2338"/>
      <c r="OVI6" s="2336"/>
      <c r="OVJ6" s="2337"/>
      <c r="OVK6" s="2338"/>
      <c r="OVL6" s="2336"/>
      <c r="OVM6" s="2337"/>
      <c r="OVN6" s="2338"/>
      <c r="OVO6" s="2336"/>
      <c r="OVP6" s="2337"/>
      <c r="OVQ6" s="2338"/>
      <c r="OVR6" s="2336"/>
      <c r="OVS6" s="2337"/>
      <c r="OVT6" s="2338"/>
      <c r="OVU6" s="2336"/>
      <c r="OVV6" s="2337"/>
      <c r="OVW6" s="2338"/>
      <c r="OVX6" s="2336"/>
      <c r="OVY6" s="2337"/>
      <c r="OVZ6" s="2338"/>
      <c r="OWA6" s="2336"/>
      <c r="OWB6" s="2337"/>
      <c r="OWC6" s="2338"/>
      <c r="OWD6" s="2336"/>
      <c r="OWE6" s="2337"/>
      <c r="OWF6" s="2338"/>
      <c r="OWG6" s="2336"/>
      <c r="OWH6" s="2337"/>
      <c r="OWI6" s="2338"/>
      <c r="OWJ6" s="2336"/>
      <c r="OWK6" s="2337"/>
      <c r="OWL6" s="2338"/>
      <c r="OWM6" s="2336"/>
      <c r="OWN6" s="2337"/>
      <c r="OWO6" s="2338"/>
      <c r="OWP6" s="2336"/>
      <c r="OWQ6" s="2337"/>
      <c r="OWR6" s="2338"/>
      <c r="OWS6" s="2336"/>
      <c r="OWT6" s="2337"/>
      <c r="OWU6" s="2338"/>
      <c r="OWV6" s="2336"/>
      <c r="OWW6" s="2337"/>
      <c r="OWX6" s="2338"/>
      <c r="OWY6" s="2336"/>
      <c r="OWZ6" s="2337"/>
      <c r="OXA6" s="2338"/>
      <c r="OXB6" s="2336"/>
      <c r="OXC6" s="2337"/>
      <c r="OXD6" s="2338"/>
      <c r="OXE6" s="2336"/>
      <c r="OXF6" s="2337"/>
      <c r="OXG6" s="2338"/>
      <c r="OXH6" s="2336"/>
      <c r="OXI6" s="2337"/>
      <c r="OXJ6" s="2338"/>
      <c r="OXK6" s="2336"/>
      <c r="OXL6" s="2337"/>
      <c r="OXM6" s="2338"/>
      <c r="OXN6" s="2336"/>
      <c r="OXO6" s="2337"/>
      <c r="OXP6" s="2338"/>
      <c r="OXQ6" s="2336"/>
      <c r="OXR6" s="2337"/>
      <c r="OXS6" s="2338"/>
      <c r="OXT6" s="2336"/>
      <c r="OXU6" s="2337"/>
      <c r="OXV6" s="2338"/>
      <c r="OXW6" s="2336"/>
      <c r="OXX6" s="2337"/>
      <c r="OXY6" s="2338"/>
      <c r="OXZ6" s="2336"/>
      <c r="OYA6" s="2337"/>
      <c r="OYB6" s="2338"/>
      <c r="OYC6" s="2336"/>
      <c r="OYD6" s="2337"/>
      <c r="OYE6" s="2338"/>
      <c r="OYF6" s="2336"/>
      <c r="OYG6" s="2337"/>
      <c r="OYH6" s="2338"/>
      <c r="OYI6" s="2336"/>
      <c r="OYJ6" s="2337"/>
      <c r="OYK6" s="2338"/>
      <c r="OYL6" s="2336"/>
      <c r="OYM6" s="2337"/>
      <c r="OYN6" s="2338"/>
      <c r="OYO6" s="2336"/>
      <c r="OYP6" s="2337"/>
      <c r="OYQ6" s="2338"/>
      <c r="OYR6" s="2336"/>
      <c r="OYS6" s="2337"/>
      <c r="OYT6" s="2338"/>
      <c r="OYU6" s="2336"/>
      <c r="OYV6" s="2337"/>
      <c r="OYW6" s="2338"/>
      <c r="OYX6" s="2336"/>
      <c r="OYY6" s="2337"/>
      <c r="OYZ6" s="2338"/>
      <c r="OZA6" s="2336"/>
      <c r="OZB6" s="2337"/>
      <c r="OZC6" s="2338"/>
      <c r="OZD6" s="2336"/>
      <c r="OZE6" s="2337"/>
      <c r="OZF6" s="2338"/>
      <c r="OZG6" s="2336"/>
      <c r="OZH6" s="2337"/>
      <c r="OZI6" s="2338"/>
      <c r="OZJ6" s="2336"/>
      <c r="OZK6" s="2337"/>
      <c r="OZL6" s="2338"/>
      <c r="OZM6" s="2336"/>
      <c r="OZN6" s="2337"/>
      <c r="OZO6" s="2338"/>
      <c r="OZP6" s="2336"/>
      <c r="OZQ6" s="2337"/>
      <c r="OZR6" s="2338"/>
      <c r="OZS6" s="2336"/>
      <c r="OZT6" s="2337"/>
      <c r="OZU6" s="2338"/>
      <c r="OZV6" s="2336"/>
      <c r="OZW6" s="2337"/>
      <c r="OZX6" s="2338"/>
      <c r="OZY6" s="2336"/>
      <c r="OZZ6" s="2337"/>
      <c r="PAA6" s="2338"/>
      <c r="PAB6" s="2336"/>
      <c r="PAC6" s="2337"/>
      <c r="PAD6" s="2338"/>
      <c r="PAE6" s="2336"/>
      <c r="PAF6" s="2337"/>
      <c r="PAG6" s="2338"/>
      <c r="PAH6" s="2336"/>
      <c r="PAI6" s="2337"/>
      <c r="PAJ6" s="2338"/>
      <c r="PAK6" s="2336"/>
      <c r="PAL6" s="2337"/>
      <c r="PAM6" s="2338"/>
      <c r="PAN6" s="2336"/>
      <c r="PAO6" s="2337"/>
      <c r="PAP6" s="2338"/>
      <c r="PAQ6" s="2336"/>
      <c r="PAR6" s="2337"/>
      <c r="PAS6" s="2338"/>
      <c r="PAT6" s="2336"/>
      <c r="PAU6" s="2337"/>
      <c r="PAV6" s="2338"/>
      <c r="PAW6" s="2336"/>
      <c r="PAX6" s="2337"/>
      <c r="PAY6" s="2338"/>
      <c r="PAZ6" s="2336"/>
      <c r="PBA6" s="2337"/>
      <c r="PBB6" s="2338"/>
      <c r="PBC6" s="2336"/>
      <c r="PBD6" s="2337"/>
      <c r="PBE6" s="2338"/>
      <c r="PBF6" s="2336"/>
      <c r="PBG6" s="2337"/>
      <c r="PBH6" s="2338"/>
      <c r="PBI6" s="2336"/>
      <c r="PBJ6" s="2337"/>
      <c r="PBK6" s="2338"/>
      <c r="PBL6" s="2336"/>
      <c r="PBM6" s="2337"/>
      <c r="PBN6" s="2338"/>
      <c r="PBO6" s="2336"/>
      <c r="PBP6" s="2337"/>
      <c r="PBQ6" s="2338"/>
      <c r="PBR6" s="2336"/>
      <c r="PBS6" s="2337"/>
      <c r="PBT6" s="2338"/>
      <c r="PBU6" s="2336"/>
      <c r="PBV6" s="2337"/>
      <c r="PBW6" s="2338"/>
      <c r="PBX6" s="2336"/>
      <c r="PBY6" s="2337"/>
      <c r="PBZ6" s="2338"/>
      <c r="PCA6" s="2336"/>
      <c r="PCB6" s="2337"/>
      <c r="PCC6" s="2338"/>
      <c r="PCD6" s="2336"/>
      <c r="PCE6" s="2337"/>
      <c r="PCF6" s="2338"/>
      <c r="PCG6" s="2336"/>
      <c r="PCH6" s="2337"/>
      <c r="PCI6" s="2338"/>
      <c r="PCJ6" s="2336"/>
      <c r="PCK6" s="2337"/>
      <c r="PCL6" s="2338"/>
      <c r="PCM6" s="2336"/>
      <c r="PCN6" s="2337"/>
      <c r="PCO6" s="2338"/>
      <c r="PCP6" s="2336"/>
      <c r="PCQ6" s="2337"/>
      <c r="PCR6" s="2338"/>
      <c r="PCS6" s="2336"/>
      <c r="PCT6" s="2337"/>
      <c r="PCU6" s="2338"/>
      <c r="PCV6" s="2336"/>
      <c r="PCW6" s="2337"/>
      <c r="PCX6" s="2338"/>
      <c r="PCY6" s="2336"/>
      <c r="PCZ6" s="2337"/>
      <c r="PDA6" s="2338"/>
      <c r="PDB6" s="2336"/>
      <c r="PDC6" s="2337"/>
      <c r="PDD6" s="2338"/>
      <c r="PDE6" s="2336"/>
      <c r="PDF6" s="2337"/>
      <c r="PDG6" s="2338"/>
      <c r="PDH6" s="2336"/>
      <c r="PDI6" s="2337"/>
      <c r="PDJ6" s="2338"/>
      <c r="PDK6" s="2336"/>
      <c r="PDL6" s="2337"/>
      <c r="PDM6" s="2338"/>
      <c r="PDN6" s="2336"/>
      <c r="PDO6" s="2337"/>
      <c r="PDP6" s="2338"/>
      <c r="PDQ6" s="2336"/>
      <c r="PDR6" s="2337"/>
      <c r="PDS6" s="2338"/>
      <c r="PDT6" s="2336"/>
      <c r="PDU6" s="2337"/>
      <c r="PDV6" s="2338"/>
      <c r="PDW6" s="2336"/>
      <c r="PDX6" s="2337"/>
      <c r="PDY6" s="2338"/>
      <c r="PDZ6" s="2336"/>
      <c r="PEA6" s="2337"/>
      <c r="PEB6" s="2338"/>
      <c r="PEC6" s="2336"/>
      <c r="PED6" s="2337"/>
      <c r="PEE6" s="2338"/>
      <c r="PEF6" s="2336"/>
      <c r="PEG6" s="2337"/>
      <c r="PEH6" s="2338"/>
      <c r="PEI6" s="2336"/>
      <c r="PEJ6" s="2337"/>
      <c r="PEK6" s="2338"/>
      <c r="PEL6" s="2336"/>
      <c r="PEM6" s="2337"/>
      <c r="PEN6" s="2338"/>
      <c r="PEO6" s="2336"/>
      <c r="PEP6" s="2337"/>
      <c r="PEQ6" s="2338"/>
      <c r="PER6" s="2336"/>
      <c r="PES6" s="2337"/>
      <c r="PET6" s="2338"/>
      <c r="PEU6" s="2336"/>
      <c r="PEV6" s="2337"/>
      <c r="PEW6" s="2338"/>
      <c r="PEX6" s="2336"/>
      <c r="PEY6" s="2337"/>
      <c r="PEZ6" s="2338"/>
      <c r="PFA6" s="2336"/>
      <c r="PFB6" s="2337"/>
      <c r="PFC6" s="2338"/>
      <c r="PFD6" s="2336"/>
      <c r="PFE6" s="2337"/>
      <c r="PFF6" s="2338"/>
      <c r="PFG6" s="2336"/>
      <c r="PFH6" s="2337"/>
      <c r="PFI6" s="2338"/>
      <c r="PFJ6" s="2336"/>
      <c r="PFK6" s="2337"/>
      <c r="PFL6" s="2338"/>
      <c r="PFM6" s="2336"/>
      <c r="PFN6" s="2337"/>
      <c r="PFO6" s="2338"/>
      <c r="PFP6" s="2336"/>
      <c r="PFQ6" s="2337"/>
      <c r="PFR6" s="2338"/>
      <c r="PFS6" s="2336"/>
      <c r="PFT6" s="2337"/>
      <c r="PFU6" s="2338"/>
      <c r="PFV6" s="2336"/>
      <c r="PFW6" s="2337"/>
      <c r="PFX6" s="2338"/>
      <c r="PFY6" s="2336"/>
      <c r="PFZ6" s="2337"/>
      <c r="PGA6" s="2338"/>
      <c r="PGB6" s="2336"/>
      <c r="PGC6" s="2337"/>
      <c r="PGD6" s="2338"/>
      <c r="PGE6" s="2336"/>
      <c r="PGF6" s="2337"/>
      <c r="PGG6" s="2338"/>
      <c r="PGH6" s="2336"/>
      <c r="PGI6" s="2337"/>
      <c r="PGJ6" s="2338"/>
      <c r="PGK6" s="2336"/>
      <c r="PGL6" s="2337"/>
      <c r="PGM6" s="2338"/>
      <c r="PGN6" s="2336"/>
      <c r="PGO6" s="2337"/>
      <c r="PGP6" s="2338"/>
      <c r="PGQ6" s="2336"/>
      <c r="PGR6" s="2337"/>
      <c r="PGS6" s="2338"/>
      <c r="PGT6" s="2336"/>
      <c r="PGU6" s="2337"/>
      <c r="PGV6" s="2338"/>
      <c r="PGW6" s="2336"/>
      <c r="PGX6" s="2337"/>
      <c r="PGY6" s="2338"/>
      <c r="PGZ6" s="2336"/>
      <c r="PHA6" s="2337"/>
      <c r="PHB6" s="2338"/>
      <c r="PHC6" s="2336"/>
      <c r="PHD6" s="2337"/>
      <c r="PHE6" s="2338"/>
      <c r="PHF6" s="2336"/>
      <c r="PHG6" s="2337"/>
      <c r="PHH6" s="2338"/>
      <c r="PHI6" s="2336"/>
      <c r="PHJ6" s="2337"/>
      <c r="PHK6" s="2338"/>
      <c r="PHL6" s="2336"/>
      <c r="PHM6" s="2337"/>
      <c r="PHN6" s="2338"/>
      <c r="PHO6" s="2336"/>
      <c r="PHP6" s="2337"/>
      <c r="PHQ6" s="2338"/>
      <c r="PHR6" s="2336"/>
      <c r="PHS6" s="2337"/>
      <c r="PHT6" s="2338"/>
      <c r="PHU6" s="2336"/>
      <c r="PHV6" s="2337"/>
      <c r="PHW6" s="2338"/>
      <c r="PHX6" s="2336"/>
      <c r="PHY6" s="2337"/>
      <c r="PHZ6" s="2338"/>
      <c r="PIA6" s="2336"/>
      <c r="PIB6" s="2337"/>
      <c r="PIC6" s="2338"/>
      <c r="PID6" s="2336"/>
      <c r="PIE6" s="2337"/>
      <c r="PIF6" s="2338"/>
      <c r="PIG6" s="2336"/>
      <c r="PIH6" s="2337"/>
      <c r="PII6" s="2338"/>
      <c r="PIJ6" s="2336"/>
      <c r="PIK6" s="2337"/>
      <c r="PIL6" s="2338"/>
      <c r="PIM6" s="2336"/>
      <c r="PIN6" s="2337"/>
      <c r="PIO6" s="2338"/>
      <c r="PIP6" s="2336"/>
      <c r="PIQ6" s="2337"/>
      <c r="PIR6" s="2338"/>
      <c r="PIS6" s="2336"/>
      <c r="PIT6" s="2337"/>
      <c r="PIU6" s="2338"/>
      <c r="PIV6" s="2336"/>
      <c r="PIW6" s="2337"/>
      <c r="PIX6" s="2338"/>
      <c r="PIY6" s="2336"/>
      <c r="PIZ6" s="2337"/>
      <c r="PJA6" s="2338"/>
      <c r="PJB6" s="2336"/>
      <c r="PJC6" s="2337"/>
      <c r="PJD6" s="2338"/>
      <c r="PJE6" s="2336"/>
      <c r="PJF6" s="2337"/>
      <c r="PJG6" s="2338"/>
      <c r="PJH6" s="2336"/>
      <c r="PJI6" s="2337"/>
      <c r="PJJ6" s="2338"/>
      <c r="PJK6" s="2336"/>
      <c r="PJL6" s="2337"/>
      <c r="PJM6" s="2338"/>
      <c r="PJN6" s="2336"/>
      <c r="PJO6" s="2337"/>
      <c r="PJP6" s="2338"/>
      <c r="PJQ6" s="2336"/>
      <c r="PJR6" s="2337"/>
      <c r="PJS6" s="2338"/>
      <c r="PJT6" s="2336"/>
      <c r="PJU6" s="2337"/>
      <c r="PJV6" s="2338"/>
      <c r="PJW6" s="2336"/>
      <c r="PJX6" s="2337"/>
      <c r="PJY6" s="2338"/>
      <c r="PJZ6" s="2336"/>
      <c r="PKA6" s="2337"/>
      <c r="PKB6" s="2338"/>
      <c r="PKC6" s="2336"/>
      <c r="PKD6" s="2337"/>
      <c r="PKE6" s="2338"/>
      <c r="PKF6" s="2336"/>
      <c r="PKG6" s="2337"/>
      <c r="PKH6" s="2338"/>
      <c r="PKI6" s="2336"/>
      <c r="PKJ6" s="2337"/>
      <c r="PKK6" s="2338"/>
      <c r="PKL6" s="2336"/>
      <c r="PKM6" s="2337"/>
      <c r="PKN6" s="2338"/>
      <c r="PKO6" s="2336"/>
      <c r="PKP6" s="2337"/>
      <c r="PKQ6" s="2338"/>
      <c r="PKR6" s="2336"/>
      <c r="PKS6" s="2337"/>
      <c r="PKT6" s="2338"/>
      <c r="PKU6" s="2336"/>
      <c r="PKV6" s="2337"/>
      <c r="PKW6" s="2338"/>
      <c r="PKX6" s="2336"/>
      <c r="PKY6" s="2337"/>
      <c r="PKZ6" s="2338"/>
      <c r="PLA6" s="2336"/>
      <c r="PLB6" s="2337"/>
      <c r="PLC6" s="2338"/>
      <c r="PLD6" s="2336"/>
      <c r="PLE6" s="2337"/>
      <c r="PLF6" s="2338"/>
      <c r="PLG6" s="2336"/>
      <c r="PLH6" s="2337"/>
      <c r="PLI6" s="2338"/>
      <c r="PLJ6" s="2336"/>
      <c r="PLK6" s="2337"/>
      <c r="PLL6" s="2338"/>
      <c r="PLM6" s="2336"/>
      <c r="PLN6" s="2337"/>
      <c r="PLO6" s="2338"/>
      <c r="PLP6" s="2336"/>
      <c r="PLQ6" s="2337"/>
      <c r="PLR6" s="2338"/>
      <c r="PLS6" s="2336"/>
      <c r="PLT6" s="2337"/>
      <c r="PLU6" s="2338"/>
      <c r="PLV6" s="2336"/>
      <c r="PLW6" s="2337"/>
      <c r="PLX6" s="2338"/>
      <c r="PLY6" s="2336"/>
      <c r="PLZ6" s="2337"/>
      <c r="PMA6" s="2338"/>
      <c r="PMB6" s="2336"/>
      <c r="PMC6" s="2337"/>
      <c r="PMD6" s="2338"/>
      <c r="PME6" s="2336"/>
      <c r="PMF6" s="2337"/>
      <c r="PMG6" s="2338"/>
      <c r="PMH6" s="2336"/>
      <c r="PMI6" s="2337"/>
      <c r="PMJ6" s="2338"/>
      <c r="PMK6" s="2336"/>
      <c r="PML6" s="2337"/>
      <c r="PMM6" s="2338"/>
      <c r="PMN6" s="2336"/>
      <c r="PMO6" s="2337"/>
      <c r="PMP6" s="2338"/>
      <c r="PMQ6" s="2336"/>
      <c r="PMR6" s="2337"/>
      <c r="PMS6" s="2338"/>
      <c r="PMT6" s="2336"/>
      <c r="PMU6" s="2337"/>
      <c r="PMV6" s="2338"/>
      <c r="PMW6" s="2336"/>
      <c r="PMX6" s="2337"/>
      <c r="PMY6" s="2338"/>
      <c r="PMZ6" s="2336"/>
      <c r="PNA6" s="2337"/>
      <c r="PNB6" s="2338"/>
      <c r="PNC6" s="2336"/>
      <c r="PND6" s="2337"/>
      <c r="PNE6" s="2338"/>
      <c r="PNF6" s="2336"/>
      <c r="PNG6" s="2337"/>
      <c r="PNH6" s="2338"/>
      <c r="PNI6" s="2336"/>
      <c r="PNJ6" s="2337"/>
      <c r="PNK6" s="2338"/>
      <c r="PNL6" s="2336"/>
      <c r="PNM6" s="2337"/>
      <c r="PNN6" s="2338"/>
      <c r="PNO6" s="2336"/>
      <c r="PNP6" s="2337"/>
      <c r="PNQ6" s="2338"/>
      <c r="PNR6" s="2336"/>
      <c r="PNS6" s="2337"/>
      <c r="PNT6" s="2338"/>
      <c r="PNU6" s="2336"/>
      <c r="PNV6" s="2337"/>
      <c r="PNW6" s="2338"/>
      <c r="PNX6" s="2336"/>
      <c r="PNY6" s="2337"/>
      <c r="PNZ6" s="2338"/>
      <c r="POA6" s="2336"/>
      <c r="POB6" s="2337"/>
      <c r="POC6" s="2338"/>
      <c r="POD6" s="2336"/>
      <c r="POE6" s="2337"/>
      <c r="POF6" s="2338"/>
      <c r="POG6" s="2336"/>
      <c r="POH6" s="2337"/>
      <c r="POI6" s="2338"/>
      <c r="POJ6" s="2336"/>
      <c r="POK6" s="2337"/>
      <c r="POL6" s="2338"/>
      <c r="POM6" s="2336"/>
      <c r="PON6" s="2337"/>
      <c r="POO6" s="2338"/>
      <c r="POP6" s="2336"/>
      <c r="POQ6" s="2337"/>
      <c r="POR6" s="2338"/>
      <c r="POS6" s="2336"/>
      <c r="POT6" s="2337"/>
      <c r="POU6" s="2338"/>
      <c r="POV6" s="2336"/>
      <c r="POW6" s="2337"/>
      <c r="POX6" s="2338"/>
      <c r="POY6" s="2336"/>
      <c r="POZ6" s="2337"/>
      <c r="PPA6" s="2338"/>
      <c r="PPB6" s="2336"/>
      <c r="PPC6" s="2337"/>
      <c r="PPD6" s="2338"/>
      <c r="PPE6" s="2336"/>
      <c r="PPF6" s="2337"/>
      <c r="PPG6" s="2338"/>
      <c r="PPH6" s="2336"/>
      <c r="PPI6" s="2337"/>
      <c r="PPJ6" s="2338"/>
      <c r="PPK6" s="2336"/>
      <c r="PPL6" s="2337"/>
      <c r="PPM6" s="2338"/>
      <c r="PPN6" s="2336"/>
      <c r="PPO6" s="2337"/>
      <c r="PPP6" s="2338"/>
      <c r="PPQ6" s="2336"/>
      <c r="PPR6" s="2337"/>
      <c r="PPS6" s="2338"/>
      <c r="PPT6" s="2336"/>
      <c r="PPU6" s="2337"/>
      <c r="PPV6" s="2338"/>
      <c r="PPW6" s="2336"/>
      <c r="PPX6" s="2337"/>
      <c r="PPY6" s="2338"/>
      <c r="PPZ6" s="2336"/>
      <c r="PQA6" s="2337"/>
      <c r="PQB6" s="2338"/>
      <c r="PQC6" s="2336"/>
      <c r="PQD6" s="2337"/>
      <c r="PQE6" s="2338"/>
      <c r="PQF6" s="2336"/>
      <c r="PQG6" s="2337"/>
      <c r="PQH6" s="2338"/>
      <c r="PQI6" s="2336"/>
      <c r="PQJ6" s="2337"/>
      <c r="PQK6" s="2338"/>
      <c r="PQL6" s="2336"/>
      <c r="PQM6" s="2337"/>
      <c r="PQN6" s="2338"/>
      <c r="PQO6" s="2336"/>
      <c r="PQP6" s="2337"/>
      <c r="PQQ6" s="2338"/>
      <c r="PQR6" s="2336"/>
      <c r="PQS6" s="2337"/>
      <c r="PQT6" s="2338"/>
      <c r="PQU6" s="2336"/>
      <c r="PQV6" s="2337"/>
      <c r="PQW6" s="2338"/>
      <c r="PQX6" s="2336"/>
      <c r="PQY6" s="2337"/>
      <c r="PQZ6" s="2338"/>
      <c r="PRA6" s="2336"/>
      <c r="PRB6" s="2337"/>
      <c r="PRC6" s="2338"/>
      <c r="PRD6" s="2336"/>
      <c r="PRE6" s="2337"/>
      <c r="PRF6" s="2338"/>
      <c r="PRG6" s="2336"/>
      <c r="PRH6" s="2337"/>
      <c r="PRI6" s="2338"/>
      <c r="PRJ6" s="2336"/>
      <c r="PRK6" s="2337"/>
      <c r="PRL6" s="2338"/>
      <c r="PRM6" s="2336"/>
      <c r="PRN6" s="2337"/>
      <c r="PRO6" s="2338"/>
      <c r="PRP6" s="2336"/>
      <c r="PRQ6" s="2337"/>
      <c r="PRR6" s="2338"/>
      <c r="PRS6" s="2336"/>
      <c r="PRT6" s="2337"/>
      <c r="PRU6" s="2338"/>
      <c r="PRV6" s="2336"/>
      <c r="PRW6" s="2337"/>
      <c r="PRX6" s="2338"/>
      <c r="PRY6" s="2336"/>
      <c r="PRZ6" s="2337"/>
      <c r="PSA6" s="2338"/>
      <c r="PSB6" s="2336"/>
      <c r="PSC6" s="2337"/>
      <c r="PSD6" s="2338"/>
      <c r="PSE6" s="2336"/>
      <c r="PSF6" s="2337"/>
      <c r="PSG6" s="2338"/>
      <c r="PSH6" s="2336"/>
      <c r="PSI6" s="2337"/>
      <c r="PSJ6" s="2338"/>
      <c r="PSK6" s="2336"/>
      <c r="PSL6" s="2337"/>
      <c r="PSM6" s="2338"/>
      <c r="PSN6" s="2336"/>
      <c r="PSO6" s="2337"/>
      <c r="PSP6" s="2338"/>
      <c r="PSQ6" s="2336"/>
      <c r="PSR6" s="2337"/>
      <c r="PSS6" s="2338"/>
      <c r="PST6" s="2336"/>
      <c r="PSU6" s="2337"/>
      <c r="PSV6" s="2338"/>
      <c r="PSW6" s="2336"/>
      <c r="PSX6" s="2337"/>
      <c r="PSY6" s="2338"/>
      <c r="PSZ6" s="2336"/>
      <c r="PTA6" s="2337"/>
      <c r="PTB6" s="2338"/>
      <c r="PTC6" s="2336"/>
      <c r="PTD6" s="2337"/>
      <c r="PTE6" s="2338"/>
      <c r="PTF6" s="2336"/>
      <c r="PTG6" s="2337"/>
      <c r="PTH6" s="2338"/>
      <c r="PTI6" s="2336"/>
      <c r="PTJ6" s="2337"/>
      <c r="PTK6" s="2338"/>
      <c r="PTL6" s="2336"/>
      <c r="PTM6" s="2337"/>
      <c r="PTN6" s="2338"/>
      <c r="PTO6" s="2336"/>
      <c r="PTP6" s="2337"/>
      <c r="PTQ6" s="2338"/>
      <c r="PTR6" s="2336"/>
      <c r="PTS6" s="2337"/>
      <c r="PTT6" s="2338"/>
      <c r="PTU6" s="2336"/>
      <c r="PTV6" s="2337"/>
      <c r="PTW6" s="2338"/>
      <c r="PTX6" s="2336"/>
      <c r="PTY6" s="2337"/>
      <c r="PTZ6" s="2338"/>
      <c r="PUA6" s="2336"/>
      <c r="PUB6" s="2337"/>
      <c r="PUC6" s="2338"/>
      <c r="PUD6" s="2336"/>
      <c r="PUE6" s="2337"/>
      <c r="PUF6" s="2338"/>
      <c r="PUG6" s="2336"/>
      <c r="PUH6" s="2337"/>
      <c r="PUI6" s="2338"/>
      <c r="PUJ6" s="2336"/>
      <c r="PUK6" s="2337"/>
      <c r="PUL6" s="2338"/>
      <c r="PUM6" s="2336"/>
      <c r="PUN6" s="2337"/>
      <c r="PUO6" s="2338"/>
      <c r="PUP6" s="2336"/>
      <c r="PUQ6" s="2337"/>
      <c r="PUR6" s="2338"/>
      <c r="PUS6" s="2336"/>
      <c r="PUT6" s="2337"/>
      <c r="PUU6" s="2338"/>
      <c r="PUV6" s="2336"/>
      <c r="PUW6" s="2337"/>
      <c r="PUX6" s="2338"/>
      <c r="PUY6" s="2336"/>
      <c r="PUZ6" s="2337"/>
      <c r="PVA6" s="2338"/>
      <c r="PVB6" s="2336"/>
      <c r="PVC6" s="2337"/>
      <c r="PVD6" s="2338"/>
      <c r="PVE6" s="2336"/>
      <c r="PVF6" s="2337"/>
      <c r="PVG6" s="2338"/>
      <c r="PVH6" s="2336"/>
      <c r="PVI6" s="2337"/>
      <c r="PVJ6" s="2338"/>
      <c r="PVK6" s="2336"/>
      <c r="PVL6" s="2337"/>
      <c r="PVM6" s="2338"/>
      <c r="PVN6" s="2336"/>
      <c r="PVO6" s="2337"/>
      <c r="PVP6" s="2338"/>
      <c r="PVQ6" s="2336"/>
      <c r="PVR6" s="2337"/>
      <c r="PVS6" s="2338"/>
      <c r="PVT6" s="2336"/>
      <c r="PVU6" s="2337"/>
      <c r="PVV6" s="2338"/>
      <c r="PVW6" s="2336"/>
      <c r="PVX6" s="2337"/>
      <c r="PVY6" s="2338"/>
      <c r="PVZ6" s="2336"/>
      <c r="PWA6" s="2337"/>
      <c r="PWB6" s="2338"/>
      <c r="PWC6" s="2336"/>
      <c r="PWD6" s="2337"/>
      <c r="PWE6" s="2338"/>
      <c r="PWF6" s="2336"/>
      <c r="PWG6" s="2337"/>
      <c r="PWH6" s="2338"/>
      <c r="PWI6" s="2336"/>
      <c r="PWJ6" s="2337"/>
      <c r="PWK6" s="2338"/>
      <c r="PWL6" s="2336"/>
      <c r="PWM6" s="2337"/>
      <c r="PWN6" s="2338"/>
      <c r="PWO6" s="2336"/>
      <c r="PWP6" s="2337"/>
      <c r="PWQ6" s="2338"/>
      <c r="PWR6" s="2336"/>
      <c r="PWS6" s="2337"/>
      <c r="PWT6" s="2338"/>
      <c r="PWU6" s="2336"/>
      <c r="PWV6" s="2337"/>
      <c r="PWW6" s="2338"/>
      <c r="PWX6" s="2336"/>
      <c r="PWY6" s="2337"/>
      <c r="PWZ6" s="2338"/>
      <c r="PXA6" s="2336"/>
      <c r="PXB6" s="2337"/>
      <c r="PXC6" s="2338"/>
      <c r="PXD6" s="2336"/>
      <c r="PXE6" s="2337"/>
      <c r="PXF6" s="2338"/>
      <c r="PXG6" s="2336"/>
      <c r="PXH6" s="2337"/>
      <c r="PXI6" s="2338"/>
      <c r="PXJ6" s="2336"/>
      <c r="PXK6" s="2337"/>
      <c r="PXL6" s="2338"/>
      <c r="PXM6" s="2336"/>
      <c r="PXN6" s="2337"/>
      <c r="PXO6" s="2338"/>
      <c r="PXP6" s="2336"/>
      <c r="PXQ6" s="2337"/>
      <c r="PXR6" s="2338"/>
      <c r="PXS6" s="2336"/>
      <c r="PXT6" s="2337"/>
      <c r="PXU6" s="2338"/>
      <c r="PXV6" s="2336"/>
      <c r="PXW6" s="2337"/>
      <c r="PXX6" s="2338"/>
      <c r="PXY6" s="2336"/>
      <c r="PXZ6" s="2337"/>
      <c r="PYA6" s="2338"/>
      <c r="PYB6" s="2336"/>
      <c r="PYC6" s="2337"/>
      <c r="PYD6" s="2338"/>
      <c r="PYE6" s="2336"/>
      <c r="PYF6" s="2337"/>
      <c r="PYG6" s="2338"/>
      <c r="PYH6" s="2336"/>
      <c r="PYI6" s="2337"/>
      <c r="PYJ6" s="2338"/>
      <c r="PYK6" s="2336"/>
      <c r="PYL6" s="2337"/>
      <c r="PYM6" s="2338"/>
      <c r="PYN6" s="2336"/>
      <c r="PYO6" s="2337"/>
      <c r="PYP6" s="2338"/>
      <c r="PYQ6" s="2336"/>
      <c r="PYR6" s="2337"/>
      <c r="PYS6" s="2338"/>
      <c r="PYT6" s="2336"/>
      <c r="PYU6" s="2337"/>
      <c r="PYV6" s="2338"/>
      <c r="PYW6" s="2336"/>
      <c r="PYX6" s="2337"/>
      <c r="PYY6" s="2338"/>
      <c r="PYZ6" s="2336"/>
      <c r="PZA6" s="2337"/>
      <c r="PZB6" s="2338"/>
      <c r="PZC6" s="2336"/>
      <c r="PZD6" s="2337"/>
      <c r="PZE6" s="2338"/>
      <c r="PZF6" s="2336"/>
      <c r="PZG6" s="2337"/>
      <c r="PZH6" s="2338"/>
      <c r="PZI6" s="2336"/>
      <c r="PZJ6" s="2337"/>
      <c r="PZK6" s="2338"/>
      <c r="PZL6" s="2336"/>
      <c r="PZM6" s="2337"/>
      <c r="PZN6" s="2338"/>
      <c r="PZO6" s="2336"/>
      <c r="PZP6" s="2337"/>
      <c r="PZQ6" s="2338"/>
      <c r="PZR6" s="2336"/>
      <c r="PZS6" s="2337"/>
      <c r="PZT6" s="2338"/>
      <c r="PZU6" s="2336"/>
      <c r="PZV6" s="2337"/>
      <c r="PZW6" s="2338"/>
      <c r="PZX6" s="2336"/>
      <c r="PZY6" s="2337"/>
      <c r="PZZ6" s="2338"/>
      <c r="QAA6" s="2336"/>
      <c r="QAB6" s="2337"/>
      <c r="QAC6" s="2338"/>
      <c r="QAD6" s="2336"/>
      <c r="QAE6" s="2337"/>
      <c r="QAF6" s="2338"/>
      <c r="QAG6" s="2336"/>
      <c r="QAH6" s="2337"/>
      <c r="QAI6" s="2338"/>
      <c r="QAJ6" s="2336"/>
      <c r="QAK6" s="2337"/>
      <c r="QAL6" s="2338"/>
      <c r="QAM6" s="2336"/>
      <c r="QAN6" s="2337"/>
      <c r="QAO6" s="2338"/>
      <c r="QAP6" s="2336"/>
      <c r="QAQ6" s="2337"/>
      <c r="QAR6" s="2338"/>
      <c r="QAS6" s="2336"/>
      <c r="QAT6" s="2337"/>
      <c r="QAU6" s="2338"/>
      <c r="QAV6" s="2336"/>
      <c r="QAW6" s="2337"/>
      <c r="QAX6" s="2338"/>
      <c r="QAY6" s="2336"/>
      <c r="QAZ6" s="2337"/>
      <c r="QBA6" s="2338"/>
      <c r="QBB6" s="2336"/>
      <c r="QBC6" s="2337"/>
      <c r="QBD6" s="2338"/>
      <c r="QBE6" s="2336"/>
      <c r="QBF6" s="2337"/>
      <c r="QBG6" s="2338"/>
      <c r="QBH6" s="2336"/>
      <c r="QBI6" s="2337"/>
      <c r="QBJ6" s="2338"/>
      <c r="QBK6" s="2336"/>
      <c r="QBL6" s="2337"/>
      <c r="QBM6" s="2338"/>
      <c r="QBN6" s="2336"/>
      <c r="QBO6" s="2337"/>
      <c r="QBP6" s="2338"/>
      <c r="QBQ6" s="2336"/>
      <c r="QBR6" s="2337"/>
      <c r="QBS6" s="2338"/>
      <c r="QBT6" s="2336"/>
      <c r="QBU6" s="2337"/>
      <c r="QBV6" s="2338"/>
      <c r="QBW6" s="2336"/>
      <c r="QBX6" s="2337"/>
      <c r="QBY6" s="2338"/>
      <c r="QBZ6" s="2336"/>
      <c r="QCA6" s="2337"/>
      <c r="QCB6" s="2338"/>
      <c r="QCC6" s="2336"/>
      <c r="QCD6" s="2337"/>
      <c r="QCE6" s="2338"/>
      <c r="QCF6" s="2336"/>
      <c r="QCG6" s="2337"/>
      <c r="QCH6" s="2338"/>
      <c r="QCI6" s="2336"/>
      <c r="QCJ6" s="2337"/>
      <c r="QCK6" s="2338"/>
      <c r="QCL6" s="2336"/>
      <c r="QCM6" s="2337"/>
      <c r="QCN6" s="2338"/>
      <c r="QCO6" s="2336"/>
      <c r="QCP6" s="2337"/>
      <c r="QCQ6" s="2338"/>
      <c r="QCR6" s="2336"/>
      <c r="QCS6" s="2337"/>
      <c r="QCT6" s="2338"/>
      <c r="QCU6" s="2336"/>
      <c r="QCV6" s="2337"/>
      <c r="QCW6" s="2338"/>
      <c r="QCX6" s="2336"/>
      <c r="QCY6" s="2337"/>
      <c r="QCZ6" s="2338"/>
      <c r="QDA6" s="2336"/>
      <c r="QDB6" s="2337"/>
      <c r="QDC6" s="2338"/>
      <c r="QDD6" s="2336"/>
      <c r="QDE6" s="2337"/>
      <c r="QDF6" s="2338"/>
      <c r="QDG6" s="2336"/>
      <c r="QDH6" s="2337"/>
      <c r="QDI6" s="2338"/>
      <c r="QDJ6" s="2336"/>
      <c r="QDK6" s="2337"/>
      <c r="QDL6" s="2338"/>
      <c r="QDM6" s="2336"/>
      <c r="QDN6" s="2337"/>
      <c r="QDO6" s="2338"/>
      <c r="QDP6" s="2336"/>
      <c r="QDQ6" s="2337"/>
      <c r="QDR6" s="2338"/>
      <c r="QDS6" s="2336"/>
      <c r="QDT6" s="2337"/>
      <c r="QDU6" s="2338"/>
      <c r="QDV6" s="2336"/>
      <c r="QDW6" s="2337"/>
      <c r="QDX6" s="2338"/>
      <c r="QDY6" s="2336"/>
      <c r="QDZ6" s="2337"/>
      <c r="QEA6" s="2338"/>
      <c r="QEB6" s="2336"/>
      <c r="QEC6" s="2337"/>
      <c r="QED6" s="2338"/>
      <c r="QEE6" s="2336"/>
      <c r="QEF6" s="2337"/>
      <c r="QEG6" s="2338"/>
      <c r="QEH6" s="2336"/>
      <c r="QEI6" s="2337"/>
      <c r="QEJ6" s="2338"/>
      <c r="QEK6" s="2336"/>
      <c r="QEL6" s="2337"/>
      <c r="QEM6" s="2338"/>
      <c r="QEN6" s="2336"/>
      <c r="QEO6" s="2337"/>
      <c r="QEP6" s="2338"/>
      <c r="QEQ6" s="2336"/>
      <c r="QER6" s="2337"/>
      <c r="QES6" s="2338"/>
      <c r="QET6" s="2336"/>
      <c r="QEU6" s="2337"/>
      <c r="QEV6" s="2338"/>
      <c r="QEW6" s="2336"/>
      <c r="QEX6" s="2337"/>
      <c r="QEY6" s="2338"/>
      <c r="QEZ6" s="2336"/>
      <c r="QFA6" s="2337"/>
      <c r="QFB6" s="2338"/>
      <c r="QFC6" s="2336"/>
      <c r="QFD6" s="2337"/>
      <c r="QFE6" s="2338"/>
      <c r="QFF6" s="2336"/>
      <c r="QFG6" s="2337"/>
      <c r="QFH6" s="2338"/>
      <c r="QFI6" s="2336"/>
      <c r="QFJ6" s="2337"/>
      <c r="QFK6" s="2338"/>
      <c r="QFL6" s="2336"/>
      <c r="QFM6" s="2337"/>
      <c r="QFN6" s="2338"/>
      <c r="QFO6" s="2336"/>
      <c r="QFP6" s="2337"/>
      <c r="QFQ6" s="2338"/>
      <c r="QFR6" s="2336"/>
      <c r="QFS6" s="2337"/>
      <c r="QFT6" s="2338"/>
      <c r="QFU6" s="2336"/>
      <c r="QFV6" s="2337"/>
      <c r="QFW6" s="2338"/>
      <c r="QFX6" s="2336"/>
      <c r="QFY6" s="2337"/>
      <c r="QFZ6" s="2338"/>
      <c r="QGA6" s="2336"/>
      <c r="QGB6" s="2337"/>
      <c r="QGC6" s="2338"/>
      <c r="QGD6" s="2336"/>
      <c r="QGE6" s="2337"/>
      <c r="QGF6" s="2338"/>
      <c r="QGG6" s="2336"/>
      <c r="QGH6" s="2337"/>
      <c r="QGI6" s="2338"/>
      <c r="QGJ6" s="2336"/>
      <c r="QGK6" s="2337"/>
      <c r="QGL6" s="2338"/>
      <c r="QGM6" s="2336"/>
      <c r="QGN6" s="2337"/>
      <c r="QGO6" s="2338"/>
      <c r="QGP6" s="2336"/>
      <c r="QGQ6" s="2337"/>
      <c r="QGR6" s="2338"/>
      <c r="QGS6" s="2336"/>
      <c r="QGT6" s="2337"/>
      <c r="QGU6" s="2338"/>
      <c r="QGV6" s="2336"/>
      <c r="QGW6" s="2337"/>
      <c r="QGX6" s="2338"/>
      <c r="QGY6" s="2336"/>
      <c r="QGZ6" s="2337"/>
      <c r="QHA6" s="2338"/>
      <c r="QHB6" s="2336"/>
      <c r="QHC6" s="2337"/>
      <c r="QHD6" s="2338"/>
      <c r="QHE6" s="2336"/>
      <c r="QHF6" s="2337"/>
      <c r="QHG6" s="2338"/>
      <c r="QHH6" s="2336"/>
      <c r="QHI6" s="2337"/>
      <c r="QHJ6" s="2338"/>
      <c r="QHK6" s="2336"/>
      <c r="QHL6" s="2337"/>
      <c r="QHM6" s="2338"/>
      <c r="QHN6" s="2336"/>
      <c r="QHO6" s="2337"/>
      <c r="QHP6" s="2338"/>
      <c r="QHQ6" s="2336"/>
      <c r="QHR6" s="2337"/>
      <c r="QHS6" s="2338"/>
      <c r="QHT6" s="2336"/>
      <c r="QHU6" s="2337"/>
      <c r="QHV6" s="2338"/>
      <c r="QHW6" s="2336"/>
      <c r="QHX6" s="2337"/>
      <c r="QHY6" s="2338"/>
      <c r="QHZ6" s="2336"/>
      <c r="QIA6" s="2337"/>
      <c r="QIB6" s="2338"/>
      <c r="QIC6" s="2336"/>
      <c r="QID6" s="2337"/>
      <c r="QIE6" s="2338"/>
      <c r="QIF6" s="2336"/>
      <c r="QIG6" s="2337"/>
      <c r="QIH6" s="2338"/>
      <c r="QII6" s="2336"/>
      <c r="QIJ6" s="2337"/>
      <c r="QIK6" s="2338"/>
      <c r="QIL6" s="2336"/>
      <c r="QIM6" s="2337"/>
      <c r="QIN6" s="2338"/>
      <c r="QIO6" s="2336"/>
      <c r="QIP6" s="2337"/>
      <c r="QIQ6" s="2338"/>
      <c r="QIR6" s="2336"/>
      <c r="QIS6" s="2337"/>
      <c r="QIT6" s="2338"/>
      <c r="QIU6" s="2336"/>
      <c r="QIV6" s="2337"/>
      <c r="QIW6" s="2338"/>
      <c r="QIX6" s="2336"/>
      <c r="QIY6" s="2337"/>
      <c r="QIZ6" s="2338"/>
      <c r="QJA6" s="2336"/>
      <c r="QJB6" s="2337"/>
      <c r="QJC6" s="2338"/>
      <c r="QJD6" s="2336"/>
      <c r="QJE6" s="2337"/>
      <c r="QJF6" s="2338"/>
      <c r="QJG6" s="2336"/>
      <c r="QJH6" s="2337"/>
      <c r="QJI6" s="2338"/>
      <c r="QJJ6" s="2336"/>
      <c r="QJK6" s="2337"/>
      <c r="QJL6" s="2338"/>
      <c r="QJM6" s="2336"/>
      <c r="QJN6" s="2337"/>
      <c r="QJO6" s="2338"/>
      <c r="QJP6" s="2336"/>
      <c r="QJQ6" s="2337"/>
      <c r="QJR6" s="2338"/>
      <c r="QJS6" s="2336"/>
      <c r="QJT6" s="2337"/>
      <c r="QJU6" s="2338"/>
      <c r="QJV6" s="2336"/>
      <c r="QJW6" s="2337"/>
      <c r="QJX6" s="2338"/>
      <c r="QJY6" s="2336"/>
      <c r="QJZ6" s="2337"/>
      <c r="QKA6" s="2338"/>
      <c r="QKB6" s="2336"/>
      <c r="QKC6" s="2337"/>
      <c r="QKD6" s="2338"/>
      <c r="QKE6" s="2336"/>
      <c r="QKF6" s="2337"/>
      <c r="QKG6" s="2338"/>
      <c r="QKH6" s="2336"/>
      <c r="QKI6" s="2337"/>
      <c r="QKJ6" s="2338"/>
      <c r="QKK6" s="2336"/>
      <c r="QKL6" s="2337"/>
      <c r="QKM6" s="2338"/>
      <c r="QKN6" s="2336"/>
      <c r="QKO6" s="2337"/>
      <c r="QKP6" s="2338"/>
      <c r="QKQ6" s="2336"/>
      <c r="QKR6" s="2337"/>
      <c r="QKS6" s="2338"/>
      <c r="QKT6" s="2336"/>
      <c r="QKU6" s="2337"/>
      <c r="QKV6" s="2338"/>
      <c r="QKW6" s="2336"/>
      <c r="QKX6" s="2337"/>
      <c r="QKY6" s="2338"/>
      <c r="QKZ6" s="2336"/>
      <c r="QLA6" s="2337"/>
      <c r="QLB6" s="2338"/>
      <c r="QLC6" s="2336"/>
      <c r="QLD6" s="2337"/>
      <c r="QLE6" s="2338"/>
      <c r="QLF6" s="2336"/>
      <c r="QLG6" s="2337"/>
      <c r="QLH6" s="2338"/>
      <c r="QLI6" s="2336"/>
      <c r="QLJ6" s="2337"/>
      <c r="QLK6" s="2338"/>
      <c r="QLL6" s="2336"/>
      <c r="QLM6" s="2337"/>
      <c r="QLN6" s="2338"/>
      <c r="QLO6" s="2336"/>
      <c r="QLP6" s="2337"/>
      <c r="QLQ6" s="2338"/>
      <c r="QLR6" s="2336"/>
      <c r="QLS6" s="2337"/>
      <c r="QLT6" s="2338"/>
      <c r="QLU6" s="2336"/>
      <c r="QLV6" s="2337"/>
      <c r="QLW6" s="2338"/>
      <c r="QLX6" s="2336"/>
      <c r="QLY6" s="2337"/>
      <c r="QLZ6" s="2338"/>
      <c r="QMA6" s="2336"/>
      <c r="QMB6" s="2337"/>
      <c r="QMC6" s="2338"/>
      <c r="QMD6" s="2336"/>
      <c r="QME6" s="2337"/>
      <c r="QMF6" s="2338"/>
      <c r="QMG6" s="2336"/>
      <c r="QMH6" s="2337"/>
      <c r="QMI6" s="2338"/>
      <c r="QMJ6" s="2336"/>
      <c r="QMK6" s="2337"/>
      <c r="QML6" s="2338"/>
      <c r="QMM6" s="2336"/>
      <c r="QMN6" s="2337"/>
      <c r="QMO6" s="2338"/>
      <c r="QMP6" s="2336"/>
      <c r="QMQ6" s="2337"/>
      <c r="QMR6" s="2338"/>
      <c r="QMS6" s="2336"/>
      <c r="QMT6" s="2337"/>
      <c r="QMU6" s="2338"/>
      <c r="QMV6" s="2336"/>
      <c r="QMW6" s="2337"/>
      <c r="QMX6" s="2338"/>
      <c r="QMY6" s="2336"/>
      <c r="QMZ6" s="2337"/>
      <c r="QNA6" s="2338"/>
      <c r="QNB6" s="2336"/>
      <c r="QNC6" s="2337"/>
      <c r="QND6" s="2338"/>
      <c r="QNE6" s="2336"/>
      <c r="QNF6" s="2337"/>
      <c r="QNG6" s="2338"/>
      <c r="QNH6" s="2336"/>
      <c r="QNI6" s="2337"/>
      <c r="QNJ6" s="2338"/>
      <c r="QNK6" s="2336"/>
      <c r="QNL6" s="2337"/>
      <c r="QNM6" s="2338"/>
      <c r="QNN6" s="2336"/>
      <c r="QNO6" s="2337"/>
      <c r="QNP6" s="2338"/>
      <c r="QNQ6" s="2336"/>
      <c r="QNR6" s="2337"/>
      <c r="QNS6" s="2338"/>
      <c r="QNT6" s="2336"/>
      <c r="QNU6" s="2337"/>
      <c r="QNV6" s="2338"/>
      <c r="QNW6" s="2336"/>
      <c r="QNX6" s="2337"/>
      <c r="QNY6" s="2338"/>
      <c r="QNZ6" s="2336"/>
      <c r="QOA6" s="2337"/>
      <c r="QOB6" s="2338"/>
      <c r="QOC6" s="2336"/>
      <c r="QOD6" s="2337"/>
      <c r="QOE6" s="2338"/>
      <c r="QOF6" s="2336"/>
      <c r="QOG6" s="2337"/>
      <c r="QOH6" s="2338"/>
      <c r="QOI6" s="2336"/>
      <c r="QOJ6" s="2337"/>
      <c r="QOK6" s="2338"/>
      <c r="QOL6" s="2336"/>
      <c r="QOM6" s="2337"/>
      <c r="QON6" s="2338"/>
      <c r="QOO6" s="2336"/>
      <c r="QOP6" s="2337"/>
      <c r="QOQ6" s="2338"/>
      <c r="QOR6" s="2336"/>
      <c r="QOS6" s="2337"/>
      <c r="QOT6" s="2338"/>
      <c r="QOU6" s="2336"/>
      <c r="QOV6" s="2337"/>
      <c r="QOW6" s="2338"/>
      <c r="QOX6" s="2336"/>
      <c r="QOY6" s="2337"/>
      <c r="QOZ6" s="2338"/>
      <c r="QPA6" s="2336"/>
      <c r="QPB6" s="2337"/>
      <c r="QPC6" s="2338"/>
      <c r="QPD6" s="2336"/>
      <c r="QPE6" s="2337"/>
      <c r="QPF6" s="2338"/>
      <c r="QPG6" s="2336"/>
      <c r="QPH6" s="2337"/>
      <c r="QPI6" s="2338"/>
      <c r="QPJ6" s="2336"/>
      <c r="QPK6" s="2337"/>
      <c r="QPL6" s="2338"/>
      <c r="QPM6" s="2336"/>
      <c r="QPN6" s="2337"/>
      <c r="QPO6" s="2338"/>
      <c r="QPP6" s="2336"/>
      <c r="QPQ6" s="2337"/>
      <c r="QPR6" s="2338"/>
      <c r="QPS6" s="2336"/>
      <c r="QPT6" s="2337"/>
      <c r="QPU6" s="2338"/>
      <c r="QPV6" s="2336"/>
      <c r="QPW6" s="2337"/>
      <c r="QPX6" s="2338"/>
      <c r="QPY6" s="2336"/>
      <c r="QPZ6" s="2337"/>
      <c r="QQA6" s="2338"/>
      <c r="QQB6" s="2336"/>
      <c r="QQC6" s="2337"/>
      <c r="QQD6" s="2338"/>
      <c r="QQE6" s="2336"/>
      <c r="QQF6" s="2337"/>
      <c r="QQG6" s="2338"/>
      <c r="QQH6" s="2336"/>
      <c r="QQI6" s="2337"/>
      <c r="QQJ6" s="2338"/>
      <c r="QQK6" s="2336"/>
      <c r="QQL6" s="2337"/>
      <c r="QQM6" s="2338"/>
      <c r="QQN6" s="2336"/>
      <c r="QQO6" s="2337"/>
      <c r="QQP6" s="2338"/>
      <c r="QQQ6" s="2336"/>
      <c r="QQR6" s="2337"/>
      <c r="QQS6" s="2338"/>
      <c r="QQT6" s="2336"/>
      <c r="QQU6" s="2337"/>
      <c r="QQV6" s="2338"/>
      <c r="QQW6" s="2336"/>
      <c r="QQX6" s="2337"/>
      <c r="QQY6" s="2338"/>
      <c r="QQZ6" s="2336"/>
      <c r="QRA6" s="2337"/>
      <c r="QRB6" s="2338"/>
      <c r="QRC6" s="2336"/>
      <c r="QRD6" s="2337"/>
      <c r="QRE6" s="2338"/>
      <c r="QRF6" s="2336"/>
      <c r="QRG6" s="2337"/>
      <c r="QRH6" s="2338"/>
      <c r="QRI6" s="2336"/>
      <c r="QRJ6" s="2337"/>
      <c r="QRK6" s="2338"/>
      <c r="QRL6" s="2336"/>
      <c r="QRM6" s="2337"/>
      <c r="QRN6" s="2338"/>
      <c r="QRO6" s="2336"/>
      <c r="QRP6" s="2337"/>
      <c r="QRQ6" s="2338"/>
      <c r="QRR6" s="2336"/>
      <c r="QRS6" s="2337"/>
      <c r="QRT6" s="2338"/>
      <c r="QRU6" s="2336"/>
      <c r="QRV6" s="2337"/>
      <c r="QRW6" s="2338"/>
      <c r="QRX6" s="2336"/>
      <c r="QRY6" s="2337"/>
      <c r="QRZ6" s="2338"/>
      <c r="QSA6" s="2336"/>
      <c r="QSB6" s="2337"/>
      <c r="QSC6" s="2338"/>
      <c r="QSD6" s="2336"/>
      <c r="QSE6" s="2337"/>
      <c r="QSF6" s="2338"/>
      <c r="QSG6" s="2336"/>
      <c r="QSH6" s="2337"/>
      <c r="QSI6" s="2338"/>
      <c r="QSJ6" s="2336"/>
      <c r="QSK6" s="2337"/>
      <c r="QSL6" s="2338"/>
      <c r="QSM6" s="2336"/>
      <c r="QSN6" s="2337"/>
      <c r="QSO6" s="2338"/>
      <c r="QSP6" s="2336"/>
      <c r="QSQ6" s="2337"/>
      <c r="QSR6" s="2338"/>
      <c r="QSS6" s="2336"/>
      <c r="QST6" s="2337"/>
      <c r="QSU6" s="2338"/>
      <c r="QSV6" s="2336"/>
      <c r="QSW6" s="2337"/>
      <c r="QSX6" s="2338"/>
      <c r="QSY6" s="2336"/>
      <c r="QSZ6" s="2337"/>
      <c r="QTA6" s="2338"/>
      <c r="QTB6" s="2336"/>
      <c r="QTC6" s="2337"/>
      <c r="QTD6" s="2338"/>
      <c r="QTE6" s="2336"/>
      <c r="QTF6" s="2337"/>
      <c r="QTG6" s="2338"/>
      <c r="QTH6" s="2336"/>
      <c r="QTI6" s="2337"/>
      <c r="QTJ6" s="2338"/>
      <c r="QTK6" s="2336"/>
      <c r="QTL6" s="2337"/>
      <c r="QTM6" s="2338"/>
      <c r="QTN6" s="2336"/>
      <c r="QTO6" s="2337"/>
      <c r="QTP6" s="2338"/>
      <c r="QTQ6" s="2336"/>
      <c r="QTR6" s="2337"/>
      <c r="QTS6" s="2338"/>
      <c r="QTT6" s="2336"/>
      <c r="QTU6" s="2337"/>
      <c r="QTV6" s="2338"/>
      <c r="QTW6" s="2336"/>
      <c r="QTX6" s="2337"/>
      <c r="QTY6" s="2338"/>
      <c r="QTZ6" s="2336"/>
      <c r="QUA6" s="2337"/>
      <c r="QUB6" s="2338"/>
      <c r="QUC6" s="2336"/>
      <c r="QUD6" s="2337"/>
      <c r="QUE6" s="2338"/>
      <c r="QUF6" s="2336"/>
      <c r="QUG6" s="2337"/>
      <c r="QUH6" s="2338"/>
      <c r="QUI6" s="2336"/>
      <c r="QUJ6" s="2337"/>
      <c r="QUK6" s="2338"/>
      <c r="QUL6" s="2336"/>
      <c r="QUM6" s="2337"/>
      <c r="QUN6" s="2338"/>
      <c r="QUO6" s="2336"/>
      <c r="QUP6" s="2337"/>
      <c r="QUQ6" s="2338"/>
      <c r="QUR6" s="2336"/>
      <c r="QUS6" s="2337"/>
      <c r="QUT6" s="2338"/>
      <c r="QUU6" s="2336"/>
      <c r="QUV6" s="2337"/>
      <c r="QUW6" s="2338"/>
      <c r="QUX6" s="2336"/>
      <c r="QUY6" s="2337"/>
      <c r="QUZ6" s="2338"/>
      <c r="QVA6" s="2336"/>
      <c r="QVB6" s="2337"/>
      <c r="QVC6" s="2338"/>
      <c r="QVD6" s="2336"/>
      <c r="QVE6" s="2337"/>
      <c r="QVF6" s="2338"/>
      <c r="QVG6" s="2336"/>
      <c r="QVH6" s="2337"/>
      <c r="QVI6" s="2338"/>
      <c r="QVJ6" s="2336"/>
      <c r="QVK6" s="2337"/>
      <c r="QVL6" s="2338"/>
      <c r="QVM6" s="2336"/>
      <c r="QVN6" s="2337"/>
      <c r="QVO6" s="2338"/>
      <c r="QVP6" s="2336"/>
      <c r="QVQ6" s="2337"/>
      <c r="QVR6" s="2338"/>
      <c r="QVS6" s="2336"/>
      <c r="QVT6" s="2337"/>
      <c r="QVU6" s="2338"/>
      <c r="QVV6" s="2336"/>
      <c r="QVW6" s="2337"/>
      <c r="QVX6" s="2338"/>
      <c r="QVY6" s="2336"/>
      <c r="QVZ6" s="2337"/>
      <c r="QWA6" s="2338"/>
      <c r="QWB6" s="2336"/>
      <c r="QWC6" s="2337"/>
      <c r="QWD6" s="2338"/>
      <c r="QWE6" s="2336"/>
      <c r="QWF6" s="2337"/>
      <c r="QWG6" s="2338"/>
      <c r="QWH6" s="2336"/>
      <c r="QWI6" s="2337"/>
      <c r="QWJ6" s="2338"/>
      <c r="QWK6" s="2336"/>
      <c r="QWL6" s="2337"/>
      <c r="QWM6" s="2338"/>
      <c r="QWN6" s="2336"/>
      <c r="QWO6" s="2337"/>
      <c r="QWP6" s="2338"/>
      <c r="QWQ6" s="2336"/>
      <c r="QWR6" s="2337"/>
      <c r="QWS6" s="2338"/>
      <c r="QWT6" s="2336"/>
      <c r="QWU6" s="2337"/>
      <c r="QWV6" s="2338"/>
      <c r="QWW6" s="2336"/>
      <c r="QWX6" s="2337"/>
      <c r="QWY6" s="2338"/>
      <c r="QWZ6" s="2336"/>
      <c r="QXA6" s="2337"/>
      <c r="QXB6" s="2338"/>
      <c r="QXC6" s="2336"/>
      <c r="QXD6" s="2337"/>
      <c r="QXE6" s="2338"/>
      <c r="QXF6" s="2336"/>
      <c r="QXG6" s="2337"/>
      <c r="QXH6" s="2338"/>
      <c r="QXI6" s="2336"/>
      <c r="QXJ6" s="2337"/>
      <c r="QXK6" s="2338"/>
      <c r="QXL6" s="2336"/>
      <c r="QXM6" s="2337"/>
      <c r="QXN6" s="2338"/>
      <c r="QXO6" s="2336"/>
      <c r="QXP6" s="2337"/>
      <c r="QXQ6" s="2338"/>
      <c r="QXR6" s="2336"/>
      <c r="QXS6" s="2337"/>
      <c r="QXT6" s="2338"/>
      <c r="QXU6" s="2336"/>
      <c r="QXV6" s="2337"/>
      <c r="QXW6" s="2338"/>
      <c r="QXX6" s="2336"/>
      <c r="QXY6" s="2337"/>
      <c r="QXZ6" s="2338"/>
      <c r="QYA6" s="2336"/>
      <c r="QYB6" s="2337"/>
      <c r="QYC6" s="2338"/>
      <c r="QYD6" s="2336"/>
      <c r="QYE6" s="2337"/>
      <c r="QYF6" s="2338"/>
      <c r="QYG6" s="2336"/>
      <c r="QYH6" s="2337"/>
      <c r="QYI6" s="2338"/>
      <c r="QYJ6" s="2336"/>
      <c r="QYK6" s="2337"/>
      <c r="QYL6" s="2338"/>
      <c r="QYM6" s="2336"/>
      <c r="QYN6" s="2337"/>
      <c r="QYO6" s="2338"/>
      <c r="QYP6" s="2336"/>
      <c r="QYQ6" s="2337"/>
      <c r="QYR6" s="2338"/>
      <c r="QYS6" s="2336"/>
      <c r="QYT6" s="2337"/>
      <c r="QYU6" s="2338"/>
      <c r="QYV6" s="2336"/>
      <c r="QYW6" s="2337"/>
      <c r="QYX6" s="2338"/>
      <c r="QYY6" s="2336"/>
      <c r="QYZ6" s="2337"/>
      <c r="QZA6" s="2338"/>
      <c r="QZB6" s="2336"/>
      <c r="QZC6" s="2337"/>
      <c r="QZD6" s="2338"/>
      <c r="QZE6" s="2336"/>
      <c r="QZF6" s="2337"/>
      <c r="QZG6" s="2338"/>
      <c r="QZH6" s="2336"/>
      <c r="QZI6" s="2337"/>
      <c r="QZJ6" s="2338"/>
      <c r="QZK6" s="2336"/>
      <c r="QZL6" s="2337"/>
      <c r="QZM6" s="2338"/>
      <c r="QZN6" s="2336"/>
      <c r="QZO6" s="2337"/>
      <c r="QZP6" s="2338"/>
      <c r="QZQ6" s="2336"/>
      <c r="QZR6" s="2337"/>
      <c r="QZS6" s="2338"/>
      <c r="QZT6" s="2336"/>
      <c r="QZU6" s="2337"/>
      <c r="QZV6" s="2338"/>
      <c r="QZW6" s="2336"/>
      <c r="QZX6" s="2337"/>
      <c r="QZY6" s="2338"/>
      <c r="QZZ6" s="2336"/>
      <c r="RAA6" s="2337"/>
      <c r="RAB6" s="2338"/>
      <c r="RAC6" s="2336"/>
      <c r="RAD6" s="2337"/>
      <c r="RAE6" s="2338"/>
      <c r="RAF6" s="2336"/>
      <c r="RAG6" s="2337"/>
      <c r="RAH6" s="2338"/>
      <c r="RAI6" s="2336"/>
      <c r="RAJ6" s="2337"/>
      <c r="RAK6" s="2338"/>
      <c r="RAL6" s="2336"/>
      <c r="RAM6" s="2337"/>
      <c r="RAN6" s="2338"/>
      <c r="RAO6" s="2336"/>
      <c r="RAP6" s="2337"/>
      <c r="RAQ6" s="2338"/>
      <c r="RAR6" s="2336"/>
      <c r="RAS6" s="2337"/>
      <c r="RAT6" s="2338"/>
      <c r="RAU6" s="2336"/>
      <c r="RAV6" s="2337"/>
      <c r="RAW6" s="2338"/>
      <c r="RAX6" s="2336"/>
      <c r="RAY6" s="2337"/>
      <c r="RAZ6" s="2338"/>
      <c r="RBA6" s="2336"/>
      <c r="RBB6" s="2337"/>
      <c r="RBC6" s="2338"/>
      <c r="RBD6" s="2336"/>
      <c r="RBE6" s="2337"/>
      <c r="RBF6" s="2338"/>
      <c r="RBG6" s="2336"/>
      <c r="RBH6" s="2337"/>
      <c r="RBI6" s="2338"/>
      <c r="RBJ6" s="2336"/>
      <c r="RBK6" s="2337"/>
      <c r="RBL6" s="2338"/>
      <c r="RBM6" s="2336"/>
      <c r="RBN6" s="2337"/>
      <c r="RBO6" s="2338"/>
      <c r="RBP6" s="2336"/>
      <c r="RBQ6" s="2337"/>
      <c r="RBR6" s="2338"/>
      <c r="RBS6" s="2336"/>
      <c r="RBT6" s="2337"/>
      <c r="RBU6" s="2338"/>
      <c r="RBV6" s="2336"/>
      <c r="RBW6" s="2337"/>
      <c r="RBX6" s="2338"/>
      <c r="RBY6" s="2336"/>
      <c r="RBZ6" s="2337"/>
      <c r="RCA6" s="2338"/>
      <c r="RCB6" s="2336"/>
      <c r="RCC6" s="2337"/>
      <c r="RCD6" s="2338"/>
      <c r="RCE6" s="2336"/>
      <c r="RCF6" s="2337"/>
      <c r="RCG6" s="2338"/>
      <c r="RCH6" s="2336"/>
      <c r="RCI6" s="2337"/>
      <c r="RCJ6" s="2338"/>
      <c r="RCK6" s="2336"/>
      <c r="RCL6" s="2337"/>
      <c r="RCM6" s="2338"/>
      <c r="RCN6" s="2336"/>
      <c r="RCO6" s="2337"/>
      <c r="RCP6" s="2338"/>
      <c r="RCQ6" s="2336"/>
      <c r="RCR6" s="2337"/>
      <c r="RCS6" s="2338"/>
      <c r="RCT6" s="2336"/>
      <c r="RCU6" s="2337"/>
      <c r="RCV6" s="2338"/>
      <c r="RCW6" s="2336"/>
      <c r="RCX6" s="2337"/>
      <c r="RCY6" s="2338"/>
      <c r="RCZ6" s="2336"/>
      <c r="RDA6" s="2337"/>
      <c r="RDB6" s="2338"/>
      <c r="RDC6" s="2336"/>
      <c r="RDD6" s="2337"/>
      <c r="RDE6" s="2338"/>
      <c r="RDF6" s="2336"/>
      <c r="RDG6" s="2337"/>
      <c r="RDH6" s="2338"/>
      <c r="RDI6" s="2336"/>
      <c r="RDJ6" s="2337"/>
      <c r="RDK6" s="2338"/>
      <c r="RDL6" s="2336"/>
      <c r="RDM6" s="2337"/>
      <c r="RDN6" s="2338"/>
      <c r="RDO6" s="2336"/>
      <c r="RDP6" s="2337"/>
      <c r="RDQ6" s="2338"/>
      <c r="RDR6" s="2336"/>
      <c r="RDS6" s="2337"/>
      <c r="RDT6" s="2338"/>
      <c r="RDU6" s="2336"/>
      <c r="RDV6" s="2337"/>
      <c r="RDW6" s="2338"/>
      <c r="RDX6" s="2336"/>
      <c r="RDY6" s="2337"/>
      <c r="RDZ6" s="2338"/>
      <c r="REA6" s="2336"/>
      <c r="REB6" s="2337"/>
      <c r="REC6" s="2338"/>
      <c r="RED6" s="2336"/>
      <c r="REE6" s="2337"/>
      <c r="REF6" s="2338"/>
      <c r="REG6" s="2336"/>
      <c r="REH6" s="2337"/>
      <c r="REI6" s="2338"/>
      <c r="REJ6" s="2336"/>
      <c r="REK6" s="2337"/>
      <c r="REL6" s="2338"/>
      <c r="REM6" s="2336"/>
      <c r="REN6" s="2337"/>
      <c r="REO6" s="2338"/>
      <c r="REP6" s="2336"/>
      <c r="REQ6" s="2337"/>
      <c r="RER6" s="2338"/>
      <c r="RES6" s="2336"/>
      <c r="RET6" s="2337"/>
      <c r="REU6" s="2338"/>
      <c r="REV6" s="2336"/>
      <c r="REW6" s="2337"/>
      <c r="REX6" s="2338"/>
      <c r="REY6" s="2336"/>
      <c r="REZ6" s="2337"/>
      <c r="RFA6" s="2338"/>
      <c r="RFB6" s="2336"/>
      <c r="RFC6" s="2337"/>
      <c r="RFD6" s="2338"/>
      <c r="RFE6" s="2336"/>
      <c r="RFF6" s="2337"/>
      <c r="RFG6" s="2338"/>
      <c r="RFH6" s="2336"/>
      <c r="RFI6" s="2337"/>
      <c r="RFJ6" s="2338"/>
      <c r="RFK6" s="2336"/>
      <c r="RFL6" s="2337"/>
      <c r="RFM6" s="2338"/>
      <c r="RFN6" s="2336"/>
      <c r="RFO6" s="2337"/>
      <c r="RFP6" s="2338"/>
      <c r="RFQ6" s="2336"/>
      <c r="RFR6" s="2337"/>
      <c r="RFS6" s="2338"/>
      <c r="RFT6" s="2336"/>
      <c r="RFU6" s="2337"/>
      <c r="RFV6" s="2338"/>
      <c r="RFW6" s="2336"/>
      <c r="RFX6" s="2337"/>
      <c r="RFY6" s="2338"/>
      <c r="RFZ6" s="2336"/>
      <c r="RGA6" s="2337"/>
      <c r="RGB6" s="2338"/>
      <c r="RGC6" s="2336"/>
      <c r="RGD6" s="2337"/>
      <c r="RGE6" s="2338"/>
      <c r="RGF6" s="2336"/>
      <c r="RGG6" s="2337"/>
      <c r="RGH6" s="2338"/>
      <c r="RGI6" s="2336"/>
      <c r="RGJ6" s="2337"/>
      <c r="RGK6" s="2338"/>
      <c r="RGL6" s="2336"/>
      <c r="RGM6" s="2337"/>
      <c r="RGN6" s="2338"/>
      <c r="RGO6" s="2336"/>
      <c r="RGP6" s="2337"/>
      <c r="RGQ6" s="2338"/>
      <c r="RGR6" s="2336"/>
      <c r="RGS6" s="2337"/>
      <c r="RGT6" s="2338"/>
      <c r="RGU6" s="2336"/>
      <c r="RGV6" s="2337"/>
      <c r="RGW6" s="2338"/>
      <c r="RGX6" s="2336"/>
      <c r="RGY6" s="2337"/>
      <c r="RGZ6" s="2338"/>
      <c r="RHA6" s="2336"/>
      <c r="RHB6" s="2337"/>
      <c r="RHC6" s="2338"/>
      <c r="RHD6" s="2336"/>
      <c r="RHE6" s="2337"/>
      <c r="RHF6" s="2338"/>
      <c r="RHG6" s="2336"/>
      <c r="RHH6" s="2337"/>
      <c r="RHI6" s="2338"/>
      <c r="RHJ6" s="2336"/>
      <c r="RHK6" s="2337"/>
      <c r="RHL6" s="2338"/>
      <c r="RHM6" s="2336"/>
      <c r="RHN6" s="2337"/>
      <c r="RHO6" s="2338"/>
      <c r="RHP6" s="2336"/>
      <c r="RHQ6" s="2337"/>
      <c r="RHR6" s="2338"/>
      <c r="RHS6" s="2336"/>
      <c r="RHT6" s="2337"/>
      <c r="RHU6" s="2338"/>
      <c r="RHV6" s="2336"/>
      <c r="RHW6" s="2337"/>
      <c r="RHX6" s="2338"/>
      <c r="RHY6" s="2336"/>
      <c r="RHZ6" s="2337"/>
      <c r="RIA6" s="2338"/>
      <c r="RIB6" s="2336"/>
      <c r="RIC6" s="2337"/>
      <c r="RID6" s="2338"/>
      <c r="RIE6" s="2336"/>
      <c r="RIF6" s="2337"/>
      <c r="RIG6" s="2338"/>
      <c r="RIH6" s="2336"/>
      <c r="RII6" s="2337"/>
      <c r="RIJ6" s="2338"/>
      <c r="RIK6" s="2336"/>
      <c r="RIL6" s="2337"/>
      <c r="RIM6" s="2338"/>
      <c r="RIN6" s="2336"/>
      <c r="RIO6" s="2337"/>
      <c r="RIP6" s="2338"/>
      <c r="RIQ6" s="2336"/>
      <c r="RIR6" s="2337"/>
      <c r="RIS6" s="2338"/>
      <c r="RIT6" s="2336"/>
      <c r="RIU6" s="2337"/>
      <c r="RIV6" s="2338"/>
      <c r="RIW6" s="2336"/>
      <c r="RIX6" s="2337"/>
      <c r="RIY6" s="2338"/>
      <c r="RIZ6" s="2336"/>
      <c r="RJA6" s="2337"/>
      <c r="RJB6" s="2338"/>
      <c r="RJC6" s="2336"/>
      <c r="RJD6" s="2337"/>
      <c r="RJE6" s="2338"/>
      <c r="RJF6" s="2336"/>
      <c r="RJG6" s="2337"/>
      <c r="RJH6" s="2338"/>
      <c r="RJI6" s="2336"/>
      <c r="RJJ6" s="2337"/>
      <c r="RJK6" s="2338"/>
      <c r="RJL6" s="2336"/>
      <c r="RJM6" s="2337"/>
      <c r="RJN6" s="2338"/>
      <c r="RJO6" s="2336"/>
      <c r="RJP6" s="2337"/>
      <c r="RJQ6" s="2338"/>
      <c r="RJR6" s="2336"/>
      <c r="RJS6" s="2337"/>
      <c r="RJT6" s="2338"/>
      <c r="RJU6" s="2336"/>
      <c r="RJV6" s="2337"/>
      <c r="RJW6" s="2338"/>
      <c r="RJX6" s="2336"/>
      <c r="RJY6" s="2337"/>
      <c r="RJZ6" s="2338"/>
      <c r="RKA6" s="2336"/>
      <c r="RKB6" s="2337"/>
      <c r="RKC6" s="2338"/>
      <c r="RKD6" s="2336"/>
      <c r="RKE6" s="2337"/>
      <c r="RKF6" s="2338"/>
      <c r="RKG6" s="2336"/>
      <c r="RKH6" s="2337"/>
      <c r="RKI6" s="2338"/>
      <c r="RKJ6" s="2336"/>
      <c r="RKK6" s="2337"/>
      <c r="RKL6" s="2338"/>
      <c r="RKM6" s="2336"/>
      <c r="RKN6" s="2337"/>
      <c r="RKO6" s="2338"/>
      <c r="RKP6" s="2336"/>
      <c r="RKQ6" s="2337"/>
      <c r="RKR6" s="2338"/>
      <c r="RKS6" s="2336"/>
      <c r="RKT6" s="2337"/>
      <c r="RKU6" s="2338"/>
      <c r="RKV6" s="2336"/>
      <c r="RKW6" s="2337"/>
      <c r="RKX6" s="2338"/>
      <c r="RKY6" s="2336"/>
      <c r="RKZ6" s="2337"/>
      <c r="RLA6" s="2338"/>
      <c r="RLB6" s="2336"/>
      <c r="RLC6" s="2337"/>
      <c r="RLD6" s="2338"/>
      <c r="RLE6" s="2336"/>
      <c r="RLF6" s="2337"/>
      <c r="RLG6" s="2338"/>
      <c r="RLH6" s="2336"/>
      <c r="RLI6" s="2337"/>
      <c r="RLJ6" s="2338"/>
      <c r="RLK6" s="2336"/>
      <c r="RLL6" s="2337"/>
      <c r="RLM6" s="2338"/>
      <c r="RLN6" s="2336"/>
      <c r="RLO6" s="2337"/>
      <c r="RLP6" s="2338"/>
      <c r="RLQ6" s="2336"/>
      <c r="RLR6" s="2337"/>
      <c r="RLS6" s="2338"/>
      <c r="RLT6" s="2336"/>
      <c r="RLU6" s="2337"/>
      <c r="RLV6" s="2338"/>
      <c r="RLW6" s="2336"/>
      <c r="RLX6" s="2337"/>
      <c r="RLY6" s="2338"/>
      <c r="RLZ6" s="2336"/>
      <c r="RMA6" s="2337"/>
      <c r="RMB6" s="2338"/>
      <c r="RMC6" s="2336"/>
      <c r="RMD6" s="2337"/>
      <c r="RME6" s="2338"/>
      <c r="RMF6" s="2336"/>
      <c r="RMG6" s="2337"/>
      <c r="RMH6" s="2338"/>
      <c r="RMI6" s="2336"/>
      <c r="RMJ6" s="2337"/>
      <c r="RMK6" s="2338"/>
      <c r="RML6" s="2336"/>
      <c r="RMM6" s="2337"/>
      <c r="RMN6" s="2338"/>
      <c r="RMO6" s="2336"/>
      <c r="RMP6" s="2337"/>
      <c r="RMQ6" s="2338"/>
      <c r="RMR6" s="2336"/>
      <c r="RMS6" s="2337"/>
      <c r="RMT6" s="2338"/>
      <c r="RMU6" s="2336"/>
      <c r="RMV6" s="2337"/>
      <c r="RMW6" s="2338"/>
      <c r="RMX6" s="2336"/>
      <c r="RMY6" s="2337"/>
      <c r="RMZ6" s="2338"/>
      <c r="RNA6" s="2336"/>
      <c r="RNB6" s="2337"/>
      <c r="RNC6" s="2338"/>
      <c r="RND6" s="2336"/>
      <c r="RNE6" s="2337"/>
      <c r="RNF6" s="2338"/>
      <c r="RNG6" s="2336"/>
      <c r="RNH6" s="2337"/>
      <c r="RNI6" s="2338"/>
      <c r="RNJ6" s="2336"/>
      <c r="RNK6" s="2337"/>
      <c r="RNL6" s="2338"/>
      <c r="RNM6" s="2336"/>
      <c r="RNN6" s="2337"/>
      <c r="RNO6" s="2338"/>
      <c r="RNP6" s="2336"/>
      <c r="RNQ6" s="2337"/>
      <c r="RNR6" s="2338"/>
      <c r="RNS6" s="2336"/>
      <c r="RNT6" s="2337"/>
      <c r="RNU6" s="2338"/>
      <c r="RNV6" s="2336"/>
      <c r="RNW6" s="2337"/>
      <c r="RNX6" s="2338"/>
      <c r="RNY6" s="2336"/>
      <c r="RNZ6" s="2337"/>
      <c r="ROA6" s="2338"/>
      <c r="ROB6" s="2336"/>
      <c r="ROC6" s="2337"/>
      <c r="ROD6" s="2338"/>
      <c r="ROE6" s="2336"/>
      <c r="ROF6" s="2337"/>
      <c r="ROG6" s="2338"/>
      <c r="ROH6" s="2336"/>
      <c r="ROI6" s="2337"/>
      <c r="ROJ6" s="2338"/>
      <c r="ROK6" s="2336"/>
      <c r="ROL6" s="2337"/>
      <c r="ROM6" s="2338"/>
      <c r="RON6" s="2336"/>
      <c r="ROO6" s="2337"/>
      <c r="ROP6" s="2338"/>
      <c r="ROQ6" s="2336"/>
      <c r="ROR6" s="2337"/>
      <c r="ROS6" s="2338"/>
      <c r="ROT6" s="2336"/>
      <c r="ROU6" s="2337"/>
      <c r="ROV6" s="2338"/>
      <c r="ROW6" s="2336"/>
      <c r="ROX6" s="2337"/>
      <c r="ROY6" s="2338"/>
      <c r="ROZ6" s="2336"/>
      <c r="RPA6" s="2337"/>
      <c r="RPB6" s="2338"/>
      <c r="RPC6" s="2336"/>
      <c r="RPD6" s="2337"/>
      <c r="RPE6" s="2338"/>
      <c r="RPF6" s="2336"/>
      <c r="RPG6" s="2337"/>
      <c r="RPH6" s="2338"/>
      <c r="RPI6" s="2336"/>
      <c r="RPJ6" s="2337"/>
      <c r="RPK6" s="2338"/>
      <c r="RPL6" s="2336"/>
      <c r="RPM6" s="2337"/>
      <c r="RPN6" s="2338"/>
      <c r="RPO6" s="2336"/>
      <c r="RPP6" s="2337"/>
      <c r="RPQ6" s="2338"/>
      <c r="RPR6" s="2336"/>
      <c r="RPS6" s="2337"/>
      <c r="RPT6" s="2338"/>
      <c r="RPU6" s="2336"/>
      <c r="RPV6" s="2337"/>
      <c r="RPW6" s="2338"/>
      <c r="RPX6" s="2336"/>
      <c r="RPY6" s="2337"/>
      <c r="RPZ6" s="2338"/>
      <c r="RQA6" s="2336"/>
      <c r="RQB6" s="2337"/>
      <c r="RQC6" s="2338"/>
      <c r="RQD6" s="2336"/>
      <c r="RQE6" s="2337"/>
      <c r="RQF6" s="2338"/>
      <c r="RQG6" s="2336"/>
      <c r="RQH6" s="2337"/>
      <c r="RQI6" s="2338"/>
      <c r="RQJ6" s="2336"/>
      <c r="RQK6" s="2337"/>
      <c r="RQL6" s="2338"/>
      <c r="RQM6" s="2336"/>
      <c r="RQN6" s="2337"/>
      <c r="RQO6" s="2338"/>
      <c r="RQP6" s="2336"/>
      <c r="RQQ6" s="2337"/>
      <c r="RQR6" s="2338"/>
      <c r="RQS6" s="2336"/>
      <c r="RQT6" s="2337"/>
      <c r="RQU6" s="2338"/>
      <c r="RQV6" s="2336"/>
      <c r="RQW6" s="2337"/>
      <c r="RQX6" s="2338"/>
      <c r="RQY6" s="2336"/>
      <c r="RQZ6" s="2337"/>
      <c r="RRA6" s="2338"/>
      <c r="RRB6" s="2336"/>
      <c r="RRC6" s="2337"/>
      <c r="RRD6" s="2338"/>
      <c r="RRE6" s="2336"/>
      <c r="RRF6" s="2337"/>
      <c r="RRG6" s="2338"/>
      <c r="RRH6" s="2336"/>
      <c r="RRI6" s="2337"/>
      <c r="RRJ6" s="2338"/>
      <c r="RRK6" s="2336"/>
      <c r="RRL6" s="2337"/>
      <c r="RRM6" s="2338"/>
      <c r="RRN6" s="2336"/>
      <c r="RRO6" s="2337"/>
      <c r="RRP6" s="2338"/>
      <c r="RRQ6" s="2336"/>
      <c r="RRR6" s="2337"/>
      <c r="RRS6" s="2338"/>
      <c r="RRT6" s="2336"/>
      <c r="RRU6" s="2337"/>
      <c r="RRV6" s="2338"/>
      <c r="RRW6" s="2336"/>
      <c r="RRX6" s="2337"/>
      <c r="RRY6" s="2338"/>
      <c r="RRZ6" s="2336"/>
      <c r="RSA6" s="2337"/>
      <c r="RSB6" s="2338"/>
      <c r="RSC6" s="2336"/>
      <c r="RSD6" s="2337"/>
      <c r="RSE6" s="2338"/>
      <c r="RSF6" s="2336"/>
      <c r="RSG6" s="2337"/>
      <c r="RSH6" s="2338"/>
      <c r="RSI6" s="2336"/>
      <c r="RSJ6" s="2337"/>
      <c r="RSK6" s="2338"/>
      <c r="RSL6" s="2336"/>
      <c r="RSM6" s="2337"/>
      <c r="RSN6" s="2338"/>
      <c r="RSO6" s="2336"/>
      <c r="RSP6" s="2337"/>
      <c r="RSQ6" s="2338"/>
      <c r="RSR6" s="2336"/>
      <c r="RSS6" s="2337"/>
      <c r="RST6" s="2338"/>
      <c r="RSU6" s="2336"/>
      <c r="RSV6" s="2337"/>
      <c r="RSW6" s="2338"/>
      <c r="RSX6" s="2336"/>
      <c r="RSY6" s="2337"/>
      <c r="RSZ6" s="2338"/>
      <c r="RTA6" s="2336"/>
      <c r="RTB6" s="2337"/>
      <c r="RTC6" s="2338"/>
      <c r="RTD6" s="2336"/>
      <c r="RTE6" s="2337"/>
      <c r="RTF6" s="2338"/>
      <c r="RTG6" s="2336"/>
      <c r="RTH6" s="2337"/>
      <c r="RTI6" s="2338"/>
      <c r="RTJ6" s="2336"/>
      <c r="RTK6" s="2337"/>
      <c r="RTL6" s="2338"/>
      <c r="RTM6" s="2336"/>
      <c r="RTN6" s="2337"/>
      <c r="RTO6" s="2338"/>
      <c r="RTP6" s="2336"/>
      <c r="RTQ6" s="2337"/>
      <c r="RTR6" s="2338"/>
      <c r="RTS6" s="2336"/>
      <c r="RTT6" s="2337"/>
      <c r="RTU6" s="2338"/>
      <c r="RTV6" s="2336"/>
      <c r="RTW6" s="2337"/>
      <c r="RTX6" s="2338"/>
      <c r="RTY6" s="2336"/>
      <c r="RTZ6" s="2337"/>
      <c r="RUA6" s="2338"/>
      <c r="RUB6" s="2336"/>
      <c r="RUC6" s="2337"/>
      <c r="RUD6" s="2338"/>
      <c r="RUE6" s="2336"/>
      <c r="RUF6" s="2337"/>
      <c r="RUG6" s="2338"/>
      <c r="RUH6" s="2336"/>
      <c r="RUI6" s="2337"/>
      <c r="RUJ6" s="2338"/>
      <c r="RUK6" s="2336"/>
      <c r="RUL6" s="2337"/>
      <c r="RUM6" s="2338"/>
      <c r="RUN6" s="2336"/>
      <c r="RUO6" s="2337"/>
      <c r="RUP6" s="2338"/>
      <c r="RUQ6" s="2336"/>
      <c r="RUR6" s="2337"/>
      <c r="RUS6" s="2338"/>
      <c r="RUT6" s="2336"/>
      <c r="RUU6" s="2337"/>
      <c r="RUV6" s="2338"/>
      <c r="RUW6" s="2336"/>
      <c r="RUX6" s="2337"/>
      <c r="RUY6" s="2338"/>
      <c r="RUZ6" s="2336"/>
      <c r="RVA6" s="2337"/>
      <c r="RVB6" s="2338"/>
      <c r="RVC6" s="2336"/>
      <c r="RVD6" s="2337"/>
      <c r="RVE6" s="2338"/>
      <c r="RVF6" s="2336"/>
      <c r="RVG6" s="2337"/>
      <c r="RVH6" s="2338"/>
      <c r="RVI6" s="2336"/>
      <c r="RVJ6" s="2337"/>
      <c r="RVK6" s="2338"/>
      <c r="RVL6" s="2336"/>
      <c r="RVM6" s="2337"/>
      <c r="RVN6" s="2338"/>
      <c r="RVO6" s="2336"/>
      <c r="RVP6" s="2337"/>
      <c r="RVQ6" s="2338"/>
      <c r="RVR6" s="2336"/>
      <c r="RVS6" s="2337"/>
      <c r="RVT6" s="2338"/>
      <c r="RVU6" s="2336"/>
      <c r="RVV6" s="2337"/>
      <c r="RVW6" s="2338"/>
      <c r="RVX6" s="2336"/>
      <c r="RVY6" s="2337"/>
      <c r="RVZ6" s="2338"/>
      <c r="RWA6" s="2336"/>
      <c r="RWB6" s="2337"/>
      <c r="RWC6" s="2338"/>
      <c r="RWD6" s="2336"/>
      <c r="RWE6" s="2337"/>
      <c r="RWF6" s="2338"/>
      <c r="RWG6" s="2336"/>
      <c r="RWH6" s="2337"/>
      <c r="RWI6" s="2338"/>
      <c r="RWJ6" s="2336"/>
      <c r="RWK6" s="2337"/>
      <c r="RWL6" s="2338"/>
      <c r="RWM6" s="2336"/>
      <c r="RWN6" s="2337"/>
      <c r="RWO6" s="2338"/>
      <c r="RWP6" s="2336"/>
      <c r="RWQ6" s="2337"/>
      <c r="RWR6" s="2338"/>
      <c r="RWS6" s="2336"/>
      <c r="RWT6" s="2337"/>
      <c r="RWU6" s="2338"/>
      <c r="RWV6" s="2336"/>
      <c r="RWW6" s="2337"/>
      <c r="RWX6" s="2338"/>
      <c r="RWY6" s="2336"/>
      <c r="RWZ6" s="2337"/>
      <c r="RXA6" s="2338"/>
      <c r="RXB6" s="2336"/>
      <c r="RXC6" s="2337"/>
      <c r="RXD6" s="2338"/>
      <c r="RXE6" s="2336"/>
      <c r="RXF6" s="2337"/>
      <c r="RXG6" s="2338"/>
      <c r="RXH6" s="2336"/>
      <c r="RXI6" s="2337"/>
      <c r="RXJ6" s="2338"/>
      <c r="RXK6" s="2336"/>
      <c r="RXL6" s="2337"/>
      <c r="RXM6" s="2338"/>
      <c r="RXN6" s="2336"/>
      <c r="RXO6" s="2337"/>
      <c r="RXP6" s="2338"/>
      <c r="RXQ6" s="2336"/>
      <c r="RXR6" s="2337"/>
      <c r="RXS6" s="2338"/>
      <c r="RXT6" s="2336"/>
      <c r="RXU6" s="2337"/>
      <c r="RXV6" s="2338"/>
      <c r="RXW6" s="2336"/>
      <c r="RXX6" s="2337"/>
      <c r="RXY6" s="2338"/>
      <c r="RXZ6" s="2336"/>
      <c r="RYA6" s="2337"/>
      <c r="RYB6" s="2338"/>
      <c r="RYC6" s="2336"/>
      <c r="RYD6" s="2337"/>
      <c r="RYE6" s="2338"/>
      <c r="RYF6" s="2336"/>
      <c r="RYG6" s="2337"/>
      <c r="RYH6" s="2338"/>
      <c r="RYI6" s="2336"/>
      <c r="RYJ6" s="2337"/>
      <c r="RYK6" s="2338"/>
      <c r="RYL6" s="2336"/>
      <c r="RYM6" s="2337"/>
      <c r="RYN6" s="2338"/>
      <c r="RYO6" s="2336"/>
      <c r="RYP6" s="2337"/>
      <c r="RYQ6" s="2338"/>
      <c r="RYR6" s="2336"/>
      <c r="RYS6" s="2337"/>
      <c r="RYT6" s="2338"/>
      <c r="RYU6" s="2336"/>
      <c r="RYV6" s="2337"/>
      <c r="RYW6" s="2338"/>
      <c r="RYX6" s="2336"/>
      <c r="RYY6" s="2337"/>
      <c r="RYZ6" s="2338"/>
      <c r="RZA6" s="2336"/>
      <c r="RZB6" s="2337"/>
      <c r="RZC6" s="2338"/>
      <c r="RZD6" s="2336"/>
      <c r="RZE6" s="2337"/>
      <c r="RZF6" s="2338"/>
      <c r="RZG6" s="2336"/>
      <c r="RZH6" s="2337"/>
      <c r="RZI6" s="2338"/>
      <c r="RZJ6" s="2336"/>
      <c r="RZK6" s="2337"/>
      <c r="RZL6" s="2338"/>
      <c r="RZM6" s="2336"/>
      <c r="RZN6" s="2337"/>
      <c r="RZO6" s="2338"/>
      <c r="RZP6" s="2336"/>
      <c r="RZQ6" s="2337"/>
      <c r="RZR6" s="2338"/>
      <c r="RZS6" s="2336"/>
      <c r="RZT6" s="2337"/>
      <c r="RZU6" s="2338"/>
      <c r="RZV6" s="2336"/>
      <c r="RZW6" s="2337"/>
      <c r="RZX6" s="2338"/>
      <c r="RZY6" s="2336"/>
      <c r="RZZ6" s="2337"/>
      <c r="SAA6" s="2338"/>
      <c r="SAB6" s="2336"/>
      <c r="SAC6" s="2337"/>
      <c r="SAD6" s="2338"/>
      <c r="SAE6" s="2336"/>
      <c r="SAF6" s="2337"/>
      <c r="SAG6" s="2338"/>
      <c r="SAH6" s="2336"/>
      <c r="SAI6" s="2337"/>
      <c r="SAJ6" s="2338"/>
      <c r="SAK6" s="2336"/>
      <c r="SAL6" s="2337"/>
      <c r="SAM6" s="2338"/>
      <c r="SAN6" s="2336"/>
      <c r="SAO6" s="2337"/>
      <c r="SAP6" s="2338"/>
      <c r="SAQ6" s="2336"/>
      <c r="SAR6" s="2337"/>
      <c r="SAS6" s="2338"/>
      <c r="SAT6" s="2336"/>
      <c r="SAU6" s="2337"/>
      <c r="SAV6" s="2338"/>
      <c r="SAW6" s="2336"/>
      <c r="SAX6" s="2337"/>
      <c r="SAY6" s="2338"/>
      <c r="SAZ6" s="2336"/>
      <c r="SBA6" s="2337"/>
      <c r="SBB6" s="2338"/>
      <c r="SBC6" s="2336"/>
      <c r="SBD6" s="2337"/>
      <c r="SBE6" s="2338"/>
      <c r="SBF6" s="2336"/>
      <c r="SBG6" s="2337"/>
      <c r="SBH6" s="2338"/>
      <c r="SBI6" s="2336"/>
      <c r="SBJ6" s="2337"/>
      <c r="SBK6" s="2338"/>
      <c r="SBL6" s="2336"/>
      <c r="SBM6" s="2337"/>
      <c r="SBN6" s="2338"/>
      <c r="SBO6" s="2336"/>
      <c r="SBP6" s="2337"/>
      <c r="SBQ6" s="2338"/>
      <c r="SBR6" s="2336"/>
      <c r="SBS6" s="2337"/>
      <c r="SBT6" s="2338"/>
      <c r="SBU6" s="2336"/>
      <c r="SBV6" s="2337"/>
      <c r="SBW6" s="2338"/>
      <c r="SBX6" s="2336"/>
      <c r="SBY6" s="2337"/>
      <c r="SBZ6" s="2338"/>
      <c r="SCA6" s="2336"/>
      <c r="SCB6" s="2337"/>
      <c r="SCC6" s="2338"/>
      <c r="SCD6" s="2336"/>
      <c r="SCE6" s="2337"/>
      <c r="SCF6" s="2338"/>
      <c r="SCG6" s="2336"/>
      <c r="SCH6" s="2337"/>
      <c r="SCI6" s="2338"/>
      <c r="SCJ6" s="2336"/>
      <c r="SCK6" s="2337"/>
      <c r="SCL6" s="2338"/>
      <c r="SCM6" s="2336"/>
      <c r="SCN6" s="2337"/>
      <c r="SCO6" s="2338"/>
      <c r="SCP6" s="2336"/>
      <c r="SCQ6" s="2337"/>
      <c r="SCR6" s="2338"/>
      <c r="SCS6" s="2336"/>
      <c r="SCT6" s="2337"/>
      <c r="SCU6" s="2338"/>
      <c r="SCV6" s="2336"/>
      <c r="SCW6" s="2337"/>
      <c r="SCX6" s="2338"/>
      <c r="SCY6" s="2336"/>
      <c r="SCZ6" s="2337"/>
      <c r="SDA6" s="2338"/>
      <c r="SDB6" s="2336"/>
      <c r="SDC6" s="2337"/>
      <c r="SDD6" s="2338"/>
      <c r="SDE6" s="2336"/>
      <c r="SDF6" s="2337"/>
      <c r="SDG6" s="2338"/>
      <c r="SDH6" s="2336"/>
      <c r="SDI6" s="2337"/>
      <c r="SDJ6" s="2338"/>
      <c r="SDK6" s="2336"/>
      <c r="SDL6" s="2337"/>
      <c r="SDM6" s="2338"/>
      <c r="SDN6" s="2336"/>
      <c r="SDO6" s="2337"/>
      <c r="SDP6" s="2338"/>
      <c r="SDQ6" s="2336"/>
      <c r="SDR6" s="2337"/>
      <c r="SDS6" s="2338"/>
      <c r="SDT6" s="2336"/>
      <c r="SDU6" s="2337"/>
      <c r="SDV6" s="2338"/>
      <c r="SDW6" s="2336"/>
      <c r="SDX6" s="2337"/>
      <c r="SDY6" s="2338"/>
      <c r="SDZ6" s="2336"/>
      <c r="SEA6" s="2337"/>
      <c r="SEB6" s="2338"/>
      <c r="SEC6" s="2336"/>
      <c r="SED6" s="2337"/>
      <c r="SEE6" s="2338"/>
      <c r="SEF6" s="2336"/>
      <c r="SEG6" s="2337"/>
      <c r="SEH6" s="2338"/>
      <c r="SEI6" s="2336"/>
      <c r="SEJ6" s="2337"/>
      <c r="SEK6" s="2338"/>
      <c r="SEL6" s="2336"/>
      <c r="SEM6" s="2337"/>
      <c r="SEN6" s="2338"/>
      <c r="SEO6" s="2336"/>
      <c r="SEP6" s="2337"/>
      <c r="SEQ6" s="2338"/>
      <c r="SER6" s="2336"/>
      <c r="SES6" s="2337"/>
      <c r="SET6" s="2338"/>
      <c r="SEU6" s="2336"/>
      <c r="SEV6" s="2337"/>
      <c r="SEW6" s="2338"/>
      <c r="SEX6" s="2336"/>
      <c r="SEY6" s="2337"/>
      <c r="SEZ6" s="2338"/>
      <c r="SFA6" s="2336"/>
      <c r="SFB6" s="2337"/>
      <c r="SFC6" s="2338"/>
      <c r="SFD6" s="2336"/>
      <c r="SFE6" s="2337"/>
      <c r="SFF6" s="2338"/>
      <c r="SFG6" s="2336"/>
      <c r="SFH6" s="2337"/>
      <c r="SFI6" s="2338"/>
      <c r="SFJ6" s="2336"/>
      <c r="SFK6" s="2337"/>
      <c r="SFL6" s="2338"/>
      <c r="SFM6" s="2336"/>
      <c r="SFN6" s="2337"/>
      <c r="SFO6" s="2338"/>
      <c r="SFP6" s="2336"/>
      <c r="SFQ6" s="2337"/>
      <c r="SFR6" s="2338"/>
      <c r="SFS6" s="2336"/>
      <c r="SFT6" s="2337"/>
      <c r="SFU6" s="2338"/>
      <c r="SFV6" s="2336"/>
      <c r="SFW6" s="2337"/>
      <c r="SFX6" s="2338"/>
      <c r="SFY6" s="2336"/>
      <c r="SFZ6" s="2337"/>
      <c r="SGA6" s="2338"/>
      <c r="SGB6" s="2336"/>
      <c r="SGC6" s="2337"/>
      <c r="SGD6" s="2338"/>
      <c r="SGE6" s="2336"/>
      <c r="SGF6" s="2337"/>
      <c r="SGG6" s="2338"/>
      <c r="SGH6" s="2336"/>
      <c r="SGI6" s="2337"/>
      <c r="SGJ6" s="2338"/>
      <c r="SGK6" s="2336"/>
      <c r="SGL6" s="2337"/>
      <c r="SGM6" s="2338"/>
      <c r="SGN6" s="2336"/>
      <c r="SGO6" s="2337"/>
      <c r="SGP6" s="2338"/>
      <c r="SGQ6" s="2336"/>
      <c r="SGR6" s="2337"/>
      <c r="SGS6" s="2338"/>
      <c r="SGT6" s="2336"/>
      <c r="SGU6" s="2337"/>
      <c r="SGV6" s="2338"/>
      <c r="SGW6" s="2336"/>
      <c r="SGX6" s="2337"/>
      <c r="SGY6" s="2338"/>
      <c r="SGZ6" s="2336"/>
      <c r="SHA6" s="2337"/>
      <c r="SHB6" s="2338"/>
      <c r="SHC6" s="2336"/>
      <c r="SHD6" s="2337"/>
      <c r="SHE6" s="2338"/>
      <c r="SHF6" s="2336"/>
      <c r="SHG6" s="2337"/>
      <c r="SHH6" s="2338"/>
      <c r="SHI6" s="2336"/>
      <c r="SHJ6" s="2337"/>
      <c r="SHK6" s="2338"/>
      <c r="SHL6" s="2336"/>
      <c r="SHM6" s="2337"/>
      <c r="SHN6" s="2338"/>
      <c r="SHO6" s="2336"/>
      <c r="SHP6" s="2337"/>
      <c r="SHQ6" s="2338"/>
      <c r="SHR6" s="2336"/>
      <c r="SHS6" s="2337"/>
      <c r="SHT6" s="2338"/>
      <c r="SHU6" s="2336"/>
      <c r="SHV6" s="2337"/>
      <c r="SHW6" s="2338"/>
      <c r="SHX6" s="2336"/>
      <c r="SHY6" s="2337"/>
      <c r="SHZ6" s="2338"/>
      <c r="SIA6" s="2336"/>
      <c r="SIB6" s="2337"/>
      <c r="SIC6" s="2338"/>
      <c r="SID6" s="2336"/>
      <c r="SIE6" s="2337"/>
      <c r="SIF6" s="2338"/>
      <c r="SIG6" s="2336"/>
      <c r="SIH6" s="2337"/>
      <c r="SII6" s="2338"/>
      <c r="SIJ6" s="2336"/>
      <c r="SIK6" s="2337"/>
      <c r="SIL6" s="2338"/>
      <c r="SIM6" s="2336"/>
      <c r="SIN6" s="2337"/>
      <c r="SIO6" s="2338"/>
      <c r="SIP6" s="2336"/>
      <c r="SIQ6" s="2337"/>
      <c r="SIR6" s="2338"/>
      <c r="SIS6" s="2336"/>
      <c r="SIT6" s="2337"/>
      <c r="SIU6" s="2338"/>
      <c r="SIV6" s="2336"/>
      <c r="SIW6" s="2337"/>
      <c r="SIX6" s="2338"/>
      <c r="SIY6" s="2336"/>
      <c r="SIZ6" s="2337"/>
      <c r="SJA6" s="2338"/>
      <c r="SJB6" s="2336"/>
      <c r="SJC6" s="2337"/>
      <c r="SJD6" s="2338"/>
      <c r="SJE6" s="2336"/>
      <c r="SJF6" s="2337"/>
      <c r="SJG6" s="2338"/>
      <c r="SJH6" s="2336"/>
      <c r="SJI6" s="2337"/>
      <c r="SJJ6" s="2338"/>
      <c r="SJK6" s="2336"/>
      <c r="SJL6" s="2337"/>
      <c r="SJM6" s="2338"/>
      <c r="SJN6" s="2336"/>
      <c r="SJO6" s="2337"/>
      <c r="SJP6" s="2338"/>
      <c r="SJQ6" s="2336"/>
      <c r="SJR6" s="2337"/>
      <c r="SJS6" s="2338"/>
      <c r="SJT6" s="2336"/>
      <c r="SJU6" s="2337"/>
      <c r="SJV6" s="2338"/>
      <c r="SJW6" s="2336"/>
      <c r="SJX6" s="2337"/>
      <c r="SJY6" s="2338"/>
      <c r="SJZ6" s="2336"/>
      <c r="SKA6" s="2337"/>
      <c r="SKB6" s="2338"/>
      <c r="SKC6" s="2336"/>
      <c r="SKD6" s="2337"/>
      <c r="SKE6" s="2338"/>
      <c r="SKF6" s="2336"/>
      <c r="SKG6" s="2337"/>
      <c r="SKH6" s="2338"/>
      <c r="SKI6" s="2336"/>
      <c r="SKJ6" s="2337"/>
      <c r="SKK6" s="2338"/>
      <c r="SKL6" s="2336"/>
      <c r="SKM6" s="2337"/>
      <c r="SKN6" s="2338"/>
      <c r="SKO6" s="2336"/>
      <c r="SKP6" s="2337"/>
      <c r="SKQ6" s="2338"/>
      <c r="SKR6" s="2336"/>
      <c r="SKS6" s="2337"/>
      <c r="SKT6" s="2338"/>
      <c r="SKU6" s="2336"/>
      <c r="SKV6" s="2337"/>
      <c r="SKW6" s="2338"/>
      <c r="SKX6" s="2336"/>
      <c r="SKY6" s="2337"/>
      <c r="SKZ6" s="2338"/>
      <c r="SLA6" s="2336"/>
      <c r="SLB6" s="2337"/>
      <c r="SLC6" s="2338"/>
      <c r="SLD6" s="2336"/>
      <c r="SLE6" s="2337"/>
      <c r="SLF6" s="2338"/>
      <c r="SLG6" s="2336"/>
      <c r="SLH6" s="2337"/>
      <c r="SLI6" s="2338"/>
      <c r="SLJ6" s="2336"/>
      <c r="SLK6" s="2337"/>
      <c r="SLL6" s="2338"/>
      <c r="SLM6" s="2336"/>
      <c r="SLN6" s="2337"/>
      <c r="SLO6" s="2338"/>
      <c r="SLP6" s="2336"/>
      <c r="SLQ6" s="2337"/>
      <c r="SLR6" s="2338"/>
      <c r="SLS6" s="2336"/>
      <c r="SLT6" s="2337"/>
      <c r="SLU6" s="2338"/>
      <c r="SLV6" s="2336"/>
      <c r="SLW6" s="2337"/>
      <c r="SLX6" s="2338"/>
      <c r="SLY6" s="2336"/>
      <c r="SLZ6" s="2337"/>
      <c r="SMA6" s="2338"/>
      <c r="SMB6" s="2336"/>
      <c r="SMC6" s="2337"/>
      <c r="SMD6" s="2338"/>
      <c r="SME6" s="2336"/>
      <c r="SMF6" s="2337"/>
      <c r="SMG6" s="2338"/>
      <c r="SMH6" s="2336"/>
      <c r="SMI6" s="2337"/>
      <c r="SMJ6" s="2338"/>
      <c r="SMK6" s="2336"/>
      <c r="SML6" s="2337"/>
      <c r="SMM6" s="2338"/>
      <c r="SMN6" s="2336"/>
      <c r="SMO6" s="2337"/>
      <c r="SMP6" s="2338"/>
      <c r="SMQ6" s="2336"/>
      <c r="SMR6" s="2337"/>
      <c r="SMS6" s="2338"/>
      <c r="SMT6" s="2336"/>
      <c r="SMU6" s="2337"/>
      <c r="SMV6" s="2338"/>
      <c r="SMW6" s="2336"/>
      <c r="SMX6" s="2337"/>
      <c r="SMY6" s="2338"/>
      <c r="SMZ6" s="2336"/>
      <c r="SNA6" s="2337"/>
      <c r="SNB6" s="2338"/>
      <c r="SNC6" s="2336"/>
      <c r="SND6" s="2337"/>
      <c r="SNE6" s="2338"/>
      <c r="SNF6" s="2336"/>
      <c r="SNG6" s="2337"/>
      <c r="SNH6" s="2338"/>
      <c r="SNI6" s="2336"/>
      <c r="SNJ6" s="2337"/>
      <c r="SNK6" s="2338"/>
      <c r="SNL6" s="2336"/>
      <c r="SNM6" s="2337"/>
      <c r="SNN6" s="2338"/>
      <c r="SNO6" s="2336"/>
      <c r="SNP6" s="2337"/>
      <c r="SNQ6" s="2338"/>
      <c r="SNR6" s="2336"/>
      <c r="SNS6" s="2337"/>
      <c r="SNT6" s="2338"/>
      <c r="SNU6" s="2336"/>
      <c r="SNV6" s="2337"/>
      <c r="SNW6" s="2338"/>
      <c r="SNX6" s="2336"/>
      <c r="SNY6" s="2337"/>
      <c r="SNZ6" s="2338"/>
      <c r="SOA6" s="2336"/>
      <c r="SOB6" s="2337"/>
      <c r="SOC6" s="2338"/>
      <c r="SOD6" s="2336"/>
      <c r="SOE6" s="2337"/>
      <c r="SOF6" s="2338"/>
      <c r="SOG6" s="2336"/>
      <c r="SOH6" s="2337"/>
      <c r="SOI6" s="2338"/>
      <c r="SOJ6" s="2336"/>
      <c r="SOK6" s="2337"/>
      <c r="SOL6" s="2338"/>
      <c r="SOM6" s="2336"/>
      <c r="SON6" s="2337"/>
      <c r="SOO6" s="2338"/>
      <c r="SOP6" s="2336"/>
      <c r="SOQ6" s="2337"/>
      <c r="SOR6" s="2338"/>
      <c r="SOS6" s="2336"/>
      <c r="SOT6" s="2337"/>
      <c r="SOU6" s="2338"/>
      <c r="SOV6" s="2336"/>
      <c r="SOW6" s="2337"/>
      <c r="SOX6" s="2338"/>
      <c r="SOY6" s="2336"/>
      <c r="SOZ6" s="2337"/>
      <c r="SPA6" s="2338"/>
      <c r="SPB6" s="2336"/>
      <c r="SPC6" s="2337"/>
      <c r="SPD6" s="2338"/>
      <c r="SPE6" s="2336"/>
      <c r="SPF6" s="2337"/>
      <c r="SPG6" s="2338"/>
      <c r="SPH6" s="2336"/>
      <c r="SPI6" s="2337"/>
      <c r="SPJ6" s="2338"/>
      <c r="SPK6" s="2336"/>
      <c r="SPL6" s="2337"/>
      <c r="SPM6" s="2338"/>
      <c r="SPN6" s="2336"/>
      <c r="SPO6" s="2337"/>
      <c r="SPP6" s="2338"/>
      <c r="SPQ6" s="2336"/>
      <c r="SPR6" s="2337"/>
      <c r="SPS6" s="2338"/>
      <c r="SPT6" s="2336"/>
      <c r="SPU6" s="2337"/>
      <c r="SPV6" s="2338"/>
      <c r="SPW6" s="2336"/>
      <c r="SPX6" s="2337"/>
      <c r="SPY6" s="2338"/>
      <c r="SPZ6" s="2336"/>
      <c r="SQA6" s="2337"/>
      <c r="SQB6" s="2338"/>
      <c r="SQC6" s="2336"/>
      <c r="SQD6" s="2337"/>
      <c r="SQE6" s="2338"/>
      <c r="SQF6" s="2336"/>
      <c r="SQG6" s="2337"/>
      <c r="SQH6" s="2338"/>
      <c r="SQI6" s="2336"/>
      <c r="SQJ6" s="2337"/>
      <c r="SQK6" s="2338"/>
      <c r="SQL6" s="2336"/>
      <c r="SQM6" s="2337"/>
      <c r="SQN6" s="2338"/>
      <c r="SQO6" s="2336"/>
      <c r="SQP6" s="2337"/>
      <c r="SQQ6" s="2338"/>
      <c r="SQR6" s="2336"/>
      <c r="SQS6" s="2337"/>
      <c r="SQT6" s="2338"/>
      <c r="SQU6" s="2336"/>
      <c r="SQV6" s="2337"/>
      <c r="SQW6" s="2338"/>
      <c r="SQX6" s="2336"/>
      <c r="SQY6" s="2337"/>
      <c r="SQZ6" s="2338"/>
      <c r="SRA6" s="2336"/>
      <c r="SRB6" s="2337"/>
      <c r="SRC6" s="2338"/>
      <c r="SRD6" s="2336"/>
      <c r="SRE6" s="2337"/>
      <c r="SRF6" s="2338"/>
      <c r="SRG6" s="2336"/>
      <c r="SRH6" s="2337"/>
      <c r="SRI6" s="2338"/>
      <c r="SRJ6" s="2336"/>
      <c r="SRK6" s="2337"/>
      <c r="SRL6" s="2338"/>
      <c r="SRM6" s="2336"/>
      <c r="SRN6" s="2337"/>
      <c r="SRO6" s="2338"/>
      <c r="SRP6" s="2336"/>
      <c r="SRQ6" s="2337"/>
      <c r="SRR6" s="2338"/>
      <c r="SRS6" s="2336"/>
      <c r="SRT6" s="2337"/>
      <c r="SRU6" s="2338"/>
      <c r="SRV6" s="2336"/>
      <c r="SRW6" s="2337"/>
      <c r="SRX6" s="2338"/>
      <c r="SRY6" s="2336"/>
      <c r="SRZ6" s="2337"/>
      <c r="SSA6" s="2338"/>
      <c r="SSB6" s="2336"/>
      <c r="SSC6" s="2337"/>
      <c r="SSD6" s="2338"/>
      <c r="SSE6" s="2336"/>
      <c r="SSF6" s="2337"/>
      <c r="SSG6" s="2338"/>
      <c r="SSH6" s="2336"/>
      <c r="SSI6" s="2337"/>
      <c r="SSJ6" s="2338"/>
      <c r="SSK6" s="2336"/>
      <c r="SSL6" s="2337"/>
      <c r="SSM6" s="2338"/>
      <c r="SSN6" s="2336"/>
      <c r="SSO6" s="2337"/>
      <c r="SSP6" s="2338"/>
      <c r="SSQ6" s="2336"/>
      <c r="SSR6" s="2337"/>
      <c r="SSS6" s="2338"/>
      <c r="SST6" s="2336"/>
      <c r="SSU6" s="2337"/>
      <c r="SSV6" s="2338"/>
      <c r="SSW6" s="2336"/>
      <c r="SSX6" s="2337"/>
      <c r="SSY6" s="2338"/>
      <c r="SSZ6" s="2336"/>
      <c r="STA6" s="2337"/>
      <c r="STB6" s="2338"/>
      <c r="STC6" s="2336"/>
      <c r="STD6" s="2337"/>
      <c r="STE6" s="2338"/>
      <c r="STF6" s="2336"/>
      <c r="STG6" s="2337"/>
      <c r="STH6" s="2338"/>
      <c r="STI6" s="2336"/>
      <c r="STJ6" s="2337"/>
      <c r="STK6" s="2338"/>
      <c r="STL6" s="2336"/>
      <c r="STM6" s="2337"/>
      <c r="STN6" s="2338"/>
      <c r="STO6" s="2336"/>
      <c r="STP6" s="2337"/>
      <c r="STQ6" s="2338"/>
      <c r="STR6" s="2336"/>
      <c r="STS6" s="2337"/>
      <c r="STT6" s="2338"/>
      <c r="STU6" s="2336"/>
      <c r="STV6" s="2337"/>
      <c r="STW6" s="2338"/>
      <c r="STX6" s="2336"/>
      <c r="STY6" s="2337"/>
      <c r="STZ6" s="2338"/>
      <c r="SUA6" s="2336"/>
      <c r="SUB6" s="2337"/>
      <c r="SUC6" s="2338"/>
      <c r="SUD6" s="2336"/>
      <c r="SUE6" s="2337"/>
      <c r="SUF6" s="2338"/>
      <c r="SUG6" s="2336"/>
      <c r="SUH6" s="2337"/>
      <c r="SUI6" s="2338"/>
      <c r="SUJ6" s="2336"/>
      <c r="SUK6" s="2337"/>
      <c r="SUL6" s="2338"/>
      <c r="SUM6" s="2336"/>
      <c r="SUN6" s="2337"/>
      <c r="SUO6" s="2338"/>
      <c r="SUP6" s="2336"/>
      <c r="SUQ6" s="2337"/>
      <c r="SUR6" s="2338"/>
      <c r="SUS6" s="2336"/>
      <c r="SUT6" s="2337"/>
      <c r="SUU6" s="2338"/>
      <c r="SUV6" s="2336"/>
      <c r="SUW6" s="2337"/>
      <c r="SUX6" s="2338"/>
      <c r="SUY6" s="2336"/>
      <c r="SUZ6" s="2337"/>
      <c r="SVA6" s="2338"/>
      <c r="SVB6" s="2336"/>
      <c r="SVC6" s="2337"/>
      <c r="SVD6" s="2338"/>
      <c r="SVE6" s="2336"/>
      <c r="SVF6" s="2337"/>
      <c r="SVG6" s="2338"/>
      <c r="SVH6" s="2336"/>
      <c r="SVI6" s="2337"/>
      <c r="SVJ6" s="2338"/>
      <c r="SVK6" s="2336"/>
      <c r="SVL6" s="2337"/>
      <c r="SVM6" s="2338"/>
      <c r="SVN6" s="2336"/>
      <c r="SVO6" s="2337"/>
      <c r="SVP6" s="2338"/>
      <c r="SVQ6" s="2336"/>
      <c r="SVR6" s="2337"/>
      <c r="SVS6" s="2338"/>
      <c r="SVT6" s="2336"/>
      <c r="SVU6" s="2337"/>
      <c r="SVV6" s="2338"/>
      <c r="SVW6" s="2336"/>
      <c r="SVX6" s="2337"/>
      <c r="SVY6" s="2338"/>
      <c r="SVZ6" s="2336"/>
      <c r="SWA6" s="2337"/>
      <c r="SWB6" s="2338"/>
      <c r="SWC6" s="2336"/>
      <c r="SWD6" s="2337"/>
      <c r="SWE6" s="2338"/>
      <c r="SWF6" s="2336"/>
      <c r="SWG6" s="2337"/>
      <c r="SWH6" s="2338"/>
      <c r="SWI6" s="2336"/>
      <c r="SWJ6" s="2337"/>
      <c r="SWK6" s="2338"/>
      <c r="SWL6" s="2336"/>
      <c r="SWM6" s="2337"/>
      <c r="SWN6" s="2338"/>
      <c r="SWO6" s="2336"/>
      <c r="SWP6" s="2337"/>
      <c r="SWQ6" s="2338"/>
      <c r="SWR6" s="2336"/>
      <c r="SWS6" s="2337"/>
      <c r="SWT6" s="2338"/>
      <c r="SWU6" s="2336"/>
      <c r="SWV6" s="2337"/>
      <c r="SWW6" s="2338"/>
      <c r="SWX6" s="2336"/>
      <c r="SWY6" s="2337"/>
      <c r="SWZ6" s="2338"/>
      <c r="SXA6" s="2336"/>
      <c r="SXB6" s="2337"/>
      <c r="SXC6" s="2338"/>
      <c r="SXD6" s="2336"/>
      <c r="SXE6" s="2337"/>
      <c r="SXF6" s="2338"/>
      <c r="SXG6" s="2336"/>
      <c r="SXH6" s="2337"/>
      <c r="SXI6" s="2338"/>
      <c r="SXJ6" s="2336"/>
      <c r="SXK6" s="2337"/>
      <c r="SXL6" s="2338"/>
      <c r="SXM6" s="2336"/>
      <c r="SXN6" s="2337"/>
      <c r="SXO6" s="2338"/>
      <c r="SXP6" s="2336"/>
      <c r="SXQ6" s="2337"/>
      <c r="SXR6" s="2338"/>
      <c r="SXS6" s="2336"/>
      <c r="SXT6" s="2337"/>
      <c r="SXU6" s="2338"/>
      <c r="SXV6" s="2336"/>
      <c r="SXW6" s="2337"/>
      <c r="SXX6" s="2338"/>
      <c r="SXY6" s="2336"/>
      <c r="SXZ6" s="2337"/>
      <c r="SYA6" s="2338"/>
      <c r="SYB6" s="2336"/>
      <c r="SYC6" s="2337"/>
      <c r="SYD6" s="2338"/>
      <c r="SYE6" s="2336"/>
      <c r="SYF6" s="2337"/>
      <c r="SYG6" s="2338"/>
      <c r="SYH6" s="2336"/>
      <c r="SYI6" s="2337"/>
      <c r="SYJ6" s="2338"/>
      <c r="SYK6" s="2336"/>
      <c r="SYL6" s="2337"/>
      <c r="SYM6" s="2338"/>
      <c r="SYN6" s="2336"/>
      <c r="SYO6" s="2337"/>
      <c r="SYP6" s="2338"/>
      <c r="SYQ6" s="2336"/>
      <c r="SYR6" s="2337"/>
      <c r="SYS6" s="2338"/>
      <c r="SYT6" s="2336"/>
      <c r="SYU6" s="2337"/>
      <c r="SYV6" s="2338"/>
      <c r="SYW6" s="2336"/>
      <c r="SYX6" s="2337"/>
      <c r="SYY6" s="2338"/>
      <c r="SYZ6" s="2336"/>
      <c r="SZA6" s="2337"/>
      <c r="SZB6" s="2338"/>
      <c r="SZC6" s="2336"/>
      <c r="SZD6" s="2337"/>
      <c r="SZE6" s="2338"/>
      <c r="SZF6" s="2336"/>
      <c r="SZG6" s="2337"/>
      <c r="SZH6" s="2338"/>
      <c r="SZI6" s="2336"/>
      <c r="SZJ6" s="2337"/>
      <c r="SZK6" s="2338"/>
      <c r="SZL6" s="2336"/>
      <c r="SZM6" s="2337"/>
      <c r="SZN6" s="2338"/>
      <c r="SZO6" s="2336"/>
      <c r="SZP6" s="2337"/>
      <c r="SZQ6" s="2338"/>
      <c r="SZR6" s="2336"/>
      <c r="SZS6" s="2337"/>
      <c r="SZT6" s="2338"/>
      <c r="SZU6" s="2336"/>
      <c r="SZV6" s="2337"/>
      <c r="SZW6" s="2338"/>
      <c r="SZX6" s="2336"/>
      <c r="SZY6" s="2337"/>
      <c r="SZZ6" s="2338"/>
      <c r="TAA6" s="2336"/>
      <c r="TAB6" s="2337"/>
      <c r="TAC6" s="2338"/>
      <c r="TAD6" s="2336"/>
      <c r="TAE6" s="2337"/>
      <c r="TAF6" s="2338"/>
      <c r="TAG6" s="2336"/>
      <c r="TAH6" s="2337"/>
      <c r="TAI6" s="2338"/>
      <c r="TAJ6" s="2336"/>
      <c r="TAK6" s="2337"/>
      <c r="TAL6" s="2338"/>
      <c r="TAM6" s="2336"/>
      <c r="TAN6" s="2337"/>
      <c r="TAO6" s="2338"/>
      <c r="TAP6" s="2336"/>
      <c r="TAQ6" s="2337"/>
      <c r="TAR6" s="2338"/>
      <c r="TAS6" s="2336"/>
      <c r="TAT6" s="2337"/>
      <c r="TAU6" s="2338"/>
      <c r="TAV6" s="2336"/>
      <c r="TAW6" s="2337"/>
      <c r="TAX6" s="2338"/>
      <c r="TAY6" s="2336"/>
      <c r="TAZ6" s="2337"/>
      <c r="TBA6" s="2338"/>
      <c r="TBB6" s="2336"/>
      <c r="TBC6" s="2337"/>
      <c r="TBD6" s="2338"/>
      <c r="TBE6" s="2336"/>
      <c r="TBF6" s="2337"/>
      <c r="TBG6" s="2338"/>
      <c r="TBH6" s="2336"/>
      <c r="TBI6" s="2337"/>
      <c r="TBJ6" s="2338"/>
      <c r="TBK6" s="2336"/>
      <c r="TBL6" s="2337"/>
      <c r="TBM6" s="2338"/>
      <c r="TBN6" s="2336"/>
      <c r="TBO6" s="2337"/>
      <c r="TBP6" s="2338"/>
      <c r="TBQ6" s="2336"/>
      <c r="TBR6" s="2337"/>
      <c r="TBS6" s="2338"/>
      <c r="TBT6" s="2336"/>
      <c r="TBU6" s="2337"/>
      <c r="TBV6" s="2338"/>
      <c r="TBW6" s="2336"/>
      <c r="TBX6" s="2337"/>
      <c r="TBY6" s="2338"/>
      <c r="TBZ6" s="2336"/>
      <c r="TCA6" s="2337"/>
      <c r="TCB6" s="2338"/>
      <c r="TCC6" s="2336"/>
      <c r="TCD6" s="2337"/>
      <c r="TCE6" s="2338"/>
      <c r="TCF6" s="2336"/>
      <c r="TCG6" s="2337"/>
      <c r="TCH6" s="2338"/>
      <c r="TCI6" s="2336"/>
      <c r="TCJ6" s="2337"/>
      <c r="TCK6" s="2338"/>
      <c r="TCL6" s="2336"/>
      <c r="TCM6" s="2337"/>
      <c r="TCN6" s="2338"/>
      <c r="TCO6" s="2336"/>
      <c r="TCP6" s="2337"/>
      <c r="TCQ6" s="2338"/>
      <c r="TCR6" s="2336"/>
      <c r="TCS6" s="2337"/>
      <c r="TCT6" s="2338"/>
      <c r="TCU6" s="2336"/>
      <c r="TCV6" s="2337"/>
      <c r="TCW6" s="2338"/>
      <c r="TCX6" s="2336"/>
      <c r="TCY6" s="2337"/>
      <c r="TCZ6" s="2338"/>
      <c r="TDA6" s="2336"/>
      <c r="TDB6" s="2337"/>
      <c r="TDC6" s="2338"/>
      <c r="TDD6" s="2336"/>
      <c r="TDE6" s="2337"/>
      <c r="TDF6" s="2338"/>
      <c r="TDG6" s="2336"/>
      <c r="TDH6" s="2337"/>
      <c r="TDI6" s="2338"/>
      <c r="TDJ6" s="2336"/>
      <c r="TDK6" s="2337"/>
      <c r="TDL6" s="2338"/>
      <c r="TDM6" s="2336"/>
      <c r="TDN6" s="2337"/>
      <c r="TDO6" s="2338"/>
      <c r="TDP6" s="2336"/>
      <c r="TDQ6" s="2337"/>
      <c r="TDR6" s="2338"/>
      <c r="TDS6" s="2336"/>
      <c r="TDT6" s="2337"/>
      <c r="TDU6" s="2338"/>
      <c r="TDV6" s="2336"/>
      <c r="TDW6" s="2337"/>
      <c r="TDX6" s="2338"/>
      <c r="TDY6" s="2336"/>
      <c r="TDZ6" s="2337"/>
      <c r="TEA6" s="2338"/>
      <c r="TEB6" s="2336"/>
      <c r="TEC6" s="2337"/>
      <c r="TED6" s="2338"/>
      <c r="TEE6" s="2336"/>
      <c r="TEF6" s="2337"/>
      <c r="TEG6" s="2338"/>
      <c r="TEH6" s="2336"/>
      <c r="TEI6" s="2337"/>
      <c r="TEJ6" s="2338"/>
      <c r="TEK6" s="2336"/>
      <c r="TEL6" s="2337"/>
      <c r="TEM6" s="2338"/>
      <c r="TEN6" s="2336"/>
      <c r="TEO6" s="2337"/>
      <c r="TEP6" s="2338"/>
      <c r="TEQ6" s="2336"/>
      <c r="TER6" s="2337"/>
      <c r="TES6" s="2338"/>
      <c r="TET6" s="2336"/>
      <c r="TEU6" s="2337"/>
      <c r="TEV6" s="2338"/>
      <c r="TEW6" s="2336"/>
      <c r="TEX6" s="2337"/>
      <c r="TEY6" s="2338"/>
      <c r="TEZ6" s="2336"/>
      <c r="TFA6" s="2337"/>
      <c r="TFB6" s="2338"/>
      <c r="TFC6" s="2336"/>
      <c r="TFD6" s="2337"/>
      <c r="TFE6" s="2338"/>
      <c r="TFF6" s="2336"/>
      <c r="TFG6" s="2337"/>
      <c r="TFH6" s="2338"/>
      <c r="TFI6" s="2336"/>
      <c r="TFJ6" s="2337"/>
      <c r="TFK6" s="2338"/>
      <c r="TFL6" s="2336"/>
      <c r="TFM6" s="2337"/>
      <c r="TFN6" s="2338"/>
      <c r="TFO6" s="2336"/>
      <c r="TFP6" s="2337"/>
      <c r="TFQ6" s="2338"/>
      <c r="TFR6" s="2336"/>
      <c r="TFS6" s="2337"/>
      <c r="TFT6" s="2338"/>
      <c r="TFU6" s="2336"/>
      <c r="TFV6" s="2337"/>
      <c r="TFW6" s="2338"/>
      <c r="TFX6" s="2336"/>
      <c r="TFY6" s="2337"/>
      <c r="TFZ6" s="2338"/>
      <c r="TGA6" s="2336"/>
      <c r="TGB6" s="2337"/>
      <c r="TGC6" s="2338"/>
      <c r="TGD6" s="2336"/>
      <c r="TGE6" s="2337"/>
      <c r="TGF6" s="2338"/>
      <c r="TGG6" s="2336"/>
      <c r="TGH6" s="2337"/>
      <c r="TGI6" s="2338"/>
      <c r="TGJ6" s="2336"/>
      <c r="TGK6" s="2337"/>
      <c r="TGL6" s="2338"/>
      <c r="TGM6" s="2336"/>
      <c r="TGN6" s="2337"/>
      <c r="TGO6" s="2338"/>
      <c r="TGP6" s="2336"/>
      <c r="TGQ6" s="2337"/>
      <c r="TGR6" s="2338"/>
      <c r="TGS6" s="2336"/>
      <c r="TGT6" s="2337"/>
      <c r="TGU6" s="2338"/>
      <c r="TGV6" s="2336"/>
      <c r="TGW6" s="2337"/>
      <c r="TGX6" s="2338"/>
      <c r="TGY6" s="2336"/>
      <c r="TGZ6" s="2337"/>
      <c r="THA6" s="2338"/>
      <c r="THB6" s="2336"/>
      <c r="THC6" s="2337"/>
      <c r="THD6" s="2338"/>
      <c r="THE6" s="2336"/>
      <c r="THF6" s="2337"/>
      <c r="THG6" s="2338"/>
      <c r="THH6" s="2336"/>
      <c r="THI6" s="2337"/>
      <c r="THJ6" s="2338"/>
      <c r="THK6" s="2336"/>
      <c r="THL6" s="2337"/>
      <c r="THM6" s="2338"/>
      <c r="THN6" s="2336"/>
      <c r="THO6" s="2337"/>
      <c r="THP6" s="2338"/>
      <c r="THQ6" s="2336"/>
      <c r="THR6" s="2337"/>
      <c r="THS6" s="2338"/>
      <c r="THT6" s="2336"/>
      <c r="THU6" s="2337"/>
      <c r="THV6" s="2338"/>
      <c r="THW6" s="2336"/>
      <c r="THX6" s="2337"/>
      <c r="THY6" s="2338"/>
      <c r="THZ6" s="2336"/>
      <c r="TIA6" s="2337"/>
      <c r="TIB6" s="2338"/>
      <c r="TIC6" s="2336"/>
      <c r="TID6" s="2337"/>
      <c r="TIE6" s="2338"/>
      <c r="TIF6" s="2336"/>
      <c r="TIG6" s="2337"/>
      <c r="TIH6" s="2338"/>
      <c r="TII6" s="2336"/>
      <c r="TIJ6" s="2337"/>
      <c r="TIK6" s="2338"/>
      <c r="TIL6" s="2336"/>
      <c r="TIM6" s="2337"/>
      <c r="TIN6" s="2338"/>
      <c r="TIO6" s="2336"/>
      <c r="TIP6" s="2337"/>
      <c r="TIQ6" s="2338"/>
      <c r="TIR6" s="2336"/>
      <c r="TIS6" s="2337"/>
      <c r="TIT6" s="2338"/>
      <c r="TIU6" s="2336"/>
      <c r="TIV6" s="2337"/>
      <c r="TIW6" s="2338"/>
      <c r="TIX6" s="2336"/>
      <c r="TIY6" s="2337"/>
      <c r="TIZ6" s="2338"/>
      <c r="TJA6" s="2336"/>
      <c r="TJB6" s="2337"/>
      <c r="TJC6" s="2338"/>
      <c r="TJD6" s="2336"/>
      <c r="TJE6" s="2337"/>
      <c r="TJF6" s="2338"/>
      <c r="TJG6" s="2336"/>
      <c r="TJH6" s="2337"/>
      <c r="TJI6" s="2338"/>
      <c r="TJJ6" s="2336"/>
      <c r="TJK6" s="2337"/>
      <c r="TJL6" s="2338"/>
      <c r="TJM6" s="2336"/>
      <c r="TJN6" s="2337"/>
      <c r="TJO6" s="2338"/>
      <c r="TJP6" s="2336"/>
      <c r="TJQ6" s="2337"/>
      <c r="TJR6" s="2338"/>
      <c r="TJS6" s="2336"/>
      <c r="TJT6" s="2337"/>
      <c r="TJU6" s="2338"/>
      <c r="TJV6" s="2336"/>
      <c r="TJW6" s="2337"/>
      <c r="TJX6" s="2338"/>
      <c r="TJY6" s="2336"/>
      <c r="TJZ6" s="2337"/>
      <c r="TKA6" s="2338"/>
      <c r="TKB6" s="2336"/>
      <c r="TKC6" s="2337"/>
      <c r="TKD6" s="2338"/>
      <c r="TKE6" s="2336"/>
      <c r="TKF6" s="2337"/>
      <c r="TKG6" s="2338"/>
      <c r="TKH6" s="2336"/>
      <c r="TKI6" s="2337"/>
      <c r="TKJ6" s="2338"/>
      <c r="TKK6" s="2336"/>
      <c r="TKL6" s="2337"/>
      <c r="TKM6" s="2338"/>
      <c r="TKN6" s="2336"/>
      <c r="TKO6" s="2337"/>
      <c r="TKP6" s="2338"/>
      <c r="TKQ6" s="2336"/>
      <c r="TKR6" s="2337"/>
      <c r="TKS6" s="2338"/>
      <c r="TKT6" s="2336"/>
      <c r="TKU6" s="2337"/>
      <c r="TKV6" s="2338"/>
      <c r="TKW6" s="2336"/>
      <c r="TKX6" s="2337"/>
      <c r="TKY6" s="2338"/>
      <c r="TKZ6" s="2336"/>
      <c r="TLA6" s="2337"/>
      <c r="TLB6" s="2338"/>
      <c r="TLC6" s="2336"/>
      <c r="TLD6" s="2337"/>
      <c r="TLE6" s="2338"/>
      <c r="TLF6" s="2336"/>
      <c r="TLG6" s="2337"/>
      <c r="TLH6" s="2338"/>
      <c r="TLI6" s="2336"/>
      <c r="TLJ6" s="2337"/>
      <c r="TLK6" s="2338"/>
      <c r="TLL6" s="2336"/>
      <c r="TLM6" s="2337"/>
      <c r="TLN6" s="2338"/>
      <c r="TLO6" s="2336"/>
      <c r="TLP6" s="2337"/>
      <c r="TLQ6" s="2338"/>
      <c r="TLR6" s="2336"/>
      <c r="TLS6" s="2337"/>
      <c r="TLT6" s="2338"/>
      <c r="TLU6" s="2336"/>
      <c r="TLV6" s="2337"/>
      <c r="TLW6" s="2338"/>
      <c r="TLX6" s="2336"/>
      <c r="TLY6" s="2337"/>
      <c r="TLZ6" s="2338"/>
      <c r="TMA6" s="2336"/>
      <c r="TMB6" s="2337"/>
      <c r="TMC6" s="2338"/>
      <c r="TMD6" s="2336"/>
      <c r="TME6" s="2337"/>
      <c r="TMF6" s="2338"/>
      <c r="TMG6" s="2336"/>
      <c r="TMH6" s="2337"/>
      <c r="TMI6" s="2338"/>
      <c r="TMJ6" s="2336"/>
      <c r="TMK6" s="2337"/>
      <c r="TML6" s="2338"/>
      <c r="TMM6" s="2336"/>
      <c r="TMN6" s="2337"/>
      <c r="TMO6" s="2338"/>
      <c r="TMP6" s="2336"/>
      <c r="TMQ6" s="2337"/>
      <c r="TMR6" s="2338"/>
      <c r="TMS6" s="2336"/>
      <c r="TMT6" s="2337"/>
      <c r="TMU6" s="2338"/>
      <c r="TMV6" s="2336"/>
      <c r="TMW6" s="2337"/>
      <c r="TMX6" s="2338"/>
      <c r="TMY6" s="2336"/>
      <c r="TMZ6" s="2337"/>
      <c r="TNA6" s="2338"/>
      <c r="TNB6" s="2336"/>
      <c r="TNC6" s="2337"/>
      <c r="TND6" s="2338"/>
      <c r="TNE6" s="2336"/>
      <c r="TNF6" s="2337"/>
      <c r="TNG6" s="2338"/>
      <c r="TNH6" s="2336"/>
      <c r="TNI6" s="2337"/>
      <c r="TNJ6" s="2338"/>
      <c r="TNK6" s="2336"/>
      <c r="TNL6" s="2337"/>
      <c r="TNM6" s="2338"/>
      <c r="TNN6" s="2336"/>
      <c r="TNO6" s="2337"/>
      <c r="TNP6" s="2338"/>
      <c r="TNQ6" s="2336"/>
      <c r="TNR6" s="2337"/>
      <c r="TNS6" s="2338"/>
      <c r="TNT6" s="2336"/>
      <c r="TNU6" s="2337"/>
      <c r="TNV6" s="2338"/>
      <c r="TNW6" s="2336"/>
      <c r="TNX6" s="2337"/>
      <c r="TNY6" s="2338"/>
      <c r="TNZ6" s="2336"/>
      <c r="TOA6" s="2337"/>
      <c r="TOB6" s="2338"/>
      <c r="TOC6" s="2336"/>
      <c r="TOD6" s="2337"/>
      <c r="TOE6" s="2338"/>
      <c r="TOF6" s="2336"/>
      <c r="TOG6" s="2337"/>
      <c r="TOH6" s="2338"/>
      <c r="TOI6" s="2336"/>
      <c r="TOJ6" s="2337"/>
      <c r="TOK6" s="2338"/>
      <c r="TOL6" s="2336"/>
      <c r="TOM6" s="2337"/>
      <c r="TON6" s="2338"/>
      <c r="TOO6" s="2336"/>
      <c r="TOP6" s="2337"/>
      <c r="TOQ6" s="2338"/>
      <c r="TOR6" s="2336"/>
      <c r="TOS6" s="2337"/>
      <c r="TOT6" s="2338"/>
      <c r="TOU6" s="2336"/>
      <c r="TOV6" s="2337"/>
      <c r="TOW6" s="2338"/>
      <c r="TOX6" s="2336"/>
      <c r="TOY6" s="2337"/>
      <c r="TOZ6" s="2338"/>
      <c r="TPA6" s="2336"/>
      <c r="TPB6" s="2337"/>
      <c r="TPC6" s="2338"/>
      <c r="TPD6" s="2336"/>
      <c r="TPE6" s="2337"/>
      <c r="TPF6" s="2338"/>
      <c r="TPG6" s="2336"/>
      <c r="TPH6" s="2337"/>
      <c r="TPI6" s="2338"/>
      <c r="TPJ6" s="2336"/>
      <c r="TPK6" s="2337"/>
      <c r="TPL6" s="2338"/>
      <c r="TPM6" s="2336"/>
      <c r="TPN6" s="2337"/>
      <c r="TPO6" s="2338"/>
      <c r="TPP6" s="2336"/>
      <c r="TPQ6" s="2337"/>
      <c r="TPR6" s="2338"/>
      <c r="TPS6" s="2336"/>
      <c r="TPT6" s="2337"/>
      <c r="TPU6" s="2338"/>
      <c r="TPV6" s="2336"/>
      <c r="TPW6" s="2337"/>
      <c r="TPX6" s="2338"/>
      <c r="TPY6" s="2336"/>
      <c r="TPZ6" s="2337"/>
      <c r="TQA6" s="2338"/>
      <c r="TQB6" s="2336"/>
      <c r="TQC6" s="2337"/>
      <c r="TQD6" s="2338"/>
      <c r="TQE6" s="2336"/>
      <c r="TQF6" s="2337"/>
      <c r="TQG6" s="2338"/>
      <c r="TQH6" s="2336"/>
      <c r="TQI6" s="2337"/>
      <c r="TQJ6" s="2338"/>
      <c r="TQK6" s="2336"/>
      <c r="TQL6" s="2337"/>
      <c r="TQM6" s="2338"/>
      <c r="TQN6" s="2336"/>
      <c r="TQO6" s="2337"/>
      <c r="TQP6" s="2338"/>
      <c r="TQQ6" s="2336"/>
      <c r="TQR6" s="2337"/>
      <c r="TQS6" s="2338"/>
      <c r="TQT6" s="2336"/>
      <c r="TQU6" s="2337"/>
      <c r="TQV6" s="2338"/>
      <c r="TQW6" s="2336"/>
      <c r="TQX6" s="2337"/>
      <c r="TQY6" s="2338"/>
      <c r="TQZ6" s="2336"/>
      <c r="TRA6" s="2337"/>
      <c r="TRB6" s="2338"/>
      <c r="TRC6" s="2336"/>
      <c r="TRD6" s="2337"/>
      <c r="TRE6" s="2338"/>
      <c r="TRF6" s="2336"/>
      <c r="TRG6" s="2337"/>
      <c r="TRH6" s="2338"/>
      <c r="TRI6" s="2336"/>
      <c r="TRJ6" s="2337"/>
      <c r="TRK6" s="2338"/>
      <c r="TRL6" s="2336"/>
      <c r="TRM6" s="2337"/>
      <c r="TRN6" s="2338"/>
      <c r="TRO6" s="2336"/>
      <c r="TRP6" s="2337"/>
      <c r="TRQ6" s="2338"/>
      <c r="TRR6" s="2336"/>
      <c r="TRS6" s="2337"/>
      <c r="TRT6" s="2338"/>
      <c r="TRU6" s="2336"/>
      <c r="TRV6" s="2337"/>
      <c r="TRW6" s="2338"/>
      <c r="TRX6" s="2336"/>
      <c r="TRY6" s="2337"/>
      <c r="TRZ6" s="2338"/>
      <c r="TSA6" s="2336"/>
      <c r="TSB6" s="2337"/>
      <c r="TSC6" s="2338"/>
      <c r="TSD6" s="2336"/>
      <c r="TSE6" s="2337"/>
      <c r="TSF6" s="2338"/>
      <c r="TSG6" s="2336"/>
      <c r="TSH6" s="2337"/>
      <c r="TSI6" s="2338"/>
      <c r="TSJ6" s="2336"/>
      <c r="TSK6" s="2337"/>
      <c r="TSL6" s="2338"/>
      <c r="TSM6" s="2336"/>
      <c r="TSN6" s="2337"/>
      <c r="TSO6" s="2338"/>
      <c r="TSP6" s="2336"/>
      <c r="TSQ6" s="2337"/>
      <c r="TSR6" s="2338"/>
      <c r="TSS6" s="2336"/>
      <c r="TST6" s="2337"/>
      <c r="TSU6" s="2338"/>
      <c r="TSV6" s="2336"/>
      <c r="TSW6" s="2337"/>
      <c r="TSX6" s="2338"/>
      <c r="TSY6" s="2336"/>
      <c r="TSZ6" s="2337"/>
      <c r="TTA6" s="2338"/>
      <c r="TTB6" s="2336"/>
      <c r="TTC6" s="2337"/>
      <c r="TTD6" s="2338"/>
      <c r="TTE6" s="2336"/>
      <c r="TTF6" s="2337"/>
      <c r="TTG6" s="2338"/>
      <c r="TTH6" s="2336"/>
      <c r="TTI6" s="2337"/>
      <c r="TTJ6" s="2338"/>
      <c r="TTK6" s="2336"/>
      <c r="TTL6" s="2337"/>
      <c r="TTM6" s="2338"/>
      <c r="TTN6" s="2336"/>
      <c r="TTO6" s="2337"/>
      <c r="TTP6" s="2338"/>
      <c r="TTQ6" s="2336"/>
      <c r="TTR6" s="2337"/>
      <c r="TTS6" s="2338"/>
      <c r="TTT6" s="2336"/>
      <c r="TTU6" s="2337"/>
      <c r="TTV6" s="2338"/>
      <c r="TTW6" s="2336"/>
      <c r="TTX6" s="2337"/>
      <c r="TTY6" s="2338"/>
      <c r="TTZ6" s="2336"/>
      <c r="TUA6" s="2337"/>
      <c r="TUB6" s="2338"/>
      <c r="TUC6" s="2336"/>
      <c r="TUD6" s="2337"/>
      <c r="TUE6" s="2338"/>
      <c r="TUF6" s="2336"/>
      <c r="TUG6" s="2337"/>
      <c r="TUH6" s="2338"/>
      <c r="TUI6" s="2336"/>
      <c r="TUJ6" s="2337"/>
      <c r="TUK6" s="2338"/>
      <c r="TUL6" s="2336"/>
      <c r="TUM6" s="2337"/>
      <c r="TUN6" s="2338"/>
      <c r="TUO6" s="2336"/>
      <c r="TUP6" s="2337"/>
      <c r="TUQ6" s="2338"/>
      <c r="TUR6" s="2336"/>
      <c r="TUS6" s="2337"/>
      <c r="TUT6" s="2338"/>
      <c r="TUU6" s="2336"/>
      <c r="TUV6" s="2337"/>
      <c r="TUW6" s="2338"/>
      <c r="TUX6" s="2336"/>
      <c r="TUY6" s="2337"/>
      <c r="TUZ6" s="2338"/>
      <c r="TVA6" s="2336"/>
      <c r="TVB6" s="2337"/>
      <c r="TVC6" s="2338"/>
      <c r="TVD6" s="2336"/>
      <c r="TVE6" s="2337"/>
      <c r="TVF6" s="2338"/>
      <c r="TVG6" s="2336"/>
      <c r="TVH6" s="2337"/>
      <c r="TVI6" s="2338"/>
      <c r="TVJ6" s="2336"/>
      <c r="TVK6" s="2337"/>
      <c r="TVL6" s="2338"/>
      <c r="TVM6" s="2336"/>
      <c r="TVN6" s="2337"/>
      <c r="TVO6" s="2338"/>
      <c r="TVP6" s="2336"/>
      <c r="TVQ6" s="2337"/>
      <c r="TVR6" s="2338"/>
      <c r="TVS6" s="2336"/>
      <c r="TVT6" s="2337"/>
      <c r="TVU6" s="2338"/>
      <c r="TVV6" s="2336"/>
      <c r="TVW6" s="2337"/>
      <c r="TVX6" s="2338"/>
      <c r="TVY6" s="2336"/>
      <c r="TVZ6" s="2337"/>
      <c r="TWA6" s="2338"/>
      <c r="TWB6" s="2336"/>
      <c r="TWC6" s="2337"/>
      <c r="TWD6" s="2338"/>
      <c r="TWE6" s="2336"/>
      <c r="TWF6" s="2337"/>
      <c r="TWG6" s="2338"/>
      <c r="TWH6" s="2336"/>
      <c r="TWI6" s="2337"/>
      <c r="TWJ6" s="2338"/>
      <c r="TWK6" s="2336"/>
      <c r="TWL6" s="2337"/>
      <c r="TWM6" s="2338"/>
      <c r="TWN6" s="2336"/>
      <c r="TWO6" s="2337"/>
      <c r="TWP6" s="2338"/>
      <c r="TWQ6" s="2336"/>
      <c r="TWR6" s="2337"/>
      <c r="TWS6" s="2338"/>
      <c r="TWT6" s="2336"/>
      <c r="TWU6" s="2337"/>
      <c r="TWV6" s="2338"/>
      <c r="TWW6" s="2336"/>
      <c r="TWX6" s="2337"/>
      <c r="TWY6" s="2338"/>
      <c r="TWZ6" s="2336"/>
      <c r="TXA6" s="2337"/>
      <c r="TXB6" s="2338"/>
      <c r="TXC6" s="2336"/>
      <c r="TXD6" s="2337"/>
      <c r="TXE6" s="2338"/>
      <c r="TXF6" s="2336"/>
      <c r="TXG6" s="2337"/>
      <c r="TXH6" s="2338"/>
      <c r="TXI6" s="2336"/>
      <c r="TXJ6" s="2337"/>
      <c r="TXK6" s="2338"/>
      <c r="TXL6" s="2336"/>
      <c r="TXM6" s="2337"/>
      <c r="TXN6" s="2338"/>
      <c r="TXO6" s="2336"/>
      <c r="TXP6" s="2337"/>
      <c r="TXQ6" s="2338"/>
      <c r="TXR6" s="2336"/>
      <c r="TXS6" s="2337"/>
      <c r="TXT6" s="2338"/>
      <c r="TXU6" s="2336"/>
      <c r="TXV6" s="2337"/>
      <c r="TXW6" s="2338"/>
      <c r="TXX6" s="2336"/>
      <c r="TXY6" s="2337"/>
      <c r="TXZ6" s="2338"/>
      <c r="TYA6" s="2336"/>
      <c r="TYB6" s="2337"/>
      <c r="TYC6" s="2338"/>
      <c r="TYD6" s="2336"/>
      <c r="TYE6" s="2337"/>
      <c r="TYF6" s="2338"/>
      <c r="TYG6" s="2336"/>
      <c r="TYH6" s="2337"/>
      <c r="TYI6" s="2338"/>
      <c r="TYJ6" s="2336"/>
      <c r="TYK6" s="2337"/>
      <c r="TYL6" s="2338"/>
      <c r="TYM6" s="2336"/>
      <c r="TYN6" s="2337"/>
      <c r="TYO6" s="2338"/>
      <c r="TYP6" s="2336"/>
      <c r="TYQ6" s="2337"/>
      <c r="TYR6" s="2338"/>
      <c r="TYS6" s="2336"/>
      <c r="TYT6" s="2337"/>
      <c r="TYU6" s="2338"/>
      <c r="TYV6" s="2336"/>
      <c r="TYW6" s="2337"/>
      <c r="TYX6" s="2338"/>
      <c r="TYY6" s="2336"/>
      <c r="TYZ6" s="2337"/>
      <c r="TZA6" s="2338"/>
      <c r="TZB6" s="2336"/>
      <c r="TZC6" s="2337"/>
      <c r="TZD6" s="2338"/>
      <c r="TZE6" s="2336"/>
      <c r="TZF6" s="2337"/>
      <c r="TZG6" s="2338"/>
      <c r="TZH6" s="2336"/>
      <c r="TZI6" s="2337"/>
      <c r="TZJ6" s="2338"/>
      <c r="TZK6" s="2336"/>
      <c r="TZL6" s="2337"/>
      <c r="TZM6" s="2338"/>
      <c r="TZN6" s="2336"/>
      <c r="TZO6" s="2337"/>
      <c r="TZP6" s="2338"/>
      <c r="TZQ6" s="2336"/>
      <c r="TZR6" s="2337"/>
      <c r="TZS6" s="2338"/>
      <c r="TZT6" s="2336"/>
      <c r="TZU6" s="2337"/>
      <c r="TZV6" s="2338"/>
      <c r="TZW6" s="2336"/>
      <c r="TZX6" s="2337"/>
      <c r="TZY6" s="2338"/>
      <c r="TZZ6" s="2336"/>
      <c r="UAA6" s="2337"/>
      <c r="UAB6" s="2338"/>
      <c r="UAC6" s="2336"/>
      <c r="UAD6" s="2337"/>
      <c r="UAE6" s="2338"/>
      <c r="UAF6" s="2336"/>
      <c r="UAG6" s="2337"/>
      <c r="UAH6" s="2338"/>
      <c r="UAI6" s="2336"/>
      <c r="UAJ6" s="2337"/>
      <c r="UAK6" s="2338"/>
      <c r="UAL6" s="2336"/>
      <c r="UAM6" s="2337"/>
      <c r="UAN6" s="2338"/>
      <c r="UAO6" s="2336"/>
      <c r="UAP6" s="2337"/>
      <c r="UAQ6" s="2338"/>
      <c r="UAR6" s="2336"/>
      <c r="UAS6" s="2337"/>
      <c r="UAT6" s="2338"/>
      <c r="UAU6" s="2336"/>
      <c r="UAV6" s="2337"/>
      <c r="UAW6" s="2338"/>
      <c r="UAX6" s="2336"/>
      <c r="UAY6" s="2337"/>
      <c r="UAZ6" s="2338"/>
      <c r="UBA6" s="2336"/>
      <c r="UBB6" s="2337"/>
      <c r="UBC6" s="2338"/>
      <c r="UBD6" s="2336"/>
      <c r="UBE6" s="2337"/>
      <c r="UBF6" s="2338"/>
      <c r="UBG6" s="2336"/>
      <c r="UBH6" s="2337"/>
      <c r="UBI6" s="2338"/>
      <c r="UBJ6" s="2336"/>
      <c r="UBK6" s="2337"/>
      <c r="UBL6" s="2338"/>
      <c r="UBM6" s="2336"/>
      <c r="UBN6" s="2337"/>
      <c r="UBO6" s="2338"/>
      <c r="UBP6" s="2336"/>
      <c r="UBQ6" s="2337"/>
      <c r="UBR6" s="2338"/>
      <c r="UBS6" s="2336"/>
      <c r="UBT6" s="2337"/>
      <c r="UBU6" s="2338"/>
      <c r="UBV6" s="2336"/>
      <c r="UBW6" s="2337"/>
      <c r="UBX6" s="2338"/>
      <c r="UBY6" s="2336"/>
      <c r="UBZ6" s="2337"/>
      <c r="UCA6" s="2338"/>
      <c r="UCB6" s="2336"/>
      <c r="UCC6" s="2337"/>
      <c r="UCD6" s="2338"/>
      <c r="UCE6" s="2336"/>
      <c r="UCF6" s="2337"/>
      <c r="UCG6" s="2338"/>
      <c r="UCH6" s="2336"/>
      <c r="UCI6" s="2337"/>
      <c r="UCJ6" s="2338"/>
      <c r="UCK6" s="2336"/>
      <c r="UCL6" s="2337"/>
      <c r="UCM6" s="2338"/>
      <c r="UCN6" s="2336"/>
      <c r="UCO6" s="2337"/>
      <c r="UCP6" s="2338"/>
      <c r="UCQ6" s="2336"/>
      <c r="UCR6" s="2337"/>
      <c r="UCS6" s="2338"/>
      <c r="UCT6" s="2336"/>
      <c r="UCU6" s="2337"/>
      <c r="UCV6" s="2338"/>
      <c r="UCW6" s="2336"/>
      <c r="UCX6" s="2337"/>
      <c r="UCY6" s="2338"/>
      <c r="UCZ6" s="2336"/>
      <c r="UDA6" s="2337"/>
      <c r="UDB6" s="2338"/>
      <c r="UDC6" s="2336"/>
      <c r="UDD6" s="2337"/>
      <c r="UDE6" s="2338"/>
      <c r="UDF6" s="2336"/>
      <c r="UDG6" s="2337"/>
      <c r="UDH6" s="2338"/>
      <c r="UDI6" s="2336"/>
      <c r="UDJ6" s="2337"/>
      <c r="UDK6" s="2338"/>
      <c r="UDL6" s="2336"/>
      <c r="UDM6" s="2337"/>
      <c r="UDN6" s="2338"/>
      <c r="UDO6" s="2336"/>
      <c r="UDP6" s="2337"/>
      <c r="UDQ6" s="2338"/>
      <c r="UDR6" s="2336"/>
      <c r="UDS6" s="2337"/>
      <c r="UDT6" s="2338"/>
      <c r="UDU6" s="2336"/>
      <c r="UDV6" s="2337"/>
      <c r="UDW6" s="2338"/>
      <c r="UDX6" s="2336"/>
      <c r="UDY6" s="2337"/>
      <c r="UDZ6" s="2338"/>
      <c r="UEA6" s="2336"/>
      <c r="UEB6" s="2337"/>
      <c r="UEC6" s="2338"/>
      <c r="UED6" s="2336"/>
      <c r="UEE6" s="2337"/>
      <c r="UEF6" s="2338"/>
      <c r="UEG6" s="2336"/>
      <c r="UEH6" s="2337"/>
      <c r="UEI6" s="2338"/>
      <c r="UEJ6" s="2336"/>
      <c r="UEK6" s="2337"/>
      <c r="UEL6" s="2338"/>
      <c r="UEM6" s="2336"/>
      <c r="UEN6" s="2337"/>
      <c r="UEO6" s="2338"/>
      <c r="UEP6" s="2336"/>
      <c r="UEQ6" s="2337"/>
      <c r="UER6" s="2338"/>
      <c r="UES6" s="2336"/>
      <c r="UET6" s="2337"/>
      <c r="UEU6" s="2338"/>
      <c r="UEV6" s="2336"/>
      <c r="UEW6" s="2337"/>
      <c r="UEX6" s="2338"/>
      <c r="UEY6" s="2336"/>
      <c r="UEZ6" s="2337"/>
      <c r="UFA6" s="2338"/>
      <c r="UFB6" s="2336"/>
      <c r="UFC6" s="2337"/>
      <c r="UFD6" s="2338"/>
      <c r="UFE6" s="2336"/>
      <c r="UFF6" s="2337"/>
      <c r="UFG6" s="2338"/>
      <c r="UFH6" s="2336"/>
      <c r="UFI6" s="2337"/>
      <c r="UFJ6" s="2338"/>
      <c r="UFK6" s="2336"/>
      <c r="UFL6" s="2337"/>
      <c r="UFM6" s="2338"/>
      <c r="UFN6" s="2336"/>
      <c r="UFO6" s="2337"/>
      <c r="UFP6" s="2338"/>
      <c r="UFQ6" s="2336"/>
      <c r="UFR6" s="2337"/>
      <c r="UFS6" s="2338"/>
      <c r="UFT6" s="2336"/>
      <c r="UFU6" s="2337"/>
      <c r="UFV6" s="2338"/>
      <c r="UFW6" s="2336"/>
      <c r="UFX6" s="2337"/>
      <c r="UFY6" s="2338"/>
      <c r="UFZ6" s="2336"/>
      <c r="UGA6" s="2337"/>
      <c r="UGB6" s="2338"/>
      <c r="UGC6" s="2336"/>
      <c r="UGD6" s="2337"/>
      <c r="UGE6" s="2338"/>
      <c r="UGF6" s="2336"/>
      <c r="UGG6" s="2337"/>
      <c r="UGH6" s="2338"/>
      <c r="UGI6" s="2336"/>
      <c r="UGJ6" s="2337"/>
      <c r="UGK6" s="2338"/>
      <c r="UGL6" s="2336"/>
      <c r="UGM6" s="2337"/>
      <c r="UGN6" s="2338"/>
      <c r="UGO6" s="2336"/>
      <c r="UGP6" s="2337"/>
      <c r="UGQ6" s="2338"/>
      <c r="UGR6" s="2336"/>
      <c r="UGS6" s="2337"/>
      <c r="UGT6" s="2338"/>
      <c r="UGU6" s="2336"/>
      <c r="UGV6" s="2337"/>
      <c r="UGW6" s="2338"/>
      <c r="UGX6" s="2336"/>
      <c r="UGY6" s="2337"/>
      <c r="UGZ6" s="2338"/>
      <c r="UHA6" s="2336"/>
      <c r="UHB6" s="2337"/>
      <c r="UHC6" s="2338"/>
      <c r="UHD6" s="2336"/>
      <c r="UHE6" s="2337"/>
      <c r="UHF6" s="2338"/>
      <c r="UHG6" s="2336"/>
      <c r="UHH6" s="2337"/>
      <c r="UHI6" s="2338"/>
      <c r="UHJ6" s="2336"/>
      <c r="UHK6" s="2337"/>
      <c r="UHL6" s="2338"/>
      <c r="UHM6" s="2336"/>
      <c r="UHN6" s="2337"/>
      <c r="UHO6" s="2338"/>
      <c r="UHP6" s="2336"/>
      <c r="UHQ6" s="2337"/>
      <c r="UHR6" s="2338"/>
      <c r="UHS6" s="2336"/>
      <c r="UHT6" s="2337"/>
      <c r="UHU6" s="2338"/>
      <c r="UHV6" s="2336"/>
      <c r="UHW6" s="2337"/>
      <c r="UHX6" s="2338"/>
      <c r="UHY6" s="2336"/>
      <c r="UHZ6" s="2337"/>
      <c r="UIA6" s="2338"/>
      <c r="UIB6" s="2336"/>
      <c r="UIC6" s="2337"/>
      <c r="UID6" s="2338"/>
      <c r="UIE6" s="2336"/>
      <c r="UIF6" s="2337"/>
      <c r="UIG6" s="2338"/>
      <c r="UIH6" s="2336"/>
      <c r="UII6" s="2337"/>
      <c r="UIJ6" s="2338"/>
      <c r="UIK6" s="2336"/>
      <c r="UIL6" s="2337"/>
      <c r="UIM6" s="2338"/>
      <c r="UIN6" s="2336"/>
      <c r="UIO6" s="2337"/>
      <c r="UIP6" s="2338"/>
      <c r="UIQ6" s="2336"/>
      <c r="UIR6" s="2337"/>
      <c r="UIS6" s="2338"/>
      <c r="UIT6" s="2336"/>
      <c r="UIU6" s="2337"/>
      <c r="UIV6" s="2338"/>
      <c r="UIW6" s="2336"/>
      <c r="UIX6" s="2337"/>
      <c r="UIY6" s="2338"/>
      <c r="UIZ6" s="2336"/>
      <c r="UJA6" s="2337"/>
      <c r="UJB6" s="2338"/>
      <c r="UJC6" s="2336"/>
      <c r="UJD6" s="2337"/>
      <c r="UJE6" s="2338"/>
      <c r="UJF6" s="2336"/>
      <c r="UJG6" s="2337"/>
      <c r="UJH6" s="2338"/>
      <c r="UJI6" s="2336"/>
      <c r="UJJ6" s="2337"/>
      <c r="UJK6" s="2338"/>
      <c r="UJL6" s="2336"/>
      <c r="UJM6" s="2337"/>
      <c r="UJN6" s="2338"/>
      <c r="UJO6" s="2336"/>
      <c r="UJP6" s="2337"/>
      <c r="UJQ6" s="2338"/>
      <c r="UJR6" s="2336"/>
      <c r="UJS6" s="2337"/>
      <c r="UJT6" s="2338"/>
      <c r="UJU6" s="2336"/>
      <c r="UJV6" s="2337"/>
      <c r="UJW6" s="2338"/>
      <c r="UJX6" s="2336"/>
      <c r="UJY6" s="2337"/>
      <c r="UJZ6" s="2338"/>
      <c r="UKA6" s="2336"/>
      <c r="UKB6" s="2337"/>
      <c r="UKC6" s="2338"/>
      <c r="UKD6" s="2336"/>
      <c r="UKE6" s="2337"/>
      <c r="UKF6" s="2338"/>
      <c r="UKG6" s="2336"/>
      <c r="UKH6" s="2337"/>
      <c r="UKI6" s="2338"/>
      <c r="UKJ6" s="2336"/>
      <c r="UKK6" s="2337"/>
      <c r="UKL6" s="2338"/>
      <c r="UKM6" s="2336"/>
      <c r="UKN6" s="2337"/>
      <c r="UKO6" s="2338"/>
      <c r="UKP6" s="2336"/>
      <c r="UKQ6" s="2337"/>
      <c r="UKR6" s="2338"/>
      <c r="UKS6" s="2336"/>
      <c r="UKT6" s="2337"/>
      <c r="UKU6" s="2338"/>
      <c r="UKV6" s="2336"/>
      <c r="UKW6" s="2337"/>
      <c r="UKX6" s="2338"/>
      <c r="UKY6" s="2336"/>
      <c r="UKZ6" s="2337"/>
      <c r="ULA6" s="2338"/>
      <c r="ULB6" s="2336"/>
      <c r="ULC6" s="2337"/>
      <c r="ULD6" s="2338"/>
      <c r="ULE6" s="2336"/>
      <c r="ULF6" s="2337"/>
      <c r="ULG6" s="2338"/>
      <c r="ULH6" s="2336"/>
      <c r="ULI6" s="2337"/>
      <c r="ULJ6" s="2338"/>
      <c r="ULK6" s="2336"/>
      <c r="ULL6" s="2337"/>
      <c r="ULM6" s="2338"/>
      <c r="ULN6" s="2336"/>
      <c r="ULO6" s="2337"/>
      <c r="ULP6" s="2338"/>
      <c r="ULQ6" s="2336"/>
      <c r="ULR6" s="2337"/>
      <c r="ULS6" s="2338"/>
      <c r="ULT6" s="2336"/>
      <c r="ULU6" s="2337"/>
      <c r="ULV6" s="2338"/>
      <c r="ULW6" s="2336"/>
      <c r="ULX6" s="2337"/>
      <c r="ULY6" s="2338"/>
      <c r="ULZ6" s="2336"/>
      <c r="UMA6" s="2337"/>
      <c r="UMB6" s="2338"/>
      <c r="UMC6" s="2336"/>
      <c r="UMD6" s="2337"/>
      <c r="UME6" s="2338"/>
      <c r="UMF6" s="2336"/>
      <c r="UMG6" s="2337"/>
      <c r="UMH6" s="2338"/>
      <c r="UMI6" s="2336"/>
      <c r="UMJ6" s="2337"/>
      <c r="UMK6" s="2338"/>
      <c r="UML6" s="2336"/>
      <c r="UMM6" s="2337"/>
      <c r="UMN6" s="2338"/>
      <c r="UMO6" s="2336"/>
      <c r="UMP6" s="2337"/>
      <c r="UMQ6" s="2338"/>
      <c r="UMR6" s="2336"/>
      <c r="UMS6" s="2337"/>
      <c r="UMT6" s="2338"/>
      <c r="UMU6" s="2336"/>
      <c r="UMV6" s="2337"/>
      <c r="UMW6" s="2338"/>
      <c r="UMX6" s="2336"/>
      <c r="UMY6" s="2337"/>
      <c r="UMZ6" s="2338"/>
      <c r="UNA6" s="2336"/>
      <c r="UNB6" s="2337"/>
      <c r="UNC6" s="2338"/>
      <c r="UND6" s="2336"/>
      <c r="UNE6" s="2337"/>
      <c r="UNF6" s="2338"/>
      <c r="UNG6" s="2336"/>
      <c r="UNH6" s="2337"/>
      <c r="UNI6" s="2338"/>
      <c r="UNJ6" s="2336"/>
      <c r="UNK6" s="2337"/>
      <c r="UNL6" s="2338"/>
      <c r="UNM6" s="2336"/>
      <c r="UNN6" s="2337"/>
      <c r="UNO6" s="2338"/>
      <c r="UNP6" s="2336"/>
      <c r="UNQ6" s="2337"/>
      <c r="UNR6" s="2338"/>
      <c r="UNS6" s="2336"/>
      <c r="UNT6" s="2337"/>
      <c r="UNU6" s="2338"/>
      <c r="UNV6" s="2336"/>
      <c r="UNW6" s="2337"/>
      <c r="UNX6" s="2338"/>
      <c r="UNY6" s="2336"/>
      <c r="UNZ6" s="2337"/>
      <c r="UOA6" s="2338"/>
      <c r="UOB6" s="2336"/>
      <c r="UOC6" s="2337"/>
      <c r="UOD6" s="2338"/>
      <c r="UOE6" s="2336"/>
      <c r="UOF6" s="2337"/>
      <c r="UOG6" s="2338"/>
      <c r="UOH6" s="2336"/>
      <c r="UOI6" s="2337"/>
      <c r="UOJ6" s="2338"/>
      <c r="UOK6" s="2336"/>
      <c r="UOL6" s="2337"/>
      <c r="UOM6" s="2338"/>
      <c r="UON6" s="2336"/>
      <c r="UOO6" s="2337"/>
      <c r="UOP6" s="2338"/>
      <c r="UOQ6" s="2336"/>
      <c r="UOR6" s="2337"/>
      <c r="UOS6" s="2338"/>
      <c r="UOT6" s="2336"/>
      <c r="UOU6" s="2337"/>
      <c r="UOV6" s="2338"/>
      <c r="UOW6" s="2336"/>
      <c r="UOX6" s="2337"/>
      <c r="UOY6" s="2338"/>
      <c r="UOZ6" s="2336"/>
      <c r="UPA6" s="2337"/>
      <c r="UPB6" s="2338"/>
      <c r="UPC6" s="2336"/>
      <c r="UPD6" s="2337"/>
      <c r="UPE6" s="2338"/>
      <c r="UPF6" s="2336"/>
      <c r="UPG6" s="2337"/>
      <c r="UPH6" s="2338"/>
      <c r="UPI6" s="2336"/>
      <c r="UPJ6" s="2337"/>
      <c r="UPK6" s="2338"/>
      <c r="UPL6" s="2336"/>
      <c r="UPM6" s="2337"/>
      <c r="UPN6" s="2338"/>
      <c r="UPO6" s="2336"/>
      <c r="UPP6" s="2337"/>
      <c r="UPQ6" s="2338"/>
      <c r="UPR6" s="2336"/>
      <c r="UPS6" s="2337"/>
      <c r="UPT6" s="2338"/>
      <c r="UPU6" s="2336"/>
      <c r="UPV6" s="2337"/>
      <c r="UPW6" s="2338"/>
      <c r="UPX6" s="2336"/>
      <c r="UPY6" s="2337"/>
      <c r="UPZ6" s="2338"/>
      <c r="UQA6" s="2336"/>
      <c r="UQB6" s="2337"/>
      <c r="UQC6" s="2338"/>
      <c r="UQD6" s="2336"/>
      <c r="UQE6" s="2337"/>
      <c r="UQF6" s="2338"/>
      <c r="UQG6" s="2336"/>
      <c r="UQH6" s="2337"/>
      <c r="UQI6" s="2338"/>
      <c r="UQJ6" s="2336"/>
      <c r="UQK6" s="2337"/>
      <c r="UQL6" s="2338"/>
      <c r="UQM6" s="2336"/>
      <c r="UQN6" s="2337"/>
      <c r="UQO6" s="2338"/>
      <c r="UQP6" s="2336"/>
      <c r="UQQ6" s="2337"/>
      <c r="UQR6" s="2338"/>
      <c r="UQS6" s="2336"/>
      <c r="UQT6" s="2337"/>
      <c r="UQU6" s="2338"/>
      <c r="UQV6" s="2336"/>
      <c r="UQW6" s="2337"/>
      <c r="UQX6" s="2338"/>
      <c r="UQY6" s="2336"/>
      <c r="UQZ6" s="2337"/>
      <c r="URA6" s="2338"/>
      <c r="URB6" s="2336"/>
      <c r="URC6" s="2337"/>
      <c r="URD6" s="2338"/>
      <c r="URE6" s="2336"/>
      <c r="URF6" s="2337"/>
      <c r="URG6" s="2338"/>
      <c r="URH6" s="2336"/>
      <c r="URI6" s="2337"/>
      <c r="URJ6" s="2338"/>
      <c r="URK6" s="2336"/>
      <c r="URL6" s="2337"/>
      <c r="URM6" s="2338"/>
      <c r="URN6" s="2336"/>
      <c r="URO6" s="2337"/>
      <c r="URP6" s="2338"/>
      <c r="URQ6" s="2336"/>
      <c r="URR6" s="2337"/>
      <c r="URS6" s="2338"/>
      <c r="URT6" s="2336"/>
      <c r="URU6" s="2337"/>
      <c r="URV6" s="2338"/>
      <c r="URW6" s="2336"/>
      <c r="URX6" s="2337"/>
      <c r="URY6" s="2338"/>
      <c r="URZ6" s="2336"/>
      <c r="USA6" s="2337"/>
      <c r="USB6" s="2338"/>
      <c r="USC6" s="2336"/>
      <c r="USD6" s="2337"/>
      <c r="USE6" s="2338"/>
      <c r="USF6" s="2336"/>
      <c r="USG6" s="2337"/>
      <c r="USH6" s="2338"/>
      <c r="USI6" s="2336"/>
      <c r="USJ6" s="2337"/>
      <c r="USK6" s="2338"/>
      <c r="USL6" s="2336"/>
      <c r="USM6" s="2337"/>
      <c r="USN6" s="2338"/>
      <c r="USO6" s="2336"/>
      <c r="USP6" s="2337"/>
      <c r="USQ6" s="2338"/>
      <c r="USR6" s="2336"/>
      <c r="USS6" s="2337"/>
      <c r="UST6" s="2338"/>
      <c r="USU6" s="2336"/>
      <c r="USV6" s="2337"/>
      <c r="USW6" s="2338"/>
      <c r="USX6" s="2336"/>
      <c r="USY6" s="2337"/>
      <c r="USZ6" s="2338"/>
      <c r="UTA6" s="2336"/>
      <c r="UTB6" s="2337"/>
      <c r="UTC6" s="2338"/>
      <c r="UTD6" s="2336"/>
      <c r="UTE6" s="2337"/>
      <c r="UTF6" s="2338"/>
      <c r="UTG6" s="2336"/>
      <c r="UTH6" s="2337"/>
      <c r="UTI6" s="2338"/>
      <c r="UTJ6" s="2336"/>
      <c r="UTK6" s="2337"/>
      <c r="UTL6" s="2338"/>
      <c r="UTM6" s="2336"/>
      <c r="UTN6" s="2337"/>
      <c r="UTO6" s="2338"/>
      <c r="UTP6" s="2336"/>
      <c r="UTQ6" s="2337"/>
      <c r="UTR6" s="2338"/>
      <c r="UTS6" s="2336"/>
      <c r="UTT6" s="2337"/>
      <c r="UTU6" s="2338"/>
      <c r="UTV6" s="2336"/>
      <c r="UTW6" s="2337"/>
      <c r="UTX6" s="2338"/>
      <c r="UTY6" s="2336"/>
      <c r="UTZ6" s="2337"/>
      <c r="UUA6" s="2338"/>
      <c r="UUB6" s="2336"/>
      <c r="UUC6" s="2337"/>
      <c r="UUD6" s="2338"/>
      <c r="UUE6" s="2336"/>
      <c r="UUF6" s="2337"/>
      <c r="UUG6" s="2338"/>
      <c r="UUH6" s="2336"/>
      <c r="UUI6" s="2337"/>
      <c r="UUJ6" s="2338"/>
      <c r="UUK6" s="2336"/>
      <c r="UUL6" s="2337"/>
      <c r="UUM6" s="2338"/>
      <c r="UUN6" s="2336"/>
      <c r="UUO6" s="2337"/>
      <c r="UUP6" s="2338"/>
      <c r="UUQ6" s="2336"/>
      <c r="UUR6" s="2337"/>
      <c r="UUS6" s="2338"/>
      <c r="UUT6" s="2336"/>
      <c r="UUU6" s="2337"/>
      <c r="UUV6" s="2338"/>
      <c r="UUW6" s="2336"/>
      <c r="UUX6" s="2337"/>
      <c r="UUY6" s="2338"/>
      <c r="UUZ6" s="2336"/>
      <c r="UVA6" s="2337"/>
      <c r="UVB6" s="2338"/>
      <c r="UVC6" s="2336"/>
      <c r="UVD6" s="2337"/>
      <c r="UVE6" s="2338"/>
      <c r="UVF6" s="2336"/>
      <c r="UVG6" s="2337"/>
      <c r="UVH6" s="2338"/>
      <c r="UVI6" s="2336"/>
      <c r="UVJ6" s="2337"/>
      <c r="UVK6" s="2338"/>
      <c r="UVL6" s="2336"/>
      <c r="UVM6" s="2337"/>
      <c r="UVN6" s="2338"/>
      <c r="UVO6" s="2336"/>
      <c r="UVP6" s="2337"/>
      <c r="UVQ6" s="2338"/>
      <c r="UVR6" s="2336"/>
      <c r="UVS6" s="2337"/>
      <c r="UVT6" s="2338"/>
      <c r="UVU6" s="2336"/>
      <c r="UVV6" s="2337"/>
      <c r="UVW6" s="2338"/>
      <c r="UVX6" s="2336"/>
      <c r="UVY6" s="2337"/>
      <c r="UVZ6" s="2338"/>
      <c r="UWA6" s="2336"/>
      <c r="UWB6" s="2337"/>
      <c r="UWC6" s="2338"/>
      <c r="UWD6" s="2336"/>
      <c r="UWE6" s="2337"/>
      <c r="UWF6" s="2338"/>
      <c r="UWG6" s="2336"/>
      <c r="UWH6" s="2337"/>
      <c r="UWI6" s="2338"/>
      <c r="UWJ6" s="2336"/>
      <c r="UWK6" s="2337"/>
      <c r="UWL6" s="2338"/>
      <c r="UWM6" s="2336"/>
      <c r="UWN6" s="2337"/>
      <c r="UWO6" s="2338"/>
      <c r="UWP6" s="2336"/>
      <c r="UWQ6" s="2337"/>
      <c r="UWR6" s="2338"/>
      <c r="UWS6" s="2336"/>
      <c r="UWT6" s="2337"/>
      <c r="UWU6" s="2338"/>
      <c r="UWV6" s="2336"/>
      <c r="UWW6" s="2337"/>
      <c r="UWX6" s="2338"/>
      <c r="UWY6" s="2336"/>
      <c r="UWZ6" s="2337"/>
      <c r="UXA6" s="2338"/>
      <c r="UXB6" s="2336"/>
      <c r="UXC6" s="2337"/>
      <c r="UXD6" s="2338"/>
      <c r="UXE6" s="2336"/>
      <c r="UXF6" s="2337"/>
      <c r="UXG6" s="2338"/>
      <c r="UXH6" s="2336"/>
      <c r="UXI6" s="2337"/>
      <c r="UXJ6" s="2338"/>
      <c r="UXK6" s="2336"/>
      <c r="UXL6" s="2337"/>
      <c r="UXM6" s="2338"/>
      <c r="UXN6" s="2336"/>
      <c r="UXO6" s="2337"/>
      <c r="UXP6" s="2338"/>
      <c r="UXQ6" s="2336"/>
      <c r="UXR6" s="2337"/>
      <c r="UXS6" s="2338"/>
      <c r="UXT6" s="2336"/>
      <c r="UXU6" s="2337"/>
      <c r="UXV6" s="2338"/>
      <c r="UXW6" s="2336"/>
      <c r="UXX6" s="2337"/>
      <c r="UXY6" s="2338"/>
      <c r="UXZ6" s="2336"/>
      <c r="UYA6" s="2337"/>
      <c r="UYB6" s="2338"/>
      <c r="UYC6" s="2336"/>
      <c r="UYD6" s="2337"/>
      <c r="UYE6" s="2338"/>
      <c r="UYF6" s="2336"/>
      <c r="UYG6" s="2337"/>
      <c r="UYH6" s="2338"/>
      <c r="UYI6" s="2336"/>
      <c r="UYJ6" s="2337"/>
      <c r="UYK6" s="2338"/>
      <c r="UYL6" s="2336"/>
      <c r="UYM6" s="2337"/>
      <c r="UYN6" s="2338"/>
      <c r="UYO6" s="2336"/>
      <c r="UYP6" s="2337"/>
      <c r="UYQ6" s="2338"/>
      <c r="UYR6" s="2336"/>
      <c r="UYS6" s="2337"/>
      <c r="UYT6" s="2338"/>
      <c r="UYU6" s="2336"/>
      <c r="UYV6" s="2337"/>
      <c r="UYW6" s="2338"/>
      <c r="UYX6" s="2336"/>
      <c r="UYY6" s="2337"/>
      <c r="UYZ6" s="2338"/>
      <c r="UZA6" s="2336"/>
      <c r="UZB6" s="2337"/>
      <c r="UZC6" s="2338"/>
      <c r="UZD6" s="2336"/>
      <c r="UZE6" s="2337"/>
      <c r="UZF6" s="2338"/>
      <c r="UZG6" s="2336"/>
      <c r="UZH6" s="2337"/>
      <c r="UZI6" s="2338"/>
      <c r="UZJ6" s="2336"/>
      <c r="UZK6" s="2337"/>
      <c r="UZL6" s="2338"/>
      <c r="UZM6" s="2336"/>
      <c r="UZN6" s="2337"/>
      <c r="UZO6" s="2338"/>
      <c r="UZP6" s="2336"/>
      <c r="UZQ6" s="2337"/>
      <c r="UZR6" s="2338"/>
      <c r="UZS6" s="2336"/>
      <c r="UZT6" s="2337"/>
      <c r="UZU6" s="2338"/>
      <c r="UZV6" s="2336"/>
      <c r="UZW6" s="2337"/>
      <c r="UZX6" s="2338"/>
      <c r="UZY6" s="2336"/>
      <c r="UZZ6" s="2337"/>
      <c r="VAA6" s="2338"/>
      <c r="VAB6" s="2336"/>
      <c r="VAC6" s="2337"/>
      <c r="VAD6" s="2338"/>
      <c r="VAE6" s="2336"/>
      <c r="VAF6" s="2337"/>
      <c r="VAG6" s="2338"/>
      <c r="VAH6" s="2336"/>
      <c r="VAI6" s="2337"/>
      <c r="VAJ6" s="2338"/>
      <c r="VAK6" s="2336"/>
      <c r="VAL6" s="2337"/>
      <c r="VAM6" s="2338"/>
      <c r="VAN6" s="2336"/>
      <c r="VAO6" s="2337"/>
      <c r="VAP6" s="2338"/>
      <c r="VAQ6" s="2336"/>
      <c r="VAR6" s="2337"/>
      <c r="VAS6" s="2338"/>
      <c r="VAT6" s="2336"/>
      <c r="VAU6" s="2337"/>
      <c r="VAV6" s="2338"/>
      <c r="VAW6" s="2336"/>
      <c r="VAX6" s="2337"/>
      <c r="VAY6" s="2338"/>
      <c r="VAZ6" s="2336"/>
      <c r="VBA6" s="2337"/>
      <c r="VBB6" s="2338"/>
      <c r="VBC6" s="2336"/>
      <c r="VBD6" s="2337"/>
      <c r="VBE6" s="2338"/>
      <c r="VBF6" s="2336"/>
      <c r="VBG6" s="2337"/>
      <c r="VBH6" s="2338"/>
      <c r="VBI6" s="2336"/>
      <c r="VBJ6" s="2337"/>
      <c r="VBK6" s="2338"/>
      <c r="VBL6" s="2336"/>
      <c r="VBM6" s="2337"/>
      <c r="VBN6" s="2338"/>
      <c r="VBO6" s="2336"/>
      <c r="VBP6" s="2337"/>
      <c r="VBQ6" s="2338"/>
      <c r="VBR6" s="2336"/>
      <c r="VBS6" s="2337"/>
      <c r="VBT6" s="2338"/>
      <c r="VBU6" s="2336"/>
      <c r="VBV6" s="2337"/>
      <c r="VBW6" s="2338"/>
      <c r="VBX6" s="2336"/>
      <c r="VBY6" s="2337"/>
      <c r="VBZ6" s="2338"/>
      <c r="VCA6" s="2336"/>
      <c r="VCB6" s="2337"/>
      <c r="VCC6" s="2338"/>
      <c r="VCD6" s="2336"/>
      <c r="VCE6" s="2337"/>
      <c r="VCF6" s="2338"/>
      <c r="VCG6" s="2336"/>
      <c r="VCH6" s="2337"/>
      <c r="VCI6" s="2338"/>
      <c r="VCJ6" s="2336"/>
      <c r="VCK6" s="2337"/>
      <c r="VCL6" s="2338"/>
      <c r="VCM6" s="2336"/>
      <c r="VCN6" s="2337"/>
      <c r="VCO6" s="2338"/>
      <c r="VCP6" s="2336"/>
      <c r="VCQ6" s="2337"/>
      <c r="VCR6" s="2338"/>
      <c r="VCS6" s="2336"/>
      <c r="VCT6" s="2337"/>
      <c r="VCU6" s="2338"/>
      <c r="VCV6" s="2336"/>
      <c r="VCW6" s="2337"/>
      <c r="VCX6" s="2338"/>
      <c r="VCY6" s="2336"/>
      <c r="VCZ6" s="2337"/>
      <c r="VDA6" s="2338"/>
      <c r="VDB6" s="2336"/>
      <c r="VDC6" s="2337"/>
      <c r="VDD6" s="2338"/>
      <c r="VDE6" s="2336"/>
      <c r="VDF6" s="2337"/>
      <c r="VDG6" s="2338"/>
      <c r="VDH6" s="2336"/>
      <c r="VDI6" s="2337"/>
      <c r="VDJ6" s="2338"/>
      <c r="VDK6" s="2336"/>
      <c r="VDL6" s="2337"/>
      <c r="VDM6" s="2338"/>
      <c r="VDN6" s="2336"/>
      <c r="VDO6" s="2337"/>
      <c r="VDP6" s="2338"/>
      <c r="VDQ6" s="2336"/>
      <c r="VDR6" s="2337"/>
      <c r="VDS6" s="2338"/>
      <c r="VDT6" s="2336"/>
      <c r="VDU6" s="2337"/>
      <c r="VDV6" s="2338"/>
      <c r="VDW6" s="2336"/>
      <c r="VDX6" s="2337"/>
      <c r="VDY6" s="2338"/>
      <c r="VDZ6" s="2336"/>
      <c r="VEA6" s="2337"/>
      <c r="VEB6" s="2338"/>
      <c r="VEC6" s="2336"/>
      <c r="VED6" s="2337"/>
      <c r="VEE6" s="2338"/>
      <c r="VEF6" s="2336"/>
      <c r="VEG6" s="2337"/>
      <c r="VEH6" s="2338"/>
      <c r="VEI6" s="2336"/>
      <c r="VEJ6" s="2337"/>
      <c r="VEK6" s="2338"/>
      <c r="VEL6" s="2336"/>
      <c r="VEM6" s="2337"/>
      <c r="VEN6" s="2338"/>
      <c r="VEO6" s="2336"/>
      <c r="VEP6" s="2337"/>
      <c r="VEQ6" s="2338"/>
      <c r="VER6" s="2336"/>
      <c r="VES6" s="2337"/>
      <c r="VET6" s="2338"/>
      <c r="VEU6" s="2336"/>
      <c r="VEV6" s="2337"/>
      <c r="VEW6" s="2338"/>
      <c r="VEX6" s="2336"/>
      <c r="VEY6" s="2337"/>
      <c r="VEZ6" s="2338"/>
      <c r="VFA6" s="2336"/>
      <c r="VFB6" s="2337"/>
      <c r="VFC6" s="2338"/>
      <c r="VFD6" s="2336"/>
      <c r="VFE6" s="2337"/>
      <c r="VFF6" s="2338"/>
      <c r="VFG6" s="2336"/>
      <c r="VFH6" s="2337"/>
      <c r="VFI6" s="2338"/>
      <c r="VFJ6" s="2336"/>
      <c r="VFK6" s="2337"/>
      <c r="VFL6" s="2338"/>
      <c r="VFM6" s="2336"/>
      <c r="VFN6" s="2337"/>
      <c r="VFO6" s="2338"/>
      <c r="VFP6" s="2336"/>
      <c r="VFQ6" s="2337"/>
      <c r="VFR6" s="2338"/>
      <c r="VFS6" s="2336"/>
      <c r="VFT6" s="2337"/>
      <c r="VFU6" s="2338"/>
      <c r="VFV6" s="2336"/>
      <c r="VFW6" s="2337"/>
      <c r="VFX6" s="2338"/>
      <c r="VFY6" s="2336"/>
      <c r="VFZ6" s="2337"/>
      <c r="VGA6" s="2338"/>
      <c r="VGB6" s="2336"/>
      <c r="VGC6" s="2337"/>
      <c r="VGD6" s="2338"/>
      <c r="VGE6" s="2336"/>
      <c r="VGF6" s="2337"/>
      <c r="VGG6" s="2338"/>
      <c r="VGH6" s="2336"/>
      <c r="VGI6" s="2337"/>
      <c r="VGJ6" s="2338"/>
      <c r="VGK6" s="2336"/>
      <c r="VGL6" s="2337"/>
      <c r="VGM6" s="2338"/>
      <c r="VGN6" s="2336"/>
      <c r="VGO6" s="2337"/>
      <c r="VGP6" s="2338"/>
      <c r="VGQ6" s="2336"/>
      <c r="VGR6" s="2337"/>
      <c r="VGS6" s="2338"/>
      <c r="VGT6" s="2336"/>
      <c r="VGU6" s="2337"/>
      <c r="VGV6" s="2338"/>
      <c r="VGW6" s="2336"/>
      <c r="VGX6" s="2337"/>
      <c r="VGY6" s="2338"/>
      <c r="VGZ6" s="2336"/>
      <c r="VHA6" s="2337"/>
      <c r="VHB6" s="2338"/>
      <c r="VHC6" s="2336"/>
      <c r="VHD6" s="2337"/>
      <c r="VHE6" s="2338"/>
      <c r="VHF6" s="2336"/>
      <c r="VHG6" s="2337"/>
      <c r="VHH6" s="2338"/>
      <c r="VHI6" s="2336"/>
      <c r="VHJ6" s="2337"/>
      <c r="VHK6" s="2338"/>
      <c r="VHL6" s="2336"/>
      <c r="VHM6" s="2337"/>
      <c r="VHN6" s="2338"/>
      <c r="VHO6" s="2336"/>
      <c r="VHP6" s="2337"/>
      <c r="VHQ6" s="2338"/>
      <c r="VHR6" s="2336"/>
      <c r="VHS6" s="2337"/>
      <c r="VHT6" s="2338"/>
      <c r="VHU6" s="2336"/>
      <c r="VHV6" s="2337"/>
      <c r="VHW6" s="2338"/>
      <c r="VHX6" s="2336"/>
      <c r="VHY6" s="2337"/>
      <c r="VHZ6" s="2338"/>
      <c r="VIA6" s="2336"/>
      <c r="VIB6" s="2337"/>
      <c r="VIC6" s="2338"/>
      <c r="VID6" s="2336"/>
      <c r="VIE6" s="2337"/>
      <c r="VIF6" s="2338"/>
      <c r="VIG6" s="2336"/>
      <c r="VIH6" s="2337"/>
      <c r="VII6" s="2338"/>
      <c r="VIJ6" s="2336"/>
      <c r="VIK6" s="2337"/>
      <c r="VIL6" s="2338"/>
      <c r="VIM6" s="2336"/>
      <c r="VIN6" s="2337"/>
      <c r="VIO6" s="2338"/>
      <c r="VIP6" s="2336"/>
      <c r="VIQ6" s="2337"/>
      <c r="VIR6" s="2338"/>
      <c r="VIS6" s="2336"/>
      <c r="VIT6" s="2337"/>
      <c r="VIU6" s="2338"/>
      <c r="VIV6" s="2336"/>
      <c r="VIW6" s="2337"/>
      <c r="VIX6" s="2338"/>
      <c r="VIY6" s="2336"/>
      <c r="VIZ6" s="2337"/>
      <c r="VJA6" s="2338"/>
      <c r="VJB6" s="2336"/>
      <c r="VJC6" s="2337"/>
      <c r="VJD6" s="2338"/>
      <c r="VJE6" s="2336"/>
      <c r="VJF6" s="2337"/>
      <c r="VJG6" s="2338"/>
      <c r="VJH6" s="2336"/>
      <c r="VJI6" s="2337"/>
      <c r="VJJ6" s="2338"/>
      <c r="VJK6" s="2336"/>
      <c r="VJL6" s="2337"/>
      <c r="VJM6" s="2338"/>
      <c r="VJN6" s="2336"/>
      <c r="VJO6" s="2337"/>
      <c r="VJP6" s="2338"/>
      <c r="VJQ6" s="2336"/>
      <c r="VJR6" s="2337"/>
      <c r="VJS6" s="2338"/>
      <c r="VJT6" s="2336"/>
      <c r="VJU6" s="2337"/>
      <c r="VJV6" s="2338"/>
      <c r="VJW6" s="2336"/>
      <c r="VJX6" s="2337"/>
      <c r="VJY6" s="2338"/>
      <c r="VJZ6" s="2336"/>
      <c r="VKA6" s="2337"/>
      <c r="VKB6" s="2338"/>
      <c r="VKC6" s="2336"/>
      <c r="VKD6" s="2337"/>
      <c r="VKE6" s="2338"/>
      <c r="VKF6" s="2336"/>
      <c r="VKG6" s="2337"/>
      <c r="VKH6" s="2338"/>
      <c r="VKI6" s="2336"/>
      <c r="VKJ6" s="2337"/>
      <c r="VKK6" s="2338"/>
      <c r="VKL6" s="2336"/>
      <c r="VKM6" s="2337"/>
      <c r="VKN6" s="2338"/>
      <c r="VKO6" s="2336"/>
      <c r="VKP6" s="2337"/>
      <c r="VKQ6" s="2338"/>
      <c r="VKR6" s="2336"/>
      <c r="VKS6" s="2337"/>
      <c r="VKT6" s="2338"/>
      <c r="VKU6" s="2336"/>
      <c r="VKV6" s="2337"/>
      <c r="VKW6" s="2338"/>
      <c r="VKX6" s="2336"/>
      <c r="VKY6" s="2337"/>
      <c r="VKZ6" s="2338"/>
      <c r="VLA6" s="2336"/>
      <c r="VLB6" s="2337"/>
      <c r="VLC6" s="2338"/>
      <c r="VLD6" s="2336"/>
      <c r="VLE6" s="2337"/>
      <c r="VLF6" s="2338"/>
      <c r="VLG6" s="2336"/>
      <c r="VLH6" s="2337"/>
      <c r="VLI6" s="2338"/>
      <c r="VLJ6" s="2336"/>
      <c r="VLK6" s="2337"/>
      <c r="VLL6" s="2338"/>
      <c r="VLM6" s="2336"/>
      <c r="VLN6" s="2337"/>
      <c r="VLO6" s="2338"/>
      <c r="VLP6" s="2336"/>
      <c r="VLQ6" s="2337"/>
      <c r="VLR6" s="2338"/>
      <c r="VLS6" s="2336"/>
      <c r="VLT6" s="2337"/>
      <c r="VLU6" s="2338"/>
      <c r="VLV6" s="2336"/>
      <c r="VLW6" s="2337"/>
      <c r="VLX6" s="2338"/>
      <c r="VLY6" s="2336"/>
      <c r="VLZ6" s="2337"/>
      <c r="VMA6" s="2338"/>
      <c r="VMB6" s="2336"/>
      <c r="VMC6" s="2337"/>
      <c r="VMD6" s="2338"/>
      <c r="VME6" s="2336"/>
      <c r="VMF6" s="2337"/>
      <c r="VMG6" s="2338"/>
      <c r="VMH6" s="2336"/>
      <c r="VMI6" s="2337"/>
      <c r="VMJ6" s="2338"/>
      <c r="VMK6" s="2336"/>
      <c r="VML6" s="2337"/>
      <c r="VMM6" s="2338"/>
      <c r="VMN6" s="2336"/>
      <c r="VMO6" s="2337"/>
      <c r="VMP6" s="2338"/>
      <c r="VMQ6" s="2336"/>
      <c r="VMR6" s="2337"/>
      <c r="VMS6" s="2338"/>
      <c r="VMT6" s="2336"/>
      <c r="VMU6" s="2337"/>
      <c r="VMV6" s="2338"/>
      <c r="VMW6" s="2336"/>
      <c r="VMX6" s="2337"/>
      <c r="VMY6" s="2338"/>
      <c r="VMZ6" s="2336"/>
      <c r="VNA6" s="2337"/>
      <c r="VNB6" s="2338"/>
      <c r="VNC6" s="2336"/>
      <c r="VND6" s="2337"/>
      <c r="VNE6" s="2338"/>
      <c r="VNF6" s="2336"/>
      <c r="VNG6" s="2337"/>
      <c r="VNH6" s="2338"/>
      <c r="VNI6" s="2336"/>
      <c r="VNJ6" s="2337"/>
      <c r="VNK6" s="2338"/>
      <c r="VNL6" s="2336"/>
      <c r="VNM6" s="2337"/>
      <c r="VNN6" s="2338"/>
      <c r="VNO6" s="2336"/>
      <c r="VNP6" s="2337"/>
      <c r="VNQ6" s="2338"/>
      <c r="VNR6" s="2336"/>
      <c r="VNS6" s="2337"/>
      <c r="VNT6" s="2338"/>
      <c r="VNU6" s="2336"/>
      <c r="VNV6" s="2337"/>
      <c r="VNW6" s="2338"/>
      <c r="VNX6" s="2336"/>
      <c r="VNY6" s="2337"/>
      <c r="VNZ6" s="2338"/>
      <c r="VOA6" s="2336"/>
      <c r="VOB6" s="2337"/>
      <c r="VOC6" s="2338"/>
      <c r="VOD6" s="2336"/>
      <c r="VOE6" s="2337"/>
      <c r="VOF6" s="2338"/>
      <c r="VOG6" s="2336"/>
      <c r="VOH6" s="2337"/>
      <c r="VOI6" s="2338"/>
      <c r="VOJ6" s="2336"/>
      <c r="VOK6" s="2337"/>
      <c r="VOL6" s="2338"/>
      <c r="VOM6" s="2336"/>
      <c r="VON6" s="2337"/>
      <c r="VOO6" s="2338"/>
      <c r="VOP6" s="2336"/>
      <c r="VOQ6" s="2337"/>
      <c r="VOR6" s="2338"/>
      <c r="VOS6" s="2336"/>
      <c r="VOT6" s="2337"/>
      <c r="VOU6" s="2338"/>
      <c r="VOV6" s="2336"/>
      <c r="VOW6" s="2337"/>
      <c r="VOX6" s="2338"/>
      <c r="VOY6" s="2336"/>
      <c r="VOZ6" s="2337"/>
      <c r="VPA6" s="2338"/>
      <c r="VPB6" s="2336"/>
      <c r="VPC6" s="2337"/>
      <c r="VPD6" s="2338"/>
      <c r="VPE6" s="2336"/>
      <c r="VPF6" s="2337"/>
      <c r="VPG6" s="2338"/>
      <c r="VPH6" s="2336"/>
      <c r="VPI6" s="2337"/>
      <c r="VPJ6" s="2338"/>
      <c r="VPK6" s="2336"/>
      <c r="VPL6" s="2337"/>
      <c r="VPM6" s="2338"/>
      <c r="VPN6" s="2336"/>
      <c r="VPO6" s="2337"/>
      <c r="VPP6" s="2338"/>
      <c r="VPQ6" s="2336"/>
      <c r="VPR6" s="2337"/>
      <c r="VPS6" s="2338"/>
      <c r="VPT6" s="2336"/>
      <c r="VPU6" s="2337"/>
      <c r="VPV6" s="2338"/>
      <c r="VPW6" s="2336"/>
      <c r="VPX6" s="2337"/>
      <c r="VPY6" s="2338"/>
      <c r="VPZ6" s="2336"/>
      <c r="VQA6" s="2337"/>
      <c r="VQB6" s="2338"/>
      <c r="VQC6" s="2336"/>
      <c r="VQD6" s="2337"/>
      <c r="VQE6" s="2338"/>
      <c r="VQF6" s="2336"/>
      <c r="VQG6" s="2337"/>
      <c r="VQH6" s="2338"/>
      <c r="VQI6" s="2336"/>
      <c r="VQJ6" s="2337"/>
      <c r="VQK6" s="2338"/>
      <c r="VQL6" s="2336"/>
      <c r="VQM6" s="2337"/>
      <c r="VQN6" s="2338"/>
      <c r="VQO6" s="2336"/>
      <c r="VQP6" s="2337"/>
      <c r="VQQ6" s="2338"/>
      <c r="VQR6" s="2336"/>
      <c r="VQS6" s="2337"/>
      <c r="VQT6" s="2338"/>
      <c r="VQU6" s="2336"/>
      <c r="VQV6" s="2337"/>
      <c r="VQW6" s="2338"/>
      <c r="VQX6" s="2336"/>
      <c r="VQY6" s="2337"/>
      <c r="VQZ6" s="2338"/>
      <c r="VRA6" s="2336"/>
      <c r="VRB6" s="2337"/>
      <c r="VRC6" s="2338"/>
      <c r="VRD6" s="2336"/>
      <c r="VRE6" s="2337"/>
      <c r="VRF6" s="2338"/>
      <c r="VRG6" s="2336"/>
      <c r="VRH6" s="2337"/>
      <c r="VRI6" s="2338"/>
      <c r="VRJ6" s="2336"/>
      <c r="VRK6" s="2337"/>
      <c r="VRL6" s="2338"/>
      <c r="VRM6" s="2336"/>
      <c r="VRN6" s="2337"/>
      <c r="VRO6" s="2338"/>
      <c r="VRP6" s="2336"/>
      <c r="VRQ6" s="2337"/>
      <c r="VRR6" s="2338"/>
      <c r="VRS6" s="2336"/>
      <c r="VRT6" s="2337"/>
      <c r="VRU6" s="2338"/>
      <c r="VRV6" s="2336"/>
      <c r="VRW6" s="2337"/>
      <c r="VRX6" s="2338"/>
      <c r="VRY6" s="2336"/>
      <c r="VRZ6" s="2337"/>
      <c r="VSA6" s="2338"/>
      <c r="VSB6" s="2336"/>
      <c r="VSC6" s="2337"/>
      <c r="VSD6" s="2338"/>
      <c r="VSE6" s="2336"/>
      <c r="VSF6" s="2337"/>
      <c r="VSG6" s="2338"/>
      <c r="VSH6" s="2336"/>
      <c r="VSI6" s="2337"/>
      <c r="VSJ6" s="2338"/>
      <c r="VSK6" s="2336"/>
      <c r="VSL6" s="2337"/>
      <c r="VSM6" s="2338"/>
      <c r="VSN6" s="2336"/>
      <c r="VSO6" s="2337"/>
      <c r="VSP6" s="2338"/>
      <c r="VSQ6" s="2336"/>
      <c r="VSR6" s="2337"/>
      <c r="VSS6" s="2338"/>
      <c r="VST6" s="2336"/>
      <c r="VSU6" s="2337"/>
      <c r="VSV6" s="2338"/>
      <c r="VSW6" s="2336"/>
      <c r="VSX6" s="2337"/>
      <c r="VSY6" s="2338"/>
      <c r="VSZ6" s="2336"/>
      <c r="VTA6" s="2337"/>
      <c r="VTB6" s="2338"/>
      <c r="VTC6" s="2336"/>
      <c r="VTD6" s="2337"/>
      <c r="VTE6" s="2338"/>
      <c r="VTF6" s="2336"/>
      <c r="VTG6" s="2337"/>
      <c r="VTH6" s="2338"/>
      <c r="VTI6" s="2336"/>
      <c r="VTJ6" s="2337"/>
      <c r="VTK6" s="2338"/>
      <c r="VTL6" s="2336"/>
      <c r="VTM6" s="2337"/>
      <c r="VTN6" s="2338"/>
      <c r="VTO6" s="2336"/>
      <c r="VTP6" s="2337"/>
      <c r="VTQ6" s="2338"/>
      <c r="VTR6" s="2336"/>
      <c r="VTS6" s="2337"/>
      <c r="VTT6" s="2338"/>
      <c r="VTU6" s="2336"/>
      <c r="VTV6" s="2337"/>
      <c r="VTW6" s="2338"/>
      <c r="VTX6" s="2336"/>
      <c r="VTY6" s="2337"/>
      <c r="VTZ6" s="2338"/>
      <c r="VUA6" s="2336"/>
      <c r="VUB6" s="2337"/>
      <c r="VUC6" s="2338"/>
      <c r="VUD6" s="2336"/>
      <c r="VUE6" s="2337"/>
      <c r="VUF6" s="2338"/>
      <c r="VUG6" s="2336"/>
      <c r="VUH6" s="2337"/>
      <c r="VUI6" s="2338"/>
      <c r="VUJ6" s="2336"/>
      <c r="VUK6" s="2337"/>
      <c r="VUL6" s="2338"/>
      <c r="VUM6" s="2336"/>
      <c r="VUN6" s="2337"/>
      <c r="VUO6" s="2338"/>
      <c r="VUP6" s="2336"/>
      <c r="VUQ6" s="2337"/>
      <c r="VUR6" s="2338"/>
      <c r="VUS6" s="2336"/>
      <c r="VUT6" s="2337"/>
      <c r="VUU6" s="2338"/>
      <c r="VUV6" s="2336"/>
      <c r="VUW6" s="2337"/>
      <c r="VUX6" s="2338"/>
      <c r="VUY6" s="2336"/>
      <c r="VUZ6" s="2337"/>
      <c r="VVA6" s="2338"/>
      <c r="VVB6" s="2336"/>
      <c r="VVC6" s="2337"/>
      <c r="VVD6" s="2338"/>
      <c r="VVE6" s="2336"/>
      <c r="VVF6" s="2337"/>
      <c r="VVG6" s="2338"/>
      <c r="VVH6" s="2336"/>
      <c r="VVI6" s="2337"/>
      <c r="VVJ6" s="2338"/>
      <c r="VVK6" s="2336"/>
      <c r="VVL6" s="2337"/>
      <c r="VVM6" s="2338"/>
      <c r="VVN6" s="2336"/>
      <c r="VVO6" s="2337"/>
      <c r="VVP6" s="2338"/>
      <c r="VVQ6" s="2336"/>
      <c r="VVR6" s="2337"/>
      <c r="VVS6" s="2338"/>
      <c r="VVT6" s="2336"/>
      <c r="VVU6" s="2337"/>
      <c r="VVV6" s="2338"/>
      <c r="VVW6" s="2336"/>
      <c r="VVX6" s="2337"/>
      <c r="VVY6" s="2338"/>
      <c r="VVZ6" s="2336"/>
      <c r="VWA6" s="2337"/>
      <c r="VWB6" s="2338"/>
      <c r="VWC6" s="2336"/>
      <c r="VWD6" s="2337"/>
      <c r="VWE6" s="2338"/>
      <c r="VWF6" s="2336"/>
      <c r="VWG6" s="2337"/>
      <c r="VWH6" s="2338"/>
      <c r="VWI6" s="2336"/>
      <c r="VWJ6" s="2337"/>
      <c r="VWK6" s="2338"/>
      <c r="VWL6" s="2336"/>
      <c r="VWM6" s="2337"/>
      <c r="VWN6" s="2338"/>
      <c r="VWO6" s="2336"/>
      <c r="VWP6" s="2337"/>
      <c r="VWQ6" s="2338"/>
      <c r="VWR6" s="2336"/>
      <c r="VWS6" s="2337"/>
      <c r="VWT6" s="2338"/>
      <c r="VWU6" s="2336"/>
      <c r="VWV6" s="2337"/>
      <c r="VWW6" s="2338"/>
      <c r="VWX6" s="2336"/>
      <c r="VWY6" s="2337"/>
      <c r="VWZ6" s="2338"/>
      <c r="VXA6" s="2336"/>
      <c r="VXB6" s="2337"/>
      <c r="VXC6" s="2338"/>
      <c r="VXD6" s="2336"/>
      <c r="VXE6" s="2337"/>
      <c r="VXF6" s="2338"/>
      <c r="VXG6" s="2336"/>
      <c r="VXH6" s="2337"/>
      <c r="VXI6" s="2338"/>
      <c r="VXJ6" s="2336"/>
      <c r="VXK6" s="2337"/>
      <c r="VXL6" s="2338"/>
      <c r="VXM6" s="2336"/>
      <c r="VXN6" s="2337"/>
      <c r="VXO6" s="2338"/>
      <c r="VXP6" s="2336"/>
      <c r="VXQ6" s="2337"/>
      <c r="VXR6" s="2338"/>
      <c r="VXS6" s="2336"/>
      <c r="VXT6" s="2337"/>
      <c r="VXU6" s="2338"/>
      <c r="VXV6" s="2336"/>
      <c r="VXW6" s="2337"/>
      <c r="VXX6" s="2338"/>
      <c r="VXY6" s="2336"/>
      <c r="VXZ6" s="2337"/>
      <c r="VYA6" s="2338"/>
      <c r="VYB6" s="2336"/>
      <c r="VYC6" s="2337"/>
      <c r="VYD6" s="2338"/>
      <c r="VYE6" s="2336"/>
      <c r="VYF6" s="2337"/>
      <c r="VYG6" s="2338"/>
      <c r="VYH6" s="2336"/>
      <c r="VYI6" s="2337"/>
      <c r="VYJ6" s="2338"/>
      <c r="VYK6" s="2336"/>
      <c r="VYL6" s="2337"/>
      <c r="VYM6" s="2338"/>
      <c r="VYN6" s="2336"/>
      <c r="VYO6" s="2337"/>
      <c r="VYP6" s="2338"/>
      <c r="VYQ6" s="2336"/>
      <c r="VYR6" s="2337"/>
      <c r="VYS6" s="2338"/>
      <c r="VYT6" s="2336"/>
      <c r="VYU6" s="2337"/>
      <c r="VYV6" s="2338"/>
      <c r="VYW6" s="2336"/>
      <c r="VYX6" s="2337"/>
      <c r="VYY6" s="2338"/>
      <c r="VYZ6" s="2336"/>
      <c r="VZA6" s="2337"/>
      <c r="VZB6" s="2338"/>
      <c r="VZC6" s="2336"/>
      <c r="VZD6" s="2337"/>
      <c r="VZE6" s="2338"/>
      <c r="VZF6" s="2336"/>
      <c r="VZG6" s="2337"/>
      <c r="VZH6" s="2338"/>
      <c r="VZI6" s="2336"/>
      <c r="VZJ6" s="2337"/>
      <c r="VZK6" s="2338"/>
      <c r="VZL6" s="2336"/>
      <c r="VZM6" s="2337"/>
      <c r="VZN6" s="2338"/>
      <c r="VZO6" s="2336"/>
      <c r="VZP6" s="2337"/>
      <c r="VZQ6" s="2338"/>
      <c r="VZR6" s="2336"/>
      <c r="VZS6" s="2337"/>
      <c r="VZT6" s="2338"/>
      <c r="VZU6" s="2336"/>
      <c r="VZV6" s="2337"/>
      <c r="VZW6" s="2338"/>
      <c r="VZX6" s="2336"/>
      <c r="VZY6" s="2337"/>
      <c r="VZZ6" s="2338"/>
      <c r="WAA6" s="2336"/>
      <c r="WAB6" s="2337"/>
      <c r="WAC6" s="2338"/>
      <c r="WAD6" s="2336"/>
      <c r="WAE6" s="2337"/>
      <c r="WAF6" s="2338"/>
      <c r="WAG6" s="2336"/>
      <c r="WAH6" s="2337"/>
      <c r="WAI6" s="2338"/>
      <c r="WAJ6" s="2336"/>
      <c r="WAK6" s="2337"/>
      <c r="WAL6" s="2338"/>
      <c r="WAM6" s="2336"/>
      <c r="WAN6" s="2337"/>
      <c r="WAO6" s="2338"/>
      <c r="WAP6" s="2336"/>
      <c r="WAQ6" s="2337"/>
      <c r="WAR6" s="2338"/>
      <c r="WAS6" s="2336"/>
      <c r="WAT6" s="2337"/>
      <c r="WAU6" s="2338"/>
      <c r="WAV6" s="2336"/>
      <c r="WAW6" s="2337"/>
      <c r="WAX6" s="2338"/>
      <c r="WAY6" s="2336"/>
      <c r="WAZ6" s="2337"/>
      <c r="WBA6" s="2338"/>
      <c r="WBB6" s="2336"/>
      <c r="WBC6" s="2337"/>
      <c r="WBD6" s="2338"/>
      <c r="WBE6" s="2336"/>
      <c r="WBF6" s="2337"/>
      <c r="WBG6" s="2338"/>
      <c r="WBH6" s="2336"/>
      <c r="WBI6" s="2337"/>
      <c r="WBJ6" s="2338"/>
      <c r="WBK6" s="2336"/>
      <c r="WBL6" s="2337"/>
      <c r="WBM6" s="2338"/>
      <c r="WBN6" s="2336"/>
      <c r="WBO6" s="2337"/>
      <c r="WBP6" s="2338"/>
      <c r="WBQ6" s="2336"/>
      <c r="WBR6" s="2337"/>
      <c r="WBS6" s="2338"/>
      <c r="WBT6" s="2336"/>
      <c r="WBU6" s="2337"/>
      <c r="WBV6" s="2338"/>
      <c r="WBW6" s="2336"/>
      <c r="WBX6" s="2337"/>
      <c r="WBY6" s="2338"/>
      <c r="WBZ6" s="2336"/>
      <c r="WCA6" s="2337"/>
      <c r="WCB6" s="2338"/>
      <c r="WCC6" s="2336"/>
      <c r="WCD6" s="2337"/>
      <c r="WCE6" s="2338"/>
      <c r="WCF6" s="2336"/>
      <c r="WCG6" s="2337"/>
      <c r="WCH6" s="2338"/>
      <c r="WCI6" s="2336"/>
      <c r="WCJ6" s="2337"/>
      <c r="WCK6" s="2338"/>
      <c r="WCL6" s="2336"/>
      <c r="WCM6" s="2337"/>
      <c r="WCN6" s="2338"/>
      <c r="WCO6" s="2336"/>
      <c r="WCP6" s="2337"/>
      <c r="WCQ6" s="2338"/>
      <c r="WCR6" s="2336"/>
      <c r="WCS6" s="2337"/>
      <c r="WCT6" s="2338"/>
      <c r="WCU6" s="2336"/>
      <c r="WCV6" s="2337"/>
      <c r="WCW6" s="2338"/>
      <c r="WCX6" s="2336"/>
      <c r="WCY6" s="2337"/>
      <c r="WCZ6" s="2338"/>
      <c r="WDA6" s="2336"/>
      <c r="WDB6" s="2337"/>
      <c r="WDC6" s="2338"/>
      <c r="WDD6" s="2336"/>
      <c r="WDE6" s="2337"/>
      <c r="WDF6" s="2338"/>
      <c r="WDG6" s="2336"/>
      <c r="WDH6" s="2337"/>
      <c r="WDI6" s="2338"/>
      <c r="WDJ6" s="2336"/>
      <c r="WDK6" s="2337"/>
      <c r="WDL6" s="2338"/>
      <c r="WDM6" s="2336"/>
      <c r="WDN6" s="2337"/>
      <c r="WDO6" s="2338"/>
      <c r="WDP6" s="2336"/>
      <c r="WDQ6" s="2337"/>
      <c r="WDR6" s="2338"/>
      <c r="WDS6" s="2336"/>
      <c r="WDT6" s="2337"/>
      <c r="WDU6" s="2338"/>
      <c r="WDV6" s="2336"/>
      <c r="WDW6" s="2337"/>
      <c r="WDX6" s="2338"/>
      <c r="WDY6" s="2336"/>
      <c r="WDZ6" s="2337"/>
      <c r="WEA6" s="2338"/>
      <c r="WEB6" s="2336"/>
      <c r="WEC6" s="2337"/>
      <c r="WED6" s="2338"/>
      <c r="WEE6" s="2336"/>
      <c r="WEF6" s="2337"/>
      <c r="WEG6" s="2338"/>
      <c r="WEH6" s="2336"/>
      <c r="WEI6" s="2337"/>
      <c r="WEJ6" s="2338"/>
      <c r="WEK6" s="2336"/>
      <c r="WEL6" s="2337"/>
      <c r="WEM6" s="2338"/>
      <c r="WEN6" s="2336"/>
      <c r="WEO6" s="2337"/>
      <c r="WEP6" s="2338"/>
      <c r="WEQ6" s="2336"/>
      <c r="WER6" s="2337"/>
      <c r="WES6" s="2338"/>
      <c r="WET6" s="2336"/>
      <c r="WEU6" s="2337"/>
      <c r="WEV6" s="2338"/>
      <c r="WEW6" s="2336"/>
      <c r="WEX6" s="2337"/>
      <c r="WEY6" s="2338"/>
      <c r="WEZ6" s="2336"/>
      <c r="WFA6" s="2337"/>
      <c r="WFB6" s="2338"/>
      <c r="WFC6" s="2336"/>
      <c r="WFD6" s="2337"/>
      <c r="WFE6" s="2338"/>
      <c r="WFF6" s="2336"/>
      <c r="WFG6" s="2337"/>
      <c r="WFH6" s="2338"/>
      <c r="WFI6" s="2336"/>
      <c r="WFJ6" s="2337"/>
      <c r="WFK6" s="2338"/>
      <c r="WFL6" s="2336"/>
      <c r="WFM6" s="2337"/>
      <c r="WFN6" s="2338"/>
      <c r="WFO6" s="2336"/>
      <c r="WFP6" s="2337"/>
      <c r="WFQ6" s="2338"/>
      <c r="WFR6" s="2336"/>
      <c r="WFS6" s="2337"/>
      <c r="WFT6" s="2338"/>
      <c r="WFU6" s="2336"/>
      <c r="WFV6" s="2337"/>
      <c r="WFW6" s="2338"/>
      <c r="WFX6" s="2336"/>
      <c r="WFY6" s="2337"/>
      <c r="WFZ6" s="2338"/>
      <c r="WGA6" s="2336"/>
      <c r="WGB6" s="2337"/>
      <c r="WGC6" s="2338"/>
      <c r="WGD6" s="2336"/>
      <c r="WGE6" s="2337"/>
      <c r="WGF6" s="2338"/>
      <c r="WGG6" s="2336"/>
      <c r="WGH6" s="2337"/>
      <c r="WGI6" s="2338"/>
      <c r="WGJ6" s="2336"/>
      <c r="WGK6" s="2337"/>
      <c r="WGL6" s="2338"/>
      <c r="WGM6" s="2336"/>
      <c r="WGN6" s="2337"/>
      <c r="WGO6" s="2338"/>
      <c r="WGP6" s="2336"/>
      <c r="WGQ6" s="2337"/>
      <c r="WGR6" s="2338"/>
      <c r="WGS6" s="2336"/>
      <c r="WGT6" s="2337"/>
      <c r="WGU6" s="2338"/>
      <c r="WGV6" s="2336"/>
      <c r="WGW6" s="2337"/>
      <c r="WGX6" s="2338"/>
      <c r="WGY6" s="2336"/>
      <c r="WGZ6" s="2337"/>
      <c r="WHA6" s="2338"/>
      <c r="WHB6" s="2336"/>
      <c r="WHC6" s="2337"/>
      <c r="WHD6" s="2338"/>
      <c r="WHE6" s="2336"/>
      <c r="WHF6" s="2337"/>
      <c r="WHG6" s="2338"/>
      <c r="WHH6" s="2336"/>
      <c r="WHI6" s="2337"/>
      <c r="WHJ6" s="2338"/>
      <c r="WHK6" s="2336"/>
      <c r="WHL6" s="2337"/>
      <c r="WHM6" s="2338"/>
      <c r="WHN6" s="2336"/>
      <c r="WHO6" s="2337"/>
      <c r="WHP6" s="2338"/>
      <c r="WHQ6" s="2336"/>
      <c r="WHR6" s="2337"/>
      <c r="WHS6" s="2338"/>
      <c r="WHT6" s="2336"/>
      <c r="WHU6" s="2337"/>
      <c r="WHV6" s="2338"/>
      <c r="WHW6" s="2336"/>
      <c r="WHX6" s="2337"/>
      <c r="WHY6" s="2338"/>
      <c r="WHZ6" s="2336"/>
      <c r="WIA6" s="2337"/>
      <c r="WIB6" s="2338"/>
      <c r="WIC6" s="2336"/>
      <c r="WID6" s="2337"/>
      <c r="WIE6" s="2338"/>
      <c r="WIF6" s="2336"/>
      <c r="WIG6" s="2337"/>
      <c r="WIH6" s="2338"/>
      <c r="WII6" s="2336"/>
      <c r="WIJ6" s="2337"/>
      <c r="WIK6" s="2338"/>
      <c r="WIL6" s="2336"/>
      <c r="WIM6" s="2337"/>
      <c r="WIN6" s="2338"/>
      <c r="WIO6" s="2336"/>
      <c r="WIP6" s="2337"/>
      <c r="WIQ6" s="2338"/>
      <c r="WIR6" s="2336"/>
      <c r="WIS6" s="2337"/>
      <c r="WIT6" s="2338"/>
      <c r="WIU6" s="2336"/>
      <c r="WIV6" s="2337"/>
      <c r="WIW6" s="2338"/>
      <c r="WIX6" s="2336"/>
      <c r="WIY6" s="2337"/>
      <c r="WIZ6" s="2338"/>
      <c r="WJA6" s="2336"/>
      <c r="WJB6" s="2337"/>
      <c r="WJC6" s="2338"/>
      <c r="WJD6" s="2336"/>
      <c r="WJE6" s="2337"/>
      <c r="WJF6" s="2338"/>
      <c r="WJG6" s="2336"/>
      <c r="WJH6" s="2337"/>
      <c r="WJI6" s="2338"/>
      <c r="WJJ6" s="2336"/>
      <c r="WJK6" s="2337"/>
      <c r="WJL6" s="2338"/>
      <c r="WJM6" s="2336"/>
      <c r="WJN6" s="2337"/>
      <c r="WJO6" s="2338"/>
      <c r="WJP6" s="2336"/>
      <c r="WJQ6" s="2337"/>
      <c r="WJR6" s="2338"/>
      <c r="WJS6" s="2336"/>
      <c r="WJT6" s="2337"/>
      <c r="WJU6" s="2338"/>
      <c r="WJV6" s="2336"/>
      <c r="WJW6" s="2337"/>
      <c r="WJX6" s="2338"/>
      <c r="WJY6" s="2336"/>
      <c r="WJZ6" s="2337"/>
      <c r="WKA6" s="2338"/>
      <c r="WKB6" s="2336"/>
      <c r="WKC6" s="2337"/>
      <c r="WKD6" s="2338"/>
      <c r="WKE6" s="2336"/>
      <c r="WKF6" s="2337"/>
      <c r="WKG6" s="2338"/>
      <c r="WKH6" s="2336"/>
      <c r="WKI6" s="2337"/>
      <c r="WKJ6" s="2338"/>
      <c r="WKK6" s="2336"/>
      <c r="WKL6" s="2337"/>
      <c r="WKM6" s="2338"/>
      <c r="WKN6" s="2336"/>
      <c r="WKO6" s="2337"/>
      <c r="WKP6" s="2338"/>
      <c r="WKQ6" s="2336"/>
      <c r="WKR6" s="2337"/>
      <c r="WKS6" s="2338"/>
      <c r="WKT6" s="2336"/>
      <c r="WKU6" s="2337"/>
      <c r="WKV6" s="2338"/>
      <c r="WKW6" s="2336"/>
      <c r="WKX6" s="2337"/>
      <c r="WKY6" s="2338"/>
      <c r="WKZ6" s="2336"/>
      <c r="WLA6" s="2337"/>
      <c r="WLB6" s="2338"/>
      <c r="WLC6" s="2336"/>
      <c r="WLD6" s="2337"/>
      <c r="WLE6" s="2338"/>
      <c r="WLF6" s="2336"/>
      <c r="WLG6" s="2337"/>
      <c r="WLH6" s="2338"/>
      <c r="WLI6" s="2336"/>
      <c r="WLJ6" s="2337"/>
      <c r="WLK6" s="2338"/>
      <c r="WLL6" s="2336"/>
      <c r="WLM6" s="2337"/>
      <c r="WLN6" s="2338"/>
      <c r="WLO6" s="2336"/>
      <c r="WLP6" s="2337"/>
      <c r="WLQ6" s="2338"/>
      <c r="WLR6" s="2336"/>
      <c r="WLS6" s="2337"/>
      <c r="WLT6" s="2338"/>
      <c r="WLU6" s="2336"/>
      <c r="WLV6" s="2337"/>
      <c r="WLW6" s="2338"/>
      <c r="WLX6" s="2336"/>
      <c r="WLY6" s="2337"/>
      <c r="WLZ6" s="2338"/>
      <c r="WMA6" s="2336"/>
      <c r="WMB6" s="2337"/>
      <c r="WMC6" s="2338"/>
      <c r="WMD6" s="2336"/>
      <c r="WME6" s="2337"/>
      <c r="WMF6" s="2338"/>
      <c r="WMG6" s="2336"/>
      <c r="WMH6" s="2337"/>
      <c r="WMI6" s="2338"/>
      <c r="WMJ6" s="2336"/>
      <c r="WMK6" s="2337"/>
      <c r="WML6" s="2338"/>
      <c r="WMM6" s="2336"/>
      <c r="WMN6" s="2337"/>
      <c r="WMO6" s="2338"/>
      <c r="WMP6" s="2336"/>
      <c r="WMQ6" s="2337"/>
      <c r="WMR6" s="2338"/>
      <c r="WMS6" s="2336"/>
      <c r="WMT6" s="2337"/>
      <c r="WMU6" s="2338"/>
      <c r="WMV6" s="2336"/>
      <c r="WMW6" s="2337"/>
      <c r="WMX6" s="2338"/>
      <c r="WMY6" s="2336"/>
      <c r="WMZ6" s="2337"/>
      <c r="WNA6" s="2338"/>
      <c r="WNB6" s="2336"/>
      <c r="WNC6" s="2337"/>
      <c r="WND6" s="2338"/>
      <c r="WNE6" s="2336"/>
      <c r="WNF6" s="2337"/>
      <c r="WNG6" s="2338"/>
      <c r="WNH6" s="2336"/>
      <c r="WNI6" s="2337"/>
      <c r="WNJ6" s="2338"/>
      <c r="WNK6" s="2336"/>
      <c r="WNL6" s="2337"/>
      <c r="WNM6" s="2338"/>
      <c r="WNN6" s="2336"/>
      <c r="WNO6" s="2337"/>
      <c r="WNP6" s="2338"/>
      <c r="WNQ6" s="2336"/>
      <c r="WNR6" s="2337"/>
      <c r="WNS6" s="2338"/>
      <c r="WNT6" s="2336"/>
      <c r="WNU6" s="2337"/>
      <c r="WNV6" s="2338"/>
      <c r="WNW6" s="2336"/>
      <c r="WNX6" s="2337"/>
      <c r="WNY6" s="2338"/>
      <c r="WNZ6" s="2336"/>
      <c r="WOA6" s="2337"/>
      <c r="WOB6" s="2338"/>
      <c r="WOC6" s="2336"/>
      <c r="WOD6" s="2337"/>
      <c r="WOE6" s="2338"/>
      <c r="WOF6" s="2336"/>
      <c r="WOG6" s="2337"/>
      <c r="WOH6" s="2338"/>
      <c r="WOI6" s="2336"/>
      <c r="WOJ6" s="2337"/>
      <c r="WOK6" s="2338"/>
      <c r="WOL6" s="2336"/>
      <c r="WOM6" s="2337"/>
      <c r="WON6" s="2338"/>
      <c r="WOO6" s="2336"/>
      <c r="WOP6" s="2337"/>
      <c r="WOQ6" s="2338"/>
      <c r="WOR6" s="2336"/>
      <c r="WOS6" s="2337"/>
      <c r="WOT6" s="2338"/>
      <c r="WOU6" s="2336"/>
      <c r="WOV6" s="2337"/>
      <c r="WOW6" s="2338"/>
      <c r="WOX6" s="2336"/>
      <c r="WOY6" s="2337"/>
      <c r="WOZ6" s="2338"/>
      <c r="WPA6" s="2336"/>
      <c r="WPB6" s="2337"/>
      <c r="WPC6" s="2338"/>
      <c r="WPD6" s="2336"/>
      <c r="WPE6" s="2337"/>
      <c r="WPF6" s="2338"/>
      <c r="WPG6" s="2336"/>
      <c r="WPH6" s="2337"/>
      <c r="WPI6" s="2338"/>
      <c r="WPJ6" s="2336"/>
      <c r="WPK6" s="2337"/>
      <c r="WPL6" s="2338"/>
      <c r="WPM6" s="2336"/>
      <c r="WPN6" s="2337"/>
      <c r="WPO6" s="2338"/>
      <c r="WPP6" s="2336"/>
      <c r="WPQ6" s="2337"/>
      <c r="WPR6" s="2338"/>
      <c r="WPS6" s="2336"/>
      <c r="WPT6" s="2337"/>
      <c r="WPU6" s="2338"/>
      <c r="WPV6" s="2336"/>
      <c r="WPW6" s="2337"/>
      <c r="WPX6" s="2338"/>
      <c r="WPY6" s="2336"/>
      <c r="WPZ6" s="2337"/>
      <c r="WQA6" s="2338"/>
      <c r="WQB6" s="2336"/>
      <c r="WQC6" s="2337"/>
      <c r="WQD6" s="2338"/>
      <c r="WQE6" s="2336"/>
      <c r="WQF6" s="2337"/>
      <c r="WQG6" s="2338"/>
      <c r="WQH6" s="2336"/>
      <c r="WQI6" s="2337"/>
      <c r="WQJ6" s="2338"/>
      <c r="WQK6" s="2336"/>
      <c r="WQL6" s="2337"/>
      <c r="WQM6" s="2338"/>
      <c r="WQN6" s="2336"/>
      <c r="WQO6" s="2337"/>
      <c r="WQP6" s="2338"/>
      <c r="WQQ6" s="2336"/>
      <c r="WQR6" s="2337"/>
      <c r="WQS6" s="2338"/>
      <c r="WQT6" s="2336"/>
      <c r="WQU6" s="2337"/>
      <c r="WQV6" s="2338"/>
      <c r="WQW6" s="2336"/>
      <c r="WQX6" s="2337"/>
      <c r="WQY6" s="2338"/>
      <c r="WQZ6" s="2336"/>
      <c r="WRA6" s="2337"/>
      <c r="WRB6" s="2338"/>
      <c r="WRC6" s="2336"/>
      <c r="WRD6" s="2337"/>
      <c r="WRE6" s="2338"/>
      <c r="WRF6" s="2336"/>
      <c r="WRG6" s="2337"/>
      <c r="WRH6" s="2338"/>
      <c r="WRI6" s="2336"/>
      <c r="WRJ6" s="2337"/>
      <c r="WRK6" s="2338"/>
      <c r="WRL6" s="2336"/>
      <c r="WRM6" s="2337"/>
      <c r="WRN6" s="2338"/>
      <c r="WRO6" s="2336"/>
      <c r="WRP6" s="2337"/>
      <c r="WRQ6" s="2338"/>
      <c r="WRR6" s="2336"/>
      <c r="WRS6" s="2337"/>
      <c r="WRT6" s="2338"/>
      <c r="WRU6" s="2336"/>
      <c r="WRV6" s="2337"/>
      <c r="WRW6" s="2338"/>
      <c r="WRX6" s="2336"/>
      <c r="WRY6" s="2337"/>
      <c r="WRZ6" s="2338"/>
      <c r="WSA6" s="2336"/>
      <c r="WSB6" s="2337"/>
      <c r="WSC6" s="2338"/>
      <c r="WSD6" s="2336"/>
      <c r="WSE6" s="2337"/>
      <c r="WSF6" s="2338"/>
      <c r="WSG6" s="2336"/>
      <c r="WSH6" s="2337"/>
      <c r="WSI6" s="2338"/>
      <c r="WSJ6" s="2336"/>
      <c r="WSK6" s="2337"/>
      <c r="WSL6" s="2338"/>
      <c r="WSM6" s="2336"/>
      <c r="WSN6" s="2337"/>
      <c r="WSO6" s="2338"/>
      <c r="WSP6" s="2336"/>
      <c r="WSQ6" s="2337"/>
      <c r="WSR6" s="2338"/>
      <c r="WSS6" s="2336"/>
      <c r="WST6" s="2337"/>
      <c r="WSU6" s="2338"/>
      <c r="WSV6" s="2336"/>
      <c r="WSW6" s="2337"/>
      <c r="WSX6" s="2338"/>
      <c r="WSY6" s="2336"/>
      <c r="WSZ6" s="2337"/>
      <c r="WTA6" s="2338"/>
      <c r="WTB6" s="2336"/>
      <c r="WTC6" s="2337"/>
      <c r="WTD6" s="2338"/>
      <c r="WTE6" s="2336"/>
      <c r="WTF6" s="2337"/>
      <c r="WTG6" s="2338"/>
      <c r="WTH6" s="2336"/>
      <c r="WTI6" s="2337"/>
      <c r="WTJ6" s="2338"/>
      <c r="WTK6" s="2336"/>
      <c r="WTL6" s="2337"/>
      <c r="WTM6" s="2338"/>
      <c r="WTN6" s="2336"/>
      <c r="WTO6" s="2337"/>
      <c r="WTP6" s="2338"/>
      <c r="WTQ6" s="2336"/>
      <c r="WTR6" s="2337"/>
      <c r="WTS6" s="2338"/>
      <c r="WTT6" s="2336"/>
      <c r="WTU6" s="2337"/>
      <c r="WTV6" s="2338"/>
      <c r="WTW6" s="2336"/>
      <c r="WTX6" s="2337"/>
      <c r="WTY6" s="2338"/>
      <c r="WTZ6" s="2336"/>
      <c r="WUA6" s="2337"/>
      <c r="WUB6" s="2338"/>
      <c r="WUC6" s="2336"/>
      <c r="WUD6" s="2337"/>
      <c r="WUE6" s="2338"/>
      <c r="WUF6" s="2336"/>
      <c r="WUG6" s="2337"/>
      <c r="WUH6" s="2338"/>
      <c r="WUI6" s="2336"/>
      <c r="WUJ6" s="2337"/>
      <c r="WUK6" s="2338"/>
      <c r="WUL6" s="2336"/>
      <c r="WUM6" s="2337"/>
      <c r="WUN6" s="2338"/>
      <c r="WUO6" s="2336"/>
      <c r="WUP6" s="2337"/>
      <c r="WUQ6" s="2338"/>
      <c r="WUR6" s="2336"/>
      <c r="WUS6" s="2337"/>
      <c r="WUT6" s="2338"/>
      <c r="WUU6" s="2336"/>
      <c r="WUV6" s="2337"/>
      <c r="WUW6" s="2338"/>
      <c r="WUX6" s="2336"/>
      <c r="WUY6" s="2337"/>
      <c r="WUZ6" s="2338"/>
      <c r="WVA6" s="2336"/>
      <c r="WVB6" s="2337"/>
      <c r="WVC6" s="2338"/>
      <c r="WVD6" s="2336"/>
      <c r="WVE6" s="2337"/>
      <c r="WVF6" s="2338"/>
      <c r="WVG6" s="2336"/>
      <c r="WVH6" s="2337"/>
      <c r="WVI6" s="2338"/>
      <c r="WVJ6" s="2336"/>
      <c r="WVK6" s="2337"/>
      <c r="WVL6" s="2338"/>
      <c r="WVM6" s="2336"/>
      <c r="WVN6" s="2337"/>
      <c r="WVO6" s="2338"/>
      <c r="WVP6" s="2336"/>
      <c r="WVQ6" s="2337"/>
      <c r="WVR6" s="2338"/>
      <c r="WVS6" s="2336"/>
      <c r="WVT6" s="2337"/>
      <c r="WVU6" s="2338"/>
      <c r="WVV6" s="2336"/>
      <c r="WVW6" s="2337"/>
      <c r="WVX6" s="2338"/>
      <c r="WVY6" s="2336"/>
      <c r="WVZ6" s="2337"/>
      <c r="WWA6" s="2338"/>
      <c r="WWB6" s="2336"/>
      <c r="WWC6" s="2337"/>
      <c r="WWD6" s="2338"/>
      <c r="WWE6" s="2336"/>
      <c r="WWF6" s="2337"/>
      <c r="WWG6" s="2338"/>
      <c r="WWH6" s="2336"/>
      <c r="WWI6" s="2337"/>
      <c r="WWJ6" s="2338"/>
      <c r="WWK6" s="2336"/>
      <c r="WWL6" s="2337"/>
      <c r="WWM6" s="2338"/>
      <c r="WWN6" s="2336"/>
      <c r="WWO6" s="2337"/>
      <c r="WWP6" s="2338"/>
      <c r="WWQ6" s="2336"/>
      <c r="WWR6" s="2337"/>
      <c r="WWS6" s="2338"/>
      <c r="WWT6" s="2336"/>
      <c r="WWU6" s="2337"/>
      <c r="WWV6" s="2338"/>
      <c r="WWW6" s="2336"/>
      <c r="WWX6" s="2337"/>
      <c r="WWY6" s="2338"/>
      <c r="WWZ6" s="2336"/>
      <c r="WXA6" s="2337"/>
      <c r="WXB6" s="2338"/>
      <c r="WXC6" s="2336"/>
      <c r="WXD6" s="2337"/>
      <c r="WXE6" s="2338"/>
      <c r="WXF6" s="2336"/>
      <c r="WXG6" s="2337"/>
      <c r="WXH6" s="2338"/>
      <c r="WXI6" s="2336"/>
      <c r="WXJ6" s="2337"/>
      <c r="WXK6" s="2338"/>
      <c r="WXL6" s="2336"/>
      <c r="WXM6" s="2337"/>
      <c r="WXN6" s="2338"/>
      <c r="WXO6" s="2336"/>
      <c r="WXP6" s="2337"/>
      <c r="WXQ6" s="2338"/>
      <c r="WXR6" s="2336"/>
      <c r="WXS6" s="2337"/>
      <c r="WXT6" s="2338"/>
      <c r="WXU6" s="2336"/>
      <c r="WXV6" s="2337"/>
      <c r="WXW6" s="2338"/>
      <c r="WXX6" s="2336"/>
      <c r="WXY6" s="2337"/>
      <c r="WXZ6" s="2338"/>
      <c r="WYA6" s="2336"/>
      <c r="WYB6" s="2337"/>
      <c r="WYC6" s="2338"/>
      <c r="WYD6" s="2336"/>
      <c r="WYE6" s="2337"/>
      <c r="WYF6" s="2338"/>
      <c r="WYG6" s="2336"/>
      <c r="WYH6" s="2337"/>
      <c r="WYI6" s="2338"/>
      <c r="WYJ6" s="2336"/>
      <c r="WYK6" s="2337"/>
      <c r="WYL6" s="2338"/>
      <c r="WYM6" s="2336"/>
      <c r="WYN6" s="2337"/>
      <c r="WYO6" s="2338"/>
      <c r="WYP6" s="2336"/>
      <c r="WYQ6" s="2337"/>
      <c r="WYR6" s="2338"/>
      <c r="WYS6" s="2336"/>
      <c r="WYT6" s="2337"/>
      <c r="WYU6" s="2338"/>
      <c r="WYV6" s="2336"/>
      <c r="WYW6" s="2337"/>
      <c r="WYX6" s="2338"/>
      <c r="WYY6" s="2336"/>
      <c r="WYZ6" s="2337"/>
      <c r="WZA6" s="2338"/>
      <c r="WZB6" s="2336"/>
      <c r="WZC6" s="2337"/>
      <c r="WZD6" s="2338"/>
      <c r="WZE6" s="2336"/>
      <c r="WZF6" s="2337"/>
      <c r="WZG6" s="2338"/>
      <c r="WZH6" s="2336"/>
      <c r="WZI6" s="2337"/>
      <c r="WZJ6" s="2338"/>
      <c r="WZK6" s="2336"/>
      <c r="WZL6" s="2337"/>
      <c r="WZM6" s="2338"/>
      <c r="WZN6" s="2336"/>
      <c r="WZO6" s="2337"/>
      <c r="WZP6" s="2338"/>
      <c r="WZQ6" s="2336"/>
      <c r="WZR6" s="2337"/>
      <c r="WZS6" s="2338"/>
      <c r="WZT6" s="2336"/>
      <c r="WZU6" s="2337"/>
      <c r="WZV6" s="2338"/>
      <c r="WZW6" s="2336"/>
      <c r="WZX6" s="2337"/>
      <c r="WZY6" s="2338"/>
      <c r="WZZ6" s="2336"/>
      <c r="XAA6" s="2337"/>
      <c r="XAB6" s="2338"/>
      <c r="XAC6" s="2336"/>
      <c r="XAD6" s="2337"/>
      <c r="XAE6" s="2338"/>
      <c r="XAF6" s="2336"/>
      <c r="XAG6" s="2337"/>
      <c r="XAH6" s="2338"/>
      <c r="XAI6" s="2336"/>
      <c r="XAJ6" s="2337"/>
      <c r="XAK6" s="2338"/>
      <c r="XAL6" s="2336"/>
      <c r="XAM6" s="2337"/>
      <c r="XAN6" s="2338"/>
      <c r="XAO6" s="2336"/>
      <c r="XAP6" s="2337"/>
      <c r="XAQ6" s="2338"/>
      <c r="XAR6" s="2336"/>
      <c r="XAS6" s="2337"/>
      <c r="XAT6" s="2338"/>
      <c r="XAU6" s="2336"/>
      <c r="XAV6" s="2337"/>
      <c r="XAW6" s="2338"/>
      <c r="XAX6" s="2336"/>
      <c r="XAY6" s="2337"/>
      <c r="XAZ6" s="2338"/>
      <c r="XBA6" s="2336"/>
      <c r="XBB6" s="2337"/>
      <c r="XBC6" s="2338"/>
      <c r="XBD6" s="2336"/>
      <c r="XBE6" s="2337"/>
      <c r="XBF6" s="2338"/>
      <c r="XBG6" s="2336"/>
      <c r="XBH6" s="2337"/>
      <c r="XBI6" s="2338"/>
      <c r="XBJ6" s="2336"/>
      <c r="XBK6" s="2337"/>
      <c r="XBL6" s="2338"/>
      <c r="XBM6" s="2336"/>
      <c r="XBN6" s="2337"/>
      <c r="XBO6" s="2338"/>
      <c r="XBP6" s="2336"/>
      <c r="XBQ6" s="2337"/>
      <c r="XBR6" s="2338"/>
      <c r="XBS6" s="2336"/>
      <c r="XBT6" s="2337"/>
      <c r="XBU6" s="2338"/>
      <c r="XBV6" s="2336"/>
      <c r="XBW6" s="2337"/>
      <c r="XBX6" s="2338"/>
      <c r="XBY6" s="2336"/>
      <c r="XBZ6" s="2337"/>
      <c r="XCA6" s="2338"/>
      <c r="XCB6" s="2336"/>
      <c r="XCC6" s="2337"/>
      <c r="XCD6" s="2338"/>
      <c r="XCE6" s="2336"/>
      <c r="XCF6" s="2337"/>
      <c r="XCG6" s="2338"/>
      <c r="XCH6" s="2336"/>
      <c r="XCI6" s="2337"/>
      <c r="XCJ6" s="2338"/>
      <c r="XCK6" s="2336"/>
      <c r="XCL6" s="2337"/>
      <c r="XCM6" s="2338"/>
      <c r="XCN6" s="2336"/>
      <c r="XCO6" s="2337"/>
      <c r="XCP6" s="2338"/>
      <c r="XCQ6" s="2336"/>
      <c r="XCR6" s="2337"/>
      <c r="XCS6" s="2338"/>
      <c r="XCT6" s="2336"/>
      <c r="XCU6" s="2337"/>
      <c r="XCV6" s="2338"/>
      <c r="XCW6" s="2336"/>
      <c r="XCX6" s="2337"/>
      <c r="XCY6" s="2338"/>
      <c r="XCZ6" s="2336"/>
      <c r="XDA6" s="2337"/>
      <c r="XDB6" s="2338"/>
      <c r="XDC6" s="2336"/>
      <c r="XDD6" s="2337"/>
      <c r="XDE6" s="2338"/>
      <c r="XDF6" s="2336"/>
      <c r="XDG6" s="2337"/>
      <c r="XDH6" s="2338"/>
      <c r="XDI6" s="2336"/>
      <c r="XDJ6" s="2337"/>
      <c r="XDK6" s="2338"/>
      <c r="XDL6" s="2336"/>
      <c r="XDM6" s="2337"/>
      <c r="XDN6" s="2338"/>
      <c r="XDO6" s="2336"/>
      <c r="XDP6" s="2337"/>
      <c r="XDQ6" s="2338"/>
      <c r="XDR6" s="2336"/>
      <c r="XDS6" s="2337"/>
      <c r="XDT6" s="2338"/>
      <c r="XDU6" s="2336"/>
      <c r="XDV6" s="2337"/>
      <c r="XDW6" s="2338"/>
      <c r="XDX6" s="2336"/>
      <c r="XDY6" s="2337"/>
      <c r="XDZ6" s="2338"/>
      <c r="XEA6" s="2336"/>
      <c r="XEB6" s="2337"/>
      <c r="XEC6" s="2338"/>
      <c r="XED6" s="2336"/>
      <c r="XEE6" s="2337"/>
      <c r="XEF6" s="2338"/>
      <c r="XEG6" s="2336"/>
      <c r="XEH6" s="2337"/>
      <c r="XEI6" s="2338"/>
      <c r="XEJ6" s="2336"/>
      <c r="XEK6" s="2337"/>
      <c r="XEL6" s="2338"/>
      <c r="XEM6" s="2336"/>
      <c r="XEN6" s="2337"/>
      <c r="XEO6" s="2338"/>
      <c r="XEP6" s="2336"/>
      <c r="XEQ6" s="2337"/>
      <c r="XER6" s="2338"/>
      <c r="XES6" s="2336"/>
      <c r="XET6" s="2337"/>
      <c r="XEU6" s="2338"/>
      <c r="XEV6" s="2336"/>
      <c r="XEW6" s="2337"/>
      <c r="XEX6" s="2338"/>
      <c r="XEY6" s="2336"/>
      <c r="XEZ6" s="2337"/>
      <c r="XFA6" s="2338"/>
      <c r="XFB6" s="2336"/>
      <c r="XFC6" s="2337"/>
      <c r="XFD6" s="2338"/>
    </row>
    <row r="7" spans="1:16384" s="5" customFormat="1" ht="15.75" hidden="1" customHeight="1">
      <c r="E7" s="1088">
        <f>'6.1stYrOpBudget'!D7</f>
        <v>0</v>
      </c>
      <c r="F7" s="1088">
        <f>'6.1stYrOpBudget'!E7</f>
        <v>0</v>
      </c>
      <c r="H7" s="2333">
        <f>'1.GeneralProjectInfo'!$D$4</f>
        <v>0</v>
      </c>
      <c r="I7" s="2334"/>
      <c r="J7" s="2346"/>
      <c r="K7" s="2333">
        <f>H7+1</f>
        <v>1</v>
      </c>
      <c r="L7" s="2334"/>
      <c r="M7" s="2335"/>
      <c r="N7" s="2333">
        <f>K7+1</f>
        <v>2</v>
      </c>
      <c r="O7" s="2334"/>
      <c r="P7" s="2335"/>
      <c r="Q7" s="2333">
        <f>N7+1</f>
        <v>3</v>
      </c>
      <c r="R7" s="2334"/>
      <c r="S7" s="2335"/>
      <c r="T7" s="2333">
        <f>Q7+1</f>
        <v>4</v>
      </c>
      <c r="U7" s="2334"/>
      <c r="V7" s="2335"/>
      <c r="W7" s="2333">
        <f>T7+1</f>
        <v>5</v>
      </c>
      <c r="X7" s="2334"/>
      <c r="Y7" s="2335"/>
      <c r="Z7" s="2333">
        <f>W7+1</f>
        <v>6</v>
      </c>
      <c r="AA7" s="2334"/>
      <c r="AB7" s="2335"/>
      <c r="AC7" s="2333">
        <f>Z7+1</f>
        <v>7</v>
      </c>
      <c r="AD7" s="2334"/>
      <c r="AE7" s="2335"/>
      <c r="AF7" s="2333">
        <f>AC7+1</f>
        <v>8</v>
      </c>
      <c r="AG7" s="2334"/>
      <c r="AH7" s="2335"/>
      <c r="AI7" s="2333">
        <f>AF7+1</f>
        <v>9</v>
      </c>
      <c r="AJ7" s="2334"/>
      <c r="AK7" s="2335"/>
      <c r="AL7" s="2333">
        <f>AI7+1</f>
        <v>10</v>
      </c>
      <c r="AM7" s="2334"/>
      <c r="AN7" s="2335"/>
      <c r="AO7" s="2333">
        <f>AL7+1</f>
        <v>11</v>
      </c>
      <c r="AP7" s="2334"/>
      <c r="AQ7" s="2335"/>
      <c r="AR7" s="2333">
        <f>AO7+1</f>
        <v>12</v>
      </c>
      <c r="AS7" s="2334"/>
      <c r="AT7" s="2335"/>
      <c r="AU7" s="2333">
        <f>AR7+1</f>
        <v>13</v>
      </c>
      <c r="AV7" s="2334"/>
      <c r="AW7" s="2335"/>
      <c r="AX7" s="2333">
        <f>AU7+1</f>
        <v>14</v>
      </c>
      <c r="AY7" s="2334"/>
      <c r="AZ7" s="2335"/>
      <c r="BA7" s="2333">
        <f>AX7+1</f>
        <v>15</v>
      </c>
      <c r="BB7" s="2334"/>
      <c r="BC7" s="2335"/>
      <c r="BD7" s="2333">
        <f>BA7+1</f>
        <v>16</v>
      </c>
      <c r="BE7" s="2334"/>
      <c r="BF7" s="2335"/>
      <c r="BG7" s="2333">
        <f>BD7+1</f>
        <v>17</v>
      </c>
      <c r="BH7" s="2334"/>
      <c r="BI7" s="2335"/>
      <c r="BJ7" s="2333">
        <f>BG7+1</f>
        <v>18</v>
      </c>
      <c r="BK7" s="2334"/>
      <c r="BL7" s="2335"/>
      <c r="BM7" s="2333">
        <f>BJ7+1</f>
        <v>19</v>
      </c>
      <c r="BN7" s="2334"/>
      <c r="BO7" s="2335"/>
      <c r="BP7" s="2342"/>
      <c r="BQ7" s="2334"/>
      <c r="BR7" s="2335"/>
      <c r="BS7" s="2333"/>
      <c r="BT7" s="2334"/>
      <c r="BU7" s="2335"/>
      <c r="BV7" s="2333"/>
      <c r="BW7" s="2334"/>
      <c r="BX7" s="2335"/>
      <c r="BY7" s="2333"/>
      <c r="BZ7" s="2334"/>
      <c r="CA7" s="2335"/>
      <c r="CB7" s="2333"/>
      <c r="CC7" s="2334"/>
      <c r="CD7" s="2335"/>
      <c r="CE7" s="2333"/>
      <c r="CF7" s="2334"/>
      <c r="CG7" s="2335"/>
      <c r="CH7" s="2333"/>
      <c r="CI7" s="2334"/>
      <c r="CJ7" s="2335"/>
      <c r="CK7" s="2333"/>
      <c r="CL7" s="2334"/>
      <c r="CM7" s="2335"/>
      <c r="CN7" s="2333"/>
      <c r="CO7" s="2334"/>
      <c r="CP7" s="2335"/>
      <c r="CQ7" s="2333"/>
      <c r="CR7" s="2334"/>
      <c r="CS7" s="2335"/>
      <c r="CT7" s="2333"/>
      <c r="CU7" s="2334"/>
      <c r="CV7" s="2335"/>
      <c r="CW7" s="2333"/>
      <c r="CX7" s="2334"/>
      <c r="CY7" s="2335"/>
      <c r="CZ7" s="2333"/>
      <c r="DA7" s="2334"/>
      <c r="DB7" s="2335"/>
      <c r="DC7" s="2333"/>
      <c r="DD7" s="2334"/>
      <c r="DE7" s="2335"/>
      <c r="DF7" s="2333"/>
      <c r="DG7" s="2334"/>
      <c r="DH7" s="2335"/>
      <c r="DI7" s="2333"/>
      <c r="DJ7" s="2334"/>
      <c r="DK7" s="2335"/>
      <c r="DL7" s="2333"/>
      <c r="DM7" s="2334"/>
      <c r="DN7" s="2335"/>
      <c r="DO7" s="2333"/>
      <c r="DP7" s="2334"/>
      <c r="DQ7" s="2335"/>
      <c r="DR7" s="2333"/>
      <c r="DS7" s="2334"/>
      <c r="DT7" s="2335"/>
      <c r="DU7" s="2333"/>
      <c r="DV7" s="2334"/>
      <c r="DW7" s="2335"/>
      <c r="DX7" s="2333"/>
      <c r="DY7" s="2334"/>
      <c r="DZ7" s="2335"/>
      <c r="EA7" s="2333"/>
      <c r="EB7" s="2334"/>
      <c r="EC7" s="2335"/>
      <c r="ED7" s="2333"/>
      <c r="EE7" s="2334"/>
      <c r="EF7" s="2335"/>
      <c r="EG7" s="2333"/>
      <c r="EH7" s="2334"/>
      <c r="EI7" s="2335"/>
      <c r="EJ7" s="2333"/>
      <c r="EK7" s="2334"/>
      <c r="EL7" s="2335"/>
      <c r="EM7" s="2333"/>
      <c r="EN7" s="2334"/>
      <c r="EO7" s="2335"/>
      <c r="EP7" s="2333"/>
      <c r="EQ7" s="2334"/>
      <c r="ER7" s="2335"/>
      <c r="ES7" s="2333"/>
      <c r="ET7" s="2334"/>
      <c r="EU7" s="2335"/>
      <c r="EV7" s="2333"/>
      <c r="EW7" s="2334"/>
      <c r="EX7" s="2335"/>
      <c r="EY7" s="2333"/>
      <c r="EZ7" s="2334"/>
      <c r="FA7" s="2335"/>
      <c r="FB7" s="2333"/>
      <c r="FC7" s="2334"/>
      <c r="FD7" s="2335"/>
      <c r="FE7" s="2333"/>
      <c r="FF7" s="2334"/>
      <c r="FG7" s="2335"/>
      <c r="FH7" s="2333"/>
      <c r="FI7" s="2334"/>
      <c r="FJ7" s="2335"/>
      <c r="FK7" s="2333"/>
      <c r="FL7" s="2334"/>
      <c r="FM7" s="2335"/>
      <c r="FN7" s="2333"/>
      <c r="FO7" s="2334"/>
      <c r="FP7" s="2335"/>
      <c r="FQ7" s="2333"/>
      <c r="FR7" s="2334"/>
      <c r="FS7" s="2335"/>
      <c r="FT7" s="2333"/>
      <c r="FU7" s="2334"/>
      <c r="FV7" s="2335"/>
      <c r="FW7" s="2333"/>
      <c r="FX7" s="2334"/>
      <c r="FY7" s="2335"/>
      <c r="FZ7" s="2333"/>
      <c r="GA7" s="2334"/>
      <c r="GB7" s="2335"/>
      <c r="GC7" s="2333"/>
      <c r="GD7" s="2334"/>
      <c r="GE7" s="2335"/>
      <c r="GF7" s="2333"/>
      <c r="GG7" s="2334"/>
      <c r="GH7" s="2335"/>
      <c r="GI7" s="2333"/>
      <c r="GJ7" s="2334"/>
      <c r="GK7" s="2335"/>
      <c r="GL7" s="2333"/>
      <c r="GM7" s="2334"/>
      <c r="GN7" s="2335"/>
      <c r="GO7" s="2333"/>
      <c r="GP7" s="2334"/>
      <c r="GQ7" s="2335"/>
      <c r="GR7" s="2333"/>
      <c r="GS7" s="2334"/>
      <c r="GT7" s="2335"/>
      <c r="GU7" s="2333"/>
      <c r="GV7" s="2334"/>
      <c r="GW7" s="2335"/>
      <c r="GX7" s="2333"/>
      <c r="GY7" s="2334"/>
      <c r="GZ7" s="2335"/>
      <c r="HA7" s="2333"/>
      <c r="HB7" s="2334"/>
      <c r="HC7" s="2335"/>
      <c r="HD7" s="2333"/>
      <c r="HE7" s="2334"/>
      <c r="HF7" s="2335"/>
      <c r="HG7" s="2333"/>
      <c r="HH7" s="2334"/>
      <c r="HI7" s="2335"/>
      <c r="HJ7" s="2333"/>
      <c r="HK7" s="2334"/>
      <c r="HL7" s="2335"/>
      <c r="HM7" s="2333"/>
      <c r="HN7" s="2334"/>
      <c r="HO7" s="2335"/>
      <c r="HP7" s="2333"/>
      <c r="HQ7" s="2334"/>
      <c r="HR7" s="2335"/>
      <c r="HS7" s="2333"/>
      <c r="HT7" s="2334"/>
      <c r="HU7" s="2335"/>
      <c r="HV7" s="2333"/>
      <c r="HW7" s="2334"/>
      <c r="HX7" s="2335"/>
      <c r="HY7" s="2333"/>
      <c r="HZ7" s="2334"/>
      <c r="IA7" s="2335"/>
      <c r="IB7" s="2333"/>
      <c r="IC7" s="2334"/>
      <c r="ID7" s="2335"/>
      <c r="IE7" s="2333"/>
      <c r="IF7" s="2334"/>
      <c r="IG7" s="2335"/>
      <c r="IH7" s="2333"/>
      <c r="II7" s="2334"/>
      <c r="IJ7" s="2335"/>
      <c r="IK7" s="2333"/>
      <c r="IL7" s="2334"/>
      <c r="IM7" s="2335"/>
      <c r="IN7" s="2333"/>
      <c r="IO7" s="2334"/>
      <c r="IP7" s="2335"/>
      <c r="IQ7" s="2333"/>
      <c r="IR7" s="2334"/>
      <c r="IS7" s="2335"/>
      <c r="IT7" s="2333"/>
      <c r="IU7" s="2334"/>
      <c r="IV7" s="2335"/>
      <c r="IW7" s="2333"/>
      <c r="IX7" s="2334"/>
      <c r="IY7" s="2335"/>
      <c r="IZ7" s="2333"/>
      <c r="JA7" s="2334"/>
      <c r="JB7" s="2335"/>
      <c r="JC7" s="2333"/>
      <c r="JD7" s="2334"/>
      <c r="JE7" s="2335"/>
      <c r="JF7" s="2333"/>
      <c r="JG7" s="2334"/>
      <c r="JH7" s="2335"/>
      <c r="JI7" s="2333"/>
      <c r="JJ7" s="2334"/>
      <c r="JK7" s="2335"/>
      <c r="JL7" s="2333"/>
      <c r="JM7" s="2334"/>
      <c r="JN7" s="2335"/>
      <c r="JO7" s="2333"/>
      <c r="JP7" s="2334"/>
      <c r="JQ7" s="2335"/>
      <c r="JR7" s="2333"/>
      <c r="JS7" s="2334"/>
      <c r="JT7" s="2335"/>
      <c r="JU7" s="2333"/>
      <c r="JV7" s="2334"/>
      <c r="JW7" s="2335"/>
      <c r="JX7" s="2333"/>
      <c r="JY7" s="2334"/>
      <c r="JZ7" s="2335"/>
      <c r="KA7" s="2333"/>
      <c r="KB7" s="2334"/>
      <c r="KC7" s="2335"/>
      <c r="KD7" s="2333"/>
      <c r="KE7" s="2334"/>
      <c r="KF7" s="2335"/>
      <c r="KG7" s="2333"/>
      <c r="KH7" s="2334"/>
      <c r="KI7" s="2335"/>
      <c r="KJ7" s="2333"/>
      <c r="KK7" s="2334"/>
      <c r="KL7" s="2335"/>
      <c r="KM7" s="2333"/>
      <c r="KN7" s="2334"/>
      <c r="KO7" s="2335"/>
      <c r="KP7" s="2333"/>
      <c r="KQ7" s="2334"/>
      <c r="KR7" s="2335"/>
      <c r="KS7" s="2333"/>
      <c r="KT7" s="2334"/>
      <c r="KU7" s="2335"/>
      <c r="KV7" s="2333"/>
      <c r="KW7" s="2334"/>
      <c r="KX7" s="2335"/>
      <c r="KY7" s="2333"/>
      <c r="KZ7" s="2334"/>
      <c r="LA7" s="2335"/>
      <c r="LB7" s="2333"/>
      <c r="LC7" s="2334"/>
      <c r="LD7" s="2335"/>
      <c r="LE7" s="2333"/>
      <c r="LF7" s="2334"/>
      <c r="LG7" s="2335"/>
      <c r="LH7" s="2333"/>
      <c r="LI7" s="2334"/>
      <c r="LJ7" s="2335"/>
      <c r="LK7" s="2333"/>
      <c r="LL7" s="2334"/>
      <c r="LM7" s="2335"/>
      <c r="LN7" s="2333"/>
      <c r="LO7" s="2334"/>
      <c r="LP7" s="2335"/>
      <c r="LQ7" s="2333"/>
      <c r="LR7" s="2334"/>
      <c r="LS7" s="2335"/>
      <c r="LT7" s="2333"/>
      <c r="LU7" s="2334"/>
      <c r="LV7" s="2335"/>
      <c r="LW7" s="2333"/>
      <c r="LX7" s="2334"/>
      <c r="LY7" s="2335"/>
      <c r="LZ7" s="2333"/>
      <c r="MA7" s="2334"/>
      <c r="MB7" s="2335"/>
      <c r="MC7" s="2333"/>
      <c r="MD7" s="2334"/>
      <c r="ME7" s="2335"/>
      <c r="MF7" s="2333"/>
      <c r="MG7" s="2334"/>
      <c r="MH7" s="2335"/>
      <c r="MI7" s="2333"/>
      <c r="MJ7" s="2334"/>
      <c r="MK7" s="2335"/>
      <c r="ML7" s="2333"/>
      <c r="MM7" s="2334"/>
      <c r="MN7" s="2335"/>
      <c r="MO7" s="2333"/>
      <c r="MP7" s="2334"/>
      <c r="MQ7" s="2335"/>
      <c r="MR7" s="2333"/>
      <c r="MS7" s="2334"/>
      <c r="MT7" s="2335"/>
      <c r="MU7" s="2333"/>
      <c r="MV7" s="2334"/>
      <c r="MW7" s="2335"/>
      <c r="MX7" s="2333"/>
      <c r="MY7" s="2334"/>
      <c r="MZ7" s="2335"/>
      <c r="NA7" s="2333"/>
      <c r="NB7" s="2334"/>
      <c r="NC7" s="2335"/>
      <c r="ND7" s="2333"/>
      <c r="NE7" s="2334"/>
      <c r="NF7" s="2335"/>
      <c r="NG7" s="2333"/>
      <c r="NH7" s="2334"/>
      <c r="NI7" s="2335"/>
      <c r="NJ7" s="2333"/>
      <c r="NK7" s="2334"/>
      <c r="NL7" s="2335"/>
      <c r="NM7" s="2333"/>
      <c r="NN7" s="2334"/>
      <c r="NO7" s="2335"/>
      <c r="NP7" s="2333"/>
      <c r="NQ7" s="2334"/>
      <c r="NR7" s="2335"/>
      <c r="NS7" s="2333"/>
      <c r="NT7" s="2334"/>
      <c r="NU7" s="2335"/>
      <c r="NV7" s="2333"/>
      <c r="NW7" s="2334"/>
      <c r="NX7" s="2335"/>
      <c r="NY7" s="2333"/>
      <c r="NZ7" s="2334"/>
      <c r="OA7" s="2335"/>
      <c r="OB7" s="2333"/>
      <c r="OC7" s="2334"/>
      <c r="OD7" s="2335"/>
      <c r="OE7" s="2333"/>
      <c r="OF7" s="2334"/>
      <c r="OG7" s="2335"/>
      <c r="OH7" s="2333"/>
      <c r="OI7" s="2334"/>
      <c r="OJ7" s="2335"/>
      <c r="OK7" s="2333"/>
      <c r="OL7" s="2334"/>
      <c r="OM7" s="2335"/>
      <c r="ON7" s="2333"/>
      <c r="OO7" s="2334"/>
      <c r="OP7" s="2335"/>
      <c r="OQ7" s="2333"/>
      <c r="OR7" s="2334"/>
      <c r="OS7" s="2335"/>
      <c r="OT7" s="2333"/>
      <c r="OU7" s="2334"/>
      <c r="OV7" s="2335"/>
      <c r="OW7" s="2333"/>
      <c r="OX7" s="2334"/>
      <c r="OY7" s="2335"/>
      <c r="OZ7" s="2333"/>
      <c r="PA7" s="2334"/>
      <c r="PB7" s="2335"/>
      <c r="PC7" s="2333"/>
      <c r="PD7" s="2334"/>
      <c r="PE7" s="2335"/>
      <c r="PF7" s="2333"/>
      <c r="PG7" s="2334"/>
      <c r="PH7" s="2335"/>
      <c r="PI7" s="2333"/>
      <c r="PJ7" s="2334"/>
      <c r="PK7" s="2335"/>
      <c r="PL7" s="2333"/>
      <c r="PM7" s="2334"/>
      <c r="PN7" s="2335"/>
      <c r="PO7" s="2333"/>
      <c r="PP7" s="2334"/>
      <c r="PQ7" s="2335"/>
      <c r="PR7" s="2333"/>
      <c r="PS7" s="2334"/>
      <c r="PT7" s="2335"/>
      <c r="PU7" s="2333"/>
      <c r="PV7" s="2334"/>
      <c r="PW7" s="2335"/>
      <c r="PX7" s="2333"/>
      <c r="PY7" s="2334"/>
      <c r="PZ7" s="2335"/>
      <c r="QA7" s="2333"/>
      <c r="QB7" s="2334"/>
      <c r="QC7" s="2335"/>
      <c r="QD7" s="2333"/>
      <c r="QE7" s="2334"/>
      <c r="QF7" s="2335"/>
      <c r="QG7" s="2333"/>
      <c r="QH7" s="2334"/>
      <c r="QI7" s="2335"/>
      <c r="QJ7" s="2333"/>
      <c r="QK7" s="2334"/>
      <c r="QL7" s="2335"/>
      <c r="QM7" s="2333"/>
      <c r="QN7" s="2334"/>
      <c r="QO7" s="2335"/>
      <c r="QP7" s="2333"/>
      <c r="QQ7" s="2334"/>
      <c r="QR7" s="2335"/>
      <c r="QS7" s="2333"/>
      <c r="QT7" s="2334"/>
      <c r="QU7" s="2335"/>
      <c r="QV7" s="2333"/>
      <c r="QW7" s="2334"/>
      <c r="QX7" s="2335"/>
      <c r="QY7" s="2333"/>
      <c r="QZ7" s="2334"/>
      <c r="RA7" s="2335"/>
      <c r="RB7" s="2333"/>
      <c r="RC7" s="2334"/>
      <c r="RD7" s="2335"/>
      <c r="RE7" s="2333"/>
      <c r="RF7" s="2334"/>
      <c r="RG7" s="2335"/>
      <c r="RH7" s="2333"/>
      <c r="RI7" s="2334"/>
      <c r="RJ7" s="2335"/>
      <c r="RK7" s="2333"/>
      <c r="RL7" s="2334"/>
      <c r="RM7" s="2335"/>
      <c r="RN7" s="2333"/>
      <c r="RO7" s="2334"/>
      <c r="RP7" s="2335"/>
      <c r="RQ7" s="2333"/>
      <c r="RR7" s="2334"/>
      <c r="RS7" s="2335"/>
      <c r="RT7" s="2333"/>
      <c r="RU7" s="2334"/>
      <c r="RV7" s="2335"/>
      <c r="RW7" s="2333"/>
      <c r="RX7" s="2334"/>
      <c r="RY7" s="2335"/>
      <c r="RZ7" s="2333"/>
      <c r="SA7" s="2334"/>
      <c r="SB7" s="2335"/>
      <c r="SC7" s="2333"/>
      <c r="SD7" s="2334"/>
      <c r="SE7" s="2335"/>
      <c r="SF7" s="2333"/>
      <c r="SG7" s="2334"/>
      <c r="SH7" s="2335"/>
      <c r="SI7" s="2333"/>
      <c r="SJ7" s="2334"/>
      <c r="SK7" s="2335"/>
      <c r="SL7" s="2333"/>
      <c r="SM7" s="2334"/>
      <c r="SN7" s="2335"/>
      <c r="SO7" s="2333"/>
      <c r="SP7" s="2334"/>
      <c r="SQ7" s="2335"/>
      <c r="SR7" s="2333"/>
      <c r="SS7" s="2334"/>
      <c r="ST7" s="2335"/>
      <c r="SU7" s="2333"/>
      <c r="SV7" s="2334"/>
      <c r="SW7" s="2335"/>
      <c r="SX7" s="2333"/>
      <c r="SY7" s="2334"/>
      <c r="SZ7" s="2335"/>
      <c r="TA7" s="2333"/>
      <c r="TB7" s="2334"/>
      <c r="TC7" s="2335"/>
      <c r="TD7" s="2333"/>
      <c r="TE7" s="2334"/>
      <c r="TF7" s="2335"/>
      <c r="TG7" s="2333"/>
      <c r="TH7" s="2334"/>
      <c r="TI7" s="2335"/>
      <c r="TJ7" s="2333"/>
      <c r="TK7" s="2334"/>
      <c r="TL7" s="2335"/>
      <c r="TM7" s="2333"/>
      <c r="TN7" s="2334"/>
      <c r="TO7" s="2335"/>
      <c r="TP7" s="2333"/>
      <c r="TQ7" s="2334"/>
      <c r="TR7" s="2335"/>
      <c r="TS7" s="2333"/>
      <c r="TT7" s="2334"/>
      <c r="TU7" s="2335"/>
      <c r="TV7" s="2333"/>
      <c r="TW7" s="2334"/>
      <c r="TX7" s="2335"/>
      <c r="TY7" s="2333"/>
      <c r="TZ7" s="2334"/>
      <c r="UA7" s="2335"/>
      <c r="UB7" s="2333"/>
      <c r="UC7" s="2334"/>
      <c r="UD7" s="2335"/>
      <c r="UE7" s="2333"/>
      <c r="UF7" s="2334"/>
      <c r="UG7" s="2335"/>
      <c r="UH7" s="2333"/>
      <c r="UI7" s="2334"/>
      <c r="UJ7" s="2335"/>
      <c r="UK7" s="2333"/>
      <c r="UL7" s="2334"/>
      <c r="UM7" s="2335"/>
      <c r="UN7" s="2333"/>
      <c r="UO7" s="2334"/>
      <c r="UP7" s="2335"/>
      <c r="UQ7" s="2333"/>
      <c r="UR7" s="2334"/>
      <c r="US7" s="2335"/>
      <c r="UT7" s="2333"/>
      <c r="UU7" s="2334"/>
      <c r="UV7" s="2335"/>
      <c r="UW7" s="2333"/>
      <c r="UX7" s="2334"/>
      <c r="UY7" s="2335"/>
      <c r="UZ7" s="2333"/>
      <c r="VA7" s="2334"/>
      <c r="VB7" s="2335"/>
      <c r="VC7" s="2333"/>
      <c r="VD7" s="2334"/>
      <c r="VE7" s="2335"/>
      <c r="VF7" s="2333"/>
      <c r="VG7" s="2334"/>
      <c r="VH7" s="2335"/>
      <c r="VI7" s="2333"/>
      <c r="VJ7" s="2334"/>
      <c r="VK7" s="2335"/>
      <c r="VL7" s="2333"/>
      <c r="VM7" s="2334"/>
      <c r="VN7" s="2335"/>
      <c r="VO7" s="2333"/>
      <c r="VP7" s="2334"/>
      <c r="VQ7" s="2335"/>
      <c r="VR7" s="2333"/>
      <c r="VS7" s="2334"/>
      <c r="VT7" s="2335"/>
      <c r="VU7" s="2333"/>
      <c r="VV7" s="2334"/>
      <c r="VW7" s="2335"/>
      <c r="VX7" s="2333"/>
      <c r="VY7" s="2334"/>
      <c r="VZ7" s="2335"/>
      <c r="WA7" s="2333"/>
      <c r="WB7" s="2334"/>
      <c r="WC7" s="2335"/>
      <c r="WD7" s="2333"/>
      <c r="WE7" s="2334"/>
      <c r="WF7" s="2335"/>
      <c r="WG7" s="2333"/>
      <c r="WH7" s="2334"/>
      <c r="WI7" s="2335"/>
      <c r="WJ7" s="2333"/>
      <c r="WK7" s="2334"/>
      <c r="WL7" s="2335"/>
      <c r="WM7" s="2333"/>
      <c r="WN7" s="2334"/>
      <c r="WO7" s="2335"/>
      <c r="WP7" s="2333"/>
      <c r="WQ7" s="2334"/>
      <c r="WR7" s="2335"/>
      <c r="WS7" s="2333"/>
      <c r="WT7" s="2334"/>
      <c r="WU7" s="2335"/>
      <c r="WV7" s="2333"/>
      <c r="WW7" s="2334"/>
      <c r="WX7" s="2335"/>
      <c r="WY7" s="2333"/>
      <c r="WZ7" s="2334"/>
      <c r="XA7" s="2335"/>
      <c r="XB7" s="2333"/>
      <c r="XC7" s="2334"/>
      <c r="XD7" s="2335"/>
      <c r="XE7" s="2333"/>
      <c r="XF7" s="2334"/>
      <c r="XG7" s="2335"/>
      <c r="XH7" s="2333"/>
      <c r="XI7" s="2334"/>
      <c r="XJ7" s="2335"/>
      <c r="XK7" s="2333"/>
      <c r="XL7" s="2334"/>
      <c r="XM7" s="2335"/>
      <c r="XN7" s="2333"/>
      <c r="XO7" s="2334"/>
      <c r="XP7" s="2335"/>
      <c r="XQ7" s="2333"/>
      <c r="XR7" s="2334"/>
      <c r="XS7" s="2335"/>
      <c r="XT7" s="2333"/>
      <c r="XU7" s="2334"/>
      <c r="XV7" s="2335"/>
      <c r="XW7" s="2333"/>
      <c r="XX7" s="2334"/>
      <c r="XY7" s="2335"/>
      <c r="XZ7" s="2333"/>
      <c r="YA7" s="2334"/>
      <c r="YB7" s="2335"/>
      <c r="YC7" s="2333"/>
      <c r="YD7" s="2334"/>
      <c r="YE7" s="2335"/>
      <c r="YF7" s="2333"/>
      <c r="YG7" s="2334"/>
      <c r="YH7" s="2335"/>
      <c r="YI7" s="2333"/>
      <c r="YJ7" s="2334"/>
      <c r="YK7" s="2335"/>
      <c r="YL7" s="2333"/>
      <c r="YM7" s="2334"/>
      <c r="YN7" s="2335"/>
      <c r="YO7" s="2333"/>
      <c r="YP7" s="2334"/>
      <c r="YQ7" s="2335"/>
      <c r="YR7" s="2333"/>
      <c r="YS7" s="2334"/>
      <c r="YT7" s="2335"/>
      <c r="YU7" s="2333"/>
      <c r="YV7" s="2334"/>
      <c r="YW7" s="2335"/>
      <c r="YX7" s="2333"/>
      <c r="YY7" s="2334"/>
      <c r="YZ7" s="2335"/>
      <c r="ZA7" s="2333"/>
      <c r="ZB7" s="2334"/>
      <c r="ZC7" s="2335"/>
      <c r="ZD7" s="2333"/>
      <c r="ZE7" s="2334"/>
      <c r="ZF7" s="2335"/>
      <c r="ZG7" s="2333"/>
      <c r="ZH7" s="2334"/>
      <c r="ZI7" s="2335"/>
      <c r="ZJ7" s="2333"/>
      <c r="ZK7" s="2334"/>
      <c r="ZL7" s="2335"/>
      <c r="ZM7" s="2333"/>
      <c r="ZN7" s="2334"/>
      <c r="ZO7" s="2335"/>
      <c r="ZP7" s="2333"/>
      <c r="ZQ7" s="2334"/>
      <c r="ZR7" s="2335"/>
      <c r="ZS7" s="2333"/>
      <c r="ZT7" s="2334"/>
      <c r="ZU7" s="2335"/>
      <c r="ZV7" s="2333"/>
      <c r="ZW7" s="2334"/>
      <c r="ZX7" s="2335"/>
      <c r="ZY7" s="2333"/>
      <c r="ZZ7" s="2334"/>
      <c r="AAA7" s="2335"/>
      <c r="AAB7" s="2333"/>
      <c r="AAC7" s="2334"/>
      <c r="AAD7" s="2335"/>
      <c r="AAE7" s="2333"/>
      <c r="AAF7" s="2334"/>
      <c r="AAG7" s="2335"/>
      <c r="AAH7" s="2333"/>
      <c r="AAI7" s="2334"/>
      <c r="AAJ7" s="2335"/>
      <c r="AAK7" s="2333"/>
      <c r="AAL7" s="2334"/>
      <c r="AAM7" s="2335"/>
      <c r="AAN7" s="2333"/>
      <c r="AAO7" s="2334"/>
      <c r="AAP7" s="2335"/>
      <c r="AAQ7" s="2333"/>
      <c r="AAR7" s="2334"/>
      <c r="AAS7" s="2335"/>
      <c r="AAT7" s="2333"/>
      <c r="AAU7" s="2334"/>
      <c r="AAV7" s="2335"/>
      <c r="AAW7" s="2333"/>
      <c r="AAX7" s="2334"/>
      <c r="AAY7" s="2335"/>
      <c r="AAZ7" s="2333"/>
      <c r="ABA7" s="2334"/>
      <c r="ABB7" s="2335"/>
      <c r="ABC7" s="2333"/>
      <c r="ABD7" s="2334"/>
      <c r="ABE7" s="2335"/>
      <c r="ABF7" s="2333"/>
      <c r="ABG7" s="2334"/>
      <c r="ABH7" s="2335"/>
      <c r="ABI7" s="2333"/>
      <c r="ABJ7" s="2334"/>
      <c r="ABK7" s="2335"/>
      <c r="ABL7" s="2333"/>
      <c r="ABM7" s="2334"/>
      <c r="ABN7" s="2335"/>
      <c r="ABO7" s="2333"/>
      <c r="ABP7" s="2334"/>
      <c r="ABQ7" s="2335"/>
      <c r="ABR7" s="2333"/>
      <c r="ABS7" s="2334"/>
      <c r="ABT7" s="2335"/>
      <c r="ABU7" s="2333"/>
      <c r="ABV7" s="2334"/>
      <c r="ABW7" s="2335"/>
      <c r="ABX7" s="2333"/>
      <c r="ABY7" s="2334"/>
      <c r="ABZ7" s="2335"/>
      <c r="ACA7" s="2333"/>
      <c r="ACB7" s="2334"/>
      <c r="ACC7" s="2335"/>
      <c r="ACD7" s="2333"/>
      <c r="ACE7" s="2334"/>
      <c r="ACF7" s="2335"/>
      <c r="ACG7" s="2333"/>
      <c r="ACH7" s="2334"/>
      <c r="ACI7" s="2335"/>
      <c r="ACJ7" s="2333"/>
      <c r="ACK7" s="2334"/>
      <c r="ACL7" s="2335"/>
      <c r="ACM7" s="2333"/>
      <c r="ACN7" s="2334"/>
      <c r="ACO7" s="2335"/>
      <c r="ACP7" s="2333"/>
      <c r="ACQ7" s="2334"/>
      <c r="ACR7" s="2335"/>
      <c r="ACS7" s="2333"/>
      <c r="ACT7" s="2334"/>
      <c r="ACU7" s="2335"/>
      <c r="ACV7" s="2333"/>
      <c r="ACW7" s="2334"/>
      <c r="ACX7" s="2335"/>
      <c r="ACY7" s="2333"/>
      <c r="ACZ7" s="2334"/>
      <c r="ADA7" s="2335"/>
      <c r="ADB7" s="2333"/>
      <c r="ADC7" s="2334"/>
      <c r="ADD7" s="2335"/>
      <c r="ADE7" s="2333"/>
      <c r="ADF7" s="2334"/>
      <c r="ADG7" s="2335"/>
      <c r="ADH7" s="2333"/>
      <c r="ADI7" s="2334"/>
      <c r="ADJ7" s="2335"/>
      <c r="ADK7" s="2333"/>
      <c r="ADL7" s="2334"/>
      <c r="ADM7" s="2335"/>
      <c r="ADN7" s="2333"/>
      <c r="ADO7" s="2334"/>
      <c r="ADP7" s="2335"/>
      <c r="ADQ7" s="2333"/>
      <c r="ADR7" s="2334"/>
      <c r="ADS7" s="2335"/>
      <c r="ADT7" s="2333"/>
      <c r="ADU7" s="2334"/>
      <c r="ADV7" s="2335"/>
      <c r="ADW7" s="2333"/>
      <c r="ADX7" s="2334"/>
      <c r="ADY7" s="2335"/>
      <c r="ADZ7" s="2333"/>
      <c r="AEA7" s="2334"/>
      <c r="AEB7" s="2335"/>
      <c r="AEC7" s="2333"/>
      <c r="AED7" s="2334"/>
      <c r="AEE7" s="2335"/>
      <c r="AEF7" s="2333"/>
      <c r="AEG7" s="2334"/>
      <c r="AEH7" s="2335"/>
      <c r="AEI7" s="2333"/>
      <c r="AEJ7" s="2334"/>
      <c r="AEK7" s="2335"/>
      <c r="AEL7" s="2333"/>
      <c r="AEM7" s="2334"/>
      <c r="AEN7" s="2335"/>
      <c r="AEO7" s="2333"/>
      <c r="AEP7" s="2334"/>
      <c r="AEQ7" s="2335"/>
      <c r="AER7" s="2333"/>
      <c r="AES7" s="2334"/>
      <c r="AET7" s="2335"/>
      <c r="AEU7" s="2333"/>
      <c r="AEV7" s="2334"/>
      <c r="AEW7" s="2335"/>
      <c r="AEX7" s="2333"/>
      <c r="AEY7" s="2334"/>
      <c r="AEZ7" s="2335"/>
      <c r="AFA7" s="2333"/>
      <c r="AFB7" s="2334"/>
      <c r="AFC7" s="2335"/>
      <c r="AFD7" s="2333"/>
      <c r="AFE7" s="2334"/>
      <c r="AFF7" s="2335"/>
      <c r="AFG7" s="2333"/>
      <c r="AFH7" s="2334"/>
      <c r="AFI7" s="2335"/>
      <c r="AFJ7" s="2333"/>
      <c r="AFK7" s="2334"/>
      <c r="AFL7" s="2335"/>
      <c r="AFM7" s="2333"/>
      <c r="AFN7" s="2334"/>
      <c r="AFO7" s="2335"/>
      <c r="AFP7" s="2333"/>
      <c r="AFQ7" s="2334"/>
      <c r="AFR7" s="2335"/>
      <c r="AFS7" s="2333"/>
      <c r="AFT7" s="2334"/>
      <c r="AFU7" s="2335"/>
      <c r="AFV7" s="2333"/>
      <c r="AFW7" s="2334"/>
      <c r="AFX7" s="2335"/>
      <c r="AFY7" s="2333"/>
      <c r="AFZ7" s="2334"/>
      <c r="AGA7" s="2335"/>
      <c r="AGB7" s="2333"/>
      <c r="AGC7" s="2334"/>
      <c r="AGD7" s="2335"/>
      <c r="AGE7" s="2333"/>
      <c r="AGF7" s="2334"/>
      <c r="AGG7" s="2335"/>
      <c r="AGH7" s="2333"/>
      <c r="AGI7" s="2334"/>
      <c r="AGJ7" s="2335"/>
      <c r="AGK7" s="2333"/>
      <c r="AGL7" s="2334"/>
      <c r="AGM7" s="2335"/>
      <c r="AGN7" s="2333"/>
      <c r="AGO7" s="2334"/>
      <c r="AGP7" s="2335"/>
      <c r="AGQ7" s="2333"/>
      <c r="AGR7" s="2334"/>
      <c r="AGS7" s="2335"/>
      <c r="AGT7" s="2333"/>
      <c r="AGU7" s="2334"/>
      <c r="AGV7" s="2335"/>
      <c r="AGW7" s="2333"/>
      <c r="AGX7" s="2334"/>
      <c r="AGY7" s="2335"/>
      <c r="AGZ7" s="2333"/>
      <c r="AHA7" s="2334"/>
      <c r="AHB7" s="2335"/>
      <c r="AHC7" s="2333"/>
      <c r="AHD7" s="2334"/>
      <c r="AHE7" s="2335"/>
      <c r="AHF7" s="2333"/>
      <c r="AHG7" s="2334"/>
      <c r="AHH7" s="2335"/>
      <c r="AHI7" s="2333"/>
      <c r="AHJ7" s="2334"/>
      <c r="AHK7" s="2335"/>
      <c r="AHL7" s="2333"/>
      <c r="AHM7" s="2334"/>
      <c r="AHN7" s="2335"/>
      <c r="AHO7" s="2333"/>
      <c r="AHP7" s="2334"/>
      <c r="AHQ7" s="2335"/>
      <c r="AHR7" s="2333"/>
      <c r="AHS7" s="2334"/>
      <c r="AHT7" s="2335"/>
      <c r="AHU7" s="2333"/>
      <c r="AHV7" s="2334"/>
      <c r="AHW7" s="2335"/>
      <c r="AHX7" s="2333"/>
      <c r="AHY7" s="2334"/>
      <c r="AHZ7" s="2335"/>
      <c r="AIA7" s="2333"/>
      <c r="AIB7" s="2334"/>
      <c r="AIC7" s="2335"/>
      <c r="AID7" s="2333"/>
      <c r="AIE7" s="2334"/>
      <c r="AIF7" s="2335"/>
      <c r="AIG7" s="2333"/>
      <c r="AIH7" s="2334"/>
      <c r="AII7" s="2335"/>
      <c r="AIJ7" s="2333"/>
      <c r="AIK7" s="2334"/>
      <c r="AIL7" s="2335"/>
      <c r="AIM7" s="2333"/>
      <c r="AIN7" s="2334"/>
      <c r="AIO7" s="2335"/>
      <c r="AIP7" s="2333"/>
      <c r="AIQ7" s="2334"/>
      <c r="AIR7" s="2335"/>
      <c r="AIS7" s="2333"/>
      <c r="AIT7" s="2334"/>
      <c r="AIU7" s="2335"/>
      <c r="AIV7" s="2333"/>
      <c r="AIW7" s="2334"/>
      <c r="AIX7" s="2335"/>
      <c r="AIY7" s="2333"/>
      <c r="AIZ7" s="2334"/>
      <c r="AJA7" s="2335"/>
      <c r="AJB7" s="2333"/>
      <c r="AJC7" s="2334"/>
      <c r="AJD7" s="2335"/>
      <c r="AJE7" s="2333"/>
      <c r="AJF7" s="2334"/>
      <c r="AJG7" s="2335"/>
      <c r="AJH7" s="2333"/>
      <c r="AJI7" s="2334"/>
      <c r="AJJ7" s="2335"/>
      <c r="AJK7" s="2333"/>
      <c r="AJL7" s="2334"/>
      <c r="AJM7" s="2335"/>
      <c r="AJN7" s="2333"/>
      <c r="AJO7" s="2334"/>
      <c r="AJP7" s="2335"/>
      <c r="AJQ7" s="2333"/>
      <c r="AJR7" s="2334"/>
      <c r="AJS7" s="2335"/>
      <c r="AJT7" s="2333"/>
      <c r="AJU7" s="2334"/>
      <c r="AJV7" s="2335"/>
      <c r="AJW7" s="2333"/>
      <c r="AJX7" s="2334"/>
      <c r="AJY7" s="2335"/>
      <c r="AJZ7" s="2333"/>
      <c r="AKA7" s="2334"/>
      <c r="AKB7" s="2335"/>
      <c r="AKC7" s="2333"/>
      <c r="AKD7" s="2334"/>
      <c r="AKE7" s="2335"/>
      <c r="AKF7" s="2333"/>
      <c r="AKG7" s="2334"/>
      <c r="AKH7" s="2335"/>
      <c r="AKI7" s="2333"/>
      <c r="AKJ7" s="2334"/>
      <c r="AKK7" s="2335"/>
      <c r="AKL7" s="2333"/>
      <c r="AKM7" s="2334"/>
      <c r="AKN7" s="2335"/>
      <c r="AKO7" s="2333"/>
      <c r="AKP7" s="2334"/>
      <c r="AKQ7" s="2335"/>
      <c r="AKR7" s="2333"/>
      <c r="AKS7" s="2334"/>
      <c r="AKT7" s="2335"/>
      <c r="AKU7" s="2333"/>
      <c r="AKV7" s="2334"/>
      <c r="AKW7" s="2335"/>
      <c r="AKX7" s="2333"/>
      <c r="AKY7" s="2334"/>
      <c r="AKZ7" s="2335"/>
      <c r="ALA7" s="2333"/>
      <c r="ALB7" s="2334"/>
      <c r="ALC7" s="2335"/>
      <c r="ALD7" s="2333"/>
      <c r="ALE7" s="2334"/>
      <c r="ALF7" s="2335"/>
      <c r="ALG7" s="2333"/>
      <c r="ALH7" s="2334"/>
      <c r="ALI7" s="2335"/>
      <c r="ALJ7" s="2333"/>
      <c r="ALK7" s="2334"/>
      <c r="ALL7" s="2335"/>
      <c r="ALM7" s="2333"/>
      <c r="ALN7" s="2334"/>
      <c r="ALO7" s="2335"/>
      <c r="ALP7" s="2333"/>
      <c r="ALQ7" s="2334"/>
      <c r="ALR7" s="2335"/>
      <c r="ALS7" s="2333"/>
      <c r="ALT7" s="2334"/>
      <c r="ALU7" s="2335"/>
      <c r="ALV7" s="2333"/>
      <c r="ALW7" s="2334"/>
      <c r="ALX7" s="2335"/>
      <c r="ALY7" s="2333"/>
      <c r="ALZ7" s="2334"/>
      <c r="AMA7" s="2335"/>
      <c r="AMB7" s="2333"/>
      <c r="AMC7" s="2334"/>
      <c r="AMD7" s="2335"/>
      <c r="AME7" s="2333"/>
      <c r="AMF7" s="2334"/>
      <c r="AMG7" s="2335"/>
      <c r="AMH7" s="2333"/>
      <c r="AMI7" s="2334"/>
      <c r="AMJ7" s="2335"/>
      <c r="AMK7" s="2333"/>
      <c r="AML7" s="2334"/>
      <c r="AMM7" s="2335"/>
      <c r="AMN7" s="2333"/>
      <c r="AMO7" s="2334"/>
      <c r="AMP7" s="2335"/>
      <c r="AMQ7" s="2333"/>
      <c r="AMR7" s="2334"/>
      <c r="AMS7" s="2335"/>
      <c r="AMT7" s="2333"/>
      <c r="AMU7" s="2334"/>
      <c r="AMV7" s="2335"/>
      <c r="AMW7" s="2333"/>
      <c r="AMX7" s="2334"/>
      <c r="AMY7" s="2335"/>
      <c r="AMZ7" s="2333"/>
      <c r="ANA7" s="2334"/>
      <c r="ANB7" s="2335"/>
      <c r="ANC7" s="2333"/>
      <c r="AND7" s="2334"/>
      <c r="ANE7" s="2335"/>
      <c r="ANF7" s="2333"/>
      <c r="ANG7" s="2334"/>
      <c r="ANH7" s="2335"/>
      <c r="ANI7" s="2333"/>
      <c r="ANJ7" s="2334"/>
      <c r="ANK7" s="2335"/>
      <c r="ANL7" s="2333"/>
      <c r="ANM7" s="2334"/>
      <c r="ANN7" s="2335"/>
      <c r="ANO7" s="2333"/>
      <c r="ANP7" s="2334"/>
      <c r="ANQ7" s="2335"/>
      <c r="ANR7" s="2333"/>
      <c r="ANS7" s="2334"/>
      <c r="ANT7" s="2335"/>
      <c r="ANU7" s="2333"/>
      <c r="ANV7" s="2334"/>
      <c r="ANW7" s="2335"/>
      <c r="ANX7" s="2333"/>
      <c r="ANY7" s="2334"/>
      <c r="ANZ7" s="2335"/>
      <c r="AOA7" s="2333"/>
      <c r="AOB7" s="2334"/>
      <c r="AOC7" s="2335"/>
      <c r="AOD7" s="2333"/>
      <c r="AOE7" s="2334"/>
      <c r="AOF7" s="2335"/>
      <c r="AOG7" s="2333"/>
      <c r="AOH7" s="2334"/>
      <c r="AOI7" s="2335"/>
      <c r="AOJ7" s="2333"/>
      <c r="AOK7" s="2334"/>
      <c r="AOL7" s="2335"/>
      <c r="AOM7" s="2333"/>
      <c r="AON7" s="2334"/>
      <c r="AOO7" s="2335"/>
      <c r="AOP7" s="2333"/>
      <c r="AOQ7" s="2334"/>
      <c r="AOR7" s="2335"/>
      <c r="AOS7" s="2333"/>
      <c r="AOT7" s="2334"/>
      <c r="AOU7" s="2335"/>
      <c r="AOV7" s="2333"/>
      <c r="AOW7" s="2334"/>
      <c r="AOX7" s="2335"/>
      <c r="AOY7" s="2333"/>
      <c r="AOZ7" s="2334"/>
      <c r="APA7" s="2335"/>
      <c r="APB7" s="2333"/>
      <c r="APC7" s="2334"/>
      <c r="APD7" s="2335"/>
      <c r="APE7" s="2333"/>
      <c r="APF7" s="2334"/>
      <c r="APG7" s="2335"/>
      <c r="APH7" s="2333"/>
      <c r="API7" s="2334"/>
      <c r="APJ7" s="2335"/>
      <c r="APK7" s="2333"/>
      <c r="APL7" s="2334"/>
      <c r="APM7" s="2335"/>
      <c r="APN7" s="2333"/>
      <c r="APO7" s="2334"/>
      <c r="APP7" s="2335"/>
      <c r="APQ7" s="2333"/>
      <c r="APR7" s="2334"/>
      <c r="APS7" s="2335"/>
      <c r="APT7" s="2333"/>
      <c r="APU7" s="2334"/>
      <c r="APV7" s="2335"/>
      <c r="APW7" s="2333"/>
      <c r="APX7" s="2334"/>
      <c r="APY7" s="2335"/>
      <c r="APZ7" s="2333"/>
      <c r="AQA7" s="2334"/>
      <c r="AQB7" s="2335"/>
      <c r="AQC7" s="2333"/>
      <c r="AQD7" s="2334"/>
      <c r="AQE7" s="2335"/>
      <c r="AQF7" s="2333"/>
      <c r="AQG7" s="2334"/>
      <c r="AQH7" s="2335"/>
      <c r="AQI7" s="2333"/>
      <c r="AQJ7" s="2334"/>
      <c r="AQK7" s="2335"/>
      <c r="AQL7" s="2333"/>
      <c r="AQM7" s="2334"/>
      <c r="AQN7" s="2335"/>
      <c r="AQO7" s="2333"/>
      <c r="AQP7" s="2334"/>
      <c r="AQQ7" s="2335"/>
      <c r="AQR7" s="2333"/>
      <c r="AQS7" s="2334"/>
      <c r="AQT7" s="2335"/>
      <c r="AQU7" s="2333"/>
      <c r="AQV7" s="2334"/>
      <c r="AQW7" s="2335"/>
      <c r="AQX7" s="2333"/>
      <c r="AQY7" s="2334"/>
      <c r="AQZ7" s="2335"/>
      <c r="ARA7" s="2333"/>
      <c r="ARB7" s="2334"/>
      <c r="ARC7" s="2335"/>
      <c r="ARD7" s="2333"/>
      <c r="ARE7" s="2334"/>
      <c r="ARF7" s="2335"/>
      <c r="ARG7" s="2333"/>
      <c r="ARH7" s="2334"/>
      <c r="ARI7" s="2335"/>
      <c r="ARJ7" s="2333"/>
      <c r="ARK7" s="2334"/>
      <c r="ARL7" s="2335"/>
      <c r="ARM7" s="2333"/>
      <c r="ARN7" s="2334"/>
      <c r="ARO7" s="2335"/>
      <c r="ARP7" s="2333"/>
      <c r="ARQ7" s="2334"/>
      <c r="ARR7" s="2335"/>
      <c r="ARS7" s="2333"/>
      <c r="ART7" s="2334"/>
      <c r="ARU7" s="2335"/>
      <c r="ARV7" s="2333"/>
      <c r="ARW7" s="2334"/>
      <c r="ARX7" s="2335"/>
      <c r="ARY7" s="2333"/>
      <c r="ARZ7" s="2334"/>
      <c r="ASA7" s="2335"/>
      <c r="ASB7" s="2333"/>
      <c r="ASC7" s="2334"/>
      <c r="ASD7" s="2335"/>
      <c r="ASE7" s="2333"/>
      <c r="ASF7" s="2334"/>
      <c r="ASG7" s="2335"/>
      <c r="ASH7" s="2333"/>
      <c r="ASI7" s="2334"/>
      <c r="ASJ7" s="2335"/>
      <c r="ASK7" s="2333"/>
      <c r="ASL7" s="2334"/>
      <c r="ASM7" s="2335"/>
      <c r="ASN7" s="2333"/>
      <c r="ASO7" s="2334"/>
      <c r="ASP7" s="2335"/>
      <c r="ASQ7" s="2333"/>
      <c r="ASR7" s="2334"/>
      <c r="ASS7" s="2335"/>
      <c r="AST7" s="2333"/>
      <c r="ASU7" s="2334"/>
      <c r="ASV7" s="2335"/>
      <c r="ASW7" s="2333"/>
      <c r="ASX7" s="2334"/>
      <c r="ASY7" s="2335"/>
      <c r="ASZ7" s="2333"/>
      <c r="ATA7" s="2334"/>
      <c r="ATB7" s="2335"/>
      <c r="ATC7" s="2333"/>
      <c r="ATD7" s="2334"/>
      <c r="ATE7" s="2335"/>
      <c r="ATF7" s="2333"/>
      <c r="ATG7" s="2334"/>
      <c r="ATH7" s="2335"/>
      <c r="ATI7" s="2333"/>
      <c r="ATJ7" s="2334"/>
      <c r="ATK7" s="2335"/>
      <c r="ATL7" s="2333"/>
      <c r="ATM7" s="2334"/>
      <c r="ATN7" s="2335"/>
      <c r="ATO7" s="2333"/>
      <c r="ATP7" s="2334"/>
      <c r="ATQ7" s="2335"/>
      <c r="ATR7" s="2333"/>
      <c r="ATS7" s="2334"/>
      <c r="ATT7" s="2335"/>
      <c r="ATU7" s="2333"/>
      <c r="ATV7" s="2334"/>
      <c r="ATW7" s="2335"/>
      <c r="ATX7" s="2333"/>
      <c r="ATY7" s="2334"/>
      <c r="ATZ7" s="2335"/>
      <c r="AUA7" s="2333"/>
      <c r="AUB7" s="2334"/>
      <c r="AUC7" s="2335"/>
      <c r="AUD7" s="2333"/>
      <c r="AUE7" s="2334"/>
      <c r="AUF7" s="2335"/>
      <c r="AUG7" s="2333"/>
      <c r="AUH7" s="2334"/>
      <c r="AUI7" s="2335"/>
      <c r="AUJ7" s="2333"/>
      <c r="AUK7" s="2334"/>
      <c r="AUL7" s="2335"/>
      <c r="AUM7" s="2333"/>
      <c r="AUN7" s="2334"/>
      <c r="AUO7" s="2335"/>
      <c r="AUP7" s="2333"/>
      <c r="AUQ7" s="2334"/>
      <c r="AUR7" s="2335"/>
      <c r="AUS7" s="2333"/>
      <c r="AUT7" s="2334"/>
      <c r="AUU7" s="2335"/>
      <c r="AUV7" s="2333"/>
      <c r="AUW7" s="2334"/>
      <c r="AUX7" s="2335"/>
      <c r="AUY7" s="2333"/>
      <c r="AUZ7" s="2334"/>
      <c r="AVA7" s="2335"/>
      <c r="AVB7" s="2333"/>
      <c r="AVC7" s="2334"/>
      <c r="AVD7" s="2335"/>
      <c r="AVE7" s="2333"/>
      <c r="AVF7" s="2334"/>
      <c r="AVG7" s="2335"/>
      <c r="AVH7" s="2333"/>
      <c r="AVI7" s="2334"/>
      <c r="AVJ7" s="2335"/>
      <c r="AVK7" s="2333"/>
      <c r="AVL7" s="2334"/>
      <c r="AVM7" s="2335"/>
      <c r="AVN7" s="2333"/>
      <c r="AVO7" s="2334"/>
      <c r="AVP7" s="2335"/>
      <c r="AVQ7" s="2333"/>
      <c r="AVR7" s="2334"/>
      <c r="AVS7" s="2335"/>
      <c r="AVT7" s="2333"/>
      <c r="AVU7" s="2334"/>
      <c r="AVV7" s="2335"/>
      <c r="AVW7" s="2333"/>
      <c r="AVX7" s="2334"/>
      <c r="AVY7" s="2335"/>
      <c r="AVZ7" s="2333"/>
      <c r="AWA7" s="2334"/>
      <c r="AWB7" s="2335"/>
      <c r="AWC7" s="2333"/>
      <c r="AWD7" s="2334"/>
      <c r="AWE7" s="2335"/>
      <c r="AWF7" s="2333"/>
      <c r="AWG7" s="2334"/>
      <c r="AWH7" s="2335"/>
      <c r="AWI7" s="2333"/>
      <c r="AWJ7" s="2334"/>
      <c r="AWK7" s="2335"/>
      <c r="AWL7" s="2333"/>
      <c r="AWM7" s="2334"/>
      <c r="AWN7" s="2335"/>
      <c r="AWO7" s="2333"/>
      <c r="AWP7" s="2334"/>
      <c r="AWQ7" s="2335"/>
      <c r="AWR7" s="2333"/>
      <c r="AWS7" s="2334"/>
      <c r="AWT7" s="2335"/>
      <c r="AWU7" s="2333"/>
      <c r="AWV7" s="2334"/>
      <c r="AWW7" s="2335"/>
      <c r="AWX7" s="2333"/>
      <c r="AWY7" s="2334"/>
      <c r="AWZ7" s="2335"/>
      <c r="AXA7" s="2333"/>
      <c r="AXB7" s="2334"/>
      <c r="AXC7" s="2335"/>
      <c r="AXD7" s="2333"/>
      <c r="AXE7" s="2334"/>
      <c r="AXF7" s="2335"/>
      <c r="AXG7" s="2333"/>
      <c r="AXH7" s="2334"/>
      <c r="AXI7" s="2335"/>
      <c r="AXJ7" s="2333"/>
      <c r="AXK7" s="2334"/>
      <c r="AXL7" s="2335"/>
      <c r="AXM7" s="2333"/>
      <c r="AXN7" s="2334"/>
      <c r="AXO7" s="2335"/>
      <c r="AXP7" s="2333"/>
      <c r="AXQ7" s="2334"/>
      <c r="AXR7" s="2335"/>
      <c r="AXS7" s="2333"/>
      <c r="AXT7" s="2334"/>
      <c r="AXU7" s="2335"/>
      <c r="AXV7" s="2333"/>
      <c r="AXW7" s="2334"/>
      <c r="AXX7" s="2335"/>
      <c r="AXY7" s="2333"/>
      <c r="AXZ7" s="2334"/>
      <c r="AYA7" s="2335"/>
      <c r="AYB7" s="2333"/>
      <c r="AYC7" s="2334"/>
      <c r="AYD7" s="2335"/>
      <c r="AYE7" s="2333"/>
      <c r="AYF7" s="2334"/>
      <c r="AYG7" s="2335"/>
      <c r="AYH7" s="2333"/>
      <c r="AYI7" s="2334"/>
      <c r="AYJ7" s="2335"/>
      <c r="AYK7" s="2333"/>
      <c r="AYL7" s="2334"/>
      <c r="AYM7" s="2335"/>
      <c r="AYN7" s="2333"/>
      <c r="AYO7" s="2334"/>
      <c r="AYP7" s="2335"/>
      <c r="AYQ7" s="2333"/>
      <c r="AYR7" s="2334"/>
      <c r="AYS7" s="2335"/>
      <c r="AYT7" s="2333"/>
      <c r="AYU7" s="2334"/>
      <c r="AYV7" s="2335"/>
      <c r="AYW7" s="2333"/>
      <c r="AYX7" s="2334"/>
      <c r="AYY7" s="2335"/>
      <c r="AYZ7" s="2333"/>
      <c r="AZA7" s="2334"/>
      <c r="AZB7" s="2335"/>
      <c r="AZC7" s="2333"/>
      <c r="AZD7" s="2334"/>
      <c r="AZE7" s="2335"/>
      <c r="AZF7" s="2333"/>
      <c r="AZG7" s="2334"/>
      <c r="AZH7" s="2335"/>
      <c r="AZI7" s="2333"/>
      <c r="AZJ7" s="2334"/>
      <c r="AZK7" s="2335"/>
      <c r="AZL7" s="2333"/>
      <c r="AZM7" s="2334"/>
      <c r="AZN7" s="2335"/>
      <c r="AZO7" s="2333"/>
      <c r="AZP7" s="2334"/>
      <c r="AZQ7" s="2335"/>
      <c r="AZR7" s="2333"/>
      <c r="AZS7" s="2334"/>
      <c r="AZT7" s="2335"/>
      <c r="AZU7" s="2333"/>
      <c r="AZV7" s="2334"/>
      <c r="AZW7" s="2335"/>
      <c r="AZX7" s="2333"/>
      <c r="AZY7" s="2334"/>
      <c r="AZZ7" s="2335"/>
      <c r="BAA7" s="2333"/>
      <c r="BAB7" s="2334"/>
      <c r="BAC7" s="2335"/>
      <c r="BAD7" s="2333"/>
      <c r="BAE7" s="2334"/>
      <c r="BAF7" s="2335"/>
      <c r="BAG7" s="2333"/>
      <c r="BAH7" s="2334"/>
      <c r="BAI7" s="2335"/>
      <c r="BAJ7" s="2333"/>
      <c r="BAK7" s="2334"/>
      <c r="BAL7" s="2335"/>
      <c r="BAM7" s="2333"/>
      <c r="BAN7" s="2334"/>
      <c r="BAO7" s="2335"/>
      <c r="BAP7" s="2333"/>
      <c r="BAQ7" s="2334"/>
      <c r="BAR7" s="2335"/>
      <c r="BAS7" s="2333"/>
      <c r="BAT7" s="2334"/>
      <c r="BAU7" s="2335"/>
      <c r="BAV7" s="2333"/>
      <c r="BAW7" s="2334"/>
      <c r="BAX7" s="2335"/>
      <c r="BAY7" s="2333"/>
      <c r="BAZ7" s="2334"/>
      <c r="BBA7" s="2335"/>
      <c r="BBB7" s="2333"/>
      <c r="BBC7" s="2334"/>
      <c r="BBD7" s="2335"/>
      <c r="BBE7" s="2333"/>
      <c r="BBF7" s="2334"/>
      <c r="BBG7" s="2335"/>
      <c r="BBH7" s="2333"/>
      <c r="BBI7" s="2334"/>
      <c r="BBJ7" s="2335"/>
      <c r="BBK7" s="2333"/>
      <c r="BBL7" s="2334"/>
      <c r="BBM7" s="2335"/>
      <c r="BBN7" s="2333"/>
      <c r="BBO7" s="2334"/>
      <c r="BBP7" s="2335"/>
      <c r="BBQ7" s="2333"/>
      <c r="BBR7" s="2334"/>
      <c r="BBS7" s="2335"/>
      <c r="BBT7" s="2333"/>
      <c r="BBU7" s="2334"/>
      <c r="BBV7" s="2335"/>
      <c r="BBW7" s="2333"/>
      <c r="BBX7" s="2334"/>
      <c r="BBY7" s="2335"/>
      <c r="BBZ7" s="2333"/>
      <c r="BCA7" s="2334"/>
      <c r="BCB7" s="2335"/>
      <c r="BCC7" s="2333"/>
      <c r="BCD7" s="2334"/>
      <c r="BCE7" s="2335"/>
      <c r="BCF7" s="2333"/>
      <c r="BCG7" s="2334"/>
      <c r="BCH7" s="2335"/>
      <c r="BCI7" s="2333"/>
      <c r="BCJ7" s="2334"/>
      <c r="BCK7" s="2335"/>
      <c r="BCL7" s="2333"/>
      <c r="BCM7" s="2334"/>
      <c r="BCN7" s="2335"/>
      <c r="BCO7" s="2333"/>
      <c r="BCP7" s="2334"/>
      <c r="BCQ7" s="2335"/>
      <c r="BCR7" s="2333"/>
      <c r="BCS7" s="2334"/>
      <c r="BCT7" s="2335"/>
      <c r="BCU7" s="2333"/>
      <c r="BCV7" s="2334"/>
      <c r="BCW7" s="2335"/>
      <c r="BCX7" s="2333"/>
      <c r="BCY7" s="2334"/>
      <c r="BCZ7" s="2335"/>
      <c r="BDA7" s="2333"/>
      <c r="BDB7" s="2334"/>
      <c r="BDC7" s="2335"/>
      <c r="BDD7" s="2333"/>
      <c r="BDE7" s="2334"/>
      <c r="BDF7" s="2335"/>
      <c r="BDG7" s="2333"/>
      <c r="BDH7" s="2334"/>
      <c r="BDI7" s="2335"/>
      <c r="BDJ7" s="2333"/>
      <c r="BDK7" s="2334"/>
      <c r="BDL7" s="2335"/>
      <c r="BDM7" s="2333"/>
      <c r="BDN7" s="2334"/>
      <c r="BDO7" s="2335"/>
      <c r="BDP7" s="2333"/>
      <c r="BDQ7" s="2334"/>
      <c r="BDR7" s="2335"/>
      <c r="BDS7" s="2333"/>
      <c r="BDT7" s="2334"/>
      <c r="BDU7" s="2335"/>
      <c r="BDV7" s="2333"/>
      <c r="BDW7" s="2334"/>
      <c r="BDX7" s="2335"/>
      <c r="BDY7" s="2333"/>
      <c r="BDZ7" s="2334"/>
      <c r="BEA7" s="2335"/>
      <c r="BEB7" s="2333"/>
      <c r="BEC7" s="2334"/>
      <c r="BED7" s="2335"/>
      <c r="BEE7" s="2333"/>
      <c r="BEF7" s="2334"/>
      <c r="BEG7" s="2335"/>
      <c r="BEH7" s="2333"/>
      <c r="BEI7" s="2334"/>
      <c r="BEJ7" s="2335"/>
      <c r="BEK7" s="2333"/>
      <c r="BEL7" s="2334"/>
      <c r="BEM7" s="2335"/>
      <c r="BEN7" s="2333"/>
      <c r="BEO7" s="2334"/>
      <c r="BEP7" s="2335"/>
      <c r="BEQ7" s="2333"/>
      <c r="BER7" s="2334"/>
      <c r="BES7" s="2335"/>
      <c r="BET7" s="2333"/>
      <c r="BEU7" s="2334"/>
      <c r="BEV7" s="2335"/>
      <c r="BEW7" s="2333"/>
      <c r="BEX7" s="2334"/>
      <c r="BEY7" s="2335"/>
      <c r="BEZ7" s="2333"/>
      <c r="BFA7" s="2334"/>
      <c r="BFB7" s="2335"/>
      <c r="BFC7" s="2333"/>
      <c r="BFD7" s="2334"/>
      <c r="BFE7" s="2335"/>
      <c r="BFF7" s="2333"/>
      <c r="BFG7" s="2334"/>
      <c r="BFH7" s="2335"/>
      <c r="BFI7" s="2333"/>
      <c r="BFJ7" s="2334"/>
      <c r="BFK7" s="2335"/>
      <c r="BFL7" s="2333"/>
      <c r="BFM7" s="2334"/>
      <c r="BFN7" s="2335"/>
      <c r="BFO7" s="2333"/>
      <c r="BFP7" s="2334"/>
      <c r="BFQ7" s="2335"/>
      <c r="BFR7" s="2333"/>
      <c r="BFS7" s="2334"/>
      <c r="BFT7" s="2335"/>
      <c r="BFU7" s="2333"/>
      <c r="BFV7" s="2334"/>
      <c r="BFW7" s="2335"/>
      <c r="BFX7" s="2333"/>
      <c r="BFY7" s="2334"/>
      <c r="BFZ7" s="2335"/>
      <c r="BGA7" s="2333"/>
      <c r="BGB7" s="2334"/>
      <c r="BGC7" s="2335"/>
      <c r="BGD7" s="2333"/>
      <c r="BGE7" s="2334"/>
      <c r="BGF7" s="2335"/>
      <c r="BGG7" s="2333"/>
      <c r="BGH7" s="2334"/>
      <c r="BGI7" s="2335"/>
      <c r="BGJ7" s="2333"/>
      <c r="BGK7" s="2334"/>
      <c r="BGL7" s="2335"/>
      <c r="BGM7" s="2333"/>
      <c r="BGN7" s="2334"/>
      <c r="BGO7" s="2335"/>
      <c r="BGP7" s="2333"/>
      <c r="BGQ7" s="2334"/>
      <c r="BGR7" s="2335"/>
      <c r="BGS7" s="2333"/>
      <c r="BGT7" s="2334"/>
      <c r="BGU7" s="2335"/>
      <c r="BGV7" s="2333"/>
      <c r="BGW7" s="2334"/>
      <c r="BGX7" s="2335"/>
      <c r="BGY7" s="2333"/>
      <c r="BGZ7" s="2334"/>
      <c r="BHA7" s="2335"/>
      <c r="BHB7" s="2333"/>
      <c r="BHC7" s="2334"/>
      <c r="BHD7" s="2335"/>
      <c r="BHE7" s="2333"/>
      <c r="BHF7" s="2334"/>
      <c r="BHG7" s="2335"/>
      <c r="BHH7" s="2333"/>
      <c r="BHI7" s="2334"/>
      <c r="BHJ7" s="2335"/>
      <c r="BHK7" s="2333"/>
      <c r="BHL7" s="2334"/>
      <c r="BHM7" s="2335"/>
      <c r="BHN7" s="2333"/>
      <c r="BHO7" s="2334"/>
      <c r="BHP7" s="2335"/>
      <c r="BHQ7" s="2333"/>
      <c r="BHR7" s="2334"/>
      <c r="BHS7" s="2335"/>
      <c r="BHT7" s="2333"/>
      <c r="BHU7" s="2334"/>
      <c r="BHV7" s="2335"/>
      <c r="BHW7" s="2333"/>
      <c r="BHX7" s="2334"/>
      <c r="BHY7" s="2335"/>
      <c r="BHZ7" s="2333"/>
      <c r="BIA7" s="2334"/>
      <c r="BIB7" s="2335"/>
      <c r="BIC7" s="2333"/>
      <c r="BID7" s="2334"/>
      <c r="BIE7" s="2335"/>
      <c r="BIF7" s="2333"/>
      <c r="BIG7" s="2334"/>
      <c r="BIH7" s="2335"/>
      <c r="BII7" s="2333"/>
      <c r="BIJ7" s="2334"/>
      <c r="BIK7" s="2335"/>
      <c r="BIL7" s="2333"/>
      <c r="BIM7" s="2334"/>
      <c r="BIN7" s="2335"/>
      <c r="BIO7" s="2333"/>
      <c r="BIP7" s="2334"/>
      <c r="BIQ7" s="2335"/>
      <c r="BIR7" s="2333"/>
      <c r="BIS7" s="2334"/>
      <c r="BIT7" s="2335"/>
      <c r="BIU7" s="2333"/>
      <c r="BIV7" s="2334"/>
      <c r="BIW7" s="2335"/>
      <c r="BIX7" s="2333"/>
      <c r="BIY7" s="2334"/>
      <c r="BIZ7" s="2335"/>
      <c r="BJA7" s="2333"/>
      <c r="BJB7" s="2334"/>
      <c r="BJC7" s="2335"/>
      <c r="BJD7" s="2333"/>
      <c r="BJE7" s="2334"/>
      <c r="BJF7" s="2335"/>
      <c r="BJG7" s="2333"/>
      <c r="BJH7" s="2334"/>
      <c r="BJI7" s="2335"/>
      <c r="BJJ7" s="2333"/>
      <c r="BJK7" s="2334"/>
      <c r="BJL7" s="2335"/>
      <c r="BJM7" s="2333"/>
      <c r="BJN7" s="2334"/>
      <c r="BJO7" s="2335"/>
      <c r="BJP7" s="2333"/>
      <c r="BJQ7" s="2334"/>
      <c r="BJR7" s="2335"/>
      <c r="BJS7" s="2333"/>
      <c r="BJT7" s="2334"/>
      <c r="BJU7" s="2335"/>
      <c r="BJV7" s="2333"/>
      <c r="BJW7" s="2334"/>
      <c r="BJX7" s="2335"/>
      <c r="BJY7" s="2333"/>
      <c r="BJZ7" s="2334"/>
      <c r="BKA7" s="2335"/>
      <c r="BKB7" s="2333"/>
      <c r="BKC7" s="2334"/>
      <c r="BKD7" s="2335"/>
      <c r="BKE7" s="2333"/>
      <c r="BKF7" s="2334"/>
      <c r="BKG7" s="2335"/>
      <c r="BKH7" s="2333"/>
      <c r="BKI7" s="2334"/>
      <c r="BKJ7" s="2335"/>
      <c r="BKK7" s="2333"/>
      <c r="BKL7" s="2334"/>
      <c r="BKM7" s="2335"/>
      <c r="BKN7" s="2333"/>
      <c r="BKO7" s="2334"/>
      <c r="BKP7" s="2335"/>
      <c r="BKQ7" s="2333"/>
      <c r="BKR7" s="2334"/>
      <c r="BKS7" s="2335"/>
      <c r="BKT7" s="2333"/>
      <c r="BKU7" s="2334"/>
      <c r="BKV7" s="2335"/>
      <c r="BKW7" s="2333"/>
      <c r="BKX7" s="2334"/>
      <c r="BKY7" s="2335"/>
      <c r="BKZ7" s="2333"/>
      <c r="BLA7" s="2334"/>
      <c r="BLB7" s="2335"/>
      <c r="BLC7" s="2333"/>
      <c r="BLD7" s="2334"/>
      <c r="BLE7" s="2335"/>
      <c r="BLF7" s="2333"/>
      <c r="BLG7" s="2334"/>
      <c r="BLH7" s="2335"/>
      <c r="BLI7" s="2333"/>
      <c r="BLJ7" s="2334"/>
      <c r="BLK7" s="2335"/>
      <c r="BLL7" s="2333"/>
      <c r="BLM7" s="2334"/>
      <c r="BLN7" s="2335"/>
      <c r="BLO7" s="2333"/>
      <c r="BLP7" s="2334"/>
      <c r="BLQ7" s="2335"/>
      <c r="BLR7" s="2333"/>
      <c r="BLS7" s="2334"/>
      <c r="BLT7" s="2335"/>
      <c r="BLU7" s="2333"/>
      <c r="BLV7" s="2334"/>
      <c r="BLW7" s="2335"/>
      <c r="BLX7" s="2333"/>
      <c r="BLY7" s="2334"/>
      <c r="BLZ7" s="2335"/>
      <c r="BMA7" s="2333"/>
      <c r="BMB7" s="2334"/>
      <c r="BMC7" s="2335"/>
      <c r="BMD7" s="2333"/>
      <c r="BME7" s="2334"/>
      <c r="BMF7" s="2335"/>
      <c r="BMG7" s="2333"/>
      <c r="BMH7" s="2334"/>
      <c r="BMI7" s="2335"/>
      <c r="BMJ7" s="2333"/>
      <c r="BMK7" s="2334"/>
      <c r="BML7" s="2335"/>
      <c r="BMM7" s="2333"/>
      <c r="BMN7" s="2334"/>
      <c r="BMO7" s="2335"/>
      <c r="BMP7" s="2333"/>
      <c r="BMQ7" s="2334"/>
      <c r="BMR7" s="2335"/>
      <c r="BMS7" s="2333"/>
      <c r="BMT7" s="2334"/>
      <c r="BMU7" s="2335"/>
      <c r="BMV7" s="2333"/>
      <c r="BMW7" s="2334"/>
      <c r="BMX7" s="2335"/>
      <c r="BMY7" s="2333"/>
      <c r="BMZ7" s="2334"/>
      <c r="BNA7" s="2335"/>
      <c r="BNB7" s="2333"/>
      <c r="BNC7" s="2334"/>
      <c r="BND7" s="2335"/>
      <c r="BNE7" s="2333"/>
      <c r="BNF7" s="2334"/>
      <c r="BNG7" s="2335"/>
      <c r="BNH7" s="2333"/>
      <c r="BNI7" s="2334"/>
      <c r="BNJ7" s="2335"/>
      <c r="BNK7" s="2333"/>
      <c r="BNL7" s="2334"/>
      <c r="BNM7" s="2335"/>
      <c r="BNN7" s="2333"/>
      <c r="BNO7" s="2334"/>
      <c r="BNP7" s="2335"/>
      <c r="BNQ7" s="2333"/>
      <c r="BNR7" s="2334"/>
      <c r="BNS7" s="2335"/>
      <c r="BNT7" s="2333"/>
      <c r="BNU7" s="2334"/>
      <c r="BNV7" s="2335"/>
      <c r="BNW7" s="2333"/>
      <c r="BNX7" s="2334"/>
      <c r="BNY7" s="2335"/>
      <c r="BNZ7" s="2333"/>
      <c r="BOA7" s="2334"/>
      <c r="BOB7" s="2335"/>
      <c r="BOC7" s="2333"/>
      <c r="BOD7" s="2334"/>
      <c r="BOE7" s="2335"/>
      <c r="BOF7" s="2333"/>
      <c r="BOG7" s="2334"/>
      <c r="BOH7" s="2335"/>
      <c r="BOI7" s="2333"/>
      <c r="BOJ7" s="2334"/>
      <c r="BOK7" s="2335"/>
      <c r="BOL7" s="2333"/>
      <c r="BOM7" s="2334"/>
      <c r="BON7" s="2335"/>
      <c r="BOO7" s="2333"/>
      <c r="BOP7" s="2334"/>
      <c r="BOQ7" s="2335"/>
      <c r="BOR7" s="2333"/>
      <c r="BOS7" s="2334"/>
      <c r="BOT7" s="2335"/>
      <c r="BOU7" s="2333"/>
      <c r="BOV7" s="2334"/>
      <c r="BOW7" s="2335"/>
      <c r="BOX7" s="2333"/>
      <c r="BOY7" s="2334"/>
      <c r="BOZ7" s="2335"/>
      <c r="BPA7" s="2333"/>
      <c r="BPB7" s="2334"/>
      <c r="BPC7" s="2335"/>
      <c r="BPD7" s="2333"/>
      <c r="BPE7" s="2334"/>
      <c r="BPF7" s="2335"/>
      <c r="BPG7" s="2333"/>
      <c r="BPH7" s="2334"/>
      <c r="BPI7" s="2335"/>
      <c r="BPJ7" s="2333"/>
      <c r="BPK7" s="2334"/>
      <c r="BPL7" s="2335"/>
      <c r="BPM7" s="2333"/>
      <c r="BPN7" s="2334"/>
      <c r="BPO7" s="2335"/>
      <c r="BPP7" s="2333"/>
      <c r="BPQ7" s="2334"/>
      <c r="BPR7" s="2335"/>
      <c r="BPS7" s="2333"/>
      <c r="BPT7" s="2334"/>
      <c r="BPU7" s="2335"/>
      <c r="BPV7" s="2333"/>
      <c r="BPW7" s="2334"/>
      <c r="BPX7" s="2335"/>
      <c r="BPY7" s="2333"/>
      <c r="BPZ7" s="2334"/>
      <c r="BQA7" s="2335"/>
      <c r="BQB7" s="2333"/>
      <c r="BQC7" s="2334"/>
      <c r="BQD7" s="2335"/>
      <c r="BQE7" s="2333"/>
      <c r="BQF7" s="2334"/>
      <c r="BQG7" s="2335"/>
      <c r="BQH7" s="2333"/>
      <c r="BQI7" s="2334"/>
      <c r="BQJ7" s="2335"/>
      <c r="BQK7" s="2333"/>
      <c r="BQL7" s="2334"/>
      <c r="BQM7" s="2335"/>
      <c r="BQN7" s="2333"/>
      <c r="BQO7" s="2334"/>
      <c r="BQP7" s="2335"/>
      <c r="BQQ7" s="2333"/>
      <c r="BQR7" s="2334"/>
      <c r="BQS7" s="2335"/>
      <c r="BQT7" s="2333"/>
      <c r="BQU7" s="2334"/>
      <c r="BQV7" s="2335"/>
      <c r="BQW7" s="2333"/>
      <c r="BQX7" s="2334"/>
      <c r="BQY7" s="2335"/>
      <c r="BQZ7" s="2333"/>
      <c r="BRA7" s="2334"/>
      <c r="BRB7" s="2335"/>
      <c r="BRC7" s="2333"/>
      <c r="BRD7" s="2334"/>
      <c r="BRE7" s="2335"/>
      <c r="BRF7" s="2333"/>
      <c r="BRG7" s="2334"/>
      <c r="BRH7" s="2335"/>
      <c r="BRI7" s="2333"/>
      <c r="BRJ7" s="2334"/>
      <c r="BRK7" s="2335"/>
      <c r="BRL7" s="2333"/>
      <c r="BRM7" s="2334"/>
      <c r="BRN7" s="2335"/>
      <c r="BRO7" s="2333"/>
      <c r="BRP7" s="2334"/>
      <c r="BRQ7" s="2335"/>
      <c r="BRR7" s="2333"/>
      <c r="BRS7" s="2334"/>
      <c r="BRT7" s="2335"/>
      <c r="BRU7" s="2333"/>
      <c r="BRV7" s="2334"/>
      <c r="BRW7" s="2335"/>
      <c r="BRX7" s="2333"/>
      <c r="BRY7" s="2334"/>
      <c r="BRZ7" s="2335"/>
      <c r="BSA7" s="2333"/>
      <c r="BSB7" s="2334"/>
      <c r="BSC7" s="2335"/>
      <c r="BSD7" s="2333"/>
      <c r="BSE7" s="2334"/>
      <c r="BSF7" s="2335"/>
      <c r="BSG7" s="2333"/>
      <c r="BSH7" s="2334"/>
      <c r="BSI7" s="2335"/>
      <c r="BSJ7" s="2333"/>
      <c r="BSK7" s="2334"/>
      <c r="BSL7" s="2335"/>
      <c r="BSM7" s="2333"/>
      <c r="BSN7" s="2334"/>
      <c r="BSO7" s="2335"/>
      <c r="BSP7" s="2333"/>
      <c r="BSQ7" s="2334"/>
      <c r="BSR7" s="2335"/>
      <c r="BSS7" s="2333"/>
      <c r="BST7" s="2334"/>
      <c r="BSU7" s="2335"/>
      <c r="BSV7" s="2333"/>
      <c r="BSW7" s="2334"/>
      <c r="BSX7" s="2335"/>
      <c r="BSY7" s="2333"/>
      <c r="BSZ7" s="2334"/>
      <c r="BTA7" s="2335"/>
      <c r="BTB7" s="2333"/>
      <c r="BTC7" s="2334"/>
      <c r="BTD7" s="2335"/>
      <c r="BTE7" s="2333"/>
      <c r="BTF7" s="2334"/>
      <c r="BTG7" s="2335"/>
      <c r="BTH7" s="2333"/>
      <c r="BTI7" s="2334"/>
      <c r="BTJ7" s="2335"/>
      <c r="BTK7" s="2333"/>
      <c r="BTL7" s="2334"/>
      <c r="BTM7" s="2335"/>
      <c r="BTN7" s="2333"/>
      <c r="BTO7" s="2334"/>
      <c r="BTP7" s="2335"/>
      <c r="BTQ7" s="2333"/>
      <c r="BTR7" s="2334"/>
      <c r="BTS7" s="2335"/>
      <c r="BTT7" s="2333"/>
      <c r="BTU7" s="2334"/>
      <c r="BTV7" s="2335"/>
      <c r="BTW7" s="2333"/>
      <c r="BTX7" s="2334"/>
      <c r="BTY7" s="2335"/>
      <c r="BTZ7" s="2333"/>
      <c r="BUA7" s="2334"/>
      <c r="BUB7" s="2335"/>
      <c r="BUC7" s="2333"/>
      <c r="BUD7" s="2334"/>
      <c r="BUE7" s="2335"/>
      <c r="BUF7" s="2333"/>
      <c r="BUG7" s="2334"/>
      <c r="BUH7" s="2335"/>
      <c r="BUI7" s="2333"/>
      <c r="BUJ7" s="2334"/>
      <c r="BUK7" s="2335"/>
      <c r="BUL7" s="2333"/>
      <c r="BUM7" s="2334"/>
      <c r="BUN7" s="2335"/>
      <c r="BUO7" s="2333"/>
      <c r="BUP7" s="2334"/>
      <c r="BUQ7" s="2335"/>
      <c r="BUR7" s="2333"/>
      <c r="BUS7" s="2334"/>
      <c r="BUT7" s="2335"/>
      <c r="BUU7" s="2333"/>
      <c r="BUV7" s="2334"/>
      <c r="BUW7" s="2335"/>
      <c r="BUX7" s="2333"/>
      <c r="BUY7" s="2334"/>
      <c r="BUZ7" s="2335"/>
      <c r="BVA7" s="2333"/>
      <c r="BVB7" s="2334"/>
      <c r="BVC7" s="2335"/>
      <c r="BVD7" s="2333"/>
      <c r="BVE7" s="2334"/>
      <c r="BVF7" s="2335"/>
      <c r="BVG7" s="2333"/>
      <c r="BVH7" s="2334"/>
      <c r="BVI7" s="2335"/>
      <c r="BVJ7" s="2333"/>
      <c r="BVK7" s="2334"/>
      <c r="BVL7" s="2335"/>
      <c r="BVM7" s="2333"/>
      <c r="BVN7" s="2334"/>
      <c r="BVO7" s="2335"/>
      <c r="BVP7" s="2333"/>
      <c r="BVQ7" s="2334"/>
      <c r="BVR7" s="2335"/>
      <c r="BVS7" s="2333"/>
      <c r="BVT7" s="2334"/>
      <c r="BVU7" s="2335"/>
      <c r="BVV7" s="2333"/>
      <c r="BVW7" s="2334"/>
      <c r="BVX7" s="2335"/>
      <c r="BVY7" s="2333"/>
      <c r="BVZ7" s="2334"/>
      <c r="BWA7" s="2335"/>
      <c r="BWB7" s="2333"/>
      <c r="BWC7" s="2334"/>
      <c r="BWD7" s="2335"/>
      <c r="BWE7" s="2333"/>
      <c r="BWF7" s="2334"/>
      <c r="BWG7" s="2335"/>
      <c r="BWH7" s="2333"/>
      <c r="BWI7" s="2334"/>
      <c r="BWJ7" s="2335"/>
      <c r="BWK7" s="2333"/>
      <c r="BWL7" s="2334"/>
      <c r="BWM7" s="2335"/>
      <c r="BWN7" s="2333"/>
      <c r="BWO7" s="2334"/>
      <c r="BWP7" s="2335"/>
      <c r="BWQ7" s="2333"/>
      <c r="BWR7" s="2334"/>
      <c r="BWS7" s="2335"/>
      <c r="BWT7" s="2333"/>
      <c r="BWU7" s="2334"/>
      <c r="BWV7" s="2335"/>
      <c r="BWW7" s="2333"/>
      <c r="BWX7" s="2334"/>
      <c r="BWY7" s="2335"/>
      <c r="BWZ7" s="2333"/>
      <c r="BXA7" s="2334"/>
      <c r="BXB7" s="2335"/>
      <c r="BXC7" s="2333"/>
      <c r="BXD7" s="2334"/>
      <c r="BXE7" s="2335"/>
      <c r="BXF7" s="2333"/>
      <c r="BXG7" s="2334"/>
      <c r="BXH7" s="2335"/>
      <c r="BXI7" s="2333"/>
      <c r="BXJ7" s="2334"/>
      <c r="BXK7" s="2335"/>
      <c r="BXL7" s="2333"/>
      <c r="BXM7" s="2334"/>
      <c r="BXN7" s="2335"/>
      <c r="BXO7" s="2333"/>
      <c r="BXP7" s="2334"/>
      <c r="BXQ7" s="2335"/>
      <c r="BXR7" s="2333"/>
      <c r="BXS7" s="2334"/>
      <c r="BXT7" s="2335"/>
      <c r="BXU7" s="2333"/>
      <c r="BXV7" s="2334"/>
      <c r="BXW7" s="2335"/>
      <c r="BXX7" s="2333"/>
      <c r="BXY7" s="2334"/>
      <c r="BXZ7" s="2335"/>
      <c r="BYA7" s="2333"/>
      <c r="BYB7" s="2334"/>
      <c r="BYC7" s="2335"/>
      <c r="BYD7" s="2333"/>
      <c r="BYE7" s="2334"/>
      <c r="BYF7" s="2335"/>
      <c r="BYG7" s="2333"/>
      <c r="BYH7" s="2334"/>
      <c r="BYI7" s="2335"/>
      <c r="BYJ7" s="2333"/>
      <c r="BYK7" s="2334"/>
      <c r="BYL7" s="2335"/>
      <c r="BYM7" s="2333"/>
      <c r="BYN7" s="2334"/>
      <c r="BYO7" s="2335"/>
      <c r="BYP7" s="2333"/>
      <c r="BYQ7" s="2334"/>
      <c r="BYR7" s="2335"/>
      <c r="BYS7" s="2333"/>
      <c r="BYT7" s="2334"/>
      <c r="BYU7" s="2335"/>
      <c r="BYV7" s="2333"/>
      <c r="BYW7" s="2334"/>
      <c r="BYX7" s="2335"/>
      <c r="BYY7" s="2333"/>
      <c r="BYZ7" s="2334"/>
      <c r="BZA7" s="2335"/>
      <c r="BZB7" s="2333"/>
      <c r="BZC7" s="2334"/>
      <c r="BZD7" s="2335"/>
      <c r="BZE7" s="2333"/>
      <c r="BZF7" s="2334"/>
      <c r="BZG7" s="2335"/>
      <c r="BZH7" s="2333"/>
      <c r="BZI7" s="2334"/>
      <c r="BZJ7" s="2335"/>
      <c r="BZK7" s="2333"/>
      <c r="BZL7" s="2334"/>
      <c r="BZM7" s="2335"/>
      <c r="BZN7" s="2333"/>
      <c r="BZO7" s="2334"/>
      <c r="BZP7" s="2335"/>
      <c r="BZQ7" s="2333"/>
      <c r="BZR7" s="2334"/>
      <c r="BZS7" s="2335"/>
      <c r="BZT7" s="2333"/>
      <c r="BZU7" s="2334"/>
      <c r="BZV7" s="2335"/>
      <c r="BZW7" s="2333"/>
      <c r="BZX7" s="2334"/>
      <c r="BZY7" s="2335"/>
      <c r="BZZ7" s="2333"/>
      <c r="CAA7" s="2334"/>
      <c r="CAB7" s="2335"/>
      <c r="CAC7" s="2333"/>
      <c r="CAD7" s="2334"/>
      <c r="CAE7" s="2335"/>
      <c r="CAF7" s="2333"/>
      <c r="CAG7" s="2334"/>
      <c r="CAH7" s="2335"/>
      <c r="CAI7" s="2333"/>
      <c r="CAJ7" s="2334"/>
      <c r="CAK7" s="2335"/>
      <c r="CAL7" s="2333"/>
      <c r="CAM7" s="2334"/>
      <c r="CAN7" s="2335"/>
      <c r="CAO7" s="2333"/>
      <c r="CAP7" s="2334"/>
      <c r="CAQ7" s="2335"/>
      <c r="CAR7" s="2333"/>
      <c r="CAS7" s="2334"/>
      <c r="CAT7" s="2335"/>
      <c r="CAU7" s="2333"/>
      <c r="CAV7" s="2334"/>
      <c r="CAW7" s="2335"/>
      <c r="CAX7" s="2333"/>
      <c r="CAY7" s="2334"/>
      <c r="CAZ7" s="2335"/>
      <c r="CBA7" s="2333"/>
      <c r="CBB7" s="2334"/>
      <c r="CBC7" s="2335"/>
      <c r="CBD7" s="2333"/>
      <c r="CBE7" s="2334"/>
      <c r="CBF7" s="2335"/>
      <c r="CBG7" s="2333"/>
      <c r="CBH7" s="2334"/>
      <c r="CBI7" s="2335"/>
      <c r="CBJ7" s="2333"/>
      <c r="CBK7" s="2334"/>
      <c r="CBL7" s="2335"/>
      <c r="CBM7" s="2333"/>
      <c r="CBN7" s="2334"/>
      <c r="CBO7" s="2335"/>
      <c r="CBP7" s="2333"/>
      <c r="CBQ7" s="2334"/>
      <c r="CBR7" s="2335"/>
      <c r="CBS7" s="2333"/>
      <c r="CBT7" s="2334"/>
      <c r="CBU7" s="2335"/>
      <c r="CBV7" s="2333"/>
      <c r="CBW7" s="2334"/>
      <c r="CBX7" s="2335"/>
      <c r="CBY7" s="2333"/>
      <c r="CBZ7" s="2334"/>
      <c r="CCA7" s="2335"/>
      <c r="CCB7" s="2333"/>
      <c r="CCC7" s="2334"/>
      <c r="CCD7" s="2335"/>
      <c r="CCE7" s="2333"/>
      <c r="CCF7" s="2334"/>
      <c r="CCG7" s="2335"/>
      <c r="CCH7" s="2333"/>
      <c r="CCI7" s="2334"/>
      <c r="CCJ7" s="2335"/>
      <c r="CCK7" s="2333"/>
      <c r="CCL7" s="2334"/>
      <c r="CCM7" s="2335"/>
      <c r="CCN7" s="2333"/>
      <c r="CCO7" s="2334"/>
      <c r="CCP7" s="2335"/>
      <c r="CCQ7" s="2333"/>
      <c r="CCR7" s="2334"/>
      <c r="CCS7" s="2335"/>
      <c r="CCT7" s="2333"/>
      <c r="CCU7" s="2334"/>
      <c r="CCV7" s="2335"/>
      <c r="CCW7" s="2333"/>
      <c r="CCX7" s="2334"/>
      <c r="CCY7" s="2335"/>
      <c r="CCZ7" s="2333"/>
      <c r="CDA7" s="2334"/>
      <c r="CDB7" s="2335"/>
      <c r="CDC7" s="2333"/>
      <c r="CDD7" s="2334"/>
      <c r="CDE7" s="2335"/>
      <c r="CDF7" s="2333"/>
      <c r="CDG7" s="2334"/>
      <c r="CDH7" s="2335"/>
      <c r="CDI7" s="2333"/>
      <c r="CDJ7" s="2334"/>
      <c r="CDK7" s="2335"/>
      <c r="CDL7" s="2333"/>
      <c r="CDM7" s="2334"/>
      <c r="CDN7" s="2335"/>
      <c r="CDO7" s="2333"/>
      <c r="CDP7" s="2334"/>
      <c r="CDQ7" s="2335"/>
      <c r="CDR7" s="2333"/>
      <c r="CDS7" s="2334"/>
      <c r="CDT7" s="2335"/>
      <c r="CDU7" s="2333"/>
      <c r="CDV7" s="2334"/>
      <c r="CDW7" s="2335"/>
      <c r="CDX7" s="2333"/>
      <c r="CDY7" s="2334"/>
      <c r="CDZ7" s="2335"/>
      <c r="CEA7" s="2333"/>
      <c r="CEB7" s="2334"/>
      <c r="CEC7" s="2335"/>
      <c r="CED7" s="2333"/>
      <c r="CEE7" s="2334"/>
      <c r="CEF7" s="2335"/>
      <c r="CEG7" s="2333"/>
      <c r="CEH7" s="2334"/>
      <c r="CEI7" s="2335"/>
      <c r="CEJ7" s="2333"/>
      <c r="CEK7" s="2334"/>
      <c r="CEL7" s="2335"/>
      <c r="CEM7" s="2333"/>
      <c r="CEN7" s="2334"/>
      <c r="CEO7" s="2335"/>
      <c r="CEP7" s="2333"/>
      <c r="CEQ7" s="2334"/>
      <c r="CER7" s="2335"/>
      <c r="CES7" s="2333"/>
      <c r="CET7" s="2334"/>
      <c r="CEU7" s="2335"/>
      <c r="CEV7" s="2333"/>
      <c r="CEW7" s="2334"/>
      <c r="CEX7" s="2335"/>
      <c r="CEY7" s="2333"/>
      <c r="CEZ7" s="2334"/>
      <c r="CFA7" s="2335"/>
      <c r="CFB7" s="2333"/>
      <c r="CFC7" s="2334"/>
      <c r="CFD7" s="2335"/>
      <c r="CFE7" s="2333"/>
      <c r="CFF7" s="2334"/>
      <c r="CFG7" s="2335"/>
      <c r="CFH7" s="2333"/>
      <c r="CFI7" s="2334"/>
      <c r="CFJ7" s="2335"/>
      <c r="CFK7" s="2333"/>
      <c r="CFL7" s="2334"/>
      <c r="CFM7" s="2335"/>
      <c r="CFN7" s="2333"/>
      <c r="CFO7" s="2334"/>
      <c r="CFP7" s="2335"/>
      <c r="CFQ7" s="2333"/>
      <c r="CFR7" s="2334"/>
      <c r="CFS7" s="2335"/>
      <c r="CFT7" s="2333"/>
      <c r="CFU7" s="2334"/>
      <c r="CFV7" s="2335"/>
      <c r="CFW7" s="2333"/>
      <c r="CFX7" s="2334"/>
      <c r="CFY7" s="2335"/>
      <c r="CFZ7" s="2333"/>
      <c r="CGA7" s="2334"/>
      <c r="CGB7" s="2335"/>
      <c r="CGC7" s="2333"/>
      <c r="CGD7" s="2334"/>
      <c r="CGE7" s="2335"/>
      <c r="CGF7" s="2333"/>
      <c r="CGG7" s="2334"/>
      <c r="CGH7" s="2335"/>
      <c r="CGI7" s="2333"/>
      <c r="CGJ7" s="2334"/>
      <c r="CGK7" s="2335"/>
      <c r="CGL7" s="2333"/>
      <c r="CGM7" s="2334"/>
      <c r="CGN7" s="2335"/>
      <c r="CGO7" s="2333"/>
      <c r="CGP7" s="2334"/>
      <c r="CGQ7" s="2335"/>
      <c r="CGR7" s="2333"/>
      <c r="CGS7" s="2334"/>
      <c r="CGT7" s="2335"/>
      <c r="CGU7" s="2333"/>
      <c r="CGV7" s="2334"/>
      <c r="CGW7" s="2335"/>
      <c r="CGX7" s="2333"/>
      <c r="CGY7" s="2334"/>
      <c r="CGZ7" s="2335"/>
      <c r="CHA7" s="2333"/>
      <c r="CHB7" s="2334"/>
      <c r="CHC7" s="2335"/>
      <c r="CHD7" s="2333"/>
      <c r="CHE7" s="2334"/>
      <c r="CHF7" s="2335"/>
      <c r="CHG7" s="2333"/>
      <c r="CHH7" s="2334"/>
      <c r="CHI7" s="2335"/>
      <c r="CHJ7" s="2333"/>
      <c r="CHK7" s="2334"/>
      <c r="CHL7" s="2335"/>
      <c r="CHM7" s="2333"/>
      <c r="CHN7" s="2334"/>
      <c r="CHO7" s="2335"/>
      <c r="CHP7" s="2333"/>
      <c r="CHQ7" s="2334"/>
      <c r="CHR7" s="2335"/>
      <c r="CHS7" s="2333"/>
      <c r="CHT7" s="2334"/>
      <c r="CHU7" s="2335"/>
      <c r="CHV7" s="2333"/>
      <c r="CHW7" s="2334"/>
      <c r="CHX7" s="2335"/>
      <c r="CHY7" s="2333"/>
      <c r="CHZ7" s="2334"/>
      <c r="CIA7" s="2335"/>
      <c r="CIB7" s="2333"/>
      <c r="CIC7" s="2334"/>
      <c r="CID7" s="2335"/>
      <c r="CIE7" s="2333"/>
      <c r="CIF7" s="2334"/>
      <c r="CIG7" s="2335"/>
      <c r="CIH7" s="2333"/>
      <c r="CII7" s="2334"/>
      <c r="CIJ7" s="2335"/>
      <c r="CIK7" s="2333"/>
      <c r="CIL7" s="2334"/>
      <c r="CIM7" s="2335"/>
      <c r="CIN7" s="2333"/>
      <c r="CIO7" s="2334"/>
      <c r="CIP7" s="2335"/>
      <c r="CIQ7" s="2333"/>
      <c r="CIR7" s="2334"/>
      <c r="CIS7" s="2335"/>
      <c r="CIT7" s="2333"/>
      <c r="CIU7" s="2334"/>
      <c r="CIV7" s="2335"/>
      <c r="CIW7" s="2333"/>
      <c r="CIX7" s="2334"/>
      <c r="CIY7" s="2335"/>
      <c r="CIZ7" s="2333"/>
      <c r="CJA7" s="2334"/>
      <c r="CJB7" s="2335"/>
      <c r="CJC7" s="2333"/>
      <c r="CJD7" s="2334"/>
      <c r="CJE7" s="2335"/>
      <c r="CJF7" s="2333"/>
      <c r="CJG7" s="2334"/>
      <c r="CJH7" s="2335"/>
      <c r="CJI7" s="2333"/>
      <c r="CJJ7" s="2334"/>
      <c r="CJK7" s="2335"/>
      <c r="CJL7" s="2333"/>
      <c r="CJM7" s="2334"/>
      <c r="CJN7" s="2335"/>
      <c r="CJO7" s="2333"/>
      <c r="CJP7" s="2334"/>
      <c r="CJQ7" s="2335"/>
      <c r="CJR7" s="2333"/>
      <c r="CJS7" s="2334"/>
      <c r="CJT7" s="2335"/>
      <c r="CJU7" s="2333"/>
      <c r="CJV7" s="2334"/>
      <c r="CJW7" s="2335"/>
      <c r="CJX7" s="2333"/>
      <c r="CJY7" s="2334"/>
      <c r="CJZ7" s="2335"/>
      <c r="CKA7" s="2333"/>
      <c r="CKB7" s="2334"/>
      <c r="CKC7" s="2335"/>
      <c r="CKD7" s="2333"/>
      <c r="CKE7" s="2334"/>
      <c r="CKF7" s="2335"/>
      <c r="CKG7" s="2333"/>
      <c r="CKH7" s="2334"/>
      <c r="CKI7" s="2335"/>
      <c r="CKJ7" s="2333"/>
      <c r="CKK7" s="2334"/>
      <c r="CKL7" s="2335"/>
      <c r="CKM7" s="2333"/>
      <c r="CKN7" s="2334"/>
      <c r="CKO7" s="2335"/>
      <c r="CKP7" s="2333"/>
      <c r="CKQ7" s="2334"/>
      <c r="CKR7" s="2335"/>
      <c r="CKS7" s="2333"/>
      <c r="CKT7" s="2334"/>
      <c r="CKU7" s="2335"/>
      <c r="CKV7" s="2333"/>
      <c r="CKW7" s="2334"/>
      <c r="CKX7" s="2335"/>
      <c r="CKY7" s="2333"/>
      <c r="CKZ7" s="2334"/>
      <c r="CLA7" s="2335"/>
      <c r="CLB7" s="2333"/>
      <c r="CLC7" s="2334"/>
      <c r="CLD7" s="2335"/>
      <c r="CLE7" s="2333"/>
      <c r="CLF7" s="2334"/>
      <c r="CLG7" s="2335"/>
      <c r="CLH7" s="2333"/>
      <c r="CLI7" s="2334"/>
      <c r="CLJ7" s="2335"/>
      <c r="CLK7" s="2333"/>
      <c r="CLL7" s="2334"/>
      <c r="CLM7" s="2335"/>
      <c r="CLN7" s="2333"/>
      <c r="CLO7" s="2334"/>
      <c r="CLP7" s="2335"/>
      <c r="CLQ7" s="2333"/>
      <c r="CLR7" s="2334"/>
      <c r="CLS7" s="2335"/>
      <c r="CLT7" s="2333"/>
      <c r="CLU7" s="2334"/>
      <c r="CLV7" s="2335"/>
      <c r="CLW7" s="2333"/>
      <c r="CLX7" s="2334"/>
      <c r="CLY7" s="2335"/>
      <c r="CLZ7" s="2333"/>
      <c r="CMA7" s="2334"/>
      <c r="CMB7" s="2335"/>
      <c r="CMC7" s="2333"/>
      <c r="CMD7" s="2334"/>
      <c r="CME7" s="2335"/>
      <c r="CMF7" s="2333"/>
      <c r="CMG7" s="2334"/>
      <c r="CMH7" s="2335"/>
      <c r="CMI7" s="2333"/>
      <c r="CMJ7" s="2334"/>
      <c r="CMK7" s="2335"/>
      <c r="CML7" s="2333"/>
      <c r="CMM7" s="2334"/>
      <c r="CMN7" s="2335"/>
      <c r="CMO7" s="2333"/>
      <c r="CMP7" s="2334"/>
      <c r="CMQ7" s="2335"/>
      <c r="CMR7" s="2333"/>
      <c r="CMS7" s="2334"/>
      <c r="CMT7" s="2335"/>
      <c r="CMU7" s="2333"/>
      <c r="CMV7" s="2334"/>
      <c r="CMW7" s="2335"/>
      <c r="CMX7" s="2333"/>
      <c r="CMY7" s="2334"/>
      <c r="CMZ7" s="2335"/>
      <c r="CNA7" s="2333"/>
      <c r="CNB7" s="2334"/>
      <c r="CNC7" s="2335"/>
      <c r="CND7" s="2333"/>
      <c r="CNE7" s="2334"/>
      <c r="CNF7" s="2335"/>
      <c r="CNG7" s="2333"/>
      <c r="CNH7" s="2334"/>
      <c r="CNI7" s="2335"/>
      <c r="CNJ7" s="2333"/>
      <c r="CNK7" s="2334"/>
      <c r="CNL7" s="2335"/>
      <c r="CNM7" s="2333"/>
      <c r="CNN7" s="2334"/>
      <c r="CNO7" s="2335"/>
      <c r="CNP7" s="2333"/>
      <c r="CNQ7" s="2334"/>
      <c r="CNR7" s="2335"/>
      <c r="CNS7" s="2333"/>
      <c r="CNT7" s="2334"/>
      <c r="CNU7" s="2335"/>
      <c r="CNV7" s="2333"/>
      <c r="CNW7" s="2334"/>
      <c r="CNX7" s="2335"/>
      <c r="CNY7" s="2333"/>
      <c r="CNZ7" s="2334"/>
      <c r="COA7" s="2335"/>
      <c r="COB7" s="2333"/>
      <c r="COC7" s="2334"/>
      <c r="COD7" s="2335"/>
      <c r="COE7" s="2333"/>
      <c r="COF7" s="2334"/>
      <c r="COG7" s="2335"/>
      <c r="COH7" s="2333"/>
      <c r="COI7" s="2334"/>
      <c r="COJ7" s="2335"/>
      <c r="COK7" s="2333"/>
      <c r="COL7" s="2334"/>
      <c r="COM7" s="2335"/>
      <c r="CON7" s="2333"/>
      <c r="COO7" s="2334"/>
      <c r="COP7" s="2335"/>
      <c r="COQ7" s="2333"/>
      <c r="COR7" s="2334"/>
      <c r="COS7" s="2335"/>
      <c r="COT7" s="2333"/>
      <c r="COU7" s="2334"/>
      <c r="COV7" s="2335"/>
      <c r="COW7" s="2333"/>
      <c r="COX7" s="2334"/>
      <c r="COY7" s="2335"/>
      <c r="COZ7" s="2333"/>
      <c r="CPA7" s="2334"/>
      <c r="CPB7" s="2335"/>
      <c r="CPC7" s="2333"/>
      <c r="CPD7" s="2334"/>
      <c r="CPE7" s="2335"/>
      <c r="CPF7" s="2333"/>
      <c r="CPG7" s="2334"/>
      <c r="CPH7" s="2335"/>
      <c r="CPI7" s="2333"/>
      <c r="CPJ7" s="2334"/>
      <c r="CPK7" s="2335"/>
      <c r="CPL7" s="2333"/>
      <c r="CPM7" s="2334"/>
      <c r="CPN7" s="2335"/>
      <c r="CPO7" s="2333"/>
      <c r="CPP7" s="2334"/>
      <c r="CPQ7" s="2335"/>
      <c r="CPR7" s="2333"/>
      <c r="CPS7" s="2334"/>
      <c r="CPT7" s="2335"/>
      <c r="CPU7" s="2333"/>
      <c r="CPV7" s="2334"/>
      <c r="CPW7" s="2335"/>
      <c r="CPX7" s="2333"/>
      <c r="CPY7" s="2334"/>
      <c r="CPZ7" s="2335"/>
      <c r="CQA7" s="2333"/>
      <c r="CQB7" s="2334"/>
      <c r="CQC7" s="2335"/>
      <c r="CQD7" s="2333"/>
      <c r="CQE7" s="2334"/>
      <c r="CQF7" s="2335"/>
      <c r="CQG7" s="2333"/>
      <c r="CQH7" s="2334"/>
      <c r="CQI7" s="2335"/>
      <c r="CQJ7" s="2333"/>
      <c r="CQK7" s="2334"/>
      <c r="CQL7" s="2335"/>
      <c r="CQM7" s="2333"/>
      <c r="CQN7" s="2334"/>
      <c r="CQO7" s="2335"/>
      <c r="CQP7" s="2333"/>
      <c r="CQQ7" s="2334"/>
      <c r="CQR7" s="2335"/>
      <c r="CQS7" s="2333"/>
      <c r="CQT7" s="2334"/>
      <c r="CQU7" s="2335"/>
      <c r="CQV7" s="2333"/>
      <c r="CQW7" s="2334"/>
      <c r="CQX7" s="2335"/>
      <c r="CQY7" s="2333"/>
      <c r="CQZ7" s="2334"/>
      <c r="CRA7" s="2335"/>
      <c r="CRB7" s="2333"/>
      <c r="CRC7" s="2334"/>
      <c r="CRD7" s="2335"/>
      <c r="CRE7" s="2333"/>
      <c r="CRF7" s="2334"/>
      <c r="CRG7" s="2335"/>
      <c r="CRH7" s="2333"/>
      <c r="CRI7" s="2334"/>
      <c r="CRJ7" s="2335"/>
      <c r="CRK7" s="2333"/>
      <c r="CRL7" s="2334"/>
      <c r="CRM7" s="2335"/>
      <c r="CRN7" s="2333"/>
      <c r="CRO7" s="2334"/>
      <c r="CRP7" s="2335"/>
      <c r="CRQ7" s="2333"/>
      <c r="CRR7" s="2334"/>
      <c r="CRS7" s="2335"/>
      <c r="CRT7" s="2333"/>
      <c r="CRU7" s="2334"/>
      <c r="CRV7" s="2335"/>
      <c r="CRW7" s="2333"/>
      <c r="CRX7" s="2334"/>
      <c r="CRY7" s="2335"/>
      <c r="CRZ7" s="2333"/>
      <c r="CSA7" s="2334"/>
      <c r="CSB7" s="2335"/>
      <c r="CSC7" s="2333"/>
      <c r="CSD7" s="2334"/>
      <c r="CSE7" s="2335"/>
      <c r="CSF7" s="2333"/>
      <c r="CSG7" s="2334"/>
      <c r="CSH7" s="2335"/>
      <c r="CSI7" s="2333"/>
      <c r="CSJ7" s="2334"/>
      <c r="CSK7" s="2335"/>
      <c r="CSL7" s="2333"/>
      <c r="CSM7" s="2334"/>
      <c r="CSN7" s="2335"/>
      <c r="CSO7" s="2333"/>
      <c r="CSP7" s="2334"/>
      <c r="CSQ7" s="2335"/>
      <c r="CSR7" s="2333"/>
      <c r="CSS7" s="2334"/>
      <c r="CST7" s="2335"/>
      <c r="CSU7" s="2333"/>
      <c r="CSV7" s="2334"/>
      <c r="CSW7" s="2335"/>
      <c r="CSX7" s="2333"/>
      <c r="CSY7" s="2334"/>
      <c r="CSZ7" s="2335"/>
      <c r="CTA7" s="2333"/>
      <c r="CTB7" s="2334"/>
      <c r="CTC7" s="2335"/>
      <c r="CTD7" s="2333"/>
      <c r="CTE7" s="2334"/>
      <c r="CTF7" s="2335"/>
      <c r="CTG7" s="2333"/>
      <c r="CTH7" s="2334"/>
      <c r="CTI7" s="2335"/>
      <c r="CTJ7" s="2333"/>
      <c r="CTK7" s="2334"/>
      <c r="CTL7" s="2335"/>
      <c r="CTM7" s="2333"/>
      <c r="CTN7" s="2334"/>
      <c r="CTO7" s="2335"/>
      <c r="CTP7" s="2333"/>
      <c r="CTQ7" s="2334"/>
      <c r="CTR7" s="2335"/>
      <c r="CTS7" s="2333"/>
      <c r="CTT7" s="2334"/>
      <c r="CTU7" s="2335"/>
      <c r="CTV7" s="2333"/>
      <c r="CTW7" s="2334"/>
      <c r="CTX7" s="2335"/>
      <c r="CTY7" s="2333"/>
      <c r="CTZ7" s="2334"/>
      <c r="CUA7" s="2335"/>
      <c r="CUB7" s="2333"/>
      <c r="CUC7" s="2334"/>
      <c r="CUD7" s="2335"/>
      <c r="CUE7" s="2333"/>
      <c r="CUF7" s="2334"/>
      <c r="CUG7" s="2335"/>
      <c r="CUH7" s="2333"/>
      <c r="CUI7" s="2334"/>
      <c r="CUJ7" s="2335"/>
      <c r="CUK7" s="2333"/>
      <c r="CUL7" s="2334"/>
      <c r="CUM7" s="2335"/>
      <c r="CUN7" s="2333"/>
      <c r="CUO7" s="2334"/>
      <c r="CUP7" s="2335"/>
      <c r="CUQ7" s="2333"/>
      <c r="CUR7" s="2334"/>
      <c r="CUS7" s="2335"/>
      <c r="CUT7" s="2333"/>
      <c r="CUU7" s="2334"/>
      <c r="CUV7" s="2335"/>
      <c r="CUW7" s="2333"/>
      <c r="CUX7" s="2334"/>
      <c r="CUY7" s="2335"/>
      <c r="CUZ7" s="2333"/>
      <c r="CVA7" s="2334"/>
      <c r="CVB7" s="2335"/>
      <c r="CVC7" s="2333"/>
      <c r="CVD7" s="2334"/>
      <c r="CVE7" s="2335"/>
      <c r="CVF7" s="2333"/>
      <c r="CVG7" s="2334"/>
      <c r="CVH7" s="2335"/>
      <c r="CVI7" s="2333"/>
      <c r="CVJ7" s="2334"/>
      <c r="CVK7" s="2335"/>
      <c r="CVL7" s="2333"/>
      <c r="CVM7" s="2334"/>
      <c r="CVN7" s="2335"/>
      <c r="CVO7" s="2333"/>
      <c r="CVP7" s="2334"/>
      <c r="CVQ7" s="2335"/>
      <c r="CVR7" s="2333"/>
      <c r="CVS7" s="2334"/>
      <c r="CVT7" s="2335"/>
      <c r="CVU7" s="2333"/>
      <c r="CVV7" s="2334"/>
      <c r="CVW7" s="2335"/>
      <c r="CVX7" s="2333"/>
      <c r="CVY7" s="2334"/>
      <c r="CVZ7" s="2335"/>
      <c r="CWA7" s="2333"/>
      <c r="CWB7" s="2334"/>
      <c r="CWC7" s="2335"/>
      <c r="CWD7" s="2333"/>
      <c r="CWE7" s="2334"/>
      <c r="CWF7" s="2335"/>
      <c r="CWG7" s="2333"/>
      <c r="CWH7" s="2334"/>
      <c r="CWI7" s="2335"/>
      <c r="CWJ7" s="2333"/>
      <c r="CWK7" s="2334"/>
      <c r="CWL7" s="2335"/>
      <c r="CWM7" s="2333"/>
      <c r="CWN7" s="2334"/>
      <c r="CWO7" s="2335"/>
      <c r="CWP7" s="2333"/>
      <c r="CWQ7" s="2334"/>
      <c r="CWR7" s="2335"/>
      <c r="CWS7" s="2333"/>
      <c r="CWT7" s="2334"/>
      <c r="CWU7" s="2335"/>
      <c r="CWV7" s="2333"/>
      <c r="CWW7" s="2334"/>
      <c r="CWX7" s="2335"/>
      <c r="CWY7" s="2333"/>
      <c r="CWZ7" s="2334"/>
      <c r="CXA7" s="2335"/>
      <c r="CXB7" s="2333"/>
      <c r="CXC7" s="2334"/>
      <c r="CXD7" s="2335"/>
      <c r="CXE7" s="2333"/>
      <c r="CXF7" s="2334"/>
      <c r="CXG7" s="2335"/>
      <c r="CXH7" s="2333"/>
      <c r="CXI7" s="2334"/>
      <c r="CXJ7" s="2335"/>
      <c r="CXK7" s="2333"/>
      <c r="CXL7" s="2334"/>
      <c r="CXM7" s="2335"/>
      <c r="CXN7" s="2333"/>
      <c r="CXO7" s="2334"/>
      <c r="CXP7" s="2335"/>
      <c r="CXQ7" s="2333"/>
      <c r="CXR7" s="2334"/>
      <c r="CXS7" s="2335"/>
      <c r="CXT7" s="2333"/>
      <c r="CXU7" s="2334"/>
      <c r="CXV7" s="2335"/>
      <c r="CXW7" s="2333"/>
      <c r="CXX7" s="2334"/>
      <c r="CXY7" s="2335"/>
      <c r="CXZ7" s="2333"/>
      <c r="CYA7" s="2334"/>
      <c r="CYB7" s="2335"/>
      <c r="CYC7" s="2333"/>
      <c r="CYD7" s="2334"/>
      <c r="CYE7" s="2335"/>
      <c r="CYF7" s="2333"/>
      <c r="CYG7" s="2334"/>
      <c r="CYH7" s="2335"/>
      <c r="CYI7" s="2333"/>
      <c r="CYJ7" s="2334"/>
      <c r="CYK7" s="2335"/>
      <c r="CYL7" s="2333"/>
      <c r="CYM7" s="2334"/>
      <c r="CYN7" s="2335"/>
      <c r="CYO7" s="2333"/>
      <c r="CYP7" s="2334"/>
      <c r="CYQ7" s="2335"/>
      <c r="CYR7" s="2333"/>
      <c r="CYS7" s="2334"/>
      <c r="CYT7" s="2335"/>
      <c r="CYU7" s="2333"/>
      <c r="CYV7" s="2334"/>
      <c r="CYW7" s="2335"/>
      <c r="CYX7" s="2333"/>
      <c r="CYY7" s="2334"/>
      <c r="CYZ7" s="2335"/>
      <c r="CZA7" s="2333"/>
      <c r="CZB7" s="2334"/>
      <c r="CZC7" s="2335"/>
      <c r="CZD7" s="2333"/>
      <c r="CZE7" s="2334"/>
      <c r="CZF7" s="2335"/>
      <c r="CZG7" s="2333"/>
      <c r="CZH7" s="2334"/>
      <c r="CZI7" s="2335"/>
      <c r="CZJ7" s="2333"/>
      <c r="CZK7" s="2334"/>
      <c r="CZL7" s="2335"/>
      <c r="CZM7" s="2333"/>
      <c r="CZN7" s="2334"/>
      <c r="CZO7" s="2335"/>
      <c r="CZP7" s="2333"/>
      <c r="CZQ7" s="2334"/>
      <c r="CZR7" s="2335"/>
      <c r="CZS7" s="2333"/>
      <c r="CZT7" s="2334"/>
      <c r="CZU7" s="2335"/>
      <c r="CZV7" s="2333"/>
      <c r="CZW7" s="2334"/>
      <c r="CZX7" s="2335"/>
      <c r="CZY7" s="2333"/>
      <c r="CZZ7" s="2334"/>
      <c r="DAA7" s="2335"/>
      <c r="DAB7" s="2333"/>
      <c r="DAC7" s="2334"/>
      <c r="DAD7" s="2335"/>
      <c r="DAE7" s="2333"/>
      <c r="DAF7" s="2334"/>
      <c r="DAG7" s="2335"/>
      <c r="DAH7" s="2333"/>
      <c r="DAI7" s="2334"/>
      <c r="DAJ7" s="2335"/>
      <c r="DAK7" s="2333"/>
      <c r="DAL7" s="2334"/>
      <c r="DAM7" s="2335"/>
      <c r="DAN7" s="2333"/>
      <c r="DAO7" s="2334"/>
      <c r="DAP7" s="2335"/>
      <c r="DAQ7" s="2333"/>
      <c r="DAR7" s="2334"/>
      <c r="DAS7" s="2335"/>
      <c r="DAT7" s="2333"/>
      <c r="DAU7" s="2334"/>
      <c r="DAV7" s="2335"/>
      <c r="DAW7" s="2333"/>
      <c r="DAX7" s="2334"/>
      <c r="DAY7" s="2335"/>
      <c r="DAZ7" s="2333"/>
      <c r="DBA7" s="2334"/>
      <c r="DBB7" s="2335"/>
      <c r="DBC7" s="2333"/>
      <c r="DBD7" s="2334"/>
      <c r="DBE7" s="2335"/>
      <c r="DBF7" s="2333"/>
      <c r="DBG7" s="2334"/>
      <c r="DBH7" s="2335"/>
      <c r="DBI7" s="2333"/>
      <c r="DBJ7" s="2334"/>
      <c r="DBK7" s="2335"/>
      <c r="DBL7" s="2333"/>
      <c r="DBM7" s="2334"/>
      <c r="DBN7" s="2335"/>
      <c r="DBO7" s="2333"/>
      <c r="DBP7" s="2334"/>
      <c r="DBQ7" s="2335"/>
      <c r="DBR7" s="2333"/>
      <c r="DBS7" s="2334"/>
      <c r="DBT7" s="2335"/>
      <c r="DBU7" s="2333"/>
      <c r="DBV7" s="2334"/>
      <c r="DBW7" s="2335"/>
      <c r="DBX7" s="2333"/>
      <c r="DBY7" s="2334"/>
      <c r="DBZ7" s="2335"/>
      <c r="DCA7" s="2333"/>
      <c r="DCB7" s="2334"/>
      <c r="DCC7" s="2335"/>
      <c r="DCD7" s="2333"/>
      <c r="DCE7" s="2334"/>
      <c r="DCF7" s="2335"/>
      <c r="DCG7" s="2333"/>
      <c r="DCH7" s="2334"/>
      <c r="DCI7" s="2335"/>
      <c r="DCJ7" s="2333"/>
      <c r="DCK7" s="2334"/>
      <c r="DCL7" s="2335"/>
      <c r="DCM7" s="2333"/>
      <c r="DCN7" s="2334"/>
      <c r="DCO7" s="2335"/>
      <c r="DCP7" s="2333"/>
      <c r="DCQ7" s="2334"/>
      <c r="DCR7" s="2335"/>
      <c r="DCS7" s="2333"/>
      <c r="DCT7" s="2334"/>
      <c r="DCU7" s="2335"/>
      <c r="DCV7" s="2333"/>
      <c r="DCW7" s="2334"/>
      <c r="DCX7" s="2335"/>
      <c r="DCY7" s="2333"/>
      <c r="DCZ7" s="2334"/>
      <c r="DDA7" s="2335"/>
      <c r="DDB7" s="2333"/>
      <c r="DDC7" s="2334"/>
      <c r="DDD7" s="2335"/>
      <c r="DDE7" s="2333"/>
      <c r="DDF7" s="2334"/>
      <c r="DDG7" s="2335"/>
      <c r="DDH7" s="2333"/>
      <c r="DDI7" s="2334"/>
      <c r="DDJ7" s="2335"/>
      <c r="DDK7" s="2333"/>
      <c r="DDL7" s="2334"/>
      <c r="DDM7" s="2335"/>
      <c r="DDN7" s="2333"/>
      <c r="DDO7" s="2334"/>
      <c r="DDP7" s="2335"/>
      <c r="DDQ7" s="2333"/>
      <c r="DDR7" s="2334"/>
      <c r="DDS7" s="2335"/>
      <c r="DDT7" s="2333"/>
      <c r="DDU7" s="2334"/>
      <c r="DDV7" s="2335"/>
      <c r="DDW7" s="2333"/>
      <c r="DDX7" s="2334"/>
      <c r="DDY7" s="2335"/>
      <c r="DDZ7" s="2333"/>
      <c r="DEA7" s="2334"/>
      <c r="DEB7" s="2335"/>
      <c r="DEC7" s="2333"/>
      <c r="DED7" s="2334"/>
      <c r="DEE7" s="2335"/>
      <c r="DEF7" s="2333"/>
      <c r="DEG7" s="2334"/>
      <c r="DEH7" s="2335"/>
      <c r="DEI7" s="2333"/>
      <c r="DEJ7" s="2334"/>
      <c r="DEK7" s="2335"/>
      <c r="DEL7" s="2333"/>
      <c r="DEM7" s="2334"/>
      <c r="DEN7" s="2335"/>
      <c r="DEO7" s="2333"/>
      <c r="DEP7" s="2334"/>
      <c r="DEQ7" s="2335"/>
      <c r="DER7" s="2333"/>
      <c r="DES7" s="2334"/>
      <c r="DET7" s="2335"/>
      <c r="DEU7" s="2333"/>
      <c r="DEV7" s="2334"/>
      <c r="DEW7" s="2335"/>
      <c r="DEX7" s="2333"/>
      <c r="DEY7" s="2334"/>
      <c r="DEZ7" s="2335"/>
      <c r="DFA7" s="2333"/>
      <c r="DFB7" s="2334"/>
      <c r="DFC7" s="2335"/>
      <c r="DFD7" s="2333"/>
      <c r="DFE7" s="2334"/>
      <c r="DFF7" s="2335"/>
      <c r="DFG7" s="2333"/>
      <c r="DFH7" s="2334"/>
      <c r="DFI7" s="2335"/>
      <c r="DFJ7" s="2333"/>
      <c r="DFK7" s="2334"/>
      <c r="DFL7" s="2335"/>
      <c r="DFM7" s="2333"/>
      <c r="DFN7" s="2334"/>
      <c r="DFO7" s="2335"/>
      <c r="DFP7" s="2333"/>
      <c r="DFQ7" s="2334"/>
      <c r="DFR7" s="2335"/>
      <c r="DFS7" s="2333"/>
      <c r="DFT7" s="2334"/>
      <c r="DFU7" s="2335"/>
      <c r="DFV7" s="2333"/>
      <c r="DFW7" s="2334"/>
      <c r="DFX7" s="2335"/>
      <c r="DFY7" s="2333"/>
      <c r="DFZ7" s="2334"/>
      <c r="DGA7" s="2335"/>
      <c r="DGB7" s="2333"/>
      <c r="DGC7" s="2334"/>
      <c r="DGD7" s="2335"/>
      <c r="DGE7" s="2333"/>
      <c r="DGF7" s="2334"/>
      <c r="DGG7" s="2335"/>
      <c r="DGH7" s="2333"/>
      <c r="DGI7" s="2334"/>
      <c r="DGJ7" s="2335"/>
      <c r="DGK7" s="2333"/>
      <c r="DGL7" s="2334"/>
      <c r="DGM7" s="2335"/>
      <c r="DGN7" s="2333"/>
      <c r="DGO7" s="2334"/>
      <c r="DGP7" s="2335"/>
      <c r="DGQ7" s="2333"/>
      <c r="DGR7" s="2334"/>
      <c r="DGS7" s="2335"/>
      <c r="DGT7" s="2333"/>
      <c r="DGU7" s="2334"/>
      <c r="DGV7" s="2335"/>
      <c r="DGW7" s="2333"/>
      <c r="DGX7" s="2334"/>
      <c r="DGY7" s="2335"/>
      <c r="DGZ7" s="2333"/>
      <c r="DHA7" s="2334"/>
      <c r="DHB7" s="2335"/>
      <c r="DHC7" s="2333"/>
      <c r="DHD7" s="2334"/>
      <c r="DHE7" s="2335"/>
      <c r="DHF7" s="2333"/>
      <c r="DHG7" s="2334"/>
      <c r="DHH7" s="2335"/>
      <c r="DHI7" s="2333"/>
      <c r="DHJ7" s="2334"/>
      <c r="DHK7" s="2335"/>
      <c r="DHL7" s="2333"/>
      <c r="DHM7" s="2334"/>
      <c r="DHN7" s="2335"/>
      <c r="DHO7" s="2333"/>
      <c r="DHP7" s="2334"/>
      <c r="DHQ7" s="2335"/>
      <c r="DHR7" s="2333"/>
      <c r="DHS7" s="2334"/>
      <c r="DHT7" s="2335"/>
      <c r="DHU7" s="2333"/>
      <c r="DHV7" s="2334"/>
      <c r="DHW7" s="2335"/>
      <c r="DHX7" s="2333"/>
      <c r="DHY7" s="2334"/>
      <c r="DHZ7" s="2335"/>
      <c r="DIA7" s="2333"/>
      <c r="DIB7" s="2334"/>
      <c r="DIC7" s="2335"/>
      <c r="DID7" s="2333"/>
      <c r="DIE7" s="2334"/>
      <c r="DIF7" s="2335"/>
      <c r="DIG7" s="2333"/>
      <c r="DIH7" s="2334"/>
      <c r="DII7" s="2335"/>
      <c r="DIJ7" s="2333"/>
      <c r="DIK7" s="2334"/>
      <c r="DIL7" s="2335"/>
      <c r="DIM7" s="2333"/>
      <c r="DIN7" s="2334"/>
      <c r="DIO7" s="2335"/>
      <c r="DIP7" s="2333"/>
      <c r="DIQ7" s="2334"/>
      <c r="DIR7" s="2335"/>
      <c r="DIS7" s="2333"/>
      <c r="DIT7" s="2334"/>
      <c r="DIU7" s="2335"/>
      <c r="DIV7" s="2333"/>
      <c r="DIW7" s="2334"/>
      <c r="DIX7" s="2335"/>
      <c r="DIY7" s="2333"/>
      <c r="DIZ7" s="2334"/>
      <c r="DJA7" s="2335"/>
      <c r="DJB7" s="2333"/>
      <c r="DJC7" s="2334"/>
      <c r="DJD7" s="2335"/>
      <c r="DJE7" s="2333"/>
      <c r="DJF7" s="2334"/>
      <c r="DJG7" s="2335"/>
      <c r="DJH7" s="2333"/>
      <c r="DJI7" s="2334"/>
      <c r="DJJ7" s="2335"/>
      <c r="DJK7" s="2333"/>
      <c r="DJL7" s="2334"/>
      <c r="DJM7" s="2335"/>
      <c r="DJN7" s="2333"/>
      <c r="DJO7" s="2334"/>
      <c r="DJP7" s="2335"/>
      <c r="DJQ7" s="2333"/>
      <c r="DJR7" s="2334"/>
      <c r="DJS7" s="2335"/>
      <c r="DJT7" s="2333"/>
      <c r="DJU7" s="2334"/>
      <c r="DJV7" s="2335"/>
      <c r="DJW7" s="2333"/>
      <c r="DJX7" s="2334"/>
      <c r="DJY7" s="2335"/>
      <c r="DJZ7" s="2333"/>
      <c r="DKA7" s="2334"/>
      <c r="DKB7" s="2335"/>
      <c r="DKC7" s="2333"/>
      <c r="DKD7" s="2334"/>
      <c r="DKE7" s="2335"/>
      <c r="DKF7" s="2333"/>
      <c r="DKG7" s="2334"/>
      <c r="DKH7" s="2335"/>
      <c r="DKI7" s="2333"/>
      <c r="DKJ7" s="2334"/>
      <c r="DKK7" s="2335"/>
      <c r="DKL7" s="2333"/>
      <c r="DKM7" s="2334"/>
      <c r="DKN7" s="2335"/>
      <c r="DKO7" s="2333"/>
      <c r="DKP7" s="2334"/>
      <c r="DKQ7" s="2335"/>
      <c r="DKR7" s="2333"/>
      <c r="DKS7" s="2334"/>
      <c r="DKT7" s="2335"/>
      <c r="DKU7" s="2333"/>
      <c r="DKV7" s="2334"/>
      <c r="DKW7" s="2335"/>
      <c r="DKX7" s="2333"/>
      <c r="DKY7" s="2334"/>
      <c r="DKZ7" s="2335"/>
      <c r="DLA7" s="2333"/>
      <c r="DLB7" s="2334"/>
      <c r="DLC7" s="2335"/>
      <c r="DLD7" s="2333"/>
      <c r="DLE7" s="2334"/>
      <c r="DLF7" s="2335"/>
      <c r="DLG7" s="2333"/>
      <c r="DLH7" s="2334"/>
      <c r="DLI7" s="2335"/>
      <c r="DLJ7" s="2333"/>
      <c r="DLK7" s="2334"/>
      <c r="DLL7" s="2335"/>
      <c r="DLM7" s="2333"/>
      <c r="DLN7" s="2334"/>
      <c r="DLO7" s="2335"/>
      <c r="DLP7" s="2333"/>
      <c r="DLQ7" s="2334"/>
      <c r="DLR7" s="2335"/>
      <c r="DLS7" s="2333"/>
      <c r="DLT7" s="2334"/>
      <c r="DLU7" s="2335"/>
      <c r="DLV7" s="2333"/>
      <c r="DLW7" s="2334"/>
      <c r="DLX7" s="2335"/>
      <c r="DLY7" s="2333"/>
      <c r="DLZ7" s="2334"/>
      <c r="DMA7" s="2335"/>
      <c r="DMB7" s="2333"/>
      <c r="DMC7" s="2334"/>
      <c r="DMD7" s="2335"/>
      <c r="DME7" s="2333"/>
      <c r="DMF7" s="2334"/>
      <c r="DMG7" s="2335"/>
      <c r="DMH7" s="2333"/>
      <c r="DMI7" s="2334"/>
      <c r="DMJ7" s="2335"/>
      <c r="DMK7" s="2333"/>
      <c r="DML7" s="2334"/>
      <c r="DMM7" s="2335"/>
      <c r="DMN7" s="2333"/>
      <c r="DMO7" s="2334"/>
      <c r="DMP7" s="2335"/>
      <c r="DMQ7" s="2333"/>
      <c r="DMR7" s="2334"/>
      <c r="DMS7" s="2335"/>
      <c r="DMT7" s="2333"/>
      <c r="DMU7" s="2334"/>
      <c r="DMV7" s="2335"/>
      <c r="DMW7" s="2333"/>
      <c r="DMX7" s="2334"/>
      <c r="DMY7" s="2335"/>
      <c r="DMZ7" s="2333"/>
      <c r="DNA7" s="2334"/>
      <c r="DNB7" s="2335"/>
      <c r="DNC7" s="2333"/>
      <c r="DND7" s="2334"/>
      <c r="DNE7" s="2335"/>
      <c r="DNF7" s="2333"/>
      <c r="DNG7" s="2334"/>
      <c r="DNH7" s="2335"/>
      <c r="DNI7" s="2333"/>
      <c r="DNJ7" s="2334"/>
      <c r="DNK7" s="2335"/>
      <c r="DNL7" s="2333"/>
      <c r="DNM7" s="2334"/>
      <c r="DNN7" s="2335"/>
      <c r="DNO7" s="2333"/>
      <c r="DNP7" s="2334"/>
      <c r="DNQ7" s="2335"/>
      <c r="DNR7" s="2333"/>
      <c r="DNS7" s="2334"/>
      <c r="DNT7" s="2335"/>
      <c r="DNU7" s="2333"/>
      <c r="DNV7" s="2334"/>
      <c r="DNW7" s="2335"/>
      <c r="DNX7" s="2333"/>
      <c r="DNY7" s="2334"/>
      <c r="DNZ7" s="2335"/>
      <c r="DOA7" s="2333"/>
      <c r="DOB7" s="2334"/>
      <c r="DOC7" s="2335"/>
      <c r="DOD7" s="2333"/>
      <c r="DOE7" s="2334"/>
      <c r="DOF7" s="2335"/>
      <c r="DOG7" s="2333"/>
      <c r="DOH7" s="2334"/>
      <c r="DOI7" s="2335"/>
      <c r="DOJ7" s="2333"/>
      <c r="DOK7" s="2334"/>
      <c r="DOL7" s="2335"/>
      <c r="DOM7" s="2333"/>
      <c r="DON7" s="2334"/>
      <c r="DOO7" s="2335"/>
      <c r="DOP7" s="2333"/>
      <c r="DOQ7" s="2334"/>
      <c r="DOR7" s="2335"/>
      <c r="DOS7" s="2333"/>
      <c r="DOT7" s="2334"/>
      <c r="DOU7" s="2335"/>
      <c r="DOV7" s="2333"/>
      <c r="DOW7" s="2334"/>
      <c r="DOX7" s="2335"/>
      <c r="DOY7" s="2333"/>
      <c r="DOZ7" s="2334"/>
      <c r="DPA7" s="2335"/>
      <c r="DPB7" s="2333"/>
      <c r="DPC7" s="2334"/>
      <c r="DPD7" s="2335"/>
      <c r="DPE7" s="2333"/>
      <c r="DPF7" s="2334"/>
      <c r="DPG7" s="2335"/>
      <c r="DPH7" s="2333"/>
      <c r="DPI7" s="2334"/>
      <c r="DPJ7" s="2335"/>
      <c r="DPK7" s="2333"/>
      <c r="DPL7" s="2334"/>
      <c r="DPM7" s="2335"/>
      <c r="DPN7" s="2333"/>
      <c r="DPO7" s="2334"/>
      <c r="DPP7" s="2335"/>
      <c r="DPQ7" s="2333"/>
      <c r="DPR7" s="2334"/>
      <c r="DPS7" s="2335"/>
      <c r="DPT7" s="2333"/>
      <c r="DPU7" s="2334"/>
      <c r="DPV7" s="2335"/>
      <c r="DPW7" s="2333"/>
      <c r="DPX7" s="2334"/>
      <c r="DPY7" s="2335"/>
      <c r="DPZ7" s="2333"/>
      <c r="DQA7" s="2334"/>
      <c r="DQB7" s="2335"/>
      <c r="DQC7" s="2333"/>
      <c r="DQD7" s="2334"/>
      <c r="DQE7" s="2335"/>
      <c r="DQF7" s="2333"/>
      <c r="DQG7" s="2334"/>
      <c r="DQH7" s="2335"/>
      <c r="DQI7" s="2333"/>
      <c r="DQJ7" s="2334"/>
      <c r="DQK7" s="2335"/>
      <c r="DQL7" s="2333"/>
      <c r="DQM7" s="2334"/>
      <c r="DQN7" s="2335"/>
      <c r="DQO7" s="2333"/>
      <c r="DQP7" s="2334"/>
      <c r="DQQ7" s="2335"/>
      <c r="DQR7" s="2333"/>
      <c r="DQS7" s="2334"/>
      <c r="DQT7" s="2335"/>
      <c r="DQU7" s="2333"/>
      <c r="DQV7" s="2334"/>
      <c r="DQW7" s="2335"/>
      <c r="DQX7" s="2333"/>
      <c r="DQY7" s="2334"/>
      <c r="DQZ7" s="2335"/>
      <c r="DRA7" s="2333"/>
      <c r="DRB7" s="2334"/>
      <c r="DRC7" s="2335"/>
      <c r="DRD7" s="2333"/>
      <c r="DRE7" s="2334"/>
      <c r="DRF7" s="2335"/>
      <c r="DRG7" s="2333"/>
      <c r="DRH7" s="2334"/>
      <c r="DRI7" s="2335"/>
      <c r="DRJ7" s="2333"/>
      <c r="DRK7" s="2334"/>
      <c r="DRL7" s="2335"/>
      <c r="DRM7" s="2333"/>
      <c r="DRN7" s="2334"/>
      <c r="DRO7" s="2335"/>
      <c r="DRP7" s="2333"/>
      <c r="DRQ7" s="2334"/>
      <c r="DRR7" s="2335"/>
      <c r="DRS7" s="2333"/>
      <c r="DRT7" s="2334"/>
      <c r="DRU7" s="2335"/>
      <c r="DRV7" s="2333"/>
      <c r="DRW7" s="2334"/>
      <c r="DRX7" s="2335"/>
      <c r="DRY7" s="2333"/>
      <c r="DRZ7" s="2334"/>
      <c r="DSA7" s="2335"/>
      <c r="DSB7" s="2333"/>
      <c r="DSC7" s="2334"/>
      <c r="DSD7" s="2335"/>
      <c r="DSE7" s="2333"/>
      <c r="DSF7" s="2334"/>
      <c r="DSG7" s="2335"/>
      <c r="DSH7" s="2333"/>
      <c r="DSI7" s="2334"/>
      <c r="DSJ7" s="2335"/>
      <c r="DSK7" s="2333"/>
      <c r="DSL7" s="2334"/>
      <c r="DSM7" s="2335"/>
      <c r="DSN7" s="2333"/>
      <c r="DSO7" s="2334"/>
      <c r="DSP7" s="2335"/>
      <c r="DSQ7" s="2333"/>
      <c r="DSR7" s="2334"/>
      <c r="DSS7" s="2335"/>
      <c r="DST7" s="2333"/>
      <c r="DSU7" s="2334"/>
      <c r="DSV7" s="2335"/>
      <c r="DSW7" s="2333"/>
      <c r="DSX7" s="2334"/>
      <c r="DSY7" s="2335"/>
      <c r="DSZ7" s="2333"/>
      <c r="DTA7" s="2334"/>
      <c r="DTB7" s="2335"/>
      <c r="DTC7" s="2333"/>
      <c r="DTD7" s="2334"/>
      <c r="DTE7" s="2335"/>
      <c r="DTF7" s="2333"/>
      <c r="DTG7" s="2334"/>
      <c r="DTH7" s="2335"/>
      <c r="DTI7" s="2333"/>
      <c r="DTJ7" s="2334"/>
      <c r="DTK7" s="2335"/>
      <c r="DTL7" s="2333"/>
      <c r="DTM7" s="2334"/>
      <c r="DTN7" s="2335"/>
      <c r="DTO7" s="2333"/>
      <c r="DTP7" s="2334"/>
      <c r="DTQ7" s="2335"/>
      <c r="DTR7" s="2333"/>
      <c r="DTS7" s="2334"/>
      <c r="DTT7" s="2335"/>
      <c r="DTU7" s="2333"/>
      <c r="DTV7" s="2334"/>
      <c r="DTW7" s="2335"/>
      <c r="DTX7" s="2333"/>
      <c r="DTY7" s="2334"/>
      <c r="DTZ7" s="2335"/>
      <c r="DUA7" s="2333"/>
      <c r="DUB7" s="2334"/>
      <c r="DUC7" s="2335"/>
      <c r="DUD7" s="2333"/>
      <c r="DUE7" s="2334"/>
      <c r="DUF7" s="2335"/>
      <c r="DUG7" s="2333"/>
      <c r="DUH7" s="2334"/>
      <c r="DUI7" s="2335"/>
      <c r="DUJ7" s="2333"/>
      <c r="DUK7" s="2334"/>
      <c r="DUL7" s="2335"/>
      <c r="DUM7" s="2333"/>
      <c r="DUN7" s="2334"/>
      <c r="DUO7" s="2335"/>
      <c r="DUP7" s="2333"/>
      <c r="DUQ7" s="2334"/>
      <c r="DUR7" s="2335"/>
      <c r="DUS7" s="2333"/>
      <c r="DUT7" s="2334"/>
      <c r="DUU7" s="2335"/>
      <c r="DUV7" s="2333"/>
      <c r="DUW7" s="2334"/>
      <c r="DUX7" s="2335"/>
      <c r="DUY7" s="2333"/>
      <c r="DUZ7" s="2334"/>
      <c r="DVA7" s="2335"/>
      <c r="DVB7" s="2333"/>
      <c r="DVC7" s="2334"/>
      <c r="DVD7" s="2335"/>
      <c r="DVE7" s="2333"/>
      <c r="DVF7" s="2334"/>
      <c r="DVG7" s="2335"/>
      <c r="DVH7" s="2333"/>
      <c r="DVI7" s="2334"/>
      <c r="DVJ7" s="2335"/>
      <c r="DVK7" s="2333"/>
      <c r="DVL7" s="2334"/>
      <c r="DVM7" s="2335"/>
      <c r="DVN7" s="2333"/>
      <c r="DVO7" s="2334"/>
      <c r="DVP7" s="2335"/>
      <c r="DVQ7" s="2333"/>
      <c r="DVR7" s="2334"/>
      <c r="DVS7" s="2335"/>
      <c r="DVT7" s="2333"/>
      <c r="DVU7" s="2334"/>
      <c r="DVV7" s="2335"/>
      <c r="DVW7" s="2333"/>
      <c r="DVX7" s="2334"/>
      <c r="DVY7" s="2335"/>
      <c r="DVZ7" s="2333"/>
      <c r="DWA7" s="2334"/>
      <c r="DWB7" s="2335"/>
      <c r="DWC7" s="2333"/>
      <c r="DWD7" s="2334"/>
      <c r="DWE7" s="2335"/>
      <c r="DWF7" s="2333"/>
      <c r="DWG7" s="2334"/>
      <c r="DWH7" s="2335"/>
      <c r="DWI7" s="2333"/>
      <c r="DWJ7" s="2334"/>
      <c r="DWK7" s="2335"/>
      <c r="DWL7" s="2333"/>
      <c r="DWM7" s="2334"/>
      <c r="DWN7" s="2335"/>
      <c r="DWO7" s="2333"/>
      <c r="DWP7" s="2334"/>
      <c r="DWQ7" s="2335"/>
      <c r="DWR7" s="2333"/>
      <c r="DWS7" s="2334"/>
      <c r="DWT7" s="2335"/>
      <c r="DWU7" s="2333"/>
      <c r="DWV7" s="2334"/>
      <c r="DWW7" s="2335"/>
      <c r="DWX7" s="2333"/>
      <c r="DWY7" s="2334"/>
      <c r="DWZ7" s="2335"/>
      <c r="DXA7" s="2333"/>
      <c r="DXB7" s="2334"/>
      <c r="DXC7" s="2335"/>
      <c r="DXD7" s="2333"/>
      <c r="DXE7" s="2334"/>
      <c r="DXF7" s="2335"/>
      <c r="DXG7" s="2333"/>
      <c r="DXH7" s="2334"/>
      <c r="DXI7" s="2335"/>
      <c r="DXJ7" s="2333"/>
      <c r="DXK7" s="2334"/>
      <c r="DXL7" s="2335"/>
      <c r="DXM7" s="2333"/>
      <c r="DXN7" s="2334"/>
      <c r="DXO7" s="2335"/>
      <c r="DXP7" s="2333"/>
      <c r="DXQ7" s="2334"/>
      <c r="DXR7" s="2335"/>
      <c r="DXS7" s="2333"/>
      <c r="DXT7" s="2334"/>
      <c r="DXU7" s="2335"/>
      <c r="DXV7" s="2333"/>
      <c r="DXW7" s="2334"/>
      <c r="DXX7" s="2335"/>
      <c r="DXY7" s="2333"/>
      <c r="DXZ7" s="2334"/>
      <c r="DYA7" s="2335"/>
      <c r="DYB7" s="2333"/>
      <c r="DYC7" s="2334"/>
      <c r="DYD7" s="2335"/>
      <c r="DYE7" s="2333"/>
      <c r="DYF7" s="2334"/>
      <c r="DYG7" s="2335"/>
      <c r="DYH7" s="2333"/>
      <c r="DYI7" s="2334"/>
      <c r="DYJ7" s="2335"/>
      <c r="DYK7" s="2333"/>
      <c r="DYL7" s="2334"/>
      <c r="DYM7" s="2335"/>
      <c r="DYN7" s="2333"/>
      <c r="DYO7" s="2334"/>
      <c r="DYP7" s="2335"/>
      <c r="DYQ7" s="2333"/>
      <c r="DYR7" s="2334"/>
      <c r="DYS7" s="2335"/>
      <c r="DYT7" s="2333"/>
      <c r="DYU7" s="2334"/>
      <c r="DYV7" s="2335"/>
      <c r="DYW7" s="2333"/>
      <c r="DYX7" s="2334"/>
      <c r="DYY7" s="2335"/>
      <c r="DYZ7" s="2333"/>
      <c r="DZA7" s="2334"/>
      <c r="DZB7" s="2335"/>
      <c r="DZC7" s="2333"/>
      <c r="DZD7" s="2334"/>
      <c r="DZE7" s="2335"/>
      <c r="DZF7" s="2333"/>
      <c r="DZG7" s="2334"/>
      <c r="DZH7" s="2335"/>
      <c r="DZI7" s="2333"/>
      <c r="DZJ7" s="2334"/>
      <c r="DZK7" s="2335"/>
      <c r="DZL7" s="2333"/>
      <c r="DZM7" s="2334"/>
      <c r="DZN7" s="2335"/>
      <c r="DZO7" s="2333"/>
      <c r="DZP7" s="2334"/>
      <c r="DZQ7" s="2335"/>
      <c r="DZR7" s="2333"/>
      <c r="DZS7" s="2334"/>
      <c r="DZT7" s="2335"/>
      <c r="DZU7" s="2333"/>
      <c r="DZV7" s="2334"/>
      <c r="DZW7" s="2335"/>
      <c r="DZX7" s="2333"/>
      <c r="DZY7" s="2334"/>
      <c r="DZZ7" s="2335"/>
      <c r="EAA7" s="2333"/>
      <c r="EAB7" s="2334"/>
      <c r="EAC7" s="2335"/>
      <c r="EAD7" s="2333"/>
      <c r="EAE7" s="2334"/>
      <c r="EAF7" s="2335"/>
      <c r="EAG7" s="2333"/>
      <c r="EAH7" s="2334"/>
      <c r="EAI7" s="2335"/>
      <c r="EAJ7" s="2333"/>
      <c r="EAK7" s="2334"/>
      <c r="EAL7" s="2335"/>
      <c r="EAM7" s="2333"/>
      <c r="EAN7" s="2334"/>
      <c r="EAO7" s="2335"/>
      <c r="EAP7" s="2333"/>
      <c r="EAQ7" s="2334"/>
      <c r="EAR7" s="2335"/>
      <c r="EAS7" s="2333"/>
      <c r="EAT7" s="2334"/>
      <c r="EAU7" s="2335"/>
      <c r="EAV7" s="2333"/>
      <c r="EAW7" s="2334"/>
      <c r="EAX7" s="2335"/>
      <c r="EAY7" s="2333"/>
      <c r="EAZ7" s="2334"/>
      <c r="EBA7" s="2335"/>
      <c r="EBB7" s="2333"/>
      <c r="EBC7" s="2334"/>
      <c r="EBD7" s="2335"/>
      <c r="EBE7" s="2333"/>
      <c r="EBF7" s="2334"/>
      <c r="EBG7" s="2335"/>
      <c r="EBH7" s="2333"/>
      <c r="EBI7" s="2334"/>
      <c r="EBJ7" s="2335"/>
      <c r="EBK7" s="2333"/>
      <c r="EBL7" s="2334"/>
      <c r="EBM7" s="2335"/>
      <c r="EBN7" s="2333"/>
      <c r="EBO7" s="2334"/>
      <c r="EBP7" s="2335"/>
      <c r="EBQ7" s="2333"/>
      <c r="EBR7" s="2334"/>
      <c r="EBS7" s="2335"/>
      <c r="EBT7" s="2333"/>
      <c r="EBU7" s="2334"/>
      <c r="EBV7" s="2335"/>
      <c r="EBW7" s="2333"/>
      <c r="EBX7" s="2334"/>
      <c r="EBY7" s="2335"/>
      <c r="EBZ7" s="2333"/>
      <c r="ECA7" s="2334"/>
      <c r="ECB7" s="2335"/>
      <c r="ECC7" s="2333"/>
      <c r="ECD7" s="2334"/>
      <c r="ECE7" s="2335"/>
      <c r="ECF7" s="2333"/>
      <c r="ECG7" s="2334"/>
      <c r="ECH7" s="2335"/>
      <c r="ECI7" s="2333"/>
      <c r="ECJ7" s="2334"/>
      <c r="ECK7" s="2335"/>
      <c r="ECL7" s="2333"/>
      <c r="ECM7" s="2334"/>
      <c r="ECN7" s="2335"/>
      <c r="ECO7" s="2333"/>
      <c r="ECP7" s="2334"/>
      <c r="ECQ7" s="2335"/>
      <c r="ECR7" s="2333"/>
      <c r="ECS7" s="2334"/>
      <c r="ECT7" s="2335"/>
      <c r="ECU7" s="2333"/>
      <c r="ECV7" s="2334"/>
      <c r="ECW7" s="2335"/>
      <c r="ECX7" s="2333"/>
      <c r="ECY7" s="2334"/>
      <c r="ECZ7" s="2335"/>
      <c r="EDA7" s="2333"/>
      <c r="EDB7" s="2334"/>
      <c r="EDC7" s="2335"/>
      <c r="EDD7" s="2333"/>
      <c r="EDE7" s="2334"/>
      <c r="EDF7" s="2335"/>
      <c r="EDG7" s="2333"/>
      <c r="EDH7" s="2334"/>
      <c r="EDI7" s="2335"/>
      <c r="EDJ7" s="2333"/>
      <c r="EDK7" s="2334"/>
      <c r="EDL7" s="2335"/>
      <c r="EDM7" s="2333"/>
      <c r="EDN7" s="2334"/>
      <c r="EDO7" s="2335"/>
      <c r="EDP7" s="2333"/>
      <c r="EDQ7" s="2334"/>
      <c r="EDR7" s="2335"/>
      <c r="EDS7" s="2333"/>
      <c r="EDT7" s="2334"/>
      <c r="EDU7" s="2335"/>
      <c r="EDV7" s="2333"/>
      <c r="EDW7" s="2334"/>
      <c r="EDX7" s="2335"/>
      <c r="EDY7" s="2333"/>
      <c r="EDZ7" s="2334"/>
      <c r="EEA7" s="2335"/>
      <c r="EEB7" s="2333"/>
      <c r="EEC7" s="2334"/>
      <c r="EED7" s="2335"/>
      <c r="EEE7" s="2333"/>
      <c r="EEF7" s="2334"/>
      <c r="EEG7" s="2335"/>
      <c r="EEH7" s="2333"/>
      <c r="EEI7" s="2334"/>
      <c r="EEJ7" s="2335"/>
      <c r="EEK7" s="2333"/>
      <c r="EEL7" s="2334"/>
      <c r="EEM7" s="2335"/>
      <c r="EEN7" s="2333"/>
      <c r="EEO7" s="2334"/>
      <c r="EEP7" s="2335"/>
      <c r="EEQ7" s="2333"/>
      <c r="EER7" s="2334"/>
      <c r="EES7" s="2335"/>
      <c r="EET7" s="2333"/>
      <c r="EEU7" s="2334"/>
      <c r="EEV7" s="2335"/>
      <c r="EEW7" s="2333"/>
      <c r="EEX7" s="2334"/>
      <c r="EEY7" s="2335"/>
      <c r="EEZ7" s="2333"/>
      <c r="EFA7" s="2334"/>
      <c r="EFB7" s="2335"/>
      <c r="EFC7" s="2333"/>
      <c r="EFD7" s="2334"/>
      <c r="EFE7" s="2335"/>
      <c r="EFF7" s="2333"/>
      <c r="EFG7" s="2334"/>
      <c r="EFH7" s="2335"/>
      <c r="EFI7" s="2333"/>
      <c r="EFJ7" s="2334"/>
      <c r="EFK7" s="2335"/>
      <c r="EFL7" s="2333"/>
      <c r="EFM7" s="2334"/>
      <c r="EFN7" s="2335"/>
      <c r="EFO7" s="2333"/>
      <c r="EFP7" s="2334"/>
      <c r="EFQ7" s="2335"/>
      <c r="EFR7" s="2333"/>
      <c r="EFS7" s="2334"/>
      <c r="EFT7" s="2335"/>
      <c r="EFU7" s="2333"/>
      <c r="EFV7" s="2334"/>
      <c r="EFW7" s="2335"/>
      <c r="EFX7" s="2333"/>
      <c r="EFY7" s="2334"/>
      <c r="EFZ7" s="2335"/>
      <c r="EGA7" s="2333"/>
      <c r="EGB7" s="2334"/>
      <c r="EGC7" s="2335"/>
      <c r="EGD7" s="2333"/>
      <c r="EGE7" s="2334"/>
      <c r="EGF7" s="2335"/>
      <c r="EGG7" s="2333"/>
      <c r="EGH7" s="2334"/>
      <c r="EGI7" s="2335"/>
      <c r="EGJ7" s="2333"/>
      <c r="EGK7" s="2334"/>
      <c r="EGL7" s="2335"/>
      <c r="EGM7" s="2333"/>
      <c r="EGN7" s="2334"/>
      <c r="EGO7" s="2335"/>
      <c r="EGP7" s="2333"/>
      <c r="EGQ7" s="2334"/>
      <c r="EGR7" s="2335"/>
      <c r="EGS7" s="2333"/>
      <c r="EGT7" s="2334"/>
      <c r="EGU7" s="2335"/>
      <c r="EGV7" s="2333"/>
      <c r="EGW7" s="2334"/>
      <c r="EGX7" s="2335"/>
      <c r="EGY7" s="2333"/>
      <c r="EGZ7" s="2334"/>
      <c r="EHA7" s="2335"/>
      <c r="EHB7" s="2333"/>
      <c r="EHC7" s="2334"/>
      <c r="EHD7" s="2335"/>
      <c r="EHE7" s="2333"/>
      <c r="EHF7" s="2334"/>
      <c r="EHG7" s="2335"/>
      <c r="EHH7" s="2333"/>
      <c r="EHI7" s="2334"/>
      <c r="EHJ7" s="2335"/>
      <c r="EHK7" s="2333"/>
      <c r="EHL7" s="2334"/>
      <c r="EHM7" s="2335"/>
      <c r="EHN7" s="2333"/>
      <c r="EHO7" s="2334"/>
      <c r="EHP7" s="2335"/>
      <c r="EHQ7" s="2333"/>
      <c r="EHR7" s="2334"/>
      <c r="EHS7" s="2335"/>
      <c r="EHT7" s="2333"/>
      <c r="EHU7" s="2334"/>
      <c r="EHV7" s="2335"/>
      <c r="EHW7" s="2333"/>
      <c r="EHX7" s="2334"/>
      <c r="EHY7" s="2335"/>
      <c r="EHZ7" s="2333"/>
      <c r="EIA7" s="2334"/>
      <c r="EIB7" s="2335"/>
      <c r="EIC7" s="2333"/>
      <c r="EID7" s="2334"/>
      <c r="EIE7" s="2335"/>
      <c r="EIF7" s="2333"/>
      <c r="EIG7" s="2334"/>
      <c r="EIH7" s="2335"/>
      <c r="EII7" s="2333"/>
      <c r="EIJ7" s="2334"/>
      <c r="EIK7" s="2335"/>
      <c r="EIL7" s="2333"/>
      <c r="EIM7" s="2334"/>
      <c r="EIN7" s="2335"/>
      <c r="EIO7" s="2333"/>
      <c r="EIP7" s="2334"/>
      <c r="EIQ7" s="2335"/>
      <c r="EIR7" s="2333"/>
      <c r="EIS7" s="2334"/>
      <c r="EIT7" s="2335"/>
      <c r="EIU7" s="2333"/>
      <c r="EIV7" s="2334"/>
      <c r="EIW7" s="2335"/>
      <c r="EIX7" s="2333"/>
      <c r="EIY7" s="2334"/>
      <c r="EIZ7" s="2335"/>
      <c r="EJA7" s="2333"/>
      <c r="EJB7" s="2334"/>
      <c r="EJC7" s="2335"/>
      <c r="EJD7" s="2333"/>
      <c r="EJE7" s="2334"/>
      <c r="EJF7" s="2335"/>
      <c r="EJG7" s="2333"/>
      <c r="EJH7" s="2334"/>
      <c r="EJI7" s="2335"/>
      <c r="EJJ7" s="2333"/>
      <c r="EJK7" s="2334"/>
      <c r="EJL7" s="2335"/>
      <c r="EJM7" s="2333"/>
      <c r="EJN7" s="2334"/>
      <c r="EJO7" s="2335"/>
      <c r="EJP7" s="2333"/>
      <c r="EJQ7" s="2334"/>
      <c r="EJR7" s="2335"/>
      <c r="EJS7" s="2333"/>
      <c r="EJT7" s="2334"/>
      <c r="EJU7" s="2335"/>
      <c r="EJV7" s="2333"/>
      <c r="EJW7" s="2334"/>
      <c r="EJX7" s="2335"/>
      <c r="EJY7" s="2333"/>
      <c r="EJZ7" s="2334"/>
      <c r="EKA7" s="2335"/>
      <c r="EKB7" s="2333"/>
      <c r="EKC7" s="2334"/>
      <c r="EKD7" s="2335"/>
      <c r="EKE7" s="2333"/>
      <c r="EKF7" s="2334"/>
      <c r="EKG7" s="2335"/>
      <c r="EKH7" s="2333"/>
      <c r="EKI7" s="2334"/>
      <c r="EKJ7" s="2335"/>
      <c r="EKK7" s="2333"/>
      <c r="EKL7" s="2334"/>
      <c r="EKM7" s="2335"/>
      <c r="EKN7" s="2333"/>
      <c r="EKO7" s="2334"/>
      <c r="EKP7" s="2335"/>
      <c r="EKQ7" s="2333"/>
      <c r="EKR7" s="2334"/>
      <c r="EKS7" s="2335"/>
      <c r="EKT7" s="2333"/>
      <c r="EKU7" s="2334"/>
      <c r="EKV7" s="2335"/>
      <c r="EKW7" s="2333"/>
      <c r="EKX7" s="2334"/>
      <c r="EKY7" s="2335"/>
      <c r="EKZ7" s="2333"/>
      <c r="ELA7" s="2334"/>
      <c r="ELB7" s="2335"/>
      <c r="ELC7" s="2333"/>
      <c r="ELD7" s="2334"/>
      <c r="ELE7" s="2335"/>
      <c r="ELF7" s="2333"/>
      <c r="ELG7" s="2334"/>
      <c r="ELH7" s="2335"/>
      <c r="ELI7" s="2333"/>
      <c r="ELJ7" s="2334"/>
      <c r="ELK7" s="2335"/>
      <c r="ELL7" s="2333"/>
      <c r="ELM7" s="2334"/>
      <c r="ELN7" s="2335"/>
      <c r="ELO7" s="2333"/>
      <c r="ELP7" s="2334"/>
      <c r="ELQ7" s="2335"/>
      <c r="ELR7" s="2333"/>
      <c r="ELS7" s="2334"/>
      <c r="ELT7" s="2335"/>
      <c r="ELU7" s="2333"/>
      <c r="ELV7" s="2334"/>
      <c r="ELW7" s="2335"/>
      <c r="ELX7" s="2333"/>
      <c r="ELY7" s="2334"/>
      <c r="ELZ7" s="2335"/>
      <c r="EMA7" s="2333"/>
      <c r="EMB7" s="2334"/>
      <c r="EMC7" s="2335"/>
      <c r="EMD7" s="2333"/>
      <c r="EME7" s="2334"/>
      <c r="EMF7" s="2335"/>
      <c r="EMG7" s="2333"/>
      <c r="EMH7" s="2334"/>
      <c r="EMI7" s="2335"/>
      <c r="EMJ7" s="2333"/>
      <c r="EMK7" s="2334"/>
      <c r="EML7" s="2335"/>
      <c r="EMM7" s="2333"/>
      <c r="EMN7" s="2334"/>
      <c r="EMO7" s="2335"/>
      <c r="EMP7" s="2333"/>
      <c r="EMQ7" s="2334"/>
      <c r="EMR7" s="2335"/>
      <c r="EMS7" s="2333"/>
      <c r="EMT7" s="2334"/>
      <c r="EMU7" s="2335"/>
      <c r="EMV7" s="2333"/>
      <c r="EMW7" s="2334"/>
      <c r="EMX7" s="2335"/>
      <c r="EMY7" s="2333"/>
      <c r="EMZ7" s="2334"/>
      <c r="ENA7" s="2335"/>
      <c r="ENB7" s="2333"/>
      <c r="ENC7" s="2334"/>
      <c r="END7" s="2335"/>
      <c r="ENE7" s="2333"/>
      <c r="ENF7" s="2334"/>
      <c r="ENG7" s="2335"/>
      <c r="ENH7" s="2333"/>
      <c r="ENI7" s="2334"/>
      <c r="ENJ7" s="2335"/>
      <c r="ENK7" s="2333"/>
      <c r="ENL7" s="2334"/>
      <c r="ENM7" s="2335"/>
      <c r="ENN7" s="2333"/>
      <c r="ENO7" s="2334"/>
      <c r="ENP7" s="2335"/>
      <c r="ENQ7" s="2333"/>
      <c r="ENR7" s="2334"/>
      <c r="ENS7" s="2335"/>
      <c r="ENT7" s="2333"/>
      <c r="ENU7" s="2334"/>
      <c r="ENV7" s="2335"/>
      <c r="ENW7" s="2333"/>
      <c r="ENX7" s="2334"/>
      <c r="ENY7" s="2335"/>
      <c r="ENZ7" s="2333"/>
      <c r="EOA7" s="2334"/>
      <c r="EOB7" s="2335"/>
      <c r="EOC7" s="2333"/>
      <c r="EOD7" s="2334"/>
      <c r="EOE7" s="2335"/>
      <c r="EOF7" s="2333"/>
      <c r="EOG7" s="2334"/>
      <c r="EOH7" s="2335"/>
      <c r="EOI7" s="2333"/>
      <c r="EOJ7" s="2334"/>
      <c r="EOK7" s="2335"/>
      <c r="EOL7" s="2333"/>
      <c r="EOM7" s="2334"/>
      <c r="EON7" s="2335"/>
      <c r="EOO7" s="2333"/>
      <c r="EOP7" s="2334"/>
      <c r="EOQ7" s="2335"/>
      <c r="EOR7" s="2333"/>
      <c r="EOS7" s="2334"/>
      <c r="EOT7" s="2335"/>
      <c r="EOU7" s="2333"/>
      <c r="EOV7" s="2334"/>
      <c r="EOW7" s="2335"/>
      <c r="EOX7" s="2333"/>
      <c r="EOY7" s="2334"/>
      <c r="EOZ7" s="2335"/>
      <c r="EPA7" s="2333"/>
      <c r="EPB7" s="2334"/>
      <c r="EPC7" s="2335"/>
      <c r="EPD7" s="2333"/>
      <c r="EPE7" s="2334"/>
      <c r="EPF7" s="2335"/>
      <c r="EPG7" s="2333"/>
      <c r="EPH7" s="2334"/>
      <c r="EPI7" s="2335"/>
      <c r="EPJ7" s="2333"/>
      <c r="EPK7" s="2334"/>
      <c r="EPL7" s="2335"/>
      <c r="EPM7" s="2333"/>
      <c r="EPN7" s="2334"/>
      <c r="EPO7" s="2335"/>
      <c r="EPP7" s="2333"/>
      <c r="EPQ7" s="2334"/>
      <c r="EPR7" s="2335"/>
      <c r="EPS7" s="2333"/>
      <c r="EPT7" s="2334"/>
      <c r="EPU7" s="2335"/>
      <c r="EPV7" s="2333"/>
      <c r="EPW7" s="2334"/>
      <c r="EPX7" s="2335"/>
      <c r="EPY7" s="2333"/>
      <c r="EPZ7" s="2334"/>
      <c r="EQA7" s="2335"/>
      <c r="EQB7" s="2333"/>
      <c r="EQC7" s="2334"/>
      <c r="EQD7" s="2335"/>
      <c r="EQE7" s="2333"/>
      <c r="EQF7" s="2334"/>
      <c r="EQG7" s="2335"/>
      <c r="EQH7" s="2333"/>
      <c r="EQI7" s="2334"/>
      <c r="EQJ7" s="2335"/>
      <c r="EQK7" s="2333"/>
      <c r="EQL7" s="2334"/>
      <c r="EQM7" s="2335"/>
      <c r="EQN7" s="2333"/>
      <c r="EQO7" s="2334"/>
      <c r="EQP7" s="2335"/>
      <c r="EQQ7" s="2333"/>
      <c r="EQR7" s="2334"/>
      <c r="EQS7" s="2335"/>
      <c r="EQT7" s="2333"/>
      <c r="EQU7" s="2334"/>
      <c r="EQV7" s="2335"/>
      <c r="EQW7" s="2333"/>
      <c r="EQX7" s="2334"/>
      <c r="EQY7" s="2335"/>
      <c r="EQZ7" s="2333"/>
      <c r="ERA7" s="2334"/>
      <c r="ERB7" s="2335"/>
      <c r="ERC7" s="2333"/>
      <c r="ERD7" s="2334"/>
      <c r="ERE7" s="2335"/>
      <c r="ERF7" s="2333"/>
      <c r="ERG7" s="2334"/>
      <c r="ERH7" s="2335"/>
      <c r="ERI7" s="2333"/>
      <c r="ERJ7" s="2334"/>
      <c r="ERK7" s="2335"/>
      <c r="ERL7" s="2333"/>
      <c r="ERM7" s="2334"/>
      <c r="ERN7" s="2335"/>
      <c r="ERO7" s="2333"/>
      <c r="ERP7" s="2334"/>
      <c r="ERQ7" s="2335"/>
      <c r="ERR7" s="2333"/>
      <c r="ERS7" s="2334"/>
      <c r="ERT7" s="2335"/>
      <c r="ERU7" s="2333"/>
      <c r="ERV7" s="2334"/>
      <c r="ERW7" s="2335"/>
      <c r="ERX7" s="2333"/>
      <c r="ERY7" s="2334"/>
      <c r="ERZ7" s="2335"/>
      <c r="ESA7" s="2333"/>
      <c r="ESB7" s="2334"/>
      <c r="ESC7" s="2335"/>
      <c r="ESD7" s="2333"/>
      <c r="ESE7" s="2334"/>
      <c r="ESF7" s="2335"/>
      <c r="ESG7" s="2333"/>
      <c r="ESH7" s="2334"/>
      <c r="ESI7" s="2335"/>
      <c r="ESJ7" s="2333"/>
      <c r="ESK7" s="2334"/>
      <c r="ESL7" s="2335"/>
      <c r="ESM7" s="2333"/>
      <c r="ESN7" s="2334"/>
      <c r="ESO7" s="2335"/>
      <c r="ESP7" s="2333"/>
      <c r="ESQ7" s="2334"/>
      <c r="ESR7" s="2335"/>
      <c r="ESS7" s="2333"/>
      <c r="EST7" s="2334"/>
      <c r="ESU7" s="2335"/>
      <c r="ESV7" s="2333"/>
      <c r="ESW7" s="2334"/>
      <c r="ESX7" s="2335"/>
      <c r="ESY7" s="2333"/>
      <c r="ESZ7" s="2334"/>
      <c r="ETA7" s="2335"/>
      <c r="ETB7" s="2333"/>
      <c r="ETC7" s="2334"/>
      <c r="ETD7" s="2335"/>
      <c r="ETE7" s="2333"/>
      <c r="ETF7" s="2334"/>
      <c r="ETG7" s="2335"/>
      <c r="ETH7" s="2333"/>
      <c r="ETI7" s="2334"/>
      <c r="ETJ7" s="2335"/>
      <c r="ETK7" s="2333"/>
      <c r="ETL7" s="2334"/>
      <c r="ETM7" s="2335"/>
      <c r="ETN7" s="2333"/>
      <c r="ETO7" s="2334"/>
      <c r="ETP7" s="2335"/>
      <c r="ETQ7" s="2333"/>
      <c r="ETR7" s="2334"/>
      <c r="ETS7" s="2335"/>
      <c r="ETT7" s="2333"/>
      <c r="ETU7" s="2334"/>
      <c r="ETV7" s="2335"/>
      <c r="ETW7" s="2333"/>
      <c r="ETX7" s="2334"/>
      <c r="ETY7" s="2335"/>
      <c r="ETZ7" s="2333"/>
      <c r="EUA7" s="2334"/>
      <c r="EUB7" s="2335"/>
      <c r="EUC7" s="2333"/>
      <c r="EUD7" s="2334"/>
      <c r="EUE7" s="2335"/>
      <c r="EUF7" s="2333"/>
      <c r="EUG7" s="2334"/>
      <c r="EUH7" s="2335"/>
      <c r="EUI7" s="2333"/>
      <c r="EUJ7" s="2334"/>
      <c r="EUK7" s="2335"/>
      <c r="EUL7" s="2333"/>
      <c r="EUM7" s="2334"/>
      <c r="EUN7" s="2335"/>
      <c r="EUO7" s="2333"/>
      <c r="EUP7" s="2334"/>
      <c r="EUQ7" s="2335"/>
      <c r="EUR7" s="2333"/>
      <c r="EUS7" s="2334"/>
      <c r="EUT7" s="2335"/>
      <c r="EUU7" s="2333"/>
      <c r="EUV7" s="2334"/>
      <c r="EUW7" s="2335"/>
      <c r="EUX7" s="2333"/>
      <c r="EUY7" s="2334"/>
      <c r="EUZ7" s="2335"/>
      <c r="EVA7" s="2333"/>
      <c r="EVB7" s="2334"/>
      <c r="EVC7" s="2335"/>
      <c r="EVD7" s="2333"/>
      <c r="EVE7" s="2334"/>
      <c r="EVF7" s="2335"/>
      <c r="EVG7" s="2333"/>
      <c r="EVH7" s="2334"/>
      <c r="EVI7" s="2335"/>
      <c r="EVJ7" s="2333"/>
      <c r="EVK7" s="2334"/>
      <c r="EVL7" s="2335"/>
      <c r="EVM7" s="2333"/>
      <c r="EVN7" s="2334"/>
      <c r="EVO7" s="2335"/>
      <c r="EVP7" s="2333"/>
      <c r="EVQ7" s="2334"/>
      <c r="EVR7" s="2335"/>
      <c r="EVS7" s="2333"/>
      <c r="EVT7" s="2334"/>
      <c r="EVU7" s="2335"/>
      <c r="EVV7" s="2333"/>
      <c r="EVW7" s="2334"/>
      <c r="EVX7" s="2335"/>
      <c r="EVY7" s="2333"/>
      <c r="EVZ7" s="2334"/>
      <c r="EWA7" s="2335"/>
      <c r="EWB7" s="2333"/>
      <c r="EWC7" s="2334"/>
      <c r="EWD7" s="2335"/>
      <c r="EWE7" s="2333"/>
      <c r="EWF7" s="2334"/>
      <c r="EWG7" s="2335"/>
      <c r="EWH7" s="2333"/>
      <c r="EWI7" s="2334"/>
      <c r="EWJ7" s="2335"/>
      <c r="EWK7" s="2333"/>
      <c r="EWL7" s="2334"/>
      <c r="EWM7" s="2335"/>
      <c r="EWN7" s="2333"/>
      <c r="EWO7" s="2334"/>
      <c r="EWP7" s="2335"/>
      <c r="EWQ7" s="2333"/>
      <c r="EWR7" s="2334"/>
      <c r="EWS7" s="2335"/>
      <c r="EWT7" s="2333"/>
      <c r="EWU7" s="2334"/>
      <c r="EWV7" s="2335"/>
      <c r="EWW7" s="2333"/>
      <c r="EWX7" s="2334"/>
      <c r="EWY7" s="2335"/>
      <c r="EWZ7" s="2333"/>
      <c r="EXA7" s="2334"/>
      <c r="EXB7" s="2335"/>
      <c r="EXC7" s="2333"/>
      <c r="EXD7" s="2334"/>
      <c r="EXE7" s="2335"/>
      <c r="EXF7" s="2333"/>
      <c r="EXG7" s="2334"/>
      <c r="EXH7" s="2335"/>
      <c r="EXI7" s="2333"/>
      <c r="EXJ7" s="2334"/>
      <c r="EXK7" s="2335"/>
      <c r="EXL7" s="2333"/>
      <c r="EXM7" s="2334"/>
      <c r="EXN7" s="2335"/>
      <c r="EXO7" s="2333"/>
      <c r="EXP7" s="2334"/>
      <c r="EXQ7" s="2335"/>
      <c r="EXR7" s="2333"/>
      <c r="EXS7" s="2334"/>
      <c r="EXT7" s="2335"/>
      <c r="EXU7" s="2333"/>
      <c r="EXV7" s="2334"/>
      <c r="EXW7" s="2335"/>
      <c r="EXX7" s="2333"/>
      <c r="EXY7" s="2334"/>
      <c r="EXZ7" s="2335"/>
      <c r="EYA7" s="2333"/>
      <c r="EYB7" s="2334"/>
      <c r="EYC7" s="2335"/>
      <c r="EYD7" s="2333"/>
      <c r="EYE7" s="2334"/>
      <c r="EYF7" s="2335"/>
      <c r="EYG7" s="2333"/>
      <c r="EYH7" s="2334"/>
      <c r="EYI7" s="2335"/>
      <c r="EYJ7" s="2333"/>
      <c r="EYK7" s="2334"/>
      <c r="EYL7" s="2335"/>
      <c r="EYM7" s="2333"/>
      <c r="EYN7" s="2334"/>
      <c r="EYO7" s="2335"/>
      <c r="EYP7" s="2333"/>
      <c r="EYQ7" s="2334"/>
      <c r="EYR7" s="2335"/>
      <c r="EYS7" s="2333"/>
      <c r="EYT7" s="2334"/>
      <c r="EYU7" s="2335"/>
      <c r="EYV7" s="2333"/>
      <c r="EYW7" s="2334"/>
      <c r="EYX7" s="2335"/>
      <c r="EYY7" s="2333"/>
      <c r="EYZ7" s="2334"/>
      <c r="EZA7" s="2335"/>
      <c r="EZB7" s="2333"/>
      <c r="EZC7" s="2334"/>
      <c r="EZD7" s="2335"/>
      <c r="EZE7" s="2333"/>
      <c r="EZF7" s="2334"/>
      <c r="EZG7" s="2335"/>
      <c r="EZH7" s="2333"/>
      <c r="EZI7" s="2334"/>
      <c r="EZJ7" s="2335"/>
      <c r="EZK7" s="2333"/>
      <c r="EZL7" s="2334"/>
      <c r="EZM7" s="2335"/>
      <c r="EZN7" s="2333"/>
      <c r="EZO7" s="2334"/>
      <c r="EZP7" s="2335"/>
      <c r="EZQ7" s="2333"/>
      <c r="EZR7" s="2334"/>
      <c r="EZS7" s="2335"/>
      <c r="EZT7" s="2333"/>
      <c r="EZU7" s="2334"/>
      <c r="EZV7" s="2335"/>
      <c r="EZW7" s="2333"/>
      <c r="EZX7" s="2334"/>
      <c r="EZY7" s="2335"/>
      <c r="EZZ7" s="2333"/>
      <c r="FAA7" s="2334"/>
      <c r="FAB7" s="2335"/>
      <c r="FAC7" s="2333"/>
      <c r="FAD7" s="2334"/>
      <c r="FAE7" s="2335"/>
      <c r="FAF7" s="2333"/>
      <c r="FAG7" s="2334"/>
      <c r="FAH7" s="2335"/>
      <c r="FAI7" s="2333"/>
      <c r="FAJ7" s="2334"/>
      <c r="FAK7" s="2335"/>
      <c r="FAL7" s="2333"/>
      <c r="FAM7" s="2334"/>
      <c r="FAN7" s="2335"/>
      <c r="FAO7" s="2333"/>
      <c r="FAP7" s="2334"/>
      <c r="FAQ7" s="2335"/>
      <c r="FAR7" s="2333"/>
      <c r="FAS7" s="2334"/>
      <c r="FAT7" s="2335"/>
      <c r="FAU7" s="2333"/>
      <c r="FAV7" s="2334"/>
      <c r="FAW7" s="2335"/>
      <c r="FAX7" s="2333"/>
      <c r="FAY7" s="2334"/>
      <c r="FAZ7" s="2335"/>
      <c r="FBA7" s="2333"/>
      <c r="FBB7" s="2334"/>
      <c r="FBC7" s="2335"/>
      <c r="FBD7" s="2333"/>
      <c r="FBE7" s="2334"/>
      <c r="FBF7" s="2335"/>
      <c r="FBG7" s="2333"/>
      <c r="FBH7" s="2334"/>
      <c r="FBI7" s="2335"/>
      <c r="FBJ7" s="2333"/>
      <c r="FBK7" s="2334"/>
      <c r="FBL7" s="2335"/>
      <c r="FBM7" s="2333"/>
      <c r="FBN7" s="2334"/>
      <c r="FBO7" s="2335"/>
      <c r="FBP7" s="2333"/>
      <c r="FBQ7" s="2334"/>
      <c r="FBR7" s="2335"/>
      <c r="FBS7" s="2333"/>
      <c r="FBT7" s="2334"/>
      <c r="FBU7" s="2335"/>
      <c r="FBV7" s="2333"/>
      <c r="FBW7" s="2334"/>
      <c r="FBX7" s="2335"/>
      <c r="FBY7" s="2333"/>
      <c r="FBZ7" s="2334"/>
      <c r="FCA7" s="2335"/>
      <c r="FCB7" s="2333"/>
      <c r="FCC7" s="2334"/>
      <c r="FCD7" s="2335"/>
      <c r="FCE7" s="2333"/>
      <c r="FCF7" s="2334"/>
      <c r="FCG7" s="2335"/>
      <c r="FCH7" s="2333"/>
      <c r="FCI7" s="2334"/>
      <c r="FCJ7" s="2335"/>
      <c r="FCK7" s="2333"/>
      <c r="FCL7" s="2334"/>
      <c r="FCM7" s="2335"/>
      <c r="FCN7" s="2333"/>
      <c r="FCO7" s="2334"/>
      <c r="FCP7" s="2335"/>
      <c r="FCQ7" s="2333"/>
      <c r="FCR7" s="2334"/>
      <c r="FCS7" s="2335"/>
      <c r="FCT7" s="2333"/>
      <c r="FCU7" s="2334"/>
      <c r="FCV7" s="2335"/>
      <c r="FCW7" s="2333"/>
      <c r="FCX7" s="2334"/>
      <c r="FCY7" s="2335"/>
      <c r="FCZ7" s="2333"/>
      <c r="FDA7" s="2334"/>
      <c r="FDB7" s="2335"/>
      <c r="FDC7" s="2333"/>
      <c r="FDD7" s="2334"/>
      <c r="FDE7" s="2335"/>
      <c r="FDF7" s="2333"/>
      <c r="FDG7" s="2334"/>
      <c r="FDH7" s="2335"/>
      <c r="FDI7" s="2333"/>
      <c r="FDJ7" s="2334"/>
      <c r="FDK7" s="2335"/>
      <c r="FDL7" s="2333"/>
      <c r="FDM7" s="2334"/>
      <c r="FDN7" s="2335"/>
      <c r="FDO7" s="2333"/>
      <c r="FDP7" s="2334"/>
      <c r="FDQ7" s="2335"/>
      <c r="FDR7" s="2333"/>
      <c r="FDS7" s="2334"/>
      <c r="FDT7" s="2335"/>
      <c r="FDU7" s="2333"/>
      <c r="FDV7" s="2334"/>
      <c r="FDW7" s="2335"/>
      <c r="FDX7" s="2333"/>
      <c r="FDY7" s="2334"/>
      <c r="FDZ7" s="2335"/>
      <c r="FEA7" s="2333"/>
      <c r="FEB7" s="2334"/>
      <c r="FEC7" s="2335"/>
      <c r="FED7" s="2333"/>
      <c r="FEE7" s="2334"/>
      <c r="FEF7" s="2335"/>
      <c r="FEG7" s="2333"/>
      <c r="FEH7" s="2334"/>
      <c r="FEI7" s="2335"/>
      <c r="FEJ7" s="2333"/>
      <c r="FEK7" s="2334"/>
      <c r="FEL7" s="2335"/>
      <c r="FEM7" s="2333"/>
      <c r="FEN7" s="2334"/>
      <c r="FEO7" s="2335"/>
      <c r="FEP7" s="2333"/>
      <c r="FEQ7" s="2334"/>
      <c r="FER7" s="2335"/>
      <c r="FES7" s="2333"/>
      <c r="FET7" s="2334"/>
      <c r="FEU7" s="2335"/>
      <c r="FEV7" s="2333"/>
      <c r="FEW7" s="2334"/>
      <c r="FEX7" s="2335"/>
      <c r="FEY7" s="2333"/>
      <c r="FEZ7" s="2334"/>
      <c r="FFA7" s="2335"/>
      <c r="FFB7" s="2333"/>
      <c r="FFC7" s="2334"/>
      <c r="FFD7" s="2335"/>
      <c r="FFE7" s="2333"/>
      <c r="FFF7" s="2334"/>
      <c r="FFG7" s="2335"/>
      <c r="FFH7" s="2333"/>
      <c r="FFI7" s="2334"/>
      <c r="FFJ7" s="2335"/>
      <c r="FFK7" s="2333"/>
      <c r="FFL7" s="2334"/>
      <c r="FFM7" s="2335"/>
      <c r="FFN7" s="2333"/>
      <c r="FFO7" s="2334"/>
      <c r="FFP7" s="2335"/>
      <c r="FFQ7" s="2333"/>
      <c r="FFR7" s="2334"/>
      <c r="FFS7" s="2335"/>
      <c r="FFT7" s="2333"/>
      <c r="FFU7" s="2334"/>
      <c r="FFV7" s="2335"/>
      <c r="FFW7" s="2333"/>
      <c r="FFX7" s="2334"/>
      <c r="FFY7" s="2335"/>
      <c r="FFZ7" s="2333"/>
      <c r="FGA7" s="2334"/>
      <c r="FGB7" s="2335"/>
      <c r="FGC7" s="2333"/>
      <c r="FGD7" s="2334"/>
      <c r="FGE7" s="2335"/>
      <c r="FGF7" s="2333"/>
      <c r="FGG7" s="2334"/>
      <c r="FGH7" s="2335"/>
      <c r="FGI7" s="2333"/>
      <c r="FGJ7" s="2334"/>
      <c r="FGK7" s="2335"/>
      <c r="FGL7" s="2333"/>
      <c r="FGM7" s="2334"/>
      <c r="FGN7" s="2335"/>
      <c r="FGO7" s="2333"/>
      <c r="FGP7" s="2334"/>
      <c r="FGQ7" s="2335"/>
      <c r="FGR7" s="2333"/>
      <c r="FGS7" s="2334"/>
      <c r="FGT7" s="2335"/>
      <c r="FGU7" s="2333"/>
      <c r="FGV7" s="2334"/>
      <c r="FGW7" s="2335"/>
      <c r="FGX7" s="2333"/>
      <c r="FGY7" s="2334"/>
      <c r="FGZ7" s="2335"/>
      <c r="FHA7" s="2333"/>
      <c r="FHB7" s="2334"/>
      <c r="FHC7" s="2335"/>
      <c r="FHD7" s="2333"/>
      <c r="FHE7" s="2334"/>
      <c r="FHF7" s="2335"/>
      <c r="FHG7" s="2333"/>
      <c r="FHH7" s="2334"/>
      <c r="FHI7" s="2335"/>
      <c r="FHJ7" s="2333"/>
      <c r="FHK7" s="2334"/>
      <c r="FHL7" s="2335"/>
      <c r="FHM7" s="2333"/>
      <c r="FHN7" s="2334"/>
      <c r="FHO7" s="2335"/>
      <c r="FHP7" s="2333"/>
      <c r="FHQ7" s="2334"/>
      <c r="FHR7" s="2335"/>
      <c r="FHS7" s="2333"/>
      <c r="FHT7" s="2334"/>
      <c r="FHU7" s="2335"/>
      <c r="FHV7" s="2333"/>
      <c r="FHW7" s="2334"/>
      <c r="FHX7" s="2335"/>
      <c r="FHY7" s="2333"/>
      <c r="FHZ7" s="2334"/>
      <c r="FIA7" s="2335"/>
      <c r="FIB7" s="2333"/>
      <c r="FIC7" s="2334"/>
      <c r="FID7" s="2335"/>
      <c r="FIE7" s="2333"/>
      <c r="FIF7" s="2334"/>
      <c r="FIG7" s="2335"/>
      <c r="FIH7" s="2333"/>
      <c r="FII7" s="2334"/>
      <c r="FIJ7" s="2335"/>
      <c r="FIK7" s="2333"/>
      <c r="FIL7" s="2334"/>
      <c r="FIM7" s="2335"/>
      <c r="FIN7" s="2333"/>
      <c r="FIO7" s="2334"/>
      <c r="FIP7" s="2335"/>
      <c r="FIQ7" s="2333"/>
      <c r="FIR7" s="2334"/>
      <c r="FIS7" s="2335"/>
      <c r="FIT7" s="2333"/>
      <c r="FIU7" s="2334"/>
      <c r="FIV7" s="2335"/>
      <c r="FIW7" s="2333"/>
      <c r="FIX7" s="2334"/>
      <c r="FIY7" s="2335"/>
      <c r="FIZ7" s="2333"/>
      <c r="FJA7" s="2334"/>
      <c r="FJB7" s="2335"/>
      <c r="FJC7" s="2333"/>
      <c r="FJD7" s="2334"/>
      <c r="FJE7" s="2335"/>
      <c r="FJF7" s="2333"/>
      <c r="FJG7" s="2334"/>
      <c r="FJH7" s="2335"/>
      <c r="FJI7" s="2333"/>
      <c r="FJJ7" s="2334"/>
      <c r="FJK7" s="2335"/>
      <c r="FJL7" s="2333"/>
      <c r="FJM7" s="2334"/>
      <c r="FJN7" s="2335"/>
      <c r="FJO7" s="2333"/>
      <c r="FJP7" s="2334"/>
      <c r="FJQ7" s="2335"/>
      <c r="FJR7" s="2333"/>
      <c r="FJS7" s="2334"/>
      <c r="FJT7" s="2335"/>
      <c r="FJU7" s="2333"/>
      <c r="FJV7" s="2334"/>
      <c r="FJW7" s="2335"/>
      <c r="FJX7" s="2333"/>
      <c r="FJY7" s="2334"/>
      <c r="FJZ7" s="2335"/>
      <c r="FKA7" s="2333"/>
      <c r="FKB7" s="2334"/>
      <c r="FKC7" s="2335"/>
      <c r="FKD7" s="2333"/>
      <c r="FKE7" s="2334"/>
      <c r="FKF7" s="2335"/>
      <c r="FKG7" s="2333"/>
      <c r="FKH7" s="2334"/>
      <c r="FKI7" s="2335"/>
      <c r="FKJ7" s="2333"/>
      <c r="FKK7" s="2334"/>
      <c r="FKL7" s="2335"/>
      <c r="FKM7" s="2333"/>
      <c r="FKN7" s="2334"/>
      <c r="FKO7" s="2335"/>
      <c r="FKP7" s="2333"/>
      <c r="FKQ7" s="2334"/>
      <c r="FKR7" s="2335"/>
      <c r="FKS7" s="2333"/>
      <c r="FKT7" s="2334"/>
      <c r="FKU7" s="2335"/>
      <c r="FKV7" s="2333"/>
      <c r="FKW7" s="2334"/>
      <c r="FKX7" s="2335"/>
      <c r="FKY7" s="2333"/>
      <c r="FKZ7" s="2334"/>
      <c r="FLA7" s="2335"/>
      <c r="FLB7" s="2333"/>
      <c r="FLC7" s="2334"/>
      <c r="FLD7" s="2335"/>
      <c r="FLE7" s="2333"/>
      <c r="FLF7" s="2334"/>
      <c r="FLG7" s="2335"/>
      <c r="FLH7" s="2333"/>
      <c r="FLI7" s="2334"/>
      <c r="FLJ7" s="2335"/>
      <c r="FLK7" s="2333"/>
      <c r="FLL7" s="2334"/>
      <c r="FLM7" s="2335"/>
      <c r="FLN7" s="2333"/>
      <c r="FLO7" s="2334"/>
      <c r="FLP7" s="2335"/>
      <c r="FLQ7" s="2333"/>
      <c r="FLR7" s="2334"/>
      <c r="FLS7" s="2335"/>
      <c r="FLT7" s="2333"/>
      <c r="FLU7" s="2334"/>
      <c r="FLV7" s="2335"/>
      <c r="FLW7" s="2333"/>
      <c r="FLX7" s="2334"/>
      <c r="FLY7" s="2335"/>
      <c r="FLZ7" s="2333"/>
      <c r="FMA7" s="2334"/>
      <c r="FMB7" s="2335"/>
      <c r="FMC7" s="2333"/>
      <c r="FMD7" s="2334"/>
      <c r="FME7" s="2335"/>
      <c r="FMF7" s="2333"/>
      <c r="FMG7" s="2334"/>
      <c r="FMH7" s="2335"/>
      <c r="FMI7" s="2333"/>
      <c r="FMJ7" s="2334"/>
      <c r="FMK7" s="2335"/>
      <c r="FML7" s="2333"/>
      <c r="FMM7" s="2334"/>
      <c r="FMN7" s="2335"/>
      <c r="FMO7" s="2333"/>
      <c r="FMP7" s="2334"/>
      <c r="FMQ7" s="2335"/>
      <c r="FMR7" s="2333"/>
      <c r="FMS7" s="2334"/>
      <c r="FMT7" s="2335"/>
      <c r="FMU7" s="2333"/>
      <c r="FMV7" s="2334"/>
      <c r="FMW7" s="2335"/>
      <c r="FMX7" s="2333"/>
      <c r="FMY7" s="2334"/>
      <c r="FMZ7" s="2335"/>
      <c r="FNA7" s="2333"/>
      <c r="FNB7" s="2334"/>
      <c r="FNC7" s="2335"/>
      <c r="FND7" s="2333"/>
      <c r="FNE7" s="2334"/>
      <c r="FNF7" s="2335"/>
      <c r="FNG7" s="2333"/>
      <c r="FNH7" s="2334"/>
      <c r="FNI7" s="2335"/>
      <c r="FNJ7" s="2333"/>
      <c r="FNK7" s="2334"/>
      <c r="FNL7" s="2335"/>
      <c r="FNM7" s="2333"/>
      <c r="FNN7" s="2334"/>
      <c r="FNO7" s="2335"/>
      <c r="FNP7" s="2333"/>
      <c r="FNQ7" s="2334"/>
      <c r="FNR7" s="2335"/>
      <c r="FNS7" s="2333"/>
      <c r="FNT7" s="2334"/>
      <c r="FNU7" s="2335"/>
      <c r="FNV7" s="2333"/>
      <c r="FNW7" s="2334"/>
      <c r="FNX7" s="2335"/>
      <c r="FNY7" s="2333"/>
      <c r="FNZ7" s="2334"/>
      <c r="FOA7" s="2335"/>
      <c r="FOB7" s="2333"/>
      <c r="FOC7" s="2334"/>
      <c r="FOD7" s="2335"/>
      <c r="FOE7" s="2333"/>
      <c r="FOF7" s="2334"/>
      <c r="FOG7" s="2335"/>
      <c r="FOH7" s="2333"/>
      <c r="FOI7" s="2334"/>
      <c r="FOJ7" s="2335"/>
      <c r="FOK7" s="2333"/>
      <c r="FOL7" s="2334"/>
      <c r="FOM7" s="2335"/>
      <c r="FON7" s="2333"/>
      <c r="FOO7" s="2334"/>
      <c r="FOP7" s="2335"/>
      <c r="FOQ7" s="2333"/>
      <c r="FOR7" s="2334"/>
      <c r="FOS7" s="2335"/>
      <c r="FOT7" s="2333"/>
      <c r="FOU7" s="2334"/>
      <c r="FOV7" s="2335"/>
      <c r="FOW7" s="2333"/>
      <c r="FOX7" s="2334"/>
      <c r="FOY7" s="2335"/>
      <c r="FOZ7" s="2333"/>
      <c r="FPA7" s="2334"/>
      <c r="FPB7" s="2335"/>
      <c r="FPC7" s="2333"/>
      <c r="FPD7" s="2334"/>
      <c r="FPE7" s="2335"/>
      <c r="FPF7" s="2333"/>
      <c r="FPG7" s="2334"/>
      <c r="FPH7" s="2335"/>
      <c r="FPI7" s="2333"/>
      <c r="FPJ7" s="2334"/>
      <c r="FPK7" s="2335"/>
      <c r="FPL7" s="2333"/>
      <c r="FPM7" s="2334"/>
      <c r="FPN7" s="2335"/>
      <c r="FPO7" s="2333"/>
      <c r="FPP7" s="2334"/>
      <c r="FPQ7" s="2335"/>
      <c r="FPR7" s="2333"/>
      <c r="FPS7" s="2334"/>
      <c r="FPT7" s="2335"/>
      <c r="FPU7" s="2333"/>
      <c r="FPV7" s="2334"/>
      <c r="FPW7" s="2335"/>
      <c r="FPX7" s="2333"/>
      <c r="FPY7" s="2334"/>
      <c r="FPZ7" s="2335"/>
      <c r="FQA7" s="2333"/>
      <c r="FQB7" s="2334"/>
      <c r="FQC7" s="2335"/>
      <c r="FQD7" s="2333"/>
      <c r="FQE7" s="2334"/>
      <c r="FQF7" s="2335"/>
      <c r="FQG7" s="2333"/>
      <c r="FQH7" s="2334"/>
      <c r="FQI7" s="2335"/>
      <c r="FQJ7" s="2333"/>
      <c r="FQK7" s="2334"/>
      <c r="FQL7" s="2335"/>
      <c r="FQM7" s="2333"/>
      <c r="FQN7" s="2334"/>
      <c r="FQO7" s="2335"/>
      <c r="FQP7" s="2333"/>
      <c r="FQQ7" s="2334"/>
      <c r="FQR7" s="2335"/>
      <c r="FQS7" s="2333"/>
      <c r="FQT7" s="2334"/>
      <c r="FQU7" s="2335"/>
      <c r="FQV7" s="2333"/>
      <c r="FQW7" s="2334"/>
      <c r="FQX7" s="2335"/>
      <c r="FQY7" s="2333"/>
      <c r="FQZ7" s="2334"/>
      <c r="FRA7" s="2335"/>
      <c r="FRB7" s="2333"/>
      <c r="FRC7" s="2334"/>
      <c r="FRD7" s="2335"/>
      <c r="FRE7" s="2333"/>
      <c r="FRF7" s="2334"/>
      <c r="FRG7" s="2335"/>
      <c r="FRH7" s="2333"/>
      <c r="FRI7" s="2334"/>
      <c r="FRJ7" s="2335"/>
      <c r="FRK7" s="2333"/>
      <c r="FRL7" s="2334"/>
      <c r="FRM7" s="2335"/>
      <c r="FRN7" s="2333"/>
      <c r="FRO7" s="2334"/>
      <c r="FRP7" s="2335"/>
      <c r="FRQ7" s="2333"/>
      <c r="FRR7" s="2334"/>
      <c r="FRS7" s="2335"/>
      <c r="FRT7" s="2333"/>
      <c r="FRU7" s="2334"/>
      <c r="FRV7" s="2335"/>
      <c r="FRW7" s="2333"/>
      <c r="FRX7" s="2334"/>
      <c r="FRY7" s="2335"/>
      <c r="FRZ7" s="2333"/>
      <c r="FSA7" s="2334"/>
      <c r="FSB7" s="2335"/>
      <c r="FSC7" s="2333"/>
      <c r="FSD7" s="2334"/>
      <c r="FSE7" s="2335"/>
      <c r="FSF7" s="2333"/>
      <c r="FSG7" s="2334"/>
      <c r="FSH7" s="2335"/>
      <c r="FSI7" s="2333"/>
      <c r="FSJ7" s="2334"/>
      <c r="FSK7" s="2335"/>
      <c r="FSL7" s="2333"/>
      <c r="FSM7" s="2334"/>
      <c r="FSN7" s="2335"/>
      <c r="FSO7" s="2333"/>
      <c r="FSP7" s="2334"/>
      <c r="FSQ7" s="2335"/>
      <c r="FSR7" s="2333"/>
      <c r="FSS7" s="2334"/>
      <c r="FST7" s="2335"/>
      <c r="FSU7" s="2333"/>
      <c r="FSV7" s="2334"/>
      <c r="FSW7" s="2335"/>
      <c r="FSX7" s="2333"/>
      <c r="FSY7" s="2334"/>
      <c r="FSZ7" s="2335"/>
      <c r="FTA7" s="2333"/>
      <c r="FTB7" s="2334"/>
      <c r="FTC7" s="2335"/>
      <c r="FTD7" s="2333"/>
      <c r="FTE7" s="2334"/>
      <c r="FTF7" s="2335"/>
      <c r="FTG7" s="2333"/>
      <c r="FTH7" s="2334"/>
      <c r="FTI7" s="2335"/>
      <c r="FTJ7" s="2333"/>
      <c r="FTK7" s="2334"/>
      <c r="FTL7" s="2335"/>
      <c r="FTM7" s="2333"/>
      <c r="FTN7" s="2334"/>
      <c r="FTO7" s="2335"/>
      <c r="FTP7" s="2333"/>
      <c r="FTQ7" s="2334"/>
      <c r="FTR7" s="2335"/>
      <c r="FTS7" s="2333"/>
      <c r="FTT7" s="2334"/>
      <c r="FTU7" s="2335"/>
      <c r="FTV7" s="2333"/>
      <c r="FTW7" s="2334"/>
      <c r="FTX7" s="2335"/>
      <c r="FTY7" s="2333"/>
      <c r="FTZ7" s="2334"/>
      <c r="FUA7" s="2335"/>
      <c r="FUB7" s="2333"/>
      <c r="FUC7" s="2334"/>
      <c r="FUD7" s="2335"/>
      <c r="FUE7" s="2333"/>
      <c r="FUF7" s="2334"/>
      <c r="FUG7" s="2335"/>
      <c r="FUH7" s="2333"/>
      <c r="FUI7" s="2334"/>
      <c r="FUJ7" s="2335"/>
      <c r="FUK7" s="2333"/>
      <c r="FUL7" s="2334"/>
      <c r="FUM7" s="2335"/>
      <c r="FUN7" s="2333"/>
      <c r="FUO7" s="2334"/>
      <c r="FUP7" s="2335"/>
      <c r="FUQ7" s="2333"/>
      <c r="FUR7" s="2334"/>
      <c r="FUS7" s="2335"/>
      <c r="FUT7" s="2333"/>
      <c r="FUU7" s="2334"/>
      <c r="FUV7" s="2335"/>
      <c r="FUW7" s="2333"/>
      <c r="FUX7" s="2334"/>
      <c r="FUY7" s="2335"/>
      <c r="FUZ7" s="2333"/>
      <c r="FVA7" s="2334"/>
      <c r="FVB7" s="2335"/>
      <c r="FVC7" s="2333"/>
      <c r="FVD7" s="2334"/>
      <c r="FVE7" s="2335"/>
      <c r="FVF7" s="2333"/>
      <c r="FVG7" s="2334"/>
      <c r="FVH7" s="2335"/>
      <c r="FVI7" s="2333"/>
      <c r="FVJ7" s="2334"/>
      <c r="FVK7" s="2335"/>
      <c r="FVL7" s="2333"/>
      <c r="FVM7" s="2334"/>
      <c r="FVN7" s="2335"/>
      <c r="FVO7" s="2333"/>
      <c r="FVP7" s="2334"/>
      <c r="FVQ7" s="2335"/>
      <c r="FVR7" s="2333"/>
      <c r="FVS7" s="2334"/>
      <c r="FVT7" s="2335"/>
      <c r="FVU7" s="2333"/>
      <c r="FVV7" s="2334"/>
      <c r="FVW7" s="2335"/>
      <c r="FVX7" s="2333"/>
      <c r="FVY7" s="2334"/>
      <c r="FVZ7" s="2335"/>
      <c r="FWA7" s="2333"/>
      <c r="FWB7" s="2334"/>
      <c r="FWC7" s="2335"/>
      <c r="FWD7" s="2333"/>
      <c r="FWE7" s="2334"/>
      <c r="FWF7" s="2335"/>
      <c r="FWG7" s="2333"/>
      <c r="FWH7" s="2334"/>
      <c r="FWI7" s="2335"/>
      <c r="FWJ7" s="2333"/>
      <c r="FWK7" s="2334"/>
      <c r="FWL7" s="2335"/>
      <c r="FWM7" s="2333"/>
      <c r="FWN7" s="2334"/>
      <c r="FWO7" s="2335"/>
      <c r="FWP7" s="2333"/>
      <c r="FWQ7" s="2334"/>
      <c r="FWR7" s="2335"/>
      <c r="FWS7" s="2333"/>
      <c r="FWT7" s="2334"/>
      <c r="FWU7" s="2335"/>
      <c r="FWV7" s="2333"/>
      <c r="FWW7" s="2334"/>
      <c r="FWX7" s="2335"/>
      <c r="FWY7" s="2333"/>
      <c r="FWZ7" s="2334"/>
      <c r="FXA7" s="2335"/>
      <c r="FXB7" s="2333"/>
      <c r="FXC7" s="2334"/>
      <c r="FXD7" s="2335"/>
      <c r="FXE7" s="2333"/>
      <c r="FXF7" s="2334"/>
      <c r="FXG7" s="2335"/>
      <c r="FXH7" s="2333"/>
      <c r="FXI7" s="2334"/>
      <c r="FXJ7" s="2335"/>
      <c r="FXK7" s="2333"/>
      <c r="FXL7" s="2334"/>
      <c r="FXM7" s="2335"/>
      <c r="FXN7" s="2333"/>
      <c r="FXO7" s="2334"/>
      <c r="FXP7" s="2335"/>
      <c r="FXQ7" s="2333"/>
      <c r="FXR7" s="2334"/>
      <c r="FXS7" s="2335"/>
      <c r="FXT7" s="2333"/>
      <c r="FXU7" s="2334"/>
      <c r="FXV7" s="2335"/>
      <c r="FXW7" s="2333"/>
      <c r="FXX7" s="2334"/>
      <c r="FXY7" s="2335"/>
      <c r="FXZ7" s="2333"/>
      <c r="FYA7" s="2334"/>
      <c r="FYB7" s="2335"/>
      <c r="FYC7" s="2333"/>
      <c r="FYD7" s="2334"/>
      <c r="FYE7" s="2335"/>
      <c r="FYF7" s="2333"/>
      <c r="FYG7" s="2334"/>
      <c r="FYH7" s="2335"/>
      <c r="FYI7" s="2333"/>
      <c r="FYJ7" s="2334"/>
      <c r="FYK7" s="2335"/>
      <c r="FYL7" s="2333"/>
      <c r="FYM7" s="2334"/>
      <c r="FYN7" s="2335"/>
      <c r="FYO7" s="2333"/>
      <c r="FYP7" s="2334"/>
      <c r="FYQ7" s="2335"/>
      <c r="FYR7" s="2333"/>
      <c r="FYS7" s="2334"/>
      <c r="FYT7" s="2335"/>
      <c r="FYU7" s="2333"/>
      <c r="FYV7" s="2334"/>
      <c r="FYW7" s="2335"/>
      <c r="FYX7" s="2333"/>
      <c r="FYY7" s="2334"/>
      <c r="FYZ7" s="2335"/>
      <c r="FZA7" s="2333"/>
      <c r="FZB7" s="2334"/>
      <c r="FZC7" s="2335"/>
      <c r="FZD7" s="2333"/>
      <c r="FZE7" s="2334"/>
      <c r="FZF7" s="2335"/>
      <c r="FZG7" s="2333"/>
      <c r="FZH7" s="2334"/>
      <c r="FZI7" s="2335"/>
      <c r="FZJ7" s="2333"/>
      <c r="FZK7" s="2334"/>
      <c r="FZL7" s="2335"/>
      <c r="FZM7" s="2333"/>
      <c r="FZN7" s="2334"/>
      <c r="FZO7" s="2335"/>
      <c r="FZP7" s="2333"/>
      <c r="FZQ7" s="2334"/>
      <c r="FZR7" s="2335"/>
      <c r="FZS7" s="2333"/>
      <c r="FZT7" s="2334"/>
      <c r="FZU7" s="2335"/>
      <c r="FZV7" s="2333"/>
      <c r="FZW7" s="2334"/>
      <c r="FZX7" s="2335"/>
      <c r="FZY7" s="2333"/>
      <c r="FZZ7" s="2334"/>
      <c r="GAA7" s="2335"/>
      <c r="GAB7" s="2333"/>
      <c r="GAC7" s="2334"/>
      <c r="GAD7" s="2335"/>
      <c r="GAE7" s="2333"/>
      <c r="GAF7" s="2334"/>
      <c r="GAG7" s="2335"/>
      <c r="GAH7" s="2333"/>
      <c r="GAI7" s="2334"/>
      <c r="GAJ7" s="2335"/>
      <c r="GAK7" s="2333"/>
      <c r="GAL7" s="2334"/>
      <c r="GAM7" s="2335"/>
      <c r="GAN7" s="2333"/>
      <c r="GAO7" s="2334"/>
      <c r="GAP7" s="2335"/>
      <c r="GAQ7" s="2333"/>
      <c r="GAR7" s="2334"/>
      <c r="GAS7" s="2335"/>
      <c r="GAT7" s="2333"/>
      <c r="GAU7" s="2334"/>
      <c r="GAV7" s="2335"/>
      <c r="GAW7" s="2333"/>
      <c r="GAX7" s="2334"/>
      <c r="GAY7" s="2335"/>
      <c r="GAZ7" s="2333"/>
      <c r="GBA7" s="2334"/>
      <c r="GBB7" s="2335"/>
      <c r="GBC7" s="2333"/>
      <c r="GBD7" s="2334"/>
      <c r="GBE7" s="2335"/>
      <c r="GBF7" s="2333"/>
      <c r="GBG7" s="2334"/>
      <c r="GBH7" s="2335"/>
      <c r="GBI7" s="2333"/>
      <c r="GBJ7" s="2334"/>
      <c r="GBK7" s="2335"/>
      <c r="GBL7" s="2333"/>
      <c r="GBM7" s="2334"/>
      <c r="GBN7" s="2335"/>
      <c r="GBO7" s="2333"/>
      <c r="GBP7" s="2334"/>
      <c r="GBQ7" s="2335"/>
      <c r="GBR7" s="2333"/>
      <c r="GBS7" s="2334"/>
      <c r="GBT7" s="2335"/>
      <c r="GBU7" s="2333"/>
      <c r="GBV7" s="2334"/>
      <c r="GBW7" s="2335"/>
      <c r="GBX7" s="2333"/>
      <c r="GBY7" s="2334"/>
      <c r="GBZ7" s="2335"/>
      <c r="GCA7" s="2333"/>
      <c r="GCB7" s="2334"/>
      <c r="GCC7" s="2335"/>
      <c r="GCD7" s="2333"/>
      <c r="GCE7" s="2334"/>
      <c r="GCF7" s="2335"/>
      <c r="GCG7" s="2333"/>
      <c r="GCH7" s="2334"/>
      <c r="GCI7" s="2335"/>
      <c r="GCJ7" s="2333"/>
      <c r="GCK7" s="2334"/>
      <c r="GCL7" s="2335"/>
      <c r="GCM7" s="2333"/>
      <c r="GCN7" s="2334"/>
      <c r="GCO7" s="2335"/>
      <c r="GCP7" s="2333"/>
      <c r="GCQ7" s="2334"/>
      <c r="GCR7" s="2335"/>
      <c r="GCS7" s="2333"/>
      <c r="GCT7" s="2334"/>
      <c r="GCU7" s="2335"/>
      <c r="GCV7" s="2333"/>
      <c r="GCW7" s="2334"/>
      <c r="GCX7" s="2335"/>
      <c r="GCY7" s="2333"/>
      <c r="GCZ7" s="2334"/>
      <c r="GDA7" s="2335"/>
      <c r="GDB7" s="2333"/>
      <c r="GDC7" s="2334"/>
      <c r="GDD7" s="2335"/>
      <c r="GDE7" s="2333"/>
      <c r="GDF7" s="2334"/>
      <c r="GDG7" s="2335"/>
      <c r="GDH7" s="2333"/>
      <c r="GDI7" s="2334"/>
      <c r="GDJ7" s="2335"/>
      <c r="GDK7" s="2333"/>
      <c r="GDL7" s="2334"/>
      <c r="GDM7" s="2335"/>
      <c r="GDN7" s="2333"/>
      <c r="GDO7" s="2334"/>
      <c r="GDP7" s="2335"/>
      <c r="GDQ7" s="2333"/>
      <c r="GDR7" s="2334"/>
      <c r="GDS7" s="2335"/>
      <c r="GDT7" s="2333"/>
      <c r="GDU7" s="2334"/>
      <c r="GDV7" s="2335"/>
      <c r="GDW7" s="2333"/>
      <c r="GDX7" s="2334"/>
      <c r="GDY7" s="2335"/>
      <c r="GDZ7" s="2333"/>
      <c r="GEA7" s="2334"/>
      <c r="GEB7" s="2335"/>
      <c r="GEC7" s="2333"/>
      <c r="GED7" s="2334"/>
      <c r="GEE7" s="2335"/>
      <c r="GEF7" s="2333"/>
      <c r="GEG7" s="2334"/>
      <c r="GEH7" s="2335"/>
      <c r="GEI7" s="2333"/>
      <c r="GEJ7" s="2334"/>
      <c r="GEK7" s="2335"/>
      <c r="GEL7" s="2333"/>
      <c r="GEM7" s="2334"/>
      <c r="GEN7" s="2335"/>
      <c r="GEO7" s="2333"/>
      <c r="GEP7" s="2334"/>
      <c r="GEQ7" s="2335"/>
      <c r="GER7" s="2333"/>
      <c r="GES7" s="2334"/>
      <c r="GET7" s="2335"/>
      <c r="GEU7" s="2333"/>
      <c r="GEV7" s="2334"/>
      <c r="GEW7" s="2335"/>
      <c r="GEX7" s="2333"/>
      <c r="GEY7" s="2334"/>
      <c r="GEZ7" s="2335"/>
      <c r="GFA7" s="2333"/>
      <c r="GFB7" s="2334"/>
      <c r="GFC7" s="2335"/>
      <c r="GFD7" s="2333"/>
      <c r="GFE7" s="2334"/>
      <c r="GFF7" s="2335"/>
      <c r="GFG7" s="2333"/>
      <c r="GFH7" s="2334"/>
      <c r="GFI7" s="2335"/>
      <c r="GFJ7" s="2333"/>
      <c r="GFK7" s="2334"/>
      <c r="GFL7" s="2335"/>
      <c r="GFM7" s="2333"/>
      <c r="GFN7" s="2334"/>
      <c r="GFO7" s="2335"/>
      <c r="GFP7" s="2333"/>
      <c r="GFQ7" s="2334"/>
      <c r="GFR7" s="2335"/>
      <c r="GFS7" s="2333"/>
      <c r="GFT7" s="2334"/>
      <c r="GFU7" s="2335"/>
      <c r="GFV7" s="2333"/>
      <c r="GFW7" s="2334"/>
      <c r="GFX7" s="2335"/>
      <c r="GFY7" s="2333"/>
      <c r="GFZ7" s="2334"/>
      <c r="GGA7" s="2335"/>
      <c r="GGB7" s="2333"/>
      <c r="GGC7" s="2334"/>
      <c r="GGD7" s="2335"/>
      <c r="GGE7" s="2333"/>
      <c r="GGF7" s="2334"/>
      <c r="GGG7" s="2335"/>
      <c r="GGH7" s="2333"/>
      <c r="GGI7" s="2334"/>
      <c r="GGJ7" s="2335"/>
      <c r="GGK7" s="2333"/>
      <c r="GGL7" s="2334"/>
      <c r="GGM7" s="2335"/>
      <c r="GGN7" s="2333"/>
      <c r="GGO7" s="2334"/>
      <c r="GGP7" s="2335"/>
      <c r="GGQ7" s="2333"/>
      <c r="GGR7" s="2334"/>
      <c r="GGS7" s="2335"/>
      <c r="GGT7" s="2333"/>
      <c r="GGU7" s="2334"/>
      <c r="GGV7" s="2335"/>
      <c r="GGW7" s="2333"/>
      <c r="GGX7" s="2334"/>
      <c r="GGY7" s="2335"/>
      <c r="GGZ7" s="2333"/>
      <c r="GHA7" s="2334"/>
      <c r="GHB7" s="2335"/>
      <c r="GHC7" s="2333"/>
      <c r="GHD7" s="2334"/>
      <c r="GHE7" s="2335"/>
      <c r="GHF7" s="2333"/>
      <c r="GHG7" s="2334"/>
      <c r="GHH7" s="2335"/>
      <c r="GHI7" s="2333"/>
      <c r="GHJ7" s="2334"/>
      <c r="GHK7" s="2335"/>
      <c r="GHL7" s="2333"/>
      <c r="GHM7" s="2334"/>
      <c r="GHN7" s="2335"/>
      <c r="GHO7" s="2333"/>
      <c r="GHP7" s="2334"/>
      <c r="GHQ7" s="2335"/>
      <c r="GHR7" s="2333"/>
      <c r="GHS7" s="2334"/>
      <c r="GHT7" s="2335"/>
      <c r="GHU7" s="2333"/>
      <c r="GHV7" s="2334"/>
      <c r="GHW7" s="2335"/>
      <c r="GHX7" s="2333"/>
      <c r="GHY7" s="2334"/>
      <c r="GHZ7" s="2335"/>
      <c r="GIA7" s="2333"/>
      <c r="GIB7" s="2334"/>
      <c r="GIC7" s="2335"/>
      <c r="GID7" s="2333"/>
      <c r="GIE7" s="2334"/>
      <c r="GIF7" s="2335"/>
      <c r="GIG7" s="2333"/>
      <c r="GIH7" s="2334"/>
      <c r="GII7" s="2335"/>
      <c r="GIJ7" s="2333"/>
      <c r="GIK7" s="2334"/>
      <c r="GIL7" s="2335"/>
      <c r="GIM7" s="2333"/>
      <c r="GIN7" s="2334"/>
      <c r="GIO7" s="2335"/>
      <c r="GIP7" s="2333"/>
      <c r="GIQ7" s="2334"/>
      <c r="GIR7" s="2335"/>
      <c r="GIS7" s="2333"/>
      <c r="GIT7" s="2334"/>
      <c r="GIU7" s="2335"/>
      <c r="GIV7" s="2333"/>
      <c r="GIW7" s="2334"/>
      <c r="GIX7" s="2335"/>
      <c r="GIY7" s="2333"/>
      <c r="GIZ7" s="2334"/>
      <c r="GJA7" s="2335"/>
      <c r="GJB7" s="2333"/>
      <c r="GJC7" s="2334"/>
      <c r="GJD7" s="2335"/>
      <c r="GJE7" s="2333"/>
      <c r="GJF7" s="2334"/>
      <c r="GJG7" s="2335"/>
      <c r="GJH7" s="2333"/>
      <c r="GJI7" s="2334"/>
      <c r="GJJ7" s="2335"/>
      <c r="GJK7" s="2333"/>
      <c r="GJL7" s="2334"/>
      <c r="GJM7" s="2335"/>
      <c r="GJN7" s="2333"/>
      <c r="GJO7" s="2334"/>
      <c r="GJP7" s="2335"/>
      <c r="GJQ7" s="2333"/>
      <c r="GJR7" s="2334"/>
      <c r="GJS7" s="2335"/>
      <c r="GJT7" s="2333"/>
      <c r="GJU7" s="2334"/>
      <c r="GJV7" s="2335"/>
      <c r="GJW7" s="2333"/>
      <c r="GJX7" s="2334"/>
      <c r="GJY7" s="2335"/>
      <c r="GJZ7" s="2333"/>
      <c r="GKA7" s="2334"/>
      <c r="GKB7" s="2335"/>
      <c r="GKC7" s="2333"/>
      <c r="GKD7" s="2334"/>
      <c r="GKE7" s="2335"/>
      <c r="GKF7" s="2333"/>
      <c r="GKG7" s="2334"/>
      <c r="GKH7" s="2335"/>
      <c r="GKI7" s="2333"/>
      <c r="GKJ7" s="2334"/>
      <c r="GKK7" s="2335"/>
      <c r="GKL7" s="2333"/>
      <c r="GKM7" s="2334"/>
      <c r="GKN7" s="2335"/>
      <c r="GKO7" s="2333"/>
      <c r="GKP7" s="2334"/>
      <c r="GKQ7" s="2335"/>
      <c r="GKR7" s="2333"/>
      <c r="GKS7" s="2334"/>
      <c r="GKT7" s="2335"/>
      <c r="GKU7" s="2333"/>
      <c r="GKV7" s="2334"/>
      <c r="GKW7" s="2335"/>
      <c r="GKX7" s="2333"/>
      <c r="GKY7" s="2334"/>
      <c r="GKZ7" s="2335"/>
      <c r="GLA7" s="2333"/>
      <c r="GLB7" s="2334"/>
      <c r="GLC7" s="2335"/>
      <c r="GLD7" s="2333"/>
      <c r="GLE7" s="2334"/>
      <c r="GLF7" s="2335"/>
      <c r="GLG7" s="2333"/>
      <c r="GLH7" s="2334"/>
      <c r="GLI7" s="2335"/>
      <c r="GLJ7" s="2333"/>
      <c r="GLK7" s="2334"/>
      <c r="GLL7" s="2335"/>
      <c r="GLM7" s="2333"/>
      <c r="GLN7" s="2334"/>
      <c r="GLO7" s="2335"/>
      <c r="GLP7" s="2333"/>
      <c r="GLQ7" s="2334"/>
      <c r="GLR7" s="2335"/>
      <c r="GLS7" s="2333"/>
      <c r="GLT7" s="2334"/>
      <c r="GLU7" s="2335"/>
      <c r="GLV7" s="2333"/>
      <c r="GLW7" s="2334"/>
      <c r="GLX7" s="2335"/>
      <c r="GLY7" s="2333"/>
      <c r="GLZ7" s="2334"/>
      <c r="GMA7" s="2335"/>
      <c r="GMB7" s="2333"/>
      <c r="GMC7" s="2334"/>
      <c r="GMD7" s="2335"/>
      <c r="GME7" s="2333"/>
      <c r="GMF7" s="2334"/>
      <c r="GMG7" s="2335"/>
      <c r="GMH7" s="2333"/>
      <c r="GMI7" s="2334"/>
      <c r="GMJ7" s="2335"/>
      <c r="GMK7" s="2333"/>
      <c r="GML7" s="2334"/>
      <c r="GMM7" s="2335"/>
      <c r="GMN7" s="2333"/>
      <c r="GMO7" s="2334"/>
      <c r="GMP7" s="2335"/>
      <c r="GMQ7" s="2333"/>
      <c r="GMR7" s="2334"/>
      <c r="GMS7" s="2335"/>
      <c r="GMT7" s="2333"/>
      <c r="GMU7" s="2334"/>
      <c r="GMV7" s="2335"/>
      <c r="GMW7" s="2333"/>
      <c r="GMX7" s="2334"/>
      <c r="GMY7" s="2335"/>
      <c r="GMZ7" s="2333"/>
      <c r="GNA7" s="2334"/>
      <c r="GNB7" s="2335"/>
      <c r="GNC7" s="2333"/>
      <c r="GND7" s="2334"/>
      <c r="GNE7" s="2335"/>
      <c r="GNF7" s="2333"/>
      <c r="GNG7" s="2334"/>
      <c r="GNH7" s="2335"/>
      <c r="GNI7" s="2333"/>
      <c r="GNJ7" s="2334"/>
      <c r="GNK7" s="2335"/>
      <c r="GNL7" s="2333"/>
      <c r="GNM7" s="2334"/>
      <c r="GNN7" s="2335"/>
      <c r="GNO7" s="2333"/>
      <c r="GNP7" s="2334"/>
      <c r="GNQ7" s="2335"/>
      <c r="GNR7" s="2333"/>
      <c r="GNS7" s="2334"/>
      <c r="GNT7" s="2335"/>
      <c r="GNU7" s="2333"/>
      <c r="GNV7" s="2334"/>
      <c r="GNW7" s="2335"/>
      <c r="GNX7" s="2333"/>
      <c r="GNY7" s="2334"/>
      <c r="GNZ7" s="2335"/>
      <c r="GOA7" s="2333"/>
      <c r="GOB7" s="2334"/>
      <c r="GOC7" s="2335"/>
      <c r="GOD7" s="2333"/>
      <c r="GOE7" s="2334"/>
      <c r="GOF7" s="2335"/>
      <c r="GOG7" s="2333"/>
      <c r="GOH7" s="2334"/>
      <c r="GOI7" s="2335"/>
      <c r="GOJ7" s="2333"/>
      <c r="GOK7" s="2334"/>
      <c r="GOL7" s="2335"/>
      <c r="GOM7" s="2333"/>
      <c r="GON7" s="2334"/>
      <c r="GOO7" s="2335"/>
      <c r="GOP7" s="2333"/>
      <c r="GOQ7" s="2334"/>
      <c r="GOR7" s="2335"/>
      <c r="GOS7" s="2333"/>
      <c r="GOT7" s="2334"/>
      <c r="GOU7" s="2335"/>
      <c r="GOV7" s="2333"/>
      <c r="GOW7" s="2334"/>
      <c r="GOX7" s="2335"/>
      <c r="GOY7" s="2333"/>
      <c r="GOZ7" s="2334"/>
      <c r="GPA7" s="2335"/>
      <c r="GPB7" s="2333"/>
      <c r="GPC7" s="2334"/>
      <c r="GPD7" s="2335"/>
      <c r="GPE7" s="2333"/>
      <c r="GPF7" s="2334"/>
      <c r="GPG7" s="2335"/>
      <c r="GPH7" s="2333"/>
      <c r="GPI7" s="2334"/>
      <c r="GPJ7" s="2335"/>
      <c r="GPK7" s="2333"/>
      <c r="GPL7" s="2334"/>
      <c r="GPM7" s="2335"/>
      <c r="GPN7" s="2333"/>
      <c r="GPO7" s="2334"/>
      <c r="GPP7" s="2335"/>
      <c r="GPQ7" s="2333"/>
      <c r="GPR7" s="2334"/>
      <c r="GPS7" s="2335"/>
      <c r="GPT7" s="2333"/>
      <c r="GPU7" s="2334"/>
      <c r="GPV7" s="2335"/>
      <c r="GPW7" s="2333"/>
      <c r="GPX7" s="2334"/>
      <c r="GPY7" s="2335"/>
      <c r="GPZ7" s="2333"/>
      <c r="GQA7" s="2334"/>
      <c r="GQB7" s="2335"/>
      <c r="GQC7" s="2333"/>
      <c r="GQD7" s="2334"/>
      <c r="GQE7" s="2335"/>
      <c r="GQF7" s="2333"/>
      <c r="GQG7" s="2334"/>
      <c r="GQH7" s="2335"/>
      <c r="GQI7" s="2333"/>
      <c r="GQJ7" s="2334"/>
      <c r="GQK7" s="2335"/>
      <c r="GQL7" s="2333"/>
      <c r="GQM7" s="2334"/>
      <c r="GQN7" s="2335"/>
      <c r="GQO7" s="2333"/>
      <c r="GQP7" s="2334"/>
      <c r="GQQ7" s="2335"/>
      <c r="GQR7" s="2333"/>
      <c r="GQS7" s="2334"/>
      <c r="GQT7" s="2335"/>
      <c r="GQU7" s="2333"/>
      <c r="GQV7" s="2334"/>
      <c r="GQW7" s="2335"/>
      <c r="GQX7" s="2333"/>
      <c r="GQY7" s="2334"/>
      <c r="GQZ7" s="2335"/>
      <c r="GRA7" s="2333"/>
      <c r="GRB7" s="2334"/>
      <c r="GRC7" s="2335"/>
      <c r="GRD7" s="2333"/>
      <c r="GRE7" s="2334"/>
      <c r="GRF7" s="2335"/>
      <c r="GRG7" s="2333"/>
      <c r="GRH7" s="2334"/>
      <c r="GRI7" s="2335"/>
      <c r="GRJ7" s="2333"/>
      <c r="GRK7" s="2334"/>
      <c r="GRL7" s="2335"/>
      <c r="GRM7" s="2333"/>
      <c r="GRN7" s="2334"/>
      <c r="GRO7" s="2335"/>
      <c r="GRP7" s="2333"/>
      <c r="GRQ7" s="2334"/>
      <c r="GRR7" s="2335"/>
      <c r="GRS7" s="2333"/>
      <c r="GRT7" s="2334"/>
      <c r="GRU7" s="2335"/>
      <c r="GRV7" s="2333"/>
      <c r="GRW7" s="2334"/>
      <c r="GRX7" s="2335"/>
      <c r="GRY7" s="2333"/>
      <c r="GRZ7" s="2334"/>
      <c r="GSA7" s="2335"/>
      <c r="GSB7" s="2333"/>
      <c r="GSC7" s="2334"/>
      <c r="GSD7" s="2335"/>
      <c r="GSE7" s="2333"/>
      <c r="GSF7" s="2334"/>
      <c r="GSG7" s="2335"/>
      <c r="GSH7" s="2333"/>
      <c r="GSI7" s="2334"/>
      <c r="GSJ7" s="2335"/>
      <c r="GSK7" s="2333"/>
      <c r="GSL7" s="2334"/>
      <c r="GSM7" s="2335"/>
      <c r="GSN7" s="2333"/>
      <c r="GSO7" s="2334"/>
      <c r="GSP7" s="2335"/>
      <c r="GSQ7" s="2333"/>
      <c r="GSR7" s="2334"/>
      <c r="GSS7" s="2335"/>
      <c r="GST7" s="2333"/>
      <c r="GSU7" s="2334"/>
      <c r="GSV7" s="2335"/>
      <c r="GSW7" s="2333"/>
      <c r="GSX7" s="2334"/>
      <c r="GSY7" s="2335"/>
      <c r="GSZ7" s="2333"/>
      <c r="GTA7" s="2334"/>
      <c r="GTB7" s="2335"/>
      <c r="GTC7" s="2333"/>
      <c r="GTD7" s="2334"/>
      <c r="GTE7" s="2335"/>
      <c r="GTF7" s="2333"/>
      <c r="GTG7" s="2334"/>
      <c r="GTH7" s="2335"/>
      <c r="GTI7" s="2333"/>
      <c r="GTJ7" s="2334"/>
      <c r="GTK7" s="2335"/>
      <c r="GTL7" s="2333"/>
      <c r="GTM7" s="2334"/>
      <c r="GTN7" s="2335"/>
      <c r="GTO7" s="2333"/>
      <c r="GTP7" s="2334"/>
      <c r="GTQ7" s="2335"/>
      <c r="GTR7" s="2333"/>
      <c r="GTS7" s="2334"/>
      <c r="GTT7" s="2335"/>
      <c r="GTU7" s="2333"/>
      <c r="GTV7" s="2334"/>
      <c r="GTW7" s="2335"/>
      <c r="GTX7" s="2333"/>
      <c r="GTY7" s="2334"/>
      <c r="GTZ7" s="2335"/>
      <c r="GUA7" s="2333"/>
      <c r="GUB7" s="2334"/>
      <c r="GUC7" s="2335"/>
      <c r="GUD7" s="2333"/>
      <c r="GUE7" s="2334"/>
      <c r="GUF7" s="2335"/>
      <c r="GUG7" s="2333"/>
      <c r="GUH7" s="2334"/>
      <c r="GUI7" s="2335"/>
      <c r="GUJ7" s="2333"/>
      <c r="GUK7" s="2334"/>
      <c r="GUL7" s="2335"/>
      <c r="GUM7" s="2333"/>
      <c r="GUN7" s="2334"/>
      <c r="GUO7" s="2335"/>
      <c r="GUP7" s="2333"/>
      <c r="GUQ7" s="2334"/>
      <c r="GUR7" s="2335"/>
      <c r="GUS7" s="2333"/>
      <c r="GUT7" s="2334"/>
      <c r="GUU7" s="2335"/>
      <c r="GUV7" s="2333"/>
      <c r="GUW7" s="2334"/>
      <c r="GUX7" s="2335"/>
      <c r="GUY7" s="2333"/>
      <c r="GUZ7" s="2334"/>
      <c r="GVA7" s="2335"/>
      <c r="GVB7" s="2333"/>
      <c r="GVC7" s="2334"/>
      <c r="GVD7" s="2335"/>
      <c r="GVE7" s="2333"/>
      <c r="GVF7" s="2334"/>
      <c r="GVG7" s="2335"/>
      <c r="GVH7" s="2333"/>
      <c r="GVI7" s="2334"/>
      <c r="GVJ7" s="2335"/>
      <c r="GVK7" s="2333"/>
      <c r="GVL7" s="2334"/>
      <c r="GVM7" s="2335"/>
      <c r="GVN7" s="2333"/>
      <c r="GVO7" s="2334"/>
      <c r="GVP7" s="2335"/>
      <c r="GVQ7" s="2333"/>
      <c r="GVR7" s="2334"/>
      <c r="GVS7" s="2335"/>
      <c r="GVT7" s="2333"/>
      <c r="GVU7" s="2334"/>
      <c r="GVV7" s="2335"/>
      <c r="GVW7" s="2333"/>
      <c r="GVX7" s="2334"/>
      <c r="GVY7" s="2335"/>
      <c r="GVZ7" s="2333"/>
      <c r="GWA7" s="2334"/>
      <c r="GWB7" s="2335"/>
      <c r="GWC7" s="2333"/>
      <c r="GWD7" s="2334"/>
      <c r="GWE7" s="2335"/>
      <c r="GWF7" s="2333"/>
      <c r="GWG7" s="2334"/>
      <c r="GWH7" s="2335"/>
      <c r="GWI7" s="2333"/>
      <c r="GWJ7" s="2334"/>
      <c r="GWK7" s="2335"/>
      <c r="GWL7" s="2333"/>
      <c r="GWM7" s="2334"/>
      <c r="GWN7" s="2335"/>
      <c r="GWO7" s="2333"/>
      <c r="GWP7" s="2334"/>
      <c r="GWQ7" s="2335"/>
      <c r="GWR7" s="2333"/>
      <c r="GWS7" s="2334"/>
      <c r="GWT7" s="2335"/>
      <c r="GWU7" s="2333"/>
      <c r="GWV7" s="2334"/>
      <c r="GWW7" s="2335"/>
      <c r="GWX7" s="2333"/>
      <c r="GWY7" s="2334"/>
      <c r="GWZ7" s="2335"/>
      <c r="GXA7" s="2333"/>
      <c r="GXB7" s="2334"/>
      <c r="GXC7" s="2335"/>
      <c r="GXD7" s="2333"/>
      <c r="GXE7" s="2334"/>
      <c r="GXF7" s="2335"/>
      <c r="GXG7" s="2333"/>
      <c r="GXH7" s="2334"/>
      <c r="GXI7" s="2335"/>
      <c r="GXJ7" s="2333"/>
      <c r="GXK7" s="2334"/>
      <c r="GXL7" s="2335"/>
      <c r="GXM7" s="2333"/>
      <c r="GXN7" s="2334"/>
      <c r="GXO7" s="2335"/>
      <c r="GXP7" s="2333"/>
      <c r="GXQ7" s="2334"/>
      <c r="GXR7" s="2335"/>
      <c r="GXS7" s="2333"/>
      <c r="GXT7" s="2334"/>
      <c r="GXU7" s="2335"/>
      <c r="GXV7" s="2333"/>
      <c r="GXW7" s="2334"/>
      <c r="GXX7" s="2335"/>
      <c r="GXY7" s="2333"/>
      <c r="GXZ7" s="2334"/>
      <c r="GYA7" s="2335"/>
      <c r="GYB7" s="2333"/>
      <c r="GYC7" s="2334"/>
      <c r="GYD7" s="2335"/>
      <c r="GYE7" s="2333"/>
      <c r="GYF7" s="2334"/>
      <c r="GYG7" s="2335"/>
      <c r="GYH7" s="2333"/>
      <c r="GYI7" s="2334"/>
      <c r="GYJ7" s="2335"/>
      <c r="GYK7" s="2333"/>
      <c r="GYL7" s="2334"/>
      <c r="GYM7" s="2335"/>
      <c r="GYN7" s="2333"/>
      <c r="GYO7" s="2334"/>
      <c r="GYP7" s="2335"/>
      <c r="GYQ7" s="2333"/>
      <c r="GYR7" s="2334"/>
      <c r="GYS7" s="2335"/>
      <c r="GYT7" s="2333"/>
      <c r="GYU7" s="2334"/>
      <c r="GYV7" s="2335"/>
      <c r="GYW7" s="2333"/>
      <c r="GYX7" s="2334"/>
      <c r="GYY7" s="2335"/>
      <c r="GYZ7" s="2333"/>
      <c r="GZA7" s="2334"/>
      <c r="GZB7" s="2335"/>
      <c r="GZC7" s="2333"/>
      <c r="GZD7" s="2334"/>
      <c r="GZE7" s="2335"/>
      <c r="GZF7" s="2333"/>
      <c r="GZG7" s="2334"/>
      <c r="GZH7" s="2335"/>
      <c r="GZI7" s="2333"/>
      <c r="GZJ7" s="2334"/>
      <c r="GZK7" s="2335"/>
      <c r="GZL7" s="2333"/>
      <c r="GZM7" s="2334"/>
      <c r="GZN7" s="2335"/>
      <c r="GZO7" s="2333"/>
      <c r="GZP7" s="2334"/>
      <c r="GZQ7" s="2335"/>
      <c r="GZR7" s="2333"/>
      <c r="GZS7" s="2334"/>
      <c r="GZT7" s="2335"/>
      <c r="GZU7" s="2333"/>
      <c r="GZV7" s="2334"/>
      <c r="GZW7" s="2335"/>
      <c r="GZX7" s="2333"/>
      <c r="GZY7" s="2334"/>
      <c r="GZZ7" s="2335"/>
      <c r="HAA7" s="2333"/>
      <c r="HAB7" s="2334"/>
      <c r="HAC7" s="2335"/>
      <c r="HAD7" s="2333"/>
      <c r="HAE7" s="2334"/>
      <c r="HAF7" s="2335"/>
      <c r="HAG7" s="2333"/>
      <c r="HAH7" s="2334"/>
      <c r="HAI7" s="2335"/>
      <c r="HAJ7" s="2333"/>
      <c r="HAK7" s="2334"/>
      <c r="HAL7" s="2335"/>
      <c r="HAM7" s="2333"/>
      <c r="HAN7" s="2334"/>
      <c r="HAO7" s="2335"/>
      <c r="HAP7" s="2333"/>
      <c r="HAQ7" s="2334"/>
      <c r="HAR7" s="2335"/>
      <c r="HAS7" s="2333"/>
      <c r="HAT7" s="2334"/>
      <c r="HAU7" s="2335"/>
      <c r="HAV7" s="2333"/>
      <c r="HAW7" s="2334"/>
      <c r="HAX7" s="2335"/>
      <c r="HAY7" s="2333"/>
      <c r="HAZ7" s="2334"/>
      <c r="HBA7" s="2335"/>
      <c r="HBB7" s="2333"/>
      <c r="HBC7" s="2334"/>
      <c r="HBD7" s="2335"/>
      <c r="HBE7" s="2333"/>
      <c r="HBF7" s="2334"/>
      <c r="HBG7" s="2335"/>
      <c r="HBH7" s="2333"/>
      <c r="HBI7" s="2334"/>
      <c r="HBJ7" s="2335"/>
      <c r="HBK7" s="2333"/>
      <c r="HBL7" s="2334"/>
      <c r="HBM7" s="2335"/>
      <c r="HBN7" s="2333"/>
      <c r="HBO7" s="2334"/>
      <c r="HBP7" s="2335"/>
      <c r="HBQ7" s="2333"/>
      <c r="HBR7" s="2334"/>
      <c r="HBS7" s="2335"/>
      <c r="HBT7" s="2333"/>
      <c r="HBU7" s="2334"/>
      <c r="HBV7" s="2335"/>
      <c r="HBW7" s="2333"/>
      <c r="HBX7" s="2334"/>
      <c r="HBY7" s="2335"/>
      <c r="HBZ7" s="2333"/>
      <c r="HCA7" s="2334"/>
      <c r="HCB7" s="2335"/>
      <c r="HCC7" s="2333"/>
      <c r="HCD7" s="2334"/>
      <c r="HCE7" s="2335"/>
      <c r="HCF7" s="2333"/>
      <c r="HCG7" s="2334"/>
      <c r="HCH7" s="2335"/>
      <c r="HCI7" s="2333"/>
      <c r="HCJ7" s="2334"/>
      <c r="HCK7" s="2335"/>
      <c r="HCL7" s="2333"/>
      <c r="HCM7" s="2334"/>
      <c r="HCN7" s="2335"/>
      <c r="HCO7" s="2333"/>
      <c r="HCP7" s="2334"/>
      <c r="HCQ7" s="2335"/>
      <c r="HCR7" s="2333"/>
      <c r="HCS7" s="2334"/>
      <c r="HCT7" s="2335"/>
      <c r="HCU7" s="2333"/>
      <c r="HCV7" s="2334"/>
      <c r="HCW7" s="2335"/>
      <c r="HCX7" s="2333"/>
      <c r="HCY7" s="2334"/>
      <c r="HCZ7" s="2335"/>
      <c r="HDA7" s="2333"/>
      <c r="HDB7" s="2334"/>
      <c r="HDC7" s="2335"/>
      <c r="HDD7" s="2333"/>
      <c r="HDE7" s="2334"/>
      <c r="HDF7" s="2335"/>
      <c r="HDG7" s="2333"/>
      <c r="HDH7" s="2334"/>
      <c r="HDI7" s="2335"/>
      <c r="HDJ7" s="2333"/>
      <c r="HDK7" s="2334"/>
      <c r="HDL7" s="2335"/>
      <c r="HDM7" s="2333"/>
      <c r="HDN7" s="2334"/>
      <c r="HDO7" s="2335"/>
      <c r="HDP7" s="2333"/>
      <c r="HDQ7" s="2334"/>
      <c r="HDR7" s="2335"/>
      <c r="HDS7" s="2333"/>
      <c r="HDT7" s="2334"/>
      <c r="HDU7" s="2335"/>
      <c r="HDV7" s="2333"/>
      <c r="HDW7" s="2334"/>
      <c r="HDX7" s="2335"/>
      <c r="HDY7" s="2333"/>
      <c r="HDZ7" s="2334"/>
      <c r="HEA7" s="2335"/>
      <c r="HEB7" s="2333"/>
      <c r="HEC7" s="2334"/>
      <c r="HED7" s="2335"/>
      <c r="HEE7" s="2333"/>
      <c r="HEF7" s="2334"/>
      <c r="HEG7" s="2335"/>
      <c r="HEH7" s="2333"/>
      <c r="HEI7" s="2334"/>
      <c r="HEJ7" s="2335"/>
      <c r="HEK7" s="2333"/>
      <c r="HEL7" s="2334"/>
      <c r="HEM7" s="2335"/>
      <c r="HEN7" s="2333"/>
      <c r="HEO7" s="2334"/>
      <c r="HEP7" s="2335"/>
      <c r="HEQ7" s="2333"/>
      <c r="HER7" s="2334"/>
      <c r="HES7" s="2335"/>
      <c r="HET7" s="2333"/>
      <c r="HEU7" s="2334"/>
      <c r="HEV7" s="2335"/>
      <c r="HEW7" s="2333"/>
      <c r="HEX7" s="2334"/>
      <c r="HEY7" s="2335"/>
      <c r="HEZ7" s="2333"/>
      <c r="HFA7" s="2334"/>
      <c r="HFB7" s="2335"/>
      <c r="HFC7" s="2333"/>
      <c r="HFD7" s="2334"/>
      <c r="HFE7" s="2335"/>
      <c r="HFF7" s="2333"/>
      <c r="HFG7" s="2334"/>
      <c r="HFH7" s="2335"/>
      <c r="HFI7" s="2333"/>
      <c r="HFJ7" s="2334"/>
      <c r="HFK7" s="2335"/>
      <c r="HFL7" s="2333"/>
      <c r="HFM7" s="2334"/>
      <c r="HFN7" s="2335"/>
      <c r="HFO7" s="2333"/>
      <c r="HFP7" s="2334"/>
      <c r="HFQ7" s="2335"/>
      <c r="HFR7" s="2333"/>
      <c r="HFS7" s="2334"/>
      <c r="HFT7" s="2335"/>
      <c r="HFU7" s="2333"/>
      <c r="HFV7" s="2334"/>
      <c r="HFW7" s="2335"/>
      <c r="HFX7" s="2333"/>
      <c r="HFY7" s="2334"/>
      <c r="HFZ7" s="2335"/>
      <c r="HGA7" s="2333"/>
      <c r="HGB7" s="2334"/>
      <c r="HGC7" s="2335"/>
      <c r="HGD7" s="2333"/>
      <c r="HGE7" s="2334"/>
      <c r="HGF7" s="2335"/>
      <c r="HGG7" s="2333"/>
      <c r="HGH7" s="2334"/>
      <c r="HGI7" s="2335"/>
      <c r="HGJ7" s="2333"/>
      <c r="HGK7" s="2334"/>
      <c r="HGL7" s="2335"/>
      <c r="HGM7" s="2333"/>
      <c r="HGN7" s="2334"/>
      <c r="HGO7" s="2335"/>
      <c r="HGP7" s="2333"/>
      <c r="HGQ7" s="2334"/>
      <c r="HGR7" s="2335"/>
      <c r="HGS7" s="2333"/>
      <c r="HGT7" s="2334"/>
      <c r="HGU7" s="2335"/>
      <c r="HGV7" s="2333"/>
      <c r="HGW7" s="2334"/>
      <c r="HGX7" s="2335"/>
      <c r="HGY7" s="2333"/>
      <c r="HGZ7" s="2334"/>
      <c r="HHA7" s="2335"/>
      <c r="HHB7" s="2333"/>
      <c r="HHC7" s="2334"/>
      <c r="HHD7" s="2335"/>
      <c r="HHE7" s="2333"/>
      <c r="HHF7" s="2334"/>
      <c r="HHG7" s="2335"/>
      <c r="HHH7" s="2333"/>
      <c r="HHI7" s="2334"/>
      <c r="HHJ7" s="2335"/>
      <c r="HHK7" s="2333"/>
      <c r="HHL7" s="2334"/>
      <c r="HHM7" s="2335"/>
      <c r="HHN7" s="2333"/>
      <c r="HHO7" s="2334"/>
      <c r="HHP7" s="2335"/>
      <c r="HHQ7" s="2333"/>
      <c r="HHR7" s="2334"/>
      <c r="HHS7" s="2335"/>
      <c r="HHT7" s="2333"/>
      <c r="HHU7" s="2334"/>
      <c r="HHV7" s="2335"/>
      <c r="HHW7" s="2333"/>
      <c r="HHX7" s="2334"/>
      <c r="HHY7" s="2335"/>
      <c r="HHZ7" s="2333"/>
      <c r="HIA7" s="2334"/>
      <c r="HIB7" s="2335"/>
      <c r="HIC7" s="2333"/>
      <c r="HID7" s="2334"/>
      <c r="HIE7" s="2335"/>
      <c r="HIF7" s="2333"/>
      <c r="HIG7" s="2334"/>
      <c r="HIH7" s="2335"/>
      <c r="HII7" s="2333"/>
      <c r="HIJ7" s="2334"/>
      <c r="HIK7" s="2335"/>
      <c r="HIL7" s="2333"/>
      <c r="HIM7" s="2334"/>
      <c r="HIN7" s="2335"/>
      <c r="HIO7" s="2333"/>
      <c r="HIP7" s="2334"/>
      <c r="HIQ7" s="2335"/>
      <c r="HIR7" s="2333"/>
      <c r="HIS7" s="2334"/>
      <c r="HIT7" s="2335"/>
      <c r="HIU7" s="2333"/>
      <c r="HIV7" s="2334"/>
      <c r="HIW7" s="2335"/>
      <c r="HIX7" s="2333"/>
      <c r="HIY7" s="2334"/>
      <c r="HIZ7" s="2335"/>
      <c r="HJA7" s="2333"/>
      <c r="HJB7" s="2334"/>
      <c r="HJC7" s="2335"/>
      <c r="HJD7" s="2333"/>
      <c r="HJE7" s="2334"/>
      <c r="HJF7" s="2335"/>
      <c r="HJG7" s="2333"/>
      <c r="HJH7" s="2334"/>
      <c r="HJI7" s="2335"/>
      <c r="HJJ7" s="2333"/>
      <c r="HJK7" s="2334"/>
      <c r="HJL7" s="2335"/>
      <c r="HJM7" s="2333"/>
      <c r="HJN7" s="2334"/>
      <c r="HJO7" s="2335"/>
      <c r="HJP7" s="2333"/>
      <c r="HJQ7" s="2334"/>
      <c r="HJR7" s="2335"/>
      <c r="HJS7" s="2333"/>
      <c r="HJT7" s="2334"/>
      <c r="HJU7" s="2335"/>
      <c r="HJV7" s="2333"/>
      <c r="HJW7" s="2334"/>
      <c r="HJX7" s="2335"/>
      <c r="HJY7" s="2333"/>
      <c r="HJZ7" s="2334"/>
      <c r="HKA7" s="2335"/>
      <c r="HKB7" s="2333"/>
      <c r="HKC7" s="2334"/>
      <c r="HKD7" s="2335"/>
      <c r="HKE7" s="2333"/>
      <c r="HKF7" s="2334"/>
      <c r="HKG7" s="2335"/>
      <c r="HKH7" s="2333"/>
      <c r="HKI7" s="2334"/>
      <c r="HKJ7" s="2335"/>
      <c r="HKK7" s="2333"/>
      <c r="HKL7" s="2334"/>
      <c r="HKM7" s="2335"/>
      <c r="HKN7" s="2333"/>
      <c r="HKO7" s="2334"/>
      <c r="HKP7" s="2335"/>
      <c r="HKQ7" s="2333"/>
      <c r="HKR7" s="2334"/>
      <c r="HKS7" s="2335"/>
      <c r="HKT7" s="2333"/>
      <c r="HKU7" s="2334"/>
      <c r="HKV7" s="2335"/>
      <c r="HKW7" s="2333"/>
      <c r="HKX7" s="2334"/>
      <c r="HKY7" s="2335"/>
      <c r="HKZ7" s="2333"/>
      <c r="HLA7" s="2334"/>
      <c r="HLB7" s="2335"/>
      <c r="HLC7" s="2333"/>
      <c r="HLD7" s="2334"/>
      <c r="HLE7" s="2335"/>
      <c r="HLF7" s="2333"/>
      <c r="HLG7" s="2334"/>
      <c r="HLH7" s="2335"/>
      <c r="HLI7" s="2333"/>
      <c r="HLJ7" s="2334"/>
      <c r="HLK7" s="2335"/>
      <c r="HLL7" s="2333"/>
      <c r="HLM7" s="2334"/>
      <c r="HLN7" s="2335"/>
      <c r="HLO7" s="2333"/>
      <c r="HLP7" s="2334"/>
      <c r="HLQ7" s="2335"/>
      <c r="HLR7" s="2333"/>
      <c r="HLS7" s="2334"/>
      <c r="HLT7" s="2335"/>
      <c r="HLU7" s="2333"/>
      <c r="HLV7" s="2334"/>
      <c r="HLW7" s="2335"/>
      <c r="HLX7" s="2333"/>
      <c r="HLY7" s="2334"/>
      <c r="HLZ7" s="2335"/>
      <c r="HMA7" s="2333"/>
      <c r="HMB7" s="2334"/>
      <c r="HMC7" s="2335"/>
      <c r="HMD7" s="2333"/>
      <c r="HME7" s="2334"/>
      <c r="HMF7" s="2335"/>
      <c r="HMG7" s="2333"/>
      <c r="HMH7" s="2334"/>
      <c r="HMI7" s="2335"/>
      <c r="HMJ7" s="2333"/>
      <c r="HMK7" s="2334"/>
      <c r="HML7" s="2335"/>
      <c r="HMM7" s="2333"/>
      <c r="HMN7" s="2334"/>
      <c r="HMO7" s="2335"/>
      <c r="HMP7" s="2333"/>
      <c r="HMQ7" s="2334"/>
      <c r="HMR7" s="2335"/>
      <c r="HMS7" s="2333"/>
      <c r="HMT7" s="2334"/>
      <c r="HMU7" s="2335"/>
      <c r="HMV7" s="2333"/>
      <c r="HMW7" s="2334"/>
      <c r="HMX7" s="2335"/>
      <c r="HMY7" s="2333"/>
      <c r="HMZ7" s="2334"/>
      <c r="HNA7" s="2335"/>
      <c r="HNB7" s="2333"/>
      <c r="HNC7" s="2334"/>
      <c r="HND7" s="2335"/>
      <c r="HNE7" s="2333"/>
      <c r="HNF7" s="2334"/>
      <c r="HNG7" s="2335"/>
      <c r="HNH7" s="2333"/>
      <c r="HNI7" s="2334"/>
      <c r="HNJ7" s="2335"/>
      <c r="HNK7" s="2333"/>
      <c r="HNL7" s="2334"/>
      <c r="HNM7" s="2335"/>
      <c r="HNN7" s="2333"/>
      <c r="HNO7" s="2334"/>
      <c r="HNP7" s="2335"/>
      <c r="HNQ7" s="2333"/>
      <c r="HNR7" s="2334"/>
      <c r="HNS7" s="2335"/>
      <c r="HNT7" s="2333"/>
      <c r="HNU7" s="2334"/>
      <c r="HNV7" s="2335"/>
      <c r="HNW7" s="2333"/>
      <c r="HNX7" s="2334"/>
      <c r="HNY7" s="2335"/>
      <c r="HNZ7" s="2333"/>
      <c r="HOA7" s="2334"/>
      <c r="HOB7" s="2335"/>
      <c r="HOC7" s="2333"/>
      <c r="HOD7" s="2334"/>
      <c r="HOE7" s="2335"/>
      <c r="HOF7" s="2333"/>
      <c r="HOG7" s="2334"/>
      <c r="HOH7" s="2335"/>
      <c r="HOI7" s="2333"/>
      <c r="HOJ7" s="2334"/>
      <c r="HOK7" s="2335"/>
      <c r="HOL7" s="2333"/>
      <c r="HOM7" s="2334"/>
      <c r="HON7" s="2335"/>
      <c r="HOO7" s="2333"/>
      <c r="HOP7" s="2334"/>
      <c r="HOQ7" s="2335"/>
      <c r="HOR7" s="2333"/>
      <c r="HOS7" s="2334"/>
      <c r="HOT7" s="2335"/>
      <c r="HOU7" s="2333"/>
      <c r="HOV7" s="2334"/>
      <c r="HOW7" s="2335"/>
      <c r="HOX7" s="2333"/>
      <c r="HOY7" s="2334"/>
      <c r="HOZ7" s="2335"/>
      <c r="HPA7" s="2333"/>
      <c r="HPB7" s="2334"/>
      <c r="HPC7" s="2335"/>
      <c r="HPD7" s="2333"/>
      <c r="HPE7" s="2334"/>
      <c r="HPF7" s="2335"/>
      <c r="HPG7" s="2333"/>
      <c r="HPH7" s="2334"/>
      <c r="HPI7" s="2335"/>
      <c r="HPJ7" s="2333"/>
      <c r="HPK7" s="2334"/>
      <c r="HPL7" s="2335"/>
      <c r="HPM7" s="2333"/>
      <c r="HPN7" s="2334"/>
      <c r="HPO7" s="2335"/>
      <c r="HPP7" s="2333"/>
      <c r="HPQ7" s="2334"/>
      <c r="HPR7" s="2335"/>
      <c r="HPS7" s="2333"/>
      <c r="HPT7" s="2334"/>
      <c r="HPU7" s="2335"/>
      <c r="HPV7" s="2333"/>
      <c r="HPW7" s="2334"/>
      <c r="HPX7" s="2335"/>
      <c r="HPY7" s="2333"/>
      <c r="HPZ7" s="2334"/>
      <c r="HQA7" s="2335"/>
      <c r="HQB7" s="2333"/>
      <c r="HQC7" s="2334"/>
      <c r="HQD7" s="2335"/>
      <c r="HQE7" s="2333"/>
      <c r="HQF7" s="2334"/>
      <c r="HQG7" s="2335"/>
      <c r="HQH7" s="2333"/>
      <c r="HQI7" s="2334"/>
      <c r="HQJ7" s="2335"/>
      <c r="HQK7" s="2333"/>
      <c r="HQL7" s="2334"/>
      <c r="HQM7" s="2335"/>
      <c r="HQN7" s="2333"/>
      <c r="HQO7" s="2334"/>
      <c r="HQP7" s="2335"/>
      <c r="HQQ7" s="2333"/>
      <c r="HQR7" s="2334"/>
      <c r="HQS7" s="2335"/>
      <c r="HQT7" s="2333"/>
      <c r="HQU7" s="2334"/>
      <c r="HQV7" s="2335"/>
      <c r="HQW7" s="2333"/>
      <c r="HQX7" s="2334"/>
      <c r="HQY7" s="2335"/>
      <c r="HQZ7" s="2333"/>
      <c r="HRA7" s="2334"/>
      <c r="HRB7" s="2335"/>
      <c r="HRC7" s="2333"/>
      <c r="HRD7" s="2334"/>
      <c r="HRE7" s="2335"/>
      <c r="HRF7" s="2333"/>
      <c r="HRG7" s="2334"/>
      <c r="HRH7" s="2335"/>
      <c r="HRI7" s="2333"/>
      <c r="HRJ7" s="2334"/>
      <c r="HRK7" s="2335"/>
      <c r="HRL7" s="2333"/>
      <c r="HRM7" s="2334"/>
      <c r="HRN7" s="2335"/>
      <c r="HRO7" s="2333"/>
      <c r="HRP7" s="2334"/>
      <c r="HRQ7" s="2335"/>
      <c r="HRR7" s="2333"/>
      <c r="HRS7" s="2334"/>
      <c r="HRT7" s="2335"/>
      <c r="HRU7" s="2333"/>
      <c r="HRV7" s="2334"/>
      <c r="HRW7" s="2335"/>
      <c r="HRX7" s="2333"/>
      <c r="HRY7" s="2334"/>
      <c r="HRZ7" s="2335"/>
      <c r="HSA7" s="2333"/>
      <c r="HSB7" s="2334"/>
      <c r="HSC7" s="2335"/>
      <c r="HSD7" s="2333"/>
      <c r="HSE7" s="2334"/>
      <c r="HSF7" s="2335"/>
      <c r="HSG7" s="2333"/>
      <c r="HSH7" s="2334"/>
      <c r="HSI7" s="2335"/>
      <c r="HSJ7" s="2333"/>
      <c r="HSK7" s="2334"/>
      <c r="HSL7" s="2335"/>
      <c r="HSM7" s="2333"/>
      <c r="HSN7" s="2334"/>
      <c r="HSO7" s="2335"/>
      <c r="HSP7" s="2333"/>
      <c r="HSQ7" s="2334"/>
      <c r="HSR7" s="2335"/>
      <c r="HSS7" s="2333"/>
      <c r="HST7" s="2334"/>
      <c r="HSU7" s="2335"/>
      <c r="HSV7" s="2333"/>
      <c r="HSW7" s="2334"/>
      <c r="HSX7" s="2335"/>
      <c r="HSY7" s="2333"/>
      <c r="HSZ7" s="2334"/>
      <c r="HTA7" s="2335"/>
      <c r="HTB7" s="2333"/>
      <c r="HTC7" s="2334"/>
      <c r="HTD7" s="2335"/>
      <c r="HTE7" s="2333"/>
      <c r="HTF7" s="2334"/>
      <c r="HTG7" s="2335"/>
      <c r="HTH7" s="2333"/>
      <c r="HTI7" s="2334"/>
      <c r="HTJ7" s="2335"/>
      <c r="HTK7" s="2333"/>
      <c r="HTL7" s="2334"/>
      <c r="HTM7" s="2335"/>
      <c r="HTN7" s="2333"/>
      <c r="HTO7" s="2334"/>
      <c r="HTP7" s="2335"/>
      <c r="HTQ7" s="2333"/>
      <c r="HTR7" s="2334"/>
      <c r="HTS7" s="2335"/>
      <c r="HTT7" s="2333"/>
      <c r="HTU7" s="2334"/>
      <c r="HTV7" s="2335"/>
      <c r="HTW7" s="2333"/>
      <c r="HTX7" s="2334"/>
      <c r="HTY7" s="2335"/>
      <c r="HTZ7" s="2333"/>
      <c r="HUA7" s="2334"/>
      <c r="HUB7" s="2335"/>
      <c r="HUC7" s="2333"/>
      <c r="HUD7" s="2334"/>
      <c r="HUE7" s="2335"/>
      <c r="HUF7" s="2333"/>
      <c r="HUG7" s="2334"/>
      <c r="HUH7" s="2335"/>
      <c r="HUI7" s="2333"/>
      <c r="HUJ7" s="2334"/>
      <c r="HUK7" s="2335"/>
      <c r="HUL7" s="2333"/>
      <c r="HUM7" s="2334"/>
      <c r="HUN7" s="2335"/>
      <c r="HUO7" s="2333"/>
      <c r="HUP7" s="2334"/>
      <c r="HUQ7" s="2335"/>
      <c r="HUR7" s="2333"/>
      <c r="HUS7" s="2334"/>
      <c r="HUT7" s="2335"/>
      <c r="HUU7" s="2333"/>
      <c r="HUV7" s="2334"/>
      <c r="HUW7" s="2335"/>
      <c r="HUX7" s="2333"/>
      <c r="HUY7" s="2334"/>
      <c r="HUZ7" s="2335"/>
      <c r="HVA7" s="2333"/>
      <c r="HVB7" s="2334"/>
      <c r="HVC7" s="2335"/>
      <c r="HVD7" s="2333"/>
      <c r="HVE7" s="2334"/>
      <c r="HVF7" s="2335"/>
      <c r="HVG7" s="2333"/>
      <c r="HVH7" s="2334"/>
      <c r="HVI7" s="2335"/>
      <c r="HVJ7" s="2333"/>
      <c r="HVK7" s="2334"/>
      <c r="HVL7" s="2335"/>
      <c r="HVM7" s="2333"/>
      <c r="HVN7" s="2334"/>
      <c r="HVO7" s="2335"/>
      <c r="HVP7" s="2333"/>
      <c r="HVQ7" s="2334"/>
      <c r="HVR7" s="2335"/>
      <c r="HVS7" s="2333"/>
      <c r="HVT7" s="2334"/>
      <c r="HVU7" s="2335"/>
      <c r="HVV7" s="2333"/>
      <c r="HVW7" s="2334"/>
      <c r="HVX7" s="2335"/>
      <c r="HVY7" s="2333"/>
      <c r="HVZ7" s="2334"/>
      <c r="HWA7" s="2335"/>
      <c r="HWB7" s="2333"/>
      <c r="HWC7" s="2334"/>
      <c r="HWD7" s="2335"/>
      <c r="HWE7" s="2333"/>
      <c r="HWF7" s="2334"/>
      <c r="HWG7" s="2335"/>
      <c r="HWH7" s="2333"/>
      <c r="HWI7" s="2334"/>
      <c r="HWJ7" s="2335"/>
      <c r="HWK7" s="2333"/>
      <c r="HWL7" s="2334"/>
      <c r="HWM7" s="2335"/>
      <c r="HWN7" s="2333"/>
      <c r="HWO7" s="2334"/>
      <c r="HWP7" s="2335"/>
      <c r="HWQ7" s="2333"/>
      <c r="HWR7" s="2334"/>
      <c r="HWS7" s="2335"/>
      <c r="HWT7" s="2333"/>
      <c r="HWU7" s="2334"/>
      <c r="HWV7" s="2335"/>
      <c r="HWW7" s="2333"/>
      <c r="HWX7" s="2334"/>
      <c r="HWY7" s="2335"/>
      <c r="HWZ7" s="2333"/>
      <c r="HXA7" s="2334"/>
      <c r="HXB7" s="2335"/>
      <c r="HXC7" s="2333"/>
      <c r="HXD7" s="2334"/>
      <c r="HXE7" s="2335"/>
      <c r="HXF7" s="2333"/>
      <c r="HXG7" s="2334"/>
      <c r="HXH7" s="2335"/>
      <c r="HXI7" s="2333"/>
      <c r="HXJ7" s="2334"/>
      <c r="HXK7" s="2335"/>
      <c r="HXL7" s="2333"/>
      <c r="HXM7" s="2334"/>
      <c r="HXN7" s="2335"/>
      <c r="HXO7" s="2333"/>
      <c r="HXP7" s="2334"/>
      <c r="HXQ7" s="2335"/>
      <c r="HXR7" s="2333"/>
      <c r="HXS7" s="2334"/>
      <c r="HXT7" s="2335"/>
      <c r="HXU7" s="2333"/>
      <c r="HXV7" s="2334"/>
      <c r="HXW7" s="2335"/>
      <c r="HXX7" s="2333"/>
      <c r="HXY7" s="2334"/>
      <c r="HXZ7" s="2335"/>
      <c r="HYA7" s="2333"/>
      <c r="HYB7" s="2334"/>
      <c r="HYC7" s="2335"/>
      <c r="HYD7" s="2333"/>
      <c r="HYE7" s="2334"/>
      <c r="HYF7" s="2335"/>
      <c r="HYG7" s="2333"/>
      <c r="HYH7" s="2334"/>
      <c r="HYI7" s="2335"/>
      <c r="HYJ7" s="2333"/>
      <c r="HYK7" s="2334"/>
      <c r="HYL7" s="2335"/>
      <c r="HYM7" s="2333"/>
      <c r="HYN7" s="2334"/>
      <c r="HYO7" s="2335"/>
      <c r="HYP7" s="2333"/>
      <c r="HYQ7" s="2334"/>
      <c r="HYR7" s="2335"/>
      <c r="HYS7" s="2333"/>
      <c r="HYT7" s="2334"/>
      <c r="HYU7" s="2335"/>
      <c r="HYV7" s="2333"/>
      <c r="HYW7" s="2334"/>
      <c r="HYX7" s="2335"/>
      <c r="HYY7" s="2333"/>
      <c r="HYZ7" s="2334"/>
      <c r="HZA7" s="2335"/>
      <c r="HZB7" s="2333"/>
      <c r="HZC7" s="2334"/>
      <c r="HZD7" s="2335"/>
      <c r="HZE7" s="2333"/>
      <c r="HZF7" s="2334"/>
      <c r="HZG7" s="2335"/>
      <c r="HZH7" s="2333"/>
      <c r="HZI7" s="2334"/>
      <c r="HZJ7" s="2335"/>
      <c r="HZK7" s="2333"/>
      <c r="HZL7" s="2334"/>
      <c r="HZM7" s="2335"/>
      <c r="HZN7" s="2333"/>
      <c r="HZO7" s="2334"/>
      <c r="HZP7" s="2335"/>
      <c r="HZQ7" s="2333"/>
      <c r="HZR7" s="2334"/>
      <c r="HZS7" s="2335"/>
      <c r="HZT7" s="2333"/>
      <c r="HZU7" s="2334"/>
      <c r="HZV7" s="2335"/>
      <c r="HZW7" s="2333"/>
      <c r="HZX7" s="2334"/>
      <c r="HZY7" s="2335"/>
      <c r="HZZ7" s="2333"/>
      <c r="IAA7" s="2334"/>
      <c r="IAB7" s="2335"/>
      <c r="IAC7" s="2333"/>
      <c r="IAD7" s="2334"/>
      <c r="IAE7" s="2335"/>
      <c r="IAF7" s="2333"/>
      <c r="IAG7" s="2334"/>
      <c r="IAH7" s="2335"/>
      <c r="IAI7" s="2333"/>
      <c r="IAJ7" s="2334"/>
      <c r="IAK7" s="2335"/>
      <c r="IAL7" s="2333"/>
      <c r="IAM7" s="2334"/>
      <c r="IAN7" s="2335"/>
      <c r="IAO7" s="2333"/>
      <c r="IAP7" s="2334"/>
      <c r="IAQ7" s="2335"/>
      <c r="IAR7" s="2333"/>
      <c r="IAS7" s="2334"/>
      <c r="IAT7" s="2335"/>
      <c r="IAU7" s="2333"/>
      <c r="IAV7" s="2334"/>
      <c r="IAW7" s="2335"/>
      <c r="IAX7" s="2333"/>
      <c r="IAY7" s="2334"/>
      <c r="IAZ7" s="2335"/>
      <c r="IBA7" s="2333"/>
      <c r="IBB7" s="2334"/>
      <c r="IBC7" s="2335"/>
      <c r="IBD7" s="2333"/>
      <c r="IBE7" s="2334"/>
      <c r="IBF7" s="2335"/>
      <c r="IBG7" s="2333"/>
      <c r="IBH7" s="2334"/>
      <c r="IBI7" s="2335"/>
      <c r="IBJ7" s="2333"/>
      <c r="IBK7" s="2334"/>
      <c r="IBL7" s="2335"/>
      <c r="IBM7" s="2333"/>
      <c r="IBN7" s="2334"/>
      <c r="IBO7" s="2335"/>
      <c r="IBP7" s="2333"/>
      <c r="IBQ7" s="2334"/>
      <c r="IBR7" s="2335"/>
      <c r="IBS7" s="2333"/>
      <c r="IBT7" s="2334"/>
      <c r="IBU7" s="2335"/>
      <c r="IBV7" s="2333"/>
      <c r="IBW7" s="2334"/>
      <c r="IBX7" s="2335"/>
      <c r="IBY7" s="2333"/>
      <c r="IBZ7" s="2334"/>
      <c r="ICA7" s="2335"/>
      <c r="ICB7" s="2333"/>
      <c r="ICC7" s="2334"/>
      <c r="ICD7" s="2335"/>
      <c r="ICE7" s="2333"/>
      <c r="ICF7" s="2334"/>
      <c r="ICG7" s="2335"/>
      <c r="ICH7" s="2333"/>
      <c r="ICI7" s="2334"/>
      <c r="ICJ7" s="2335"/>
      <c r="ICK7" s="2333"/>
      <c r="ICL7" s="2334"/>
      <c r="ICM7" s="2335"/>
      <c r="ICN7" s="2333"/>
      <c r="ICO7" s="2334"/>
      <c r="ICP7" s="2335"/>
      <c r="ICQ7" s="2333"/>
      <c r="ICR7" s="2334"/>
      <c r="ICS7" s="2335"/>
      <c r="ICT7" s="2333"/>
      <c r="ICU7" s="2334"/>
      <c r="ICV7" s="2335"/>
      <c r="ICW7" s="2333"/>
      <c r="ICX7" s="2334"/>
      <c r="ICY7" s="2335"/>
      <c r="ICZ7" s="2333"/>
      <c r="IDA7" s="2334"/>
      <c r="IDB7" s="2335"/>
      <c r="IDC7" s="2333"/>
      <c r="IDD7" s="2334"/>
      <c r="IDE7" s="2335"/>
      <c r="IDF7" s="2333"/>
      <c r="IDG7" s="2334"/>
      <c r="IDH7" s="2335"/>
      <c r="IDI7" s="2333"/>
      <c r="IDJ7" s="2334"/>
      <c r="IDK7" s="2335"/>
      <c r="IDL7" s="2333"/>
      <c r="IDM7" s="2334"/>
      <c r="IDN7" s="2335"/>
      <c r="IDO7" s="2333"/>
      <c r="IDP7" s="2334"/>
      <c r="IDQ7" s="2335"/>
      <c r="IDR7" s="2333"/>
      <c r="IDS7" s="2334"/>
      <c r="IDT7" s="2335"/>
      <c r="IDU7" s="2333"/>
      <c r="IDV7" s="2334"/>
      <c r="IDW7" s="2335"/>
      <c r="IDX7" s="2333"/>
      <c r="IDY7" s="2334"/>
      <c r="IDZ7" s="2335"/>
      <c r="IEA7" s="2333"/>
      <c r="IEB7" s="2334"/>
      <c r="IEC7" s="2335"/>
      <c r="IED7" s="2333"/>
      <c r="IEE7" s="2334"/>
      <c r="IEF7" s="2335"/>
      <c r="IEG7" s="2333"/>
      <c r="IEH7" s="2334"/>
      <c r="IEI7" s="2335"/>
      <c r="IEJ7" s="2333"/>
      <c r="IEK7" s="2334"/>
      <c r="IEL7" s="2335"/>
      <c r="IEM7" s="2333"/>
      <c r="IEN7" s="2334"/>
      <c r="IEO7" s="2335"/>
      <c r="IEP7" s="2333"/>
      <c r="IEQ7" s="2334"/>
      <c r="IER7" s="2335"/>
      <c r="IES7" s="2333"/>
      <c r="IET7" s="2334"/>
      <c r="IEU7" s="2335"/>
      <c r="IEV7" s="2333"/>
      <c r="IEW7" s="2334"/>
      <c r="IEX7" s="2335"/>
      <c r="IEY7" s="2333"/>
      <c r="IEZ7" s="2334"/>
      <c r="IFA7" s="2335"/>
      <c r="IFB7" s="2333"/>
      <c r="IFC7" s="2334"/>
      <c r="IFD7" s="2335"/>
      <c r="IFE7" s="2333"/>
      <c r="IFF7" s="2334"/>
      <c r="IFG7" s="2335"/>
      <c r="IFH7" s="2333"/>
      <c r="IFI7" s="2334"/>
      <c r="IFJ7" s="2335"/>
      <c r="IFK7" s="2333"/>
      <c r="IFL7" s="2334"/>
      <c r="IFM7" s="2335"/>
      <c r="IFN7" s="2333"/>
      <c r="IFO7" s="2334"/>
      <c r="IFP7" s="2335"/>
      <c r="IFQ7" s="2333"/>
      <c r="IFR7" s="2334"/>
      <c r="IFS7" s="2335"/>
      <c r="IFT7" s="2333"/>
      <c r="IFU7" s="2334"/>
      <c r="IFV7" s="2335"/>
      <c r="IFW7" s="2333"/>
      <c r="IFX7" s="2334"/>
      <c r="IFY7" s="2335"/>
      <c r="IFZ7" s="2333"/>
      <c r="IGA7" s="2334"/>
      <c r="IGB7" s="2335"/>
      <c r="IGC7" s="2333"/>
      <c r="IGD7" s="2334"/>
      <c r="IGE7" s="2335"/>
      <c r="IGF7" s="2333"/>
      <c r="IGG7" s="2334"/>
      <c r="IGH7" s="2335"/>
      <c r="IGI7" s="2333"/>
      <c r="IGJ7" s="2334"/>
      <c r="IGK7" s="2335"/>
      <c r="IGL7" s="2333"/>
      <c r="IGM7" s="2334"/>
      <c r="IGN7" s="2335"/>
      <c r="IGO7" s="2333"/>
      <c r="IGP7" s="2334"/>
      <c r="IGQ7" s="2335"/>
      <c r="IGR7" s="2333"/>
      <c r="IGS7" s="2334"/>
      <c r="IGT7" s="2335"/>
      <c r="IGU7" s="2333"/>
      <c r="IGV7" s="2334"/>
      <c r="IGW7" s="2335"/>
      <c r="IGX7" s="2333"/>
      <c r="IGY7" s="2334"/>
      <c r="IGZ7" s="2335"/>
      <c r="IHA7" s="2333"/>
      <c r="IHB7" s="2334"/>
      <c r="IHC7" s="2335"/>
      <c r="IHD7" s="2333"/>
      <c r="IHE7" s="2334"/>
      <c r="IHF7" s="2335"/>
      <c r="IHG7" s="2333"/>
      <c r="IHH7" s="2334"/>
      <c r="IHI7" s="2335"/>
      <c r="IHJ7" s="2333"/>
      <c r="IHK7" s="2334"/>
      <c r="IHL7" s="2335"/>
      <c r="IHM7" s="2333"/>
      <c r="IHN7" s="2334"/>
      <c r="IHO7" s="2335"/>
      <c r="IHP7" s="2333"/>
      <c r="IHQ7" s="2334"/>
      <c r="IHR7" s="2335"/>
      <c r="IHS7" s="2333"/>
      <c r="IHT7" s="2334"/>
      <c r="IHU7" s="2335"/>
      <c r="IHV7" s="2333"/>
      <c r="IHW7" s="2334"/>
      <c r="IHX7" s="2335"/>
      <c r="IHY7" s="2333"/>
      <c r="IHZ7" s="2334"/>
      <c r="IIA7" s="2335"/>
      <c r="IIB7" s="2333"/>
      <c r="IIC7" s="2334"/>
      <c r="IID7" s="2335"/>
      <c r="IIE7" s="2333"/>
      <c r="IIF7" s="2334"/>
      <c r="IIG7" s="2335"/>
      <c r="IIH7" s="2333"/>
      <c r="III7" s="2334"/>
      <c r="IIJ7" s="2335"/>
      <c r="IIK7" s="2333"/>
      <c r="IIL7" s="2334"/>
      <c r="IIM7" s="2335"/>
      <c r="IIN7" s="2333"/>
      <c r="IIO7" s="2334"/>
      <c r="IIP7" s="2335"/>
      <c r="IIQ7" s="2333"/>
      <c r="IIR7" s="2334"/>
      <c r="IIS7" s="2335"/>
      <c r="IIT7" s="2333"/>
      <c r="IIU7" s="2334"/>
      <c r="IIV7" s="2335"/>
      <c r="IIW7" s="2333"/>
      <c r="IIX7" s="2334"/>
      <c r="IIY7" s="2335"/>
      <c r="IIZ7" s="2333"/>
      <c r="IJA7" s="2334"/>
      <c r="IJB7" s="2335"/>
      <c r="IJC7" s="2333"/>
      <c r="IJD7" s="2334"/>
      <c r="IJE7" s="2335"/>
      <c r="IJF7" s="2333"/>
      <c r="IJG7" s="2334"/>
      <c r="IJH7" s="2335"/>
      <c r="IJI7" s="2333"/>
      <c r="IJJ7" s="2334"/>
      <c r="IJK7" s="2335"/>
      <c r="IJL7" s="2333"/>
      <c r="IJM7" s="2334"/>
      <c r="IJN7" s="2335"/>
      <c r="IJO7" s="2333"/>
      <c r="IJP7" s="2334"/>
      <c r="IJQ7" s="2335"/>
      <c r="IJR7" s="2333"/>
      <c r="IJS7" s="2334"/>
      <c r="IJT7" s="2335"/>
      <c r="IJU7" s="2333"/>
      <c r="IJV7" s="2334"/>
      <c r="IJW7" s="2335"/>
      <c r="IJX7" s="2333"/>
      <c r="IJY7" s="2334"/>
      <c r="IJZ7" s="2335"/>
      <c r="IKA7" s="2333"/>
      <c r="IKB7" s="2334"/>
      <c r="IKC7" s="2335"/>
      <c r="IKD7" s="2333"/>
      <c r="IKE7" s="2334"/>
      <c r="IKF7" s="2335"/>
      <c r="IKG7" s="2333"/>
      <c r="IKH7" s="2334"/>
      <c r="IKI7" s="2335"/>
      <c r="IKJ7" s="2333"/>
      <c r="IKK7" s="2334"/>
      <c r="IKL7" s="2335"/>
      <c r="IKM7" s="2333"/>
      <c r="IKN7" s="2334"/>
      <c r="IKO7" s="2335"/>
      <c r="IKP7" s="2333"/>
      <c r="IKQ7" s="2334"/>
      <c r="IKR7" s="2335"/>
      <c r="IKS7" s="2333"/>
      <c r="IKT7" s="2334"/>
      <c r="IKU7" s="2335"/>
      <c r="IKV7" s="2333"/>
      <c r="IKW7" s="2334"/>
      <c r="IKX7" s="2335"/>
      <c r="IKY7" s="2333"/>
      <c r="IKZ7" s="2334"/>
      <c r="ILA7" s="2335"/>
      <c r="ILB7" s="2333"/>
      <c r="ILC7" s="2334"/>
      <c r="ILD7" s="2335"/>
      <c r="ILE7" s="2333"/>
      <c r="ILF7" s="2334"/>
      <c r="ILG7" s="2335"/>
      <c r="ILH7" s="2333"/>
      <c r="ILI7" s="2334"/>
      <c r="ILJ7" s="2335"/>
      <c r="ILK7" s="2333"/>
      <c r="ILL7" s="2334"/>
      <c r="ILM7" s="2335"/>
      <c r="ILN7" s="2333"/>
      <c r="ILO7" s="2334"/>
      <c r="ILP7" s="2335"/>
      <c r="ILQ7" s="2333"/>
      <c r="ILR7" s="2334"/>
      <c r="ILS7" s="2335"/>
      <c r="ILT7" s="2333"/>
      <c r="ILU7" s="2334"/>
      <c r="ILV7" s="2335"/>
      <c r="ILW7" s="2333"/>
      <c r="ILX7" s="2334"/>
      <c r="ILY7" s="2335"/>
      <c r="ILZ7" s="2333"/>
      <c r="IMA7" s="2334"/>
      <c r="IMB7" s="2335"/>
      <c r="IMC7" s="2333"/>
      <c r="IMD7" s="2334"/>
      <c r="IME7" s="2335"/>
      <c r="IMF7" s="2333"/>
      <c r="IMG7" s="2334"/>
      <c r="IMH7" s="2335"/>
      <c r="IMI7" s="2333"/>
      <c r="IMJ7" s="2334"/>
      <c r="IMK7" s="2335"/>
      <c r="IML7" s="2333"/>
      <c r="IMM7" s="2334"/>
      <c r="IMN7" s="2335"/>
      <c r="IMO7" s="2333"/>
      <c r="IMP7" s="2334"/>
      <c r="IMQ7" s="2335"/>
      <c r="IMR7" s="2333"/>
      <c r="IMS7" s="2334"/>
      <c r="IMT7" s="2335"/>
      <c r="IMU7" s="2333"/>
      <c r="IMV7" s="2334"/>
      <c r="IMW7" s="2335"/>
      <c r="IMX7" s="2333"/>
      <c r="IMY7" s="2334"/>
      <c r="IMZ7" s="2335"/>
      <c r="INA7" s="2333"/>
      <c r="INB7" s="2334"/>
      <c r="INC7" s="2335"/>
      <c r="IND7" s="2333"/>
      <c r="INE7" s="2334"/>
      <c r="INF7" s="2335"/>
      <c r="ING7" s="2333"/>
      <c r="INH7" s="2334"/>
      <c r="INI7" s="2335"/>
      <c r="INJ7" s="2333"/>
      <c r="INK7" s="2334"/>
      <c r="INL7" s="2335"/>
      <c r="INM7" s="2333"/>
      <c r="INN7" s="2334"/>
      <c r="INO7" s="2335"/>
      <c r="INP7" s="2333"/>
      <c r="INQ7" s="2334"/>
      <c r="INR7" s="2335"/>
      <c r="INS7" s="2333"/>
      <c r="INT7" s="2334"/>
      <c r="INU7" s="2335"/>
      <c r="INV7" s="2333"/>
      <c r="INW7" s="2334"/>
      <c r="INX7" s="2335"/>
      <c r="INY7" s="2333"/>
      <c r="INZ7" s="2334"/>
      <c r="IOA7" s="2335"/>
      <c r="IOB7" s="2333"/>
      <c r="IOC7" s="2334"/>
      <c r="IOD7" s="2335"/>
      <c r="IOE7" s="2333"/>
      <c r="IOF7" s="2334"/>
      <c r="IOG7" s="2335"/>
      <c r="IOH7" s="2333"/>
      <c r="IOI7" s="2334"/>
      <c r="IOJ7" s="2335"/>
      <c r="IOK7" s="2333"/>
      <c r="IOL7" s="2334"/>
      <c r="IOM7" s="2335"/>
      <c r="ION7" s="2333"/>
      <c r="IOO7" s="2334"/>
      <c r="IOP7" s="2335"/>
      <c r="IOQ7" s="2333"/>
      <c r="IOR7" s="2334"/>
      <c r="IOS7" s="2335"/>
      <c r="IOT7" s="2333"/>
      <c r="IOU7" s="2334"/>
      <c r="IOV7" s="2335"/>
      <c r="IOW7" s="2333"/>
      <c r="IOX7" s="2334"/>
      <c r="IOY7" s="2335"/>
      <c r="IOZ7" s="2333"/>
      <c r="IPA7" s="2334"/>
      <c r="IPB7" s="2335"/>
      <c r="IPC7" s="2333"/>
      <c r="IPD7" s="2334"/>
      <c r="IPE7" s="2335"/>
      <c r="IPF7" s="2333"/>
      <c r="IPG7" s="2334"/>
      <c r="IPH7" s="2335"/>
      <c r="IPI7" s="2333"/>
      <c r="IPJ7" s="2334"/>
      <c r="IPK7" s="2335"/>
      <c r="IPL7" s="2333"/>
      <c r="IPM7" s="2334"/>
      <c r="IPN7" s="2335"/>
      <c r="IPO7" s="2333"/>
      <c r="IPP7" s="2334"/>
      <c r="IPQ7" s="2335"/>
      <c r="IPR7" s="2333"/>
      <c r="IPS7" s="2334"/>
      <c r="IPT7" s="2335"/>
      <c r="IPU7" s="2333"/>
      <c r="IPV7" s="2334"/>
      <c r="IPW7" s="2335"/>
      <c r="IPX7" s="2333"/>
      <c r="IPY7" s="2334"/>
      <c r="IPZ7" s="2335"/>
      <c r="IQA7" s="2333"/>
      <c r="IQB7" s="2334"/>
      <c r="IQC7" s="2335"/>
      <c r="IQD7" s="2333"/>
      <c r="IQE7" s="2334"/>
      <c r="IQF7" s="2335"/>
      <c r="IQG7" s="2333"/>
      <c r="IQH7" s="2334"/>
      <c r="IQI7" s="2335"/>
      <c r="IQJ7" s="2333"/>
      <c r="IQK7" s="2334"/>
      <c r="IQL7" s="2335"/>
      <c r="IQM7" s="2333"/>
      <c r="IQN7" s="2334"/>
      <c r="IQO7" s="2335"/>
      <c r="IQP7" s="2333"/>
      <c r="IQQ7" s="2334"/>
      <c r="IQR7" s="2335"/>
      <c r="IQS7" s="2333"/>
      <c r="IQT7" s="2334"/>
      <c r="IQU7" s="2335"/>
      <c r="IQV7" s="2333"/>
      <c r="IQW7" s="2334"/>
      <c r="IQX7" s="2335"/>
      <c r="IQY7" s="2333"/>
      <c r="IQZ7" s="2334"/>
      <c r="IRA7" s="2335"/>
      <c r="IRB7" s="2333"/>
      <c r="IRC7" s="2334"/>
      <c r="IRD7" s="2335"/>
      <c r="IRE7" s="2333"/>
      <c r="IRF7" s="2334"/>
      <c r="IRG7" s="2335"/>
      <c r="IRH7" s="2333"/>
      <c r="IRI7" s="2334"/>
      <c r="IRJ7" s="2335"/>
      <c r="IRK7" s="2333"/>
      <c r="IRL7" s="2334"/>
      <c r="IRM7" s="2335"/>
      <c r="IRN7" s="2333"/>
      <c r="IRO7" s="2334"/>
      <c r="IRP7" s="2335"/>
      <c r="IRQ7" s="2333"/>
      <c r="IRR7" s="2334"/>
      <c r="IRS7" s="2335"/>
      <c r="IRT7" s="2333"/>
      <c r="IRU7" s="2334"/>
      <c r="IRV7" s="2335"/>
      <c r="IRW7" s="2333"/>
      <c r="IRX7" s="2334"/>
      <c r="IRY7" s="2335"/>
      <c r="IRZ7" s="2333"/>
      <c r="ISA7" s="2334"/>
      <c r="ISB7" s="2335"/>
      <c r="ISC7" s="2333"/>
      <c r="ISD7" s="2334"/>
      <c r="ISE7" s="2335"/>
      <c r="ISF7" s="2333"/>
      <c r="ISG7" s="2334"/>
      <c r="ISH7" s="2335"/>
      <c r="ISI7" s="2333"/>
      <c r="ISJ7" s="2334"/>
      <c r="ISK7" s="2335"/>
      <c r="ISL7" s="2333"/>
      <c r="ISM7" s="2334"/>
      <c r="ISN7" s="2335"/>
      <c r="ISO7" s="2333"/>
      <c r="ISP7" s="2334"/>
      <c r="ISQ7" s="2335"/>
      <c r="ISR7" s="2333"/>
      <c r="ISS7" s="2334"/>
      <c r="IST7" s="2335"/>
      <c r="ISU7" s="2333"/>
      <c r="ISV7" s="2334"/>
      <c r="ISW7" s="2335"/>
      <c r="ISX7" s="2333"/>
      <c r="ISY7" s="2334"/>
      <c r="ISZ7" s="2335"/>
      <c r="ITA7" s="2333"/>
      <c r="ITB7" s="2334"/>
      <c r="ITC7" s="2335"/>
      <c r="ITD7" s="2333"/>
      <c r="ITE7" s="2334"/>
      <c r="ITF7" s="2335"/>
      <c r="ITG7" s="2333"/>
      <c r="ITH7" s="2334"/>
      <c r="ITI7" s="2335"/>
      <c r="ITJ7" s="2333"/>
      <c r="ITK7" s="2334"/>
      <c r="ITL7" s="2335"/>
      <c r="ITM7" s="2333"/>
      <c r="ITN7" s="2334"/>
      <c r="ITO7" s="2335"/>
      <c r="ITP7" s="2333"/>
      <c r="ITQ7" s="2334"/>
      <c r="ITR7" s="2335"/>
      <c r="ITS7" s="2333"/>
      <c r="ITT7" s="2334"/>
      <c r="ITU7" s="2335"/>
      <c r="ITV7" s="2333"/>
      <c r="ITW7" s="2334"/>
      <c r="ITX7" s="2335"/>
      <c r="ITY7" s="2333"/>
      <c r="ITZ7" s="2334"/>
      <c r="IUA7" s="2335"/>
      <c r="IUB7" s="2333"/>
      <c r="IUC7" s="2334"/>
      <c r="IUD7" s="2335"/>
      <c r="IUE7" s="2333"/>
      <c r="IUF7" s="2334"/>
      <c r="IUG7" s="2335"/>
      <c r="IUH7" s="2333"/>
      <c r="IUI7" s="2334"/>
      <c r="IUJ7" s="2335"/>
      <c r="IUK7" s="2333"/>
      <c r="IUL7" s="2334"/>
      <c r="IUM7" s="2335"/>
      <c r="IUN7" s="2333"/>
      <c r="IUO7" s="2334"/>
      <c r="IUP7" s="2335"/>
      <c r="IUQ7" s="2333"/>
      <c r="IUR7" s="2334"/>
      <c r="IUS7" s="2335"/>
      <c r="IUT7" s="2333"/>
      <c r="IUU7" s="2334"/>
      <c r="IUV7" s="2335"/>
      <c r="IUW7" s="2333"/>
      <c r="IUX7" s="2334"/>
      <c r="IUY7" s="2335"/>
      <c r="IUZ7" s="2333"/>
      <c r="IVA7" s="2334"/>
      <c r="IVB7" s="2335"/>
      <c r="IVC7" s="2333"/>
      <c r="IVD7" s="2334"/>
      <c r="IVE7" s="2335"/>
      <c r="IVF7" s="2333"/>
      <c r="IVG7" s="2334"/>
      <c r="IVH7" s="2335"/>
      <c r="IVI7" s="2333"/>
      <c r="IVJ7" s="2334"/>
      <c r="IVK7" s="2335"/>
      <c r="IVL7" s="2333"/>
      <c r="IVM7" s="2334"/>
      <c r="IVN7" s="2335"/>
      <c r="IVO7" s="2333"/>
      <c r="IVP7" s="2334"/>
      <c r="IVQ7" s="2335"/>
      <c r="IVR7" s="2333"/>
      <c r="IVS7" s="2334"/>
      <c r="IVT7" s="2335"/>
      <c r="IVU7" s="2333"/>
      <c r="IVV7" s="2334"/>
      <c r="IVW7" s="2335"/>
      <c r="IVX7" s="2333"/>
      <c r="IVY7" s="2334"/>
      <c r="IVZ7" s="2335"/>
      <c r="IWA7" s="2333"/>
      <c r="IWB7" s="2334"/>
      <c r="IWC7" s="2335"/>
      <c r="IWD7" s="2333"/>
      <c r="IWE7" s="2334"/>
      <c r="IWF7" s="2335"/>
      <c r="IWG7" s="2333"/>
      <c r="IWH7" s="2334"/>
      <c r="IWI7" s="2335"/>
      <c r="IWJ7" s="2333"/>
      <c r="IWK7" s="2334"/>
      <c r="IWL7" s="2335"/>
      <c r="IWM7" s="2333"/>
      <c r="IWN7" s="2334"/>
      <c r="IWO7" s="2335"/>
      <c r="IWP7" s="2333"/>
      <c r="IWQ7" s="2334"/>
      <c r="IWR7" s="2335"/>
      <c r="IWS7" s="2333"/>
      <c r="IWT7" s="2334"/>
      <c r="IWU7" s="2335"/>
      <c r="IWV7" s="2333"/>
      <c r="IWW7" s="2334"/>
      <c r="IWX7" s="2335"/>
      <c r="IWY7" s="2333"/>
      <c r="IWZ7" s="2334"/>
      <c r="IXA7" s="2335"/>
      <c r="IXB7" s="2333"/>
      <c r="IXC7" s="2334"/>
      <c r="IXD7" s="2335"/>
      <c r="IXE7" s="2333"/>
      <c r="IXF7" s="2334"/>
      <c r="IXG7" s="2335"/>
      <c r="IXH7" s="2333"/>
      <c r="IXI7" s="2334"/>
      <c r="IXJ7" s="2335"/>
      <c r="IXK7" s="2333"/>
      <c r="IXL7" s="2334"/>
      <c r="IXM7" s="2335"/>
      <c r="IXN7" s="2333"/>
      <c r="IXO7" s="2334"/>
      <c r="IXP7" s="2335"/>
      <c r="IXQ7" s="2333"/>
      <c r="IXR7" s="2334"/>
      <c r="IXS7" s="2335"/>
      <c r="IXT7" s="2333"/>
      <c r="IXU7" s="2334"/>
      <c r="IXV7" s="2335"/>
      <c r="IXW7" s="2333"/>
      <c r="IXX7" s="2334"/>
      <c r="IXY7" s="2335"/>
      <c r="IXZ7" s="2333"/>
      <c r="IYA7" s="2334"/>
      <c r="IYB7" s="2335"/>
      <c r="IYC7" s="2333"/>
      <c r="IYD7" s="2334"/>
      <c r="IYE7" s="2335"/>
      <c r="IYF7" s="2333"/>
      <c r="IYG7" s="2334"/>
      <c r="IYH7" s="2335"/>
      <c r="IYI7" s="2333"/>
      <c r="IYJ7" s="2334"/>
      <c r="IYK7" s="2335"/>
      <c r="IYL7" s="2333"/>
      <c r="IYM7" s="2334"/>
      <c r="IYN7" s="2335"/>
      <c r="IYO7" s="2333"/>
      <c r="IYP7" s="2334"/>
      <c r="IYQ7" s="2335"/>
      <c r="IYR7" s="2333"/>
      <c r="IYS7" s="2334"/>
      <c r="IYT7" s="2335"/>
      <c r="IYU7" s="2333"/>
      <c r="IYV7" s="2334"/>
      <c r="IYW7" s="2335"/>
      <c r="IYX7" s="2333"/>
      <c r="IYY7" s="2334"/>
      <c r="IYZ7" s="2335"/>
      <c r="IZA7" s="2333"/>
      <c r="IZB7" s="2334"/>
      <c r="IZC7" s="2335"/>
      <c r="IZD7" s="2333"/>
      <c r="IZE7" s="2334"/>
      <c r="IZF7" s="2335"/>
      <c r="IZG7" s="2333"/>
      <c r="IZH7" s="2334"/>
      <c r="IZI7" s="2335"/>
      <c r="IZJ7" s="2333"/>
      <c r="IZK7" s="2334"/>
      <c r="IZL7" s="2335"/>
      <c r="IZM7" s="2333"/>
      <c r="IZN7" s="2334"/>
      <c r="IZO7" s="2335"/>
      <c r="IZP7" s="2333"/>
      <c r="IZQ7" s="2334"/>
      <c r="IZR7" s="2335"/>
      <c r="IZS7" s="2333"/>
      <c r="IZT7" s="2334"/>
      <c r="IZU7" s="2335"/>
      <c r="IZV7" s="2333"/>
      <c r="IZW7" s="2334"/>
      <c r="IZX7" s="2335"/>
      <c r="IZY7" s="2333"/>
      <c r="IZZ7" s="2334"/>
      <c r="JAA7" s="2335"/>
      <c r="JAB7" s="2333"/>
      <c r="JAC7" s="2334"/>
      <c r="JAD7" s="2335"/>
      <c r="JAE7" s="2333"/>
      <c r="JAF7" s="2334"/>
      <c r="JAG7" s="2335"/>
      <c r="JAH7" s="2333"/>
      <c r="JAI7" s="2334"/>
      <c r="JAJ7" s="2335"/>
      <c r="JAK7" s="2333"/>
      <c r="JAL7" s="2334"/>
      <c r="JAM7" s="2335"/>
      <c r="JAN7" s="2333"/>
      <c r="JAO7" s="2334"/>
      <c r="JAP7" s="2335"/>
      <c r="JAQ7" s="2333"/>
      <c r="JAR7" s="2334"/>
      <c r="JAS7" s="2335"/>
      <c r="JAT7" s="2333"/>
      <c r="JAU7" s="2334"/>
      <c r="JAV7" s="2335"/>
      <c r="JAW7" s="2333"/>
      <c r="JAX7" s="2334"/>
      <c r="JAY7" s="2335"/>
      <c r="JAZ7" s="2333"/>
      <c r="JBA7" s="2334"/>
      <c r="JBB7" s="2335"/>
      <c r="JBC7" s="2333"/>
      <c r="JBD7" s="2334"/>
      <c r="JBE7" s="2335"/>
      <c r="JBF7" s="2333"/>
      <c r="JBG7" s="2334"/>
      <c r="JBH7" s="2335"/>
      <c r="JBI7" s="2333"/>
      <c r="JBJ7" s="2334"/>
      <c r="JBK7" s="2335"/>
      <c r="JBL7" s="2333"/>
      <c r="JBM7" s="2334"/>
      <c r="JBN7" s="2335"/>
      <c r="JBO7" s="2333"/>
      <c r="JBP7" s="2334"/>
      <c r="JBQ7" s="2335"/>
      <c r="JBR7" s="2333"/>
      <c r="JBS7" s="2334"/>
      <c r="JBT7" s="2335"/>
      <c r="JBU7" s="2333"/>
      <c r="JBV7" s="2334"/>
      <c r="JBW7" s="2335"/>
      <c r="JBX7" s="2333"/>
      <c r="JBY7" s="2334"/>
      <c r="JBZ7" s="2335"/>
      <c r="JCA7" s="2333"/>
      <c r="JCB7" s="2334"/>
      <c r="JCC7" s="2335"/>
      <c r="JCD7" s="2333"/>
      <c r="JCE7" s="2334"/>
      <c r="JCF7" s="2335"/>
      <c r="JCG7" s="2333"/>
      <c r="JCH7" s="2334"/>
      <c r="JCI7" s="2335"/>
      <c r="JCJ7" s="2333"/>
      <c r="JCK7" s="2334"/>
      <c r="JCL7" s="2335"/>
      <c r="JCM7" s="2333"/>
      <c r="JCN7" s="2334"/>
      <c r="JCO7" s="2335"/>
      <c r="JCP7" s="2333"/>
      <c r="JCQ7" s="2334"/>
      <c r="JCR7" s="2335"/>
      <c r="JCS7" s="2333"/>
      <c r="JCT7" s="2334"/>
      <c r="JCU7" s="2335"/>
      <c r="JCV7" s="2333"/>
      <c r="JCW7" s="2334"/>
      <c r="JCX7" s="2335"/>
      <c r="JCY7" s="2333"/>
      <c r="JCZ7" s="2334"/>
      <c r="JDA7" s="2335"/>
      <c r="JDB7" s="2333"/>
      <c r="JDC7" s="2334"/>
      <c r="JDD7" s="2335"/>
      <c r="JDE7" s="2333"/>
      <c r="JDF7" s="2334"/>
      <c r="JDG7" s="2335"/>
      <c r="JDH7" s="2333"/>
      <c r="JDI7" s="2334"/>
      <c r="JDJ7" s="2335"/>
      <c r="JDK7" s="2333"/>
      <c r="JDL7" s="2334"/>
      <c r="JDM7" s="2335"/>
      <c r="JDN7" s="2333"/>
      <c r="JDO7" s="2334"/>
      <c r="JDP7" s="2335"/>
      <c r="JDQ7" s="2333"/>
      <c r="JDR7" s="2334"/>
      <c r="JDS7" s="2335"/>
      <c r="JDT7" s="2333"/>
      <c r="JDU7" s="2334"/>
      <c r="JDV7" s="2335"/>
      <c r="JDW7" s="2333"/>
      <c r="JDX7" s="2334"/>
      <c r="JDY7" s="2335"/>
      <c r="JDZ7" s="2333"/>
      <c r="JEA7" s="2334"/>
      <c r="JEB7" s="2335"/>
      <c r="JEC7" s="2333"/>
      <c r="JED7" s="2334"/>
      <c r="JEE7" s="2335"/>
      <c r="JEF7" s="2333"/>
      <c r="JEG7" s="2334"/>
      <c r="JEH7" s="2335"/>
      <c r="JEI7" s="2333"/>
      <c r="JEJ7" s="2334"/>
      <c r="JEK7" s="2335"/>
      <c r="JEL7" s="2333"/>
      <c r="JEM7" s="2334"/>
      <c r="JEN7" s="2335"/>
      <c r="JEO7" s="2333"/>
      <c r="JEP7" s="2334"/>
      <c r="JEQ7" s="2335"/>
      <c r="JER7" s="2333"/>
      <c r="JES7" s="2334"/>
      <c r="JET7" s="2335"/>
      <c r="JEU7" s="2333"/>
      <c r="JEV7" s="2334"/>
      <c r="JEW7" s="2335"/>
      <c r="JEX7" s="2333"/>
      <c r="JEY7" s="2334"/>
      <c r="JEZ7" s="2335"/>
      <c r="JFA7" s="2333"/>
      <c r="JFB7" s="2334"/>
      <c r="JFC7" s="2335"/>
      <c r="JFD7" s="2333"/>
      <c r="JFE7" s="2334"/>
      <c r="JFF7" s="2335"/>
      <c r="JFG7" s="2333"/>
      <c r="JFH7" s="2334"/>
      <c r="JFI7" s="2335"/>
      <c r="JFJ7" s="2333"/>
      <c r="JFK7" s="2334"/>
      <c r="JFL7" s="2335"/>
      <c r="JFM7" s="2333"/>
      <c r="JFN7" s="2334"/>
      <c r="JFO7" s="2335"/>
      <c r="JFP7" s="2333"/>
      <c r="JFQ7" s="2334"/>
      <c r="JFR7" s="2335"/>
      <c r="JFS7" s="2333"/>
      <c r="JFT7" s="2334"/>
      <c r="JFU7" s="2335"/>
      <c r="JFV7" s="2333"/>
      <c r="JFW7" s="2334"/>
      <c r="JFX7" s="2335"/>
      <c r="JFY7" s="2333"/>
      <c r="JFZ7" s="2334"/>
      <c r="JGA7" s="2335"/>
      <c r="JGB7" s="2333"/>
      <c r="JGC7" s="2334"/>
      <c r="JGD7" s="2335"/>
      <c r="JGE7" s="2333"/>
      <c r="JGF7" s="2334"/>
      <c r="JGG7" s="2335"/>
      <c r="JGH7" s="2333"/>
      <c r="JGI7" s="2334"/>
      <c r="JGJ7" s="2335"/>
      <c r="JGK7" s="2333"/>
      <c r="JGL7" s="2334"/>
      <c r="JGM7" s="2335"/>
      <c r="JGN7" s="2333"/>
      <c r="JGO7" s="2334"/>
      <c r="JGP7" s="2335"/>
      <c r="JGQ7" s="2333"/>
      <c r="JGR7" s="2334"/>
      <c r="JGS7" s="2335"/>
      <c r="JGT7" s="2333"/>
      <c r="JGU7" s="2334"/>
      <c r="JGV7" s="2335"/>
      <c r="JGW7" s="2333"/>
      <c r="JGX7" s="2334"/>
      <c r="JGY7" s="2335"/>
      <c r="JGZ7" s="2333"/>
      <c r="JHA7" s="2334"/>
      <c r="JHB7" s="2335"/>
      <c r="JHC7" s="2333"/>
      <c r="JHD7" s="2334"/>
      <c r="JHE7" s="2335"/>
      <c r="JHF7" s="2333"/>
      <c r="JHG7" s="2334"/>
      <c r="JHH7" s="2335"/>
      <c r="JHI7" s="2333"/>
      <c r="JHJ7" s="2334"/>
      <c r="JHK7" s="2335"/>
      <c r="JHL7" s="2333"/>
      <c r="JHM7" s="2334"/>
      <c r="JHN7" s="2335"/>
      <c r="JHO7" s="2333"/>
      <c r="JHP7" s="2334"/>
      <c r="JHQ7" s="2335"/>
      <c r="JHR7" s="2333"/>
      <c r="JHS7" s="2334"/>
      <c r="JHT7" s="2335"/>
      <c r="JHU7" s="2333"/>
      <c r="JHV7" s="2334"/>
      <c r="JHW7" s="2335"/>
      <c r="JHX7" s="2333"/>
      <c r="JHY7" s="2334"/>
      <c r="JHZ7" s="2335"/>
      <c r="JIA7" s="2333"/>
      <c r="JIB7" s="2334"/>
      <c r="JIC7" s="2335"/>
      <c r="JID7" s="2333"/>
      <c r="JIE7" s="2334"/>
      <c r="JIF7" s="2335"/>
      <c r="JIG7" s="2333"/>
      <c r="JIH7" s="2334"/>
      <c r="JII7" s="2335"/>
      <c r="JIJ7" s="2333"/>
      <c r="JIK7" s="2334"/>
      <c r="JIL7" s="2335"/>
      <c r="JIM7" s="2333"/>
      <c r="JIN7" s="2334"/>
      <c r="JIO7" s="2335"/>
      <c r="JIP7" s="2333"/>
      <c r="JIQ7" s="2334"/>
      <c r="JIR7" s="2335"/>
      <c r="JIS7" s="2333"/>
      <c r="JIT7" s="2334"/>
      <c r="JIU7" s="2335"/>
      <c r="JIV7" s="2333"/>
      <c r="JIW7" s="2334"/>
      <c r="JIX7" s="2335"/>
      <c r="JIY7" s="2333"/>
      <c r="JIZ7" s="2334"/>
      <c r="JJA7" s="2335"/>
      <c r="JJB7" s="2333"/>
      <c r="JJC7" s="2334"/>
      <c r="JJD7" s="2335"/>
      <c r="JJE7" s="2333"/>
      <c r="JJF7" s="2334"/>
      <c r="JJG7" s="2335"/>
      <c r="JJH7" s="2333"/>
      <c r="JJI7" s="2334"/>
      <c r="JJJ7" s="2335"/>
      <c r="JJK7" s="2333"/>
      <c r="JJL7" s="2334"/>
      <c r="JJM7" s="2335"/>
      <c r="JJN7" s="2333"/>
      <c r="JJO7" s="2334"/>
      <c r="JJP7" s="2335"/>
      <c r="JJQ7" s="2333"/>
      <c r="JJR7" s="2334"/>
      <c r="JJS7" s="2335"/>
      <c r="JJT7" s="2333"/>
      <c r="JJU7" s="2334"/>
      <c r="JJV7" s="2335"/>
      <c r="JJW7" s="2333"/>
      <c r="JJX7" s="2334"/>
      <c r="JJY7" s="2335"/>
      <c r="JJZ7" s="2333"/>
      <c r="JKA7" s="2334"/>
      <c r="JKB7" s="2335"/>
      <c r="JKC7" s="2333"/>
      <c r="JKD7" s="2334"/>
      <c r="JKE7" s="2335"/>
      <c r="JKF7" s="2333"/>
      <c r="JKG7" s="2334"/>
      <c r="JKH7" s="2335"/>
      <c r="JKI7" s="2333"/>
      <c r="JKJ7" s="2334"/>
      <c r="JKK7" s="2335"/>
      <c r="JKL7" s="2333"/>
      <c r="JKM7" s="2334"/>
      <c r="JKN7" s="2335"/>
      <c r="JKO7" s="2333"/>
      <c r="JKP7" s="2334"/>
      <c r="JKQ7" s="2335"/>
      <c r="JKR7" s="2333"/>
      <c r="JKS7" s="2334"/>
      <c r="JKT7" s="2335"/>
      <c r="JKU7" s="2333"/>
      <c r="JKV7" s="2334"/>
      <c r="JKW7" s="2335"/>
      <c r="JKX7" s="2333"/>
      <c r="JKY7" s="2334"/>
      <c r="JKZ7" s="2335"/>
      <c r="JLA7" s="2333"/>
      <c r="JLB7" s="2334"/>
      <c r="JLC7" s="2335"/>
      <c r="JLD7" s="2333"/>
      <c r="JLE7" s="2334"/>
      <c r="JLF7" s="2335"/>
      <c r="JLG7" s="2333"/>
      <c r="JLH7" s="2334"/>
      <c r="JLI7" s="2335"/>
      <c r="JLJ7" s="2333"/>
      <c r="JLK7" s="2334"/>
      <c r="JLL7" s="2335"/>
      <c r="JLM7" s="2333"/>
      <c r="JLN7" s="2334"/>
      <c r="JLO7" s="2335"/>
      <c r="JLP7" s="2333"/>
      <c r="JLQ7" s="2334"/>
      <c r="JLR7" s="2335"/>
      <c r="JLS7" s="2333"/>
      <c r="JLT7" s="2334"/>
      <c r="JLU7" s="2335"/>
      <c r="JLV7" s="2333"/>
      <c r="JLW7" s="2334"/>
      <c r="JLX7" s="2335"/>
      <c r="JLY7" s="2333"/>
      <c r="JLZ7" s="2334"/>
      <c r="JMA7" s="2335"/>
      <c r="JMB7" s="2333"/>
      <c r="JMC7" s="2334"/>
      <c r="JMD7" s="2335"/>
      <c r="JME7" s="2333"/>
      <c r="JMF7" s="2334"/>
      <c r="JMG7" s="2335"/>
      <c r="JMH7" s="2333"/>
      <c r="JMI7" s="2334"/>
      <c r="JMJ7" s="2335"/>
      <c r="JMK7" s="2333"/>
      <c r="JML7" s="2334"/>
      <c r="JMM7" s="2335"/>
      <c r="JMN7" s="2333"/>
      <c r="JMO7" s="2334"/>
      <c r="JMP7" s="2335"/>
      <c r="JMQ7" s="2333"/>
      <c r="JMR7" s="2334"/>
      <c r="JMS7" s="2335"/>
      <c r="JMT7" s="2333"/>
      <c r="JMU7" s="2334"/>
      <c r="JMV7" s="2335"/>
      <c r="JMW7" s="2333"/>
      <c r="JMX7" s="2334"/>
      <c r="JMY7" s="2335"/>
      <c r="JMZ7" s="2333"/>
      <c r="JNA7" s="2334"/>
      <c r="JNB7" s="2335"/>
      <c r="JNC7" s="2333"/>
      <c r="JND7" s="2334"/>
      <c r="JNE7" s="2335"/>
      <c r="JNF7" s="2333"/>
      <c r="JNG7" s="2334"/>
      <c r="JNH7" s="2335"/>
      <c r="JNI7" s="2333"/>
      <c r="JNJ7" s="2334"/>
      <c r="JNK7" s="2335"/>
      <c r="JNL7" s="2333"/>
      <c r="JNM7" s="2334"/>
      <c r="JNN7" s="2335"/>
      <c r="JNO7" s="2333"/>
      <c r="JNP7" s="2334"/>
      <c r="JNQ7" s="2335"/>
      <c r="JNR7" s="2333"/>
      <c r="JNS7" s="2334"/>
      <c r="JNT7" s="2335"/>
      <c r="JNU7" s="2333"/>
      <c r="JNV7" s="2334"/>
      <c r="JNW7" s="2335"/>
      <c r="JNX7" s="2333"/>
      <c r="JNY7" s="2334"/>
      <c r="JNZ7" s="2335"/>
      <c r="JOA7" s="2333"/>
      <c r="JOB7" s="2334"/>
      <c r="JOC7" s="2335"/>
      <c r="JOD7" s="2333"/>
      <c r="JOE7" s="2334"/>
      <c r="JOF7" s="2335"/>
      <c r="JOG7" s="2333"/>
      <c r="JOH7" s="2334"/>
      <c r="JOI7" s="2335"/>
      <c r="JOJ7" s="2333"/>
      <c r="JOK7" s="2334"/>
      <c r="JOL7" s="2335"/>
      <c r="JOM7" s="2333"/>
      <c r="JON7" s="2334"/>
      <c r="JOO7" s="2335"/>
      <c r="JOP7" s="2333"/>
      <c r="JOQ7" s="2334"/>
      <c r="JOR7" s="2335"/>
      <c r="JOS7" s="2333"/>
      <c r="JOT7" s="2334"/>
      <c r="JOU7" s="2335"/>
      <c r="JOV7" s="2333"/>
      <c r="JOW7" s="2334"/>
      <c r="JOX7" s="2335"/>
      <c r="JOY7" s="2333"/>
      <c r="JOZ7" s="2334"/>
      <c r="JPA7" s="2335"/>
      <c r="JPB7" s="2333"/>
      <c r="JPC7" s="2334"/>
      <c r="JPD7" s="2335"/>
      <c r="JPE7" s="2333"/>
      <c r="JPF7" s="2334"/>
      <c r="JPG7" s="2335"/>
      <c r="JPH7" s="2333"/>
      <c r="JPI7" s="2334"/>
      <c r="JPJ7" s="2335"/>
      <c r="JPK7" s="2333"/>
      <c r="JPL7" s="2334"/>
      <c r="JPM7" s="2335"/>
      <c r="JPN7" s="2333"/>
      <c r="JPO7" s="2334"/>
      <c r="JPP7" s="2335"/>
      <c r="JPQ7" s="2333"/>
      <c r="JPR7" s="2334"/>
      <c r="JPS7" s="2335"/>
      <c r="JPT7" s="2333"/>
      <c r="JPU7" s="2334"/>
      <c r="JPV7" s="2335"/>
      <c r="JPW7" s="2333"/>
      <c r="JPX7" s="2334"/>
      <c r="JPY7" s="2335"/>
      <c r="JPZ7" s="2333"/>
      <c r="JQA7" s="2334"/>
      <c r="JQB7" s="2335"/>
      <c r="JQC7" s="2333"/>
      <c r="JQD7" s="2334"/>
      <c r="JQE7" s="2335"/>
      <c r="JQF7" s="2333"/>
      <c r="JQG7" s="2334"/>
      <c r="JQH7" s="2335"/>
      <c r="JQI7" s="2333"/>
      <c r="JQJ7" s="2334"/>
      <c r="JQK7" s="2335"/>
      <c r="JQL7" s="2333"/>
      <c r="JQM7" s="2334"/>
      <c r="JQN7" s="2335"/>
      <c r="JQO7" s="2333"/>
      <c r="JQP7" s="2334"/>
      <c r="JQQ7" s="2335"/>
      <c r="JQR7" s="2333"/>
      <c r="JQS7" s="2334"/>
      <c r="JQT7" s="2335"/>
      <c r="JQU7" s="2333"/>
      <c r="JQV7" s="2334"/>
      <c r="JQW7" s="2335"/>
      <c r="JQX7" s="2333"/>
      <c r="JQY7" s="2334"/>
      <c r="JQZ7" s="2335"/>
      <c r="JRA7" s="2333"/>
      <c r="JRB7" s="2334"/>
      <c r="JRC7" s="2335"/>
      <c r="JRD7" s="2333"/>
      <c r="JRE7" s="2334"/>
      <c r="JRF7" s="2335"/>
      <c r="JRG7" s="2333"/>
      <c r="JRH7" s="2334"/>
      <c r="JRI7" s="2335"/>
      <c r="JRJ7" s="2333"/>
      <c r="JRK7" s="2334"/>
      <c r="JRL7" s="2335"/>
      <c r="JRM7" s="2333"/>
      <c r="JRN7" s="2334"/>
      <c r="JRO7" s="2335"/>
      <c r="JRP7" s="2333"/>
      <c r="JRQ7" s="2334"/>
      <c r="JRR7" s="2335"/>
      <c r="JRS7" s="2333"/>
      <c r="JRT7" s="2334"/>
      <c r="JRU7" s="2335"/>
      <c r="JRV7" s="2333"/>
      <c r="JRW7" s="2334"/>
      <c r="JRX7" s="2335"/>
      <c r="JRY7" s="2333"/>
      <c r="JRZ7" s="2334"/>
      <c r="JSA7" s="2335"/>
      <c r="JSB7" s="2333"/>
      <c r="JSC7" s="2334"/>
      <c r="JSD7" s="2335"/>
      <c r="JSE7" s="2333"/>
      <c r="JSF7" s="2334"/>
      <c r="JSG7" s="2335"/>
      <c r="JSH7" s="2333"/>
      <c r="JSI7" s="2334"/>
      <c r="JSJ7" s="2335"/>
      <c r="JSK7" s="2333"/>
      <c r="JSL7" s="2334"/>
      <c r="JSM7" s="2335"/>
      <c r="JSN7" s="2333"/>
      <c r="JSO7" s="2334"/>
      <c r="JSP7" s="2335"/>
      <c r="JSQ7" s="2333"/>
      <c r="JSR7" s="2334"/>
      <c r="JSS7" s="2335"/>
      <c r="JST7" s="2333"/>
      <c r="JSU7" s="2334"/>
      <c r="JSV7" s="2335"/>
      <c r="JSW7" s="2333"/>
      <c r="JSX7" s="2334"/>
      <c r="JSY7" s="2335"/>
      <c r="JSZ7" s="2333"/>
      <c r="JTA7" s="2334"/>
      <c r="JTB7" s="2335"/>
      <c r="JTC7" s="2333"/>
      <c r="JTD7" s="2334"/>
      <c r="JTE7" s="2335"/>
      <c r="JTF7" s="2333"/>
      <c r="JTG7" s="2334"/>
      <c r="JTH7" s="2335"/>
      <c r="JTI7" s="2333"/>
      <c r="JTJ7" s="2334"/>
      <c r="JTK7" s="2335"/>
      <c r="JTL7" s="2333"/>
      <c r="JTM7" s="2334"/>
      <c r="JTN7" s="2335"/>
      <c r="JTO7" s="2333"/>
      <c r="JTP7" s="2334"/>
      <c r="JTQ7" s="2335"/>
      <c r="JTR7" s="2333"/>
      <c r="JTS7" s="2334"/>
      <c r="JTT7" s="2335"/>
      <c r="JTU7" s="2333"/>
      <c r="JTV7" s="2334"/>
      <c r="JTW7" s="2335"/>
      <c r="JTX7" s="2333"/>
      <c r="JTY7" s="2334"/>
      <c r="JTZ7" s="2335"/>
      <c r="JUA7" s="2333"/>
      <c r="JUB7" s="2334"/>
      <c r="JUC7" s="2335"/>
      <c r="JUD7" s="2333"/>
      <c r="JUE7" s="2334"/>
      <c r="JUF7" s="2335"/>
      <c r="JUG7" s="2333"/>
      <c r="JUH7" s="2334"/>
      <c r="JUI7" s="2335"/>
      <c r="JUJ7" s="2333"/>
      <c r="JUK7" s="2334"/>
      <c r="JUL7" s="2335"/>
      <c r="JUM7" s="2333"/>
      <c r="JUN7" s="2334"/>
      <c r="JUO7" s="2335"/>
      <c r="JUP7" s="2333"/>
      <c r="JUQ7" s="2334"/>
      <c r="JUR7" s="2335"/>
      <c r="JUS7" s="2333"/>
      <c r="JUT7" s="2334"/>
      <c r="JUU7" s="2335"/>
      <c r="JUV7" s="2333"/>
      <c r="JUW7" s="2334"/>
      <c r="JUX7" s="2335"/>
      <c r="JUY7" s="2333"/>
      <c r="JUZ7" s="2334"/>
      <c r="JVA7" s="2335"/>
      <c r="JVB7" s="2333"/>
      <c r="JVC7" s="2334"/>
      <c r="JVD7" s="2335"/>
      <c r="JVE7" s="2333"/>
      <c r="JVF7" s="2334"/>
      <c r="JVG7" s="2335"/>
      <c r="JVH7" s="2333"/>
      <c r="JVI7" s="2334"/>
      <c r="JVJ7" s="2335"/>
      <c r="JVK7" s="2333"/>
      <c r="JVL7" s="2334"/>
      <c r="JVM7" s="2335"/>
      <c r="JVN7" s="2333"/>
      <c r="JVO7" s="2334"/>
      <c r="JVP7" s="2335"/>
      <c r="JVQ7" s="2333"/>
      <c r="JVR7" s="2334"/>
      <c r="JVS7" s="2335"/>
      <c r="JVT7" s="2333"/>
      <c r="JVU7" s="2334"/>
      <c r="JVV7" s="2335"/>
      <c r="JVW7" s="2333"/>
      <c r="JVX7" s="2334"/>
      <c r="JVY7" s="2335"/>
      <c r="JVZ7" s="2333"/>
      <c r="JWA7" s="2334"/>
      <c r="JWB7" s="2335"/>
      <c r="JWC7" s="2333"/>
      <c r="JWD7" s="2334"/>
      <c r="JWE7" s="2335"/>
      <c r="JWF7" s="2333"/>
      <c r="JWG7" s="2334"/>
      <c r="JWH7" s="2335"/>
      <c r="JWI7" s="2333"/>
      <c r="JWJ7" s="2334"/>
      <c r="JWK7" s="2335"/>
      <c r="JWL7" s="2333"/>
      <c r="JWM7" s="2334"/>
      <c r="JWN7" s="2335"/>
      <c r="JWO7" s="2333"/>
      <c r="JWP7" s="2334"/>
      <c r="JWQ7" s="2335"/>
      <c r="JWR7" s="2333"/>
      <c r="JWS7" s="2334"/>
      <c r="JWT7" s="2335"/>
      <c r="JWU7" s="2333"/>
      <c r="JWV7" s="2334"/>
      <c r="JWW7" s="2335"/>
      <c r="JWX7" s="2333"/>
      <c r="JWY7" s="2334"/>
      <c r="JWZ7" s="2335"/>
      <c r="JXA7" s="2333"/>
      <c r="JXB7" s="2334"/>
      <c r="JXC7" s="2335"/>
      <c r="JXD7" s="2333"/>
      <c r="JXE7" s="2334"/>
      <c r="JXF7" s="2335"/>
      <c r="JXG7" s="2333"/>
      <c r="JXH7" s="2334"/>
      <c r="JXI7" s="2335"/>
      <c r="JXJ7" s="2333"/>
      <c r="JXK7" s="2334"/>
      <c r="JXL7" s="2335"/>
      <c r="JXM7" s="2333"/>
      <c r="JXN7" s="2334"/>
      <c r="JXO7" s="2335"/>
      <c r="JXP7" s="2333"/>
      <c r="JXQ7" s="2334"/>
      <c r="JXR7" s="2335"/>
      <c r="JXS7" s="2333"/>
      <c r="JXT7" s="2334"/>
      <c r="JXU7" s="2335"/>
      <c r="JXV7" s="2333"/>
      <c r="JXW7" s="2334"/>
      <c r="JXX7" s="2335"/>
      <c r="JXY7" s="2333"/>
      <c r="JXZ7" s="2334"/>
      <c r="JYA7" s="2335"/>
      <c r="JYB7" s="2333"/>
      <c r="JYC7" s="2334"/>
      <c r="JYD7" s="2335"/>
      <c r="JYE7" s="2333"/>
      <c r="JYF7" s="2334"/>
      <c r="JYG7" s="2335"/>
      <c r="JYH7" s="2333"/>
      <c r="JYI7" s="2334"/>
      <c r="JYJ7" s="2335"/>
      <c r="JYK7" s="2333"/>
      <c r="JYL7" s="2334"/>
      <c r="JYM7" s="2335"/>
      <c r="JYN7" s="2333"/>
      <c r="JYO7" s="2334"/>
      <c r="JYP7" s="2335"/>
      <c r="JYQ7" s="2333"/>
      <c r="JYR7" s="2334"/>
      <c r="JYS7" s="2335"/>
      <c r="JYT7" s="2333"/>
      <c r="JYU7" s="2334"/>
      <c r="JYV7" s="2335"/>
      <c r="JYW7" s="2333"/>
      <c r="JYX7" s="2334"/>
      <c r="JYY7" s="2335"/>
      <c r="JYZ7" s="2333"/>
      <c r="JZA7" s="2334"/>
      <c r="JZB7" s="2335"/>
      <c r="JZC7" s="2333"/>
      <c r="JZD7" s="2334"/>
      <c r="JZE7" s="2335"/>
      <c r="JZF7" s="2333"/>
      <c r="JZG7" s="2334"/>
      <c r="JZH7" s="2335"/>
      <c r="JZI7" s="2333"/>
      <c r="JZJ7" s="2334"/>
      <c r="JZK7" s="2335"/>
      <c r="JZL7" s="2333"/>
      <c r="JZM7" s="2334"/>
      <c r="JZN7" s="2335"/>
      <c r="JZO7" s="2333"/>
      <c r="JZP7" s="2334"/>
      <c r="JZQ7" s="2335"/>
      <c r="JZR7" s="2333"/>
      <c r="JZS7" s="2334"/>
      <c r="JZT7" s="2335"/>
      <c r="JZU7" s="2333"/>
      <c r="JZV7" s="2334"/>
      <c r="JZW7" s="2335"/>
      <c r="JZX7" s="2333"/>
      <c r="JZY7" s="2334"/>
      <c r="JZZ7" s="2335"/>
      <c r="KAA7" s="2333"/>
      <c r="KAB7" s="2334"/>
      <c r="KAC7" s="2335"/>
      <c r="KAD7" s="2333"/>
      <c r="KAE7" s="2334"/>
      <c r="KAF7" s="2335"/>
      <c r="KAG7" s="2333"/>
      <c r="KAH7" s="2334"/>
      <c r="KAI7" s="2335"/>
      <c r="KAJ7" s="2333"/>
      <c r="KAK7" s="2334"/>
      <c r="KAL7" s="2335"/>
      <c r="KAM7" s="2333"/>
      <c r="KAN7" s="2334"/>
      <c r="KAO7" s="2335"/>
      <c r="KAP7" s="2333"/>
      <c r="KAQ7" s="2334"/>
      <c r="KAR7" s="2335"/>
      <c r="KAS7" s="2333"/>
      <c r="KAT7" s="2334"/>
      <c r="KAU7" s="2335"/>
      <c r="KAV7" s="2333"/>
      <c r="KAW7" s="2334"/>
      <c r="KAX7" s="2335"/>
      <c r="KAY7" s="2333"/>
      <c r="KAZ7" s="2334"/>
      <c r="KBA7" s="2335"/>
      <c r="KBB7" s="2333"/>
      <c r="KBC7" s="2334"/>
      <c r="KBD7" s="2335"/>
      <c r="KBE7" s="2333"/>
      <c r="KBF7" s="2334"/>
      <c r="KBG7" s="2335"/>
      <c r="KBH7" s="2333"/>
      <c r="KBI7" s="2334"/>
      <c r="KBJ7" s="2335"/>
      <c r="KBK7" s="2333"/>
      <c r="KBL7" s="2334"/>
      <c r="KBM7" s="2335"/>
      <c r="KBN7" s="2333"/>
      <c r="KBO7" s="2334"/>
      <c r="KBP7" s="2335"/>
      <c r="KBQ7" s="2333"/>
      <c r="KBR7" s="2334"/>
      <c r="KBS7" s="2335"/>
      <c r="KBT7" s="2333"/>
      <c r="KBU7" s="2334"/>
      <c r="KBV7" s="2335"/>
      <c r="KBW7" s="2333"/>
      <c r="KBX7" s="2334"/>
      <c r="KBY7" s="2335"/>
      <c r="KBZ7" s="2333"/>
      <c r="KCA7" s="2334"/>
      <c r="KCB7" s="2335"/>
      <c r="KCC7" s="2333"/>
      <c r="KCD7" s="2334"/>
      <c r="KCE7" s="2335"/>
      <c r="KCF7" s="2333"/>
      <c r="KCG7" s="2334"/>
      <c r="KCH7" s="2335"/>
      <c r="KCI7" s="2333"/>
      <c r="KCJ7" s="2334"/>
      <c r="KCK7" s="2335"/>
      <c r="KCL7" s="2333"/>
      <c r="KCM7" s="2334"/>
      <c r="KCN7" s="2335"/>
      <c r="KCO7" s="2333"/>
      <c r="KCP7" s="2334"/>
      <c r="KCQ7" s="2335"/>
      <c r="KCR7" s="2333"/>
      <c r="KCS7" s="2334"/>
      <c r="KCT7" s="2335"/>
      <c r="KCU7" s="2333"/>
      <c r="KCV7" s="2334"/>
      <c r="KCW7" s="2335"/>
      <c r="KCX7" s="2333"/>
      <c r="KCY7" s="2334"/>
      <c r="KCZ7" s="2335"/>
      <c r="KDA7" s="2333"/>
      <c r="KDB7" s="2334"/>
      <c r="KDC7" s="2335"/>
      <c r="KDD7" s="2333"/>
      <c r="KDE7" s="2334"/>
      <c r="KDF7" s="2335"/>
      <c r="KDG7" s="2333"/>
      <c r="KDH7" s="2334"/>
      <c r="KDI7" s="2335"/>
      <c r="KDJ7" s="2333"/>
      <c r="KDK7" s="2334"/>
      <c r="KDL7" s="2335"/>
      <c r="KDM7" s="2333"/>
      <c r="KDN7" s="2334"/>
      <c r="KDO7" s="2335"/>
      <c r="KDP7" s="2333"/>
      <c r="KDQ7" s="2334"/>
      <c r="KDR7" s="2335"/>
      <c r="KDS7" s="2333"/>
      <c r="KDT7" s="2334"/>
      <c r="KDU7" s="2335"/>
      <c r="KDV7" s="2333"/>
      <c r="KDW7" s="2334"/>
      <c r="KDX7" s="2335"/>
      <c r="KDY7" s="2333"/>
      <c r="KDZ7" s="2334"/>
      <c r="KEA7" s="2335"/>
      <c r="KEB7" s="2333"/>
      <c r="KEC7" s="2334"/>
      <c r="KED7" s="2335"/>
      <c r="KEE7" s="2333"/>
      <c r="KEF7" s="2334"/>
      <c r="KEG7" s="2335"/>
      <c r="KEH7" s="2333"/>
      <c r="KEI7" s="2334"/>
      <c r="KEJ7" s="2335"/>
      <c r="KEK7" s="2333"/>
      <c r="KEL7" s="2334"/>
      <c r="KEM7" s="2335"/>
      <c r="KEN7" s="2333"/>
      <c r="KEO7" s="2334"/>
      <c r="KEP7" s="2335"/>
      <c r="KEQ7" s="2333"/>
      <c r="KER7" s="2334"/>
      <c r="KES7" s="2335"/>
      <c r="KET7" s="2333"/>
      <c r="KEU7" s="2334"/>
      <c r="KEV7" s="2335"/>
      <c r="KEW7" s="2333"/>
      <c r="KEX7" s="2334"/>
      <c r="KEY7" s="2335"/>
      <c r="KEZ7" s="2333"/>
      <c r="KFA7" s="2334"/>
      <c r="KFB7" s="2335"/>
      <c r="KFC7" s="2333"/>
      <c r="KFD7" s="2334"/>
      <c r="KFE7" s="2335"/>
      <c r="KFF7" s="2333"/>
      <c r="KFG7" s="2334"/>
      <c r="KFH7" s="2335"/>
      <c r="KFI7" s="2333"/>
      <c r="KFJ7" s="2334"/>
      <c r="KFK7" s="2335"/>
      <c r="KFL7" s="2333"/>
      <c r="KFM7" s="2334"/>
      <c r="KFN7" s="2335"/>
      <c r="KFO7" s="2333"/>
      <c r="KFP7" s="2334"/>
      <c r="KFQ7" s="2335"/>
      <c r="KFR7" s="2333"/>
      <c r="KFS7" s="2334"/>
      <c r="KFT7" s="2335"/>
      <c r="KFU7" s="2333"/>
      <c r="KFV7" s="2334"/>
      <c r="KFW7" s="2335"/>
      <c r="KFX7" s="2333"/>
      <c r="KFY7" s="2334"/>
      <c r="KFZ7" s="2335"/>
      <c r="KGA7" s="2333"/>
      <c r="KGB7" s="2334"/>
      <c r="KGC7" s="2335"/>
      <c r="KGD7" s="2333"/>
      <c r="KGE7" s="2334"/>
      <c r="KGF7" s="2335"/>
      <c r="KGG7" s="2333"/>
      <c r="KGH7" s="2334"/>
      <c r="KGI7" s="2335"/>
      <c r="KGJ7" s="2333"/>
      <c r="KGK7" s="2334"/>
      <c r="KGL7" s="2335"/>
      <c r="KGM7" s="2333"/>
      <c r="KGN7" s="2334"/>
      <c r="KGO7" s="2335"/>
      <c r="KGP7" s="2333"/>
      <c r="KGQ7" s="2334"/>
      <c r="KGR7" s="2335"/>
      <c r="KGS7" s="2333"/>
      <c r="KGT7" s="2334"/>
      <c r="KGU7" s="2335"/>
      <c r="KGV7" s="2333"/>
      <c r="KGW7" s="2334"/>
      <c r="KGX7" s="2335"/>
      <c r="KGY7" s="2333"/>
      <c r="KGZ7" s="2334"/>
      <c r="KHA7" s="2335"/>
      <c r="KHB7" s="2333"/>
      <c r="KHC7" s="2334"/>
      <c r="KHD7" s="2335"/>
      <c r="KHE7" s="2333"/>
      <c r="KHF7" s="2334"/>
      <c r="KHG7" s="2335"/>
      <c r="KHH7" s="2333"/>
      <c r="KHI7" s="2334"/>
      <c r="KHJ7" s="2335"/>
      <c r="KHK7" s="2333"/>
      <c r="KHL7" s="2334"/>
      <c r="KHM7" s="2335"/>
      <c r="KHN7" s="2333"/>
      <c r="KHO7" s="2334"/>
      <c r="KHP7" s="2335"/>
      <c r="KHQ7" s="2333"/>
      <c r="KHR7" s="2334"/>
      <c r="KHS7" s="2335"/>
      <c r="KHT7" s="2333"/>
      <c r="KHU7" s="2334"/>
      <c r="KHV7" s="2335"/>
      <c r="KHW7" s="2333"/>
      <c r="KHX7" s="2334"/>
      <c r="KHY7" s="2335"/>
      <c r="KHZ7" s="2333"/>
      <c r="KIA7" s="2334"/>
      <c r="KIB7" s="2335"/>
      <c r="KIC7" s="2333"/>
      <c r="KID7" s="2334"/>
      <c r="KIE7" s="2335"/>
      <c r="KIF7" s="2333"/>
      <c r="KIG7" s="2334"/>
      <c r="KIH7" s="2335"/>
      <c r="KII7" s="2333"/>
      <c r="KIJ7" s="2334"/>
      <c r="KIK7" s="2335"/>
      <c r="KIL7" s="2333"/>
      <c r="KIM7" s="2334"/>
      <c r="KIN7" s="2335"/>
      <c r="KIO7" s="2333"/>
      <c r="KIP7" s="2334"/>
      <c r="KIQ7" s="2335"/>
      <c r="KIR7" s="2333"/>
      <c r="KIS7" s="2334"/>
      <c r="KIT7" s="2335"/>
      <c r="KIU7" s="2333"/>
      <c r="KIV7" s="2334"/>
      <c r="KIW7" s="2335"/>
      <c r="KIX7" s="2333"/>
      <c r="KIY7" s="2334"/>
      <c r="KIZ7" s="2335"/>
      <c r="KJA7" s="2333"/>
      <c r="KJB7" s="2334"/>
      <c r="KJC7" s="2335"/>
      <c r="KJD7" s="2333"/>
      <c r="KJE7" s="2334"/>
      <c r="KJF7" s="2335"/>
      <c r="KJG7" s="2333"/>
      <c r="KJH7" s="2334"/>
      <c r="KJI7" s="2335"/>
      <c r="KJJ7" s="2333"/>
      <c r="KJK7" s="2334"/>
      <c r="KJL7" s="2335"/>
      <c r="KJM7" s="2333"/>
      <c r="KJN7" s="2334"/>
      <c r="KJO7" s="2335"/>
      <c r="KJP7" s="2333"/>
      <c r="KJQ7" s="2334"/>
      <c r="KJR7" s="2335"/>
      <c r="KJS7" s="2333"/>
      <c r="KJT7" s="2334"/>
      <c r="KJU7" s="2335"/>
      <c r="KJV7" s="2333"/>
      <c r="KJW7" s="2334"/>
      <c r="KJX7" s="2335"/>
      <c r="KJY7" s="2333"/>
      <c r="KJZ7" s="2334"/>
      <c r="KKA7" s="2335"/>
      <c r="KKB7" s="2333"/>
      <c r="KKC7" s="2334"/>
      <c r="KKD7" s="2335"/>
      <c r="KKE7" s="2333"/>
      <c r="KKF7" s="2334"/>
      <c r="KKG7" s="2335"/>
      <c r="KKH7" s="2333"/>
      <c r="KKI7" s="2334"/>
      <c r="KKJ7" s="2335"/>
      <c r="KKK7" s="2333"/>
      <c r="KKL7" s="2334"/>
      <c r="KKM7" s="2335"/>
      <c r="KKN7" s="2333"/>
      <c r="KKO7" s="2334"/>
      <c r="KKP7" s="2335"/>
      <c r="KKQ7" s="2333"/>
      <c r="KKR7" s="2334"/>
      <c r="KKS7" s="2335"/>
      <c r="KKT7" s="2333"/>
      <c r="KKU7" s="2334"/>
      <c r="KKV7" s="2335"/>
      <c r="KKW7" s="2333"/>
      <c r="KKX7" s="2334"/>
      <c r="KKY7" s="2335"/>
      <c r="KKZ7" s="2333"/>
      <c r="KLA7" s="2334"/>
      <c r="KLB7" s="2335"/>
      <c r="KLC7" s="2333"/>
      <c r="KLD7" s="2334"/>
      <c r="KLE7" s="2335"/>
      <c r="KLF7" s="2333"/>
      <c r="KLG7" s="2334"/>
      <c r="KLH7" s="2335"/>
      <c r="KLI7" s="2333"/>
      <c r="KLJ7" s="2334"/>
      <c r="KLK7" s="2335"/>
      <c r="KLL7" s="2333"/>
      <c r="KLM7" s="2334"/>
      <c r="KLN7" s="2335"/>
      <c r="KLO7" s="2333"/>
      <c r="KLP7" s="2334"/>
      <c r="KLQ7" s="2335"/>
      <c r="KLR7" s="2333"/>
      <c r="KLS7" s="2334"/>
      <c r="KLT7" s="2335"/>
      <c r="KLU7" s="2333"/>
      <c r="KLV7" s="2334"/>
      <c r="KLW7" s="2335"/>
      <c r="KLX7" s="2333"/>
      <c r="KLY7" s="2334"/>
      <c r="KLZ7" s="2335"/>
      <c r="KMA7" s="2333"/>
      <c r="KMB7" s="2334"/>
      <c r="KMC7" s="2335"/>
      <c r="KMD7" s="2333"/>
      <c r="KME7" s="2334"/>
      <c r="KMF7" s="2335"/>
      <c r="KMG7" s="2333"/>
      <c r="KMH7" s="2334"/>
      <c r="KMI7" s="2335"/>
      <c r="KMJ7" s="2333"/>
      <c r="KMK7" s="2334"/>
      <c r="KML7" s="2335"/>
      <c r="KMM7" s="2333"/>
      <c r="KMN7" s="2334"/>
      <c r="KMO7" s="2335"/>
      <c r="KMP7" s="2333"/>
      <c r="KMQ7" s="2334"/>
      <c r="KMR7" s="2335"/>
      <c r="KMS7" s="2333"/>
      <c r="KMT7" s="2334"/>
      <c r="KMU7" s="2335"/>
      <c r="KMV7" s="2333"/>
      <c r="KMW7" s="2334"/>
      <c r="KMX7" s="2335"/>
      <c r="KMY7" s="2333"/>
      <c r="KMZ7" s="2334"/>
      <c r="KNA7" s="2335"/>
      <c r="KNB7" s="2333"/>
      <c r="KNC7" s="2334"/>
      <c r="KND7" s="2335"/>
      <c r="KNE7" s="2333"/>
      <c r="KNF7" s="2334"/>
      <c r="KNG7" s="2335"/>
      <c r="KNH7" s="2333"/>
      <c r="KNI7" s="2334"/>
      <c r="KNJ7" s="2335"/>
      <c r="KNK7" s="2333"/>
      <c r="KNL7" s="2334"/>
      <c r="KNM7" s="2335"/>
      <c r="KNN7" s="2333"/>
      <c r="KNO7" s="2334"/>
      <c r="KNP7" s="2335"/>
      <c r="KNQ7" s="2333"/>
      <c r="KNR7" s="2334"/>
      <c r="KNS7" s="2335"/>
      <c r="KNT7" s="2333"/>
      <c r="KNU7" s="2334"/>
      <c r="KNV7" s="2335"/>
      <c r="KNW7" s="2333"/>
      <c r="KNX7" s="2334"/>
      <c r="KNY7" s="2335"/>
      <c r="KNZ7" s="2333"/>
      <c r="KOA7" s="2334"/>
      <c r="KOB7" s="2335"/>
      <c r="KOC7" s="2333"/>
      <c r="KOD7" s="2334"/>
      <c r="KOE7" s="2335"/>
      <c r="KOF7" s="2333"/>
      <c r="KOG7" s="2334"/>
      <c r="KOH7" s="2335"/>
      <c r="KOI7" s="2333"/>
      <c r="KOJ7" s="2334"/>
      <c r="KOK7" s="2335"/>
      <c r="KOL7" s="2333"/>
      <c r="KOM7" s="2334"/>
      <c r="KON7" s="2335"/>
      <c r="KOO7" s="2333"/>
      <c r="KOP7" s="2334"/>
      <c r="KOQ7" s="2335"/>
      <c r="KOR7" s="2333"/>
      <c r="KOS7" s="2334"/>
      <c r="KOT7" s="2335"/>
      <c r="KOU7" s="2333"/>
      <c r="KOV7" s="2334"/>
      <c r="KOW7" s="2335"/>
      <c r="KOX7" s="2333"/>
      <c r="KOY7" s="2334"/>
      <c r="KOZ7" s="2335"/>
      <c r="KPA7" s="2333"/>
      <c r="KPB7" s="2334"/>
      <c r="KPC7" s="2335"/>
      <c r="KPD7" s="2333"/>
      <c r="KPE7" s="2334"/>
      <c r="KPF7" s="2335"/>
      <c r="KPG7" s="2333"/>
      <c r="KPH7" s="2334"/>
      <c r="KPI7" s="2335"/>
      <c r="KPJ7" s="2333"/>
      <c r="KPK7" s="2334"/>
      <c r="KPL7" s="2335"/>
      <c r="KPM7" s="2333"/>
      <c r="KPN7" s="2334"/>
      <c r="KPO7" s="2335"/>
      <c r="KPP7" s="2333"/>
      <c r="KPQ7" s="2334"/>
      <c r="KPR7" s="2335"/>
      <c r="KPS7" s="2333"/>
      <c r="KPT7" s="2334"/>
      <c r="KPU7" s="2335"/>
      <c r="KPV7" s="2333"/>
      <c r="KPW7" s="2334"/>
      <c r="KPX7" s="2335"/>
      <c r="KPY7" s="2333"/>
      <c r="KPZ7" s="2334"/>
      <c r="KQA7" s="2335"/>
      <c r="KQB7" s="2333"/>
      <c r="KQC7" s="2334"/>
      <c r="KQD7" s="2335"/>
      <c r="KQE7" s="2333"/>
      <c r="KQF7" s="2334"/>
      <c r="KQG7" s="2335"/>
      <c r="KQH7" s="2333"/>
      <c r="KQI7" s="2334"/>
      <c r="KQJ7" s="2335"/>
      <c r="KQK7" s="2333"/>
      <c r="KQL7" s="2334"/>
      <c r="KQM7" s="2335"/>
      <c r="KQN7" s="2333"/>
      <c r="KQO7" s="2334"/>
      <c r="KQP7" s="2335"/>
      <c r="KQQ7" s="2333"/>
      <c r="KQR7" s="2334"/>
      <c r="KQS7" s="2335"/>
      <c r="KQT7" s="2333"/>
      <c r="KQU7" s="2334"/>
      <c r="KQV7" s="2335"/>
      <c r="KQW7" s="2333"/>
      <c r="KQX7" s="2334"/>
      <c r="KQY7" s="2335"/>
      <c r="KQZ7" s="2333"/>
      <c r="KRA7" s="2334"/>
      <c r="KRB7" s="2335"/>
      <c r="KRC7" s="2333"/>
      <c r="KRD7" s="2334"/>
      <c r="KRE7" s="2335"/>
      <c r="KRF7" s="2333"/>
      <c r="KRG7" s="2334"/>
      <c r="KRH7" s="2335"/>
      <c r="KRI7" s="2333"/>
      <c r="KRJ7" s="2334"/>
      <c r="KRK7" s="2335"/>
      <c r="KRL7" s="2333"/>
      <c r="KRM7" s="2334"/>
      <c r="KRN7" s="2335"/>
      <c r="KRO7" s="2333"/>
      <c r="KRP7" s="2334"/>
      <c r="KRQ7" s="2335"/>
      <c r="KRR7" s="2333"/>
      <c r="KRS7" s="2334"/>
      <c r="KRT7" s="2335"/>
      <c r="KRU7" s="2333"/>
      <c r="KRV7" s="2334"/>
      <c r="KRW7" s="2335"/>
      <c r="KRX7" s="2333"/>
      <c r="KRY7" s="2334"/>
      <c r="KRZ7" s="2335"/>
      <c r="KSA7" s="2333"/>
      <c r="KSB7" s="2334"/>
      <c r="KSC7" s="2335"/>
      <c r="KSD7" s="2333"/>
      <c r="KSE7" s="2334"/>
      <c r="KSF7" s="2335"/>
      <c r="KSG7" s="2333"/>
      <c r="KSH7" s="2334"/>
      <c r="KSI7" s="2335"/>
      <c r="KSJ7" s="2333"/>
      <c r="KSK7" s="2334"/>
      <c r="KSL7" s="2335"/>
      <c r="KSM7" s="2333"/>
      <c r="KSN7" s="2334"/>
      <c r="KSO7" s="2335"/>
      <c r="KSP7" s="2333"/>
      <c r="KSQ7" s="2334"/>
      <c r="KSR7" s="2335"/>
      <c r="KSS7" s="2333"/>
      <c r="KST7" s="2334"/>
      <c r="KSU7" s="2335"/>
      <c r="KSV7" s="2333"/>
      <c r="KSW7" s="2334"/>
      <c r="KSX7" s="2335"/>
      <c r="KSY7" s="2333"/>
      <c r="KSZ7" s="2334"/>
      <c r="KTA7" s="2335"/>
      <c r="KTB7" s="2333"/>
      <c r="KTC7" s="2334"/>
      <c r="KTD7" s="2335"/>
      <c r="KTE7" s="2333"/>
      <c r="KTF7" s="2334"/>
      <c r="KTG7" s="2335"/>
      <c r="KTH7" s="2333"/>
      <c r="KTI7" s="2334"/>
      <c r="KTJ7" s="2335"/>
      <c r="KTK7" s="2333"/>
      <c r="KTL7" s="2334"/>
      <c r="KTM7" s="2335"/>
      <c r="KTN7" s="2333"/>
      <c r="KTO7" s="2334"/>
      <c r="KTP7" s="2335"/>
      <c r="KTQ7" s="2333"/>
      <c r="KTR7" s="2334"/>
      <c r="KTS7" s="2335"/>
      <c r="KTT7" s="2333"/>
      <c r="KTU7" s="2334"/>
      <c r="KTV7" s="2335"/>
      <c r="KTW7" s="2333"/>
      <c r="KTX7" s="2334"/>
      <c r="KTY7" s="2335"/>
      <c r="KTZ7" s="2333"/>
      <c r="KUA7" s="2334"/>
      <c r="KUB7" s="2335"/>
      <c r="KUC7" s="2333"/>
      <c r="KUD7" s="2334"/>
      <c r="KUE7" s="2335"/>
      <c r="KUF7" s="2333"/>
      <c r="KUG7" s="2334"/>
      <c r="KUH7" s="2335"/>
      <c r="KUI7" s="2333"/>
      <c r="KUJ7" s="2334"/>
      <c r="KUK7" s="2335"/>
      <c r="KUL7" s="2333"/>
      <c r="KUM7" s="2334"/>
      <c r="KUN7" s="2335"/>
      <c r="KUO7" s="2333"/>
      <c r="KUP7" s="2334"/>
      <c r="KUQ7" s="2335"/>
      <c r="KUR7" s="2333"/>
      <c r="KUS7" s="2334"/>
      <c r="KUT7" s="2335"/>
      <c r="KUU7" s="2333"/>
      <c r="KUV7" s="2334"/>
      <c r="KUW7" s="2335"/>
      <c r="KUX7" s="2333"/>
      <c r="KUY7" s="2334"/>
      <c r="KUZ7" s="2335"/>
      <c r="KVA7" s="2333"/>
      <c r="KVB7" s="2334"/>
      <c r="KVC7" s="2335"/>
      <c r="KVD7" s="2333"/>
      <c r="KVE7" s="2334"/>
      <c r="KVF7" s="2335"/>
      <c r="KVG7" s="2333"/>
      <c r="KVH7" s="2334"/>
      <c r="KVI7" s="2335"/>
      <c r="KVJ7" s="2333"/>
      <c r="KVK7" s="2334"/>
      <c r="KVL7" s="2335"/>
      <c r="KVM7" s="2333"/>
      <c r="KVN7" s="2334"/>
      <c r="KVO7" s="2335"/>
      <c r="KVP7" s="2333"/>
      <c r="KVQ7" s="2334"/>
      <c r="KVR7" s="2335"/>
      <c r="KVS7" s="2333"/>
      <c r="KVT7" s="2334"/>
      <c r="KVU7" s="2335"/>
      <c r="KVV7" s="2333"/>
      <c r="KVW7" s="2334"/>
      <c r="KVX7" s="2335"/>
      <c r="KVY7" s="2333"/>
      <c r="KVZ7" s="2334"/>
      <c r="KWA7" s="2335"/>
      <c r="KWB7" s="2333"/>
      <c r="KWC7" s="2334"/>
      <c r="KWD7" s="2335"/>
      <c r="KWE7" s="2333"/>
      <c r="KWF7" s="2334"/>
      <c r="KWG7" s="2335"/>
      <c r="KWH7" s="2333"/>
      <c r="KWI7" s="2334"/>
      <c r="KWJ7" s="2335"/>
      <c r="KWK7" s="2333"/>
      <c r="KWL7" s="2334"/>
      <c r="KWM7" s="2335"/>
      <c r="KWN7" s="2333"/>
      <c r="KWO7" s="2334"/>
      <c r="KWP7" s="2335"/>
      <c r="KWQ7" s="2333"/>
      <c r="KWR7" s="2334"/>
      <c r="KWS7" s="2335"/>
      <c r="KWT7" s="2333"/>
      <c r="KWU7" s="2334"/>
      <c r="KWV7" s="2335"/>
      <c r="KWW7" s="2333"/>
      <c r="KWX7" s="2334"/>
      <c r="KWY7" s="2335"/>
      <c r="KWZ7" s="2333"/>
      <c r="KXA7" s="2334"/>
      <c r="KXB7" s="2335"/>
      <c r="KXC7" s="2333"/>
      <c r="KXD7" s="2334"/>
      <c r="KXE7" s="2335"/>
      <c r="KXF7" s="2333"/>
      <c r="KXG7" s="2334"/>
      <c r="KXH7" s="2335"/>
      <c r="KXI7" s="2333"/>
      <c r="KXJ7" s="2334"/>
      <c r="KXK7" s="2335"/>
      <c r="KXL7" s="2333"/>
      <c r="KXM7" s="2334"/>
      <c r="KXN7" s="2335"/>
      <c r="KXO7" s="2333"/>
      <c r="KXP7" s="2334"/>
      <c r="KXQ7" s="2335"/>
      <c r="KXR7" s="2333"/>
      <c r="KXS7" s="2334"/>
      <c r="KXT7" s="2335"/>
      <c r="KXU7" s="2333"/>
      <c r="KXV7" s="2334"/>
      <c r="KXW7" s="2335"/>
      <c r="KXX7" s="2333"/>
      <c r="KXY7" s="2334"/>
      <c r="KXZ7" s="2335"/>
      <c r="KYA7" s="2333"/>
      <c r="KYB7" s="2334"/>
      <c r="KYC7" s="2335"/>
      <c r="KYD7" s="2333"/>
      <c r="KYE7" s="2334"/>
      <c r="KYF7" s="2335"/>
      <c r="KYG7" s="2333"/>
      <c r="KYH7" s="2334"/>
      <c r="KYI7" s="2335"/>
      <c r="KYJ7" s="2333"/>
      <c r="KYK7" s="2334"/>
      <c r="KYL7" s="2335"/>
      <c r="KYM7" s="2333"/>
      <c r="KYN7" s="2334"/>
      <c r="KYO7" s="2335"/>
      <c r="KYP7" s="2333"/>
      <c r="KYQ7" s="2334"/>
      <c r="KYR7" s="2335"/>
      <c r="KYS7" s="2333"/>
      <c r="KYT7" s="2334"/>
      <c r="KYU7" s="2335"/>
      <c r="KYV7" s="2333"/>
      <c r="KYW7" s="2334"/>
      <c r="KYX7" s="2335"/>
      <c r="KYY7" s="2333"/>
      <c r="KYZ7" s="2334"/>
      <c r="KZA7" s="2335"/>
      <c r="KZB7" s="2333"/>
      <c r="KZC7" s="2334"/>
      <c r="KZD7" s="2335"/>
      <c r="KZE7" s="2333"/>
      <c r="KZF7" s="2334"/>
      <c r="KZG7" s="2335"/>
      <c r="KZH7" s="2333"/>
      <c r="KZI7" s="2334"/>
      <c r="KZJ7" s="2335"/>
      <c r="KZK7" s="2333"/>
      <c r="KZL7" s="2334"/>
      <c r="KZM7" s="2335"/>
      <c r="KZN7" s="2333"/>
      <c r="KZO7" s="2334"/>
      <c r="KZP7" s="2335"/>
      <c r="KZQ7" s="2333"/>
      <c r="KZR7" s="2334"/>
      <c r="KZS7" s="2335"/>
      <c r="KZT7" s="2333"/>
      <c r="KZU7" s="2334"/>
      <c r="KZV7" s="2335"/>
      <c r="KZW7" s="2333"/>
      <c r="KZX7" s="2334"/>
      <c r="KZY7" s="2335"/>
      <c r="KZZ7" s="2333"/>
      <c r="LAA7" s="2334"/>
      <c r="LAB7" s="2335"/>
      <c r="LAC7" s="2333"/>
      <c r="LAD7" s="2334"/>
      <c r="LAE7" s="2335"/>
      <c r="LAF7" s="2333"/>
      <c r="LAG7" s="2334"/>
      <c r="LAH7" s="2335"/>
      <c r="LAI7" s="2333"/>
      <c r="LAJ7" s="2334"/>
      <c r="LAK7" s="2335"/>
      <c r="LAL7" s="2333"/>
      <c r="LAM7" s="2334"/>
      <c r="LAN7" s="2335"/>
      <c r="LAO7" s="2333"/>
      <c r="LAP7" s="2334"/>
      <c r="LAQ7" s="2335"/>
      <c r="LAR7" s="2333"/>
      <c r="LAS7" s="2334"/>
      <c r="LAT7" s="2335"/>
      <c r="LAU7" s="2333"/>
      <c r="LAV7" s="2334"/>
      <c r="LAW7" s="2335"/>
      <c r="LAX7" s="2333"/>
      <c r="LAY7" s="2334"/>
      <c r="LAZ7" s="2335"/>
      <c r="LBA7" s="2333"/>
      <c r="LBB7" s="2334"/>
      <c r="LBC7" s="2335"/>
      <c r="LBD7" s="2333"/>
      <c r="LBE7" s="2334"/>
      <c r="LBF7" s="2335"/>
      <c r="LBG7" s="2333"/>
      <c r="LBH7" s="2334"/>
      <c r="LBI7" s="2335"/>
      <c r="LBJ7" s="2333"/>
      <c r="LBK7" s="2334"/>
      <c r="LBL7" s="2335"/>
      <c r="LBM7" s="2333"/>
      <c r="LBN7" s="2334"/>
      <c r="LBO7" s="2335"/>
      <c r="LBP7" s="2333"/>
      <c r="LBQ7" s="2334"/>
      <c r="LBR7" s="2335"/>
      <c r="LBS7" s="2333"/>
      <c r="LBT7" s="2334"/>
      <c r="LBU7" s="2335"/>
      <c r="LBV7" s="2333"/>
      <c r="LBW7" s="2334"/>
      <c r="LBX7" s="2335"/>
      <c r="LBY7" s="2333"/>
      <c r="LBZ7" s="2334"/>
      <c r="LCA7" s="2335"/>
      <c r="LCB7" s="2333"/>
      <c r="LCC7" s="2334"/>
      <c r="LCD7" s="2335"/>
      <c r="LCE7" s="2333"/>
      <c r="LCF7" s="2334"/>
      <c r="LCG7" s="2335"/>
      <c r="LCH7" s="2333"/>
      <c r="LCI7" s="2334"/>
      <c r="LCJ7" s="2335"/>
      <c r="LCK7" s="2333"/>
      <c r="LCL7" s="2334"/>
      <c r="LCM7" s="2335"/>
      <c r="LCN7" s="2333"/>
      <c r="LCO7" s="2334"/>
      <c r="LCP7" s="2335"/>
      <c r="LCQ7" s="2333"/>
      <c r="LCR7" s="2334"/>
      <c r="LCS7" s="2335"/>
      <c r="LCT7" s="2333"/>
      <c r="LCU7" s="2334"/>
      <c r="LCV7" s="2335"/>
      <c r="LCW7" s="2333"/>
      <c r="LCX7" s="2334"/>
      <c r="LCY7" s="2335"/>
      <c r="LCZ7" s="2333"/>
      <c r="LDA7" s="2334"/>
      <c r="LDB7" s="2335"/>
      <c r="LDC7" s="2333"/>
      <c r="LDD7" s="2334"/>
      <c r="LDE7" s="2335"/>
      <c r="LDF7" s="2333"/>
      <c r="LDG7" s="2334"/>
      <c r="LDH7" s="2335"/>
      <c r="LDI7" s="2333"/>
      <c r="LDJ7" s="2334"/>
      <c r="LDK7" s="2335"/>
      <c r="LDL7" s="2333"/>
      <c r="LDM7" s="2334"/>
      <c r="LDN7" s="2335"/>
      <c r="LDO7" s="2333"/>
      <c r="LDP7" s="2334"/>
      <c r="LDQ7" s="2335"/>
      <c r="LDR7" s="2333"/>
      <c r="LDS7" s="2334"/>
      <c r="LDT7" s="2335"/>
      <c r="LDU7" s="2333"/>
      <c r="LDV7" s="2334"/>
      <c r="LDW7" s="2335"/>
      <c r="LDX7" s="2333"/>
      <c r="LDY7" s="2334"/>
      <c r="LDZ7" s="2335"/>
      <c r="LEA7" s="2333"/>
      <c r="LEB7" s="2334"/>
      <c r="LEC7" s="2335"/>
      <c r="LED7" s="2333"/>
      <c r="LEE7" s="2334"/>
      <c r="LEF7" s="2335"/>
      <c r="LEG7" s="2333"/>
      <c r="LEH7" s="2334"/>
      <c r="LEI7" s="2335"/>
      <c r="LEJ7" s="2333"/>
      <c r="LEK7" s="2334"/>
      <c r="LEL7" s="2335"/>
      <c r="LEM7" s="2333"/>
      <c r="LEN7" s="2334"/>
      <c r="LEO7" s="2335"/>
      <c r="LEP7" s="2333"/>
      <c r="LEQ7" s="2334"/>
      <c r="LER7" s="2335"/>
      <c r="LES7" s="2333"/>
      <c r="LET7" s="2334"/>
      <c r="LEU7" s="2335"/>
      <c r="LEV7" s="2333"/>
      <c r="LEW7" s="2334"/>
      <c r="LEX7" s="2335"/>
      <c r="LEY7" s="2333"/>
      <c r="LEZ7" s="2334"/>
      <c r="LFA7" s="2335"/>
      <c r="LFB7" s="2333"/>
      <c r="LFC7" s="2334"/>
      <c r="LFD7" s="2335"/>
      <c r="LFE7" s="2333"/>
      <c r="LFF7" s="2334"/>
      <c r="LFG7" s="2335"/>
      <c r="LFH7" s="2333"/>
      <c r="LFI7" s="2334"/>
      <c r="LFJ7" s="2335"/>
      <c r="LFK7" s="2333"/>
      <c r="LFL7" s="2334"/>
      <c r="LFM7" s="2335"/>
      <c r="LFN7" s="2333"/>
      <c r="LFO7" s="2334"/>
      <c r="LFP7" s="2335"/>
      <c r="LFQ7" s="2333"/>
      <c r="LFR7" s="2334"/>
      <c r="LFS7" s="2335"/>
      <c r="LFT7" s="2333"/>
      <c r="LFU7" s="2334"/>
      <c r="LFV7" s="2335"/>
      <c r="LFW7" s="2333"/>
      <c r="LFX7" s="2334"/>
      <c r="LFY7" s="2335"/>
      <c r="LFZ7" s="2333"/>
      <c r="LGA7" s="2334"/>
      <c r="LGB7" s="2335"/>
      <c r="LGC7" s="2333"/>
      <c r="LGD7" s="2334"/>
      <c r="LGE7" s="2335"/>
      <c r="LGF7" s="2333"/>
      <c r="LGG7" s="2334"/>
      <c r="LGH7" s="2335"/>
      <c r="LGI7" s="2333"/>
      <c r="LGJ7" s="2334"/>
      <c r="LGK7" s="2335"/>
      <c r="LGL7" s="2333"/>
      <c r="LGM7" s="2334"/>
      <c r="LGN7" s="2335"/>
      <c r="LGO7" s="2333"/>
      <c r="LGP7" s="2334"/>
      <c r="LGQ7" s="2335"/>
      <c r="LGR7" s="2333"/>
      <c r="LGS7" s="2334"/>
      <c r="LGT7" s="2335"/>
      <c r="LGU7" s="2333"/>
      <c r="LGV7" s="2334"/>
      <c r="LGW7" s="2335"/>
      <c r="LGX7" s="2333"/>
      <c r="LGY7" s="2334"/>
      <c r="LGZ7" s="2335"/>
      <c r="LHA7" s="2333"/>
      <c r="LHB7" s="2334"/>
      <c r="LHC7" s="2335"/>
      <c r="LHD7" s="2333"/>
      <c r="LHE7" s="2334"/>
      <c r="LHF7" s="2335"/>
      <c r="LHG7" s="2333"/>
      <c r="LHH7" s="2334"/>
      <c r="LHI7" s="2335"/>
      <c r="LHJ7" s="2333"/>
      <c r="LHK7" s="2334"/>
      <c r="LHL7" s="2335"/>
      <c r="LHM7" s="2333"/>
      <c r="LHN7" s="2334"/>
      <c r="LHO7" s="2335"/>
      <c r="LHP7" s="2333"/>
      <c r="LHQ7" s="2334"/>
      <c r="LHR7" s="2335"/>
      <c r="LHS7" s="2333"/>
      <c r="LHT7" s="2334"/>
      <c r="LHU7" s="2335"/>
      <c r="LHV7" s="2333"/>
      <c r="LHW7" s="2334"/>
      <c r="LHX7" s="2335"/>
      <c r="LHY7" s="2333"/>
      <c r="LHZ7" s="2334"/>
      <c r="LIA7" s="2335"/>
      <c r="LIB7" s="2333"/>
      <c r="LIC7" s="2334"/>
      <c r="LID7" s="2335"/>
      <c r="LIE7" s="2333"/>
      <c r="LIF7" s="2334"/>
      <c r="LIG7" s="2335"/>
      <c r="LIH7" s="2333"/>
      <c r="LII7" s="2334"/>
      <c r="LIJ7" s="2335"/>
      <c r="LIK7" s="2333"/>
      <c r="LIL7" s="2334"/>
      <c r="LIM7" s="2335"/>
      <c r="LIN7" s="2333"/>
      <c r="LIO7" s="2334"/>
      <c r="LIP7" s="2335"/>
      <c r="LIQ7" s="2333"/>
      <c r="LIR7" s="2334"/>
      <c r="LIS7" s="2335"/>
      <c r="LIT7" s="2333"/>
      <c r="LIU7" s="2334"/>
      <c r="LIV7" s="2335"/>
      <c r="LIW7" s="2333"/>
      <c r="LIX7" s="2334"/>
      <c r="LIY7" s="2335"/>
      <c r="LIZ7" s="2333"/>
      <c r="LJA7" s="2334"/>
      <c r="LJB7" s="2335"/>
      <c r="LJC7" s="2333"/>
      <c r="LJD7" s="2334"/>
      <c r="LJE7" s="2335"/>
      <c r="LJF7" s="2333"/>
      <c r="LJG7" s="2334"/>
      <c r="LJH7" s="2335"/>
      <c r="LJI7" s="2333"/>
      <c r="LJJ7" s="2334"/>
      <c r="LJK7" s="2335"/>
      <c r="LJL7" s="2333"/>
      <c r="LJM7" s="2334"/>
      <c r="LJN7" s="2335"/>
      <c r="LJO7" s="2333"/>
      <c r="LJP7" s="2334"/>
      <c r="LJQ7" s="2335"/>
      <c r="LJR7" s="2333"/>
      <c r="LJS7" s="2334"/>
      <c r="LJT7" s="2335"/>
      <c r="LJU7" s="2333"/>
      <c r="LJV7" s="2334"/>
      <c r="LJW7" s="2335"/>
      <c r="LJX7" s="2333"/>
      <c r="LJY7" s="2334"/>
      <c r="LJZ7" s="2335"/>
      <c r="LKA7" s="2333"/>
      <c r="LKB7" s="2334"/>
      <c r="LKC7" s="2335"/>
      <c r="LKD7" s="2333"/>
      <c r="LKE7" s="2334"/>
      <c r="LKF7" s="2335"/>
      <c r="LKG7" s="2333"/>
      <c r="LKH7" s="2334"/>
      <c r="LKI7" s="2335"/>
      <c r="LKJ7" s="2333"/>
      <c r="LKK7" s="2334"/>
      <c r="LKL7" s="2335"/>
      <c r="LKM7" s="2333"/>
      <c r="LKN7" s="2334"/>
      <c r="LKO7" s="2335"/>
      <c r="LKP7" s="2333"/>
      <c r="LKQ7" s="2334"/>
      <c r="LKR7" s="2335"/>
      <c r="LKS7" s="2333"/>
      <c r="LKT7" s="2334"/>
      <c r="LKU7" s="2335"/>
      <c r="LKV7" s="2333"/>
      <c r="LKW7" s="2334"/>
      <c r="LKX7" s="2335"/>
      <c r="LKY7" s="2333"/>
      <c r="LKZ7" s="2334"/>
      <c r="LLA7" s="2335"/>
      <c r="LLB7" s="2333"/>
      <c r="LLC7" s="2334"/>
      <c r="LLD7" s="2335"/>
      <c r="LLE7" s="2333"/>
      <c r="LLF7" s="2334"/>
      <c r="LLG7" s="2335"/>
      <c r="LLH7" s="2333"/>
      <c r="LLI7" s="2334"/>
      <c r="LLJ7" s="2335"/>
      <c r="LLK7" s="2333"/>
      <c r="LLL7" s="2334"/>
      <c r="LLM7" s="2335"/>
      <c r="LLN7" s="2333"/>
      <c r="LLO7" s="2334"/>
      <c r="LLP7" s="2335"/>
      <c r="LLQ7" s="2333"/>
      <c r="LLR7" s="2334"/>
      <c r="LLS7" s="2335"/>
      <c r="LLT7" s="2333"/>
      <c r="LLU7" s="2334"/>
      <c r="LLV7" s="2335"/>
      <c r="LLW7" s="2333"/>
      <c r="LLX7" s="2334"/>
      <c r="LLY7" s="2335"/>
      <c r="LLZ7" s="2333"/>
      <c r="LMA7" s="2334"/>
      <c r="LMB7" s="2335"/>
      <c r="LMC7" s="2333"/>
      <c r="LMD7" s="2334"/>
      <c r="LME7" s="2335"/>
      <c r="LMF7" s="2333"/>
      <c r="LMG7" s="2334"/>
      <c r="LMH7" s="2335"/>
      <c r="LMI7" s="2333"/>
      <c r="LMJ7" s="2334"/>
      <c r="LMK7" s="2335"/>
      <c r="LML7" s="2333"/>
      <c r="LMM7" s="2334"/>
      <c r="LMN7" s="2335"/>
      <c r="LMO7" s="2333"/>
      <c r="LMP7" s="2334"/>
      <c r="LMQ7" s="2335"/>
      <c r="LMR7" s="2333"/>
      <c r="LMS7" s="2334"/>
      <c r="LMT7" s="2335"/>
      <c r="LMU7" s="2333"/>
      <c r="LMV7" s="2334"/>
      <c r="LMW7" s="2335"/>
      <c r="LMX7" s="2333"/>
      <c r="LMY7" s="2334"/>
      <c r="LMZ7" s="2335"/>
      <c r="LNA7" s="2333"/>
      <c r="LNB7" s="2334"/>
      <c r="LNC7" s="2335"/>
      <c r="LND7" s="2333"/>
      <c r="LNE7" s="2334"/>
      <c r="LNF7" s="2335"/>
      <c r="LNG7" s="2333"/>
      <c r="LNH7" s="2334"/>
      <c r="LNI7" s="2335"/>
      <c r="LNJ7" s="2333"/>
      <c r="LNK7" s="2334"/>
      <c r="LNL7" s="2335"/>
      <c r="LNM7" s="2333"/>
      <c r="LNN7" s="2334"/>
      <c r="LNO7" s="2335"/>
      <c r="LNP7" s="2333"/>
      <c r="LNQ7" s="2334"/>
      <c r="LNR7" s="2335"/>
      <c r="LNS7" s="2333"/>
      <c r="LNT7" s="2334"/>
      <c r="LNU7" s="2335"/>
      <c r="LNV7" s="2333"/>
      <c r="LNW7" s="2334"/>
      <c r="LNX7" s="2335"/>
      <c r="LNY7" s="2333"/>
      <c r="LNZ7" s="2334"/>
      <c r="LOA7" s="2335"/>
      <c r="LOB7" s="2333"/>
      <c r="LOC7" s="2334"/>
      <c r="LOD7" s="2335"/>
      <c r="LOE7" s="2333"/>
      <c r="LOF7" s="2334"/>
      <c r="LOG7" s="2335"/>
      <c r="LOH7" s="2333"/>
      <c r="LOI7" s="2334"/>
      <c r="LOJ7" s="2335"/>
      <c r="LOK7" s="2333"/>
      <c r="LOL7" s="2334"/>
      <c r="LOM7" s="2335"/>
      <c r="LON7" s="2333"/>
      <c r="LOO7" s="2334"/>
      <c r="LOP7" s="2335"/>
      <c r="LOQ7" s="2333"/>
      <c r="LOR7" s="2334"/>
      <c r="LOS7" s="2335"/>
      <c r="LOT7" s="2333"/>
      <c r="LOU7" s="2334"/>
      <c r="LOV7" s="2335"/>
      <c r="LOW7" s="2333"/>
      <c r="LOX7" s="2334"/>
      <c r="LOY7" s="2335"/>
      <c r="LOZ7" s="2333"/>
      <c r="LPA7" s="2334"/>
      <c r="LPB7" s="2335"/>
      <c r="LPC7" s="2333"/>
      <c r="LPD7" s="2334"/>
      <c r="LPE7" s="2335"/>
      <c r="LPF7" s="2333"/>
      <c r="LPG7" s="2334"/>
      <c r="LPH7" s="2335"/>
      <c r="LPI7" s="2333"/>
      <c r="LPJ7" s="2334"/>
      <c r="LPK7" s="2335"/>
      <c r="LPL7" s="2333"/>
      <c r="LPM7" s="2334"/>
      <c r="LPN7" s="2335"/>
      <c r="LPO7" s="2333"/>
      <c r="LPP7" s="2334"/>
      <c r="LPQ7" s="2335"/>
      <c r="LPR7" s="2333"/>
      <c r="LPS7" s="2334"/>
      <c r="LPT7" s="2335"/>
      <c r="LPU7" s="2333"/>
      <c r="LPV7" s="2334"/>
      <c r="LPW7" s="2335"/>
      <c r="LPX7" s="2333"/>
      <c r="LPY7" s="2334"/>
      <c r="LPZ7" s="2335"/>
      <c r="LQA7" s="2333"/>
      <c r="LQB7" s="2334"/>
      <c r="LQC7" s="2335"/>
      <c r="LQD7" s="2333"/>
      <c r="LQE7" s="2334"/>
      <c r="LQF7" s="2335"/>
      <c r="LQG7" s="2333"/>
      <c r="LQH7" s="2334"/>
      <c r="LQI7" s="2335"/>
      <c r="LQJ7" s="2333"/>
      <c r="LQK7" s="2334"/>
      <c r="LQL7" s="2335"/>
      <c r="LQM7" s="2333"/>
      <c r="LQN7" s="2334"/>
      <c r="LQO7" s="2335"/>
      <c r="LQP7" s="2333"/>
      <c r="LQQ7" s="2334"/>
      <c r="LQR7" s="2335"/>
      <c r="LQS7" s="2333"/>
      <c r="LQT7" s="2334"/>
      <c r="LQU7" s="2335"/>
      <c r="LQV7" s="2333"/>
      <c r="LQW7" s="2334"/>
      <c r="LQX7" s="2335"/>
      <c r="LQY7" s="2333"/>
      <c r="LQZ7" s="2334"/>
      <c r="LRA7" s="2335"/>
      <c r="LRB7" s="2333"/>
      <c r="LRC7" s="2334"/>
      <c r="LRD7" s="2335"/>
      <c r="LRE7" s="2333"/>
      <c r="LRF7" s="2334"/>
      <c r="LRG7" s="2335"/>
      <c r="LRH7" s="2333"/>
      <c r="LRI7" s="2334"/>
      <c r="LRJ7" s="2335"/>
      <c r="LRK7" s="2333"/>
      <c r="LRL7" s="2334"/>
      <c r="LRM7" s="2335"/>
      <c r="LRN7" s="2333"/>
      <c r="LRO7" s="2334"/>
      <c r="LRP7" s="2335"/>
      <c r="LRQ7" s="2333"/>
      <c r="LRR7" s="2334"/>
      <c r="LRS7" s="2335"/>
      <c r="LRT7" s="2333"/>
      <c r="LRU7" s="2334"/>
      <c r="LRV7" s="2335"/>
      <c r="LRW7" s="2333"/>
      <c r="LRX7" s="2334"/>
      <c r="LRY7" s="2335"/>
      <c r="LRZ7" s="2333"/>
      <c r="LSA7" s="2334"/>
      <c r="LSB7" s="2335"/>
      <c r="LSC7" s="2333"/>
      <c r="LSD7" s="2334"/>
      <c r="LSE7" s="2335"/>
      <c r="LSF7" s="2333"/>
      <c r="LSG7" s="2334"/>
      <c r="LSH7" s="2335"/>
      <c r="LSI7" s="2333"/>
      <c r="LSJ7" s="2334"/>
      <c r="LSK7" s="2335"/>
      <c r="LSL7" s="2333"/>
      <c r="LSM7" s="2334"/>
      <c r="LSN7" s="2335"/>
      <c r="LSO7" s="2333"/>
      <c r="LSP7" s="2334"/>
      <c r="LSQ7" s="2335"/>
      <c r="LSR7" s="2333"/>
      <c r="LSS7" s="2334"/>
      <c r="LST7" s="2335"/>
      <c r="LSU7" s="2333"/>
      <c r="LSV7" s="2334"/>
      <c r="LSW7" s="2335"/>
      <c r="LSX7" s="2333"/>
      <c r="LSY7" s="2334"/>
      <c r="LSZ7" s="2335"/>
      <c r="LTA7" s="2333"/>
      <c r="LTB7" s="2334"/>
      <c r="LTC7" s="2335"/>
      <c r="LTD7" s="2333"/>
      <c r="LTE7" s="2334"/>
      <c r="LTF7" s="2335"/>
      <c r="LTG7" s="2333"/>
      <c r="LTH7" s="2334"/>
      <c r="LTI7" s="2335"/>
      <c r="LTJ7" s="2333"/>
      <c r="LTK7" s="2334"/>
      <c r="LTL7" s="2335"/>
      <c r="LTM7" s="2333"/>
      <c r="LTN7" s="2334"/>
      <c r="LTO7" s="2335"/>
      <c r="LTP7" s="2333"/>
      <c r="LTQ7" s="2334"/>
      <c r="LTR7" s="2335"/>
      <c r="LTS7" s="2333"/>
      <c r="LTT7" s="2334"/>
      <c r="LTU7" s="2335"/>
      <c r="LTV7" s="2333"/>
      <c r="LTW7" s="2334"/>
      <c r="LTX7" s="2335"/>
      <c r="LTY7" s="2333"/>
      <c r="LTZ7" s="2334"/>
      <c r="LUA7" s="2335"/>
      <c r="LUB7" s="2333"/>
      <c r="LUC7" s="2334"/>
      <c r="LUD7" s="2335"/>
      <c r="LUE7" s="2333"/>
      <c r="LUF7" s="2334"/>
      <c r="LUG7" s="2335"/>
      <c r="LUH7" s="2333"/>
      <c r="LUI7" s="2334"/>
      <c r="LUJ7" s="2335"/>
      <c r="LUK7" s="2333"/>
      <c r="LUL7" s="2334"/>
      <c r="LUM7" s="2335"/>
      <c r="LUN7" s="2333"/>
      <c r="LUO7" s="2334"/>
      <c r="LUP7" s="2335"/>
      <c r="LUQ7" s="2333"/>
      <c r="LUR7" s="2334"/>
      <c r="LUS7" s="2335"/>
      <c r="LUT7" s="2333"/>
      <c r="LUU7" s="2334"/>
      <c r="LUV7" s="2335"/>
      <c r="LUW7" s="2333"/>
      <c r="LUX7" s="2334"/>
      <c r="LUY7" s="2335"/>
      <c r="LUZ7" s="2333"/>
      <c r="LVA7" s="2334"/>
      <c r="LVB7" s="2335"/>
      <c r="LVC7" s="2333"/>
      <c r="LVD7" s="2334"/>
      <c r="LVE7" s="2335"/>
      <c r="LVF7" s="2333"/>
      <c r="LVG7" s="2334"/>
      <c r="LVH7" s="2335"/>
      <c r="LVI7" s="2333"/>
      <c r="LVJ7" s="2334"/>
      <c r="LVK7" s="2335"/>
      <c r="LVL7" s="2333"/>
      <c r="LVM7" s="2334"/>
      <c r="LVN7" s="2335"/>
      <c r="LVO7" s="2333"/>
      <c r="LVP7" s="2334"/>
      <c r="LVQ7" s="2335"/>
      <c r="LVR7" s="2333"/>
      <c r="LVS7" s="2334"/>
      <c r="LVT7" s="2335"/>
      <c r="LVU7" s="2333"/>
      <c r="LVV7" s="2334"/>
      <c r="LVW7" s="2335"/>
      <c r="LVX7" s="2333"/>
      <c r="LVY7" s="2334"/>
      <c r="LVZ7" s="2335"/>
      <c r="LWA7" s="2333"/>
      <c r="LWB7" s="2334"/>
      <c r="LWC7" s="2335"/>
      <c r="LWD7" s="2333"/>
      <c r="LWE7" s="2334"/>
      <c r="LWF7" s="2335"/>
      <c r="LWG7" s="2333"/>
      <c r="LWH7" s="2334"/>
      <c r="LWI7" s="2335"/>
      <c r="LWJ7" s="2333"/>
      <c r="LWK7" s="2334"/>
      <c r="LWL7" s="2335"/>
      <c r="LWM7" s="2333"/>
      <c r="LWN7" s="2334"/>
      <c r="LWO7" s="2335"/>
      <c r="LWP7" s="2333"/>
      <c r="LWQ7" s="2334"/>
      <c r="LWR7" s="2335"/>
      <c r="LWS7" s="2333"/>
      <c r="LWT7" s="2334"/>
      <c r="LWU7" s="2335"/>
      <c r="LWV7" s="2333"/>
      <c r="LWW7" s="2334"/>
      <c r="LWX7" s="2335"/>
      <c r="LWY7" s="2333"/>
      <c r="LWZ7" s="2334"/>
      <c r="LXA7" s="2335"/>
      <c r="LXB7" s="2333"/>
      <c r="LXC7" s="2334"/>
      <c r="LXD7" s="2335"/>
      <c r="LXE7" s="2333"/>
      <c r="LXF7" s="2334"/>
      <c r="LXG7" s="2335"/>
      <c r="LXH7" s="2333"/>
      <c r="LXI7" s="2334"/>
      <c r="LXJ7" s="2335"/>
      <c r="LXK7" s="2333"/>
      <c r="LXL7" s="2334"/>
      <c r="LXM7" s="2335"/>
      <c r="LXN7" s="2333"/>
      <c r="LXO7" s="2334"/>
      <c r="LXP7" s="2335"/>
      <c r="LXQ7" s="2333"/>
      <c r="LXR7" s="2334"/>
      <c r="LXS7" s="2335"/>
      <c r="LXT7" s="2333"/>
      <c r="LXU7" s="2334"/>
      <c r="LXV7" s="2335"/>
      <c r="LXW7" s="2333"/>
      <c r="LXX7" s="2334"/>
      <c r="LXY7" s="2335"/>
      <c r="LXZ7" s="2333"/>
      <c r="LYA7" s="2334"/>
      <c r="LYB7" s="2335"/>
      <c r="LYC7" s="2333"/>
      <c r="LYD7" s="2334"/>
      <c r="LYE7" s="2335"/>
      <c r="LYF7" s="2333"/>
      <c r="LYG7" s="2334"/>
      <c r="LYH7" s="2335"/>
      <c r="LYI7" s="2333"/>
      <c r="LYJ7" s="2334"/>
      <c r="LYK7" s="2335"/>
      <c r="LYL7" s="2333"/>
      <c r="LYM7" s="2334"/>
      <c r="LYN7" s="2335"/>
      <c r="LYO7" s="2333"/>
      <c r="LYP7" s="2334"/>
      <c r="LYQ7" s="2335"/>
      <c r="LYR7" s="2333"/>
      <c r="LYS7" s="2334"/>
      <c r="LYT7" s="2335"/>
      <c r="LYU7" s="2333"/>
      <c r="LYV7" s="2334"/>
      <c r="LYW7" s="2335"/>
      <c r="LYX7" s="2333"/>
      <c r="LYY7" s="2334"/>
      <c r="LYZ7" s="2335"/>
      <c r="LZA7" s="2333"/>
      <c r="LZB7" s="2334"/>
      <c r="LZC7" s="2335"/>
      <c r="LZD7" s="2333"/>
      <c r="LZE7" s="2334"/>
      <c r="LZF7" s="2335"/>
      <c r="LZG7" s="2333"/>
      <c r="LZH7" s="2334"/>
      <c r="LZI7" s="2335"/>
      <c r="LZJ7" s="2333"/>
      <c r="LZK7" s="2334"/>
      <c r="LZL7" s="2335"/>
      <c r="LZM7" s="2333"/>
      <c r="LZN7" s="2334"/>
      <c r="LZO7" s="2335"/>
      <c r="LZP7" s="2333"/>
      <c r="LZQ7" s="2334"/>
      <c r="LZR7" s="2335"/>
      <c r="LZS7" s="2333"/>
      <c r="LZT7" s="2334"/>
      <c r="LZU7" s="2335"/>
      <c r="LZV7" s="2333"/>
      <c r="LZW7" s="2334"/>
      <c r="LZX7" s="2335"/>
      <c r="LZY7" s="2333"/>
      <c r="LZZ7" s="2334"/>
      <c r="MAA7" s="2335"/>
      <c r="MAB7" s="2333"/>
      <c r="MAC7" s="2334"/>
      <c r="MAD7" s="2335"/>
      <c r="MAE7" s="2333"/>
      <c r="MAF7" s="2334"/>
      <c r="MAG7" s="2335"/>
      <c r="MAH7" s="2333"/>
      <c r="MAI7" s="2334"/>
      <c r="MAJ7" s="2335"/>
      <c r="MAK7" s="2333"/>
      <c r="MAL7" s="2334"/>
      <c r="MAM7" s="2335"/>
      <c r="MAN7" s="2333"/>
      <c r="MAO7" s="2334"/>
      <c r="MAP7" s="2335"/>
      <c r="MAQ7" s="2333"/>
      <c r="MAR7" s="2334"/>
      <c r="MAS7" s="2335"/>
      <c r="MAT7" s="2333"/>
      <c r="MAU7" s="2334"/>
      <c r="MAV7" s="2335"/>
      <c r="MAW7" s="2333"/>
      <c r="MAX7" s="2334"/>
      <c r="MAY7" s="2335"/>
      <c r="MAZ7" s="2333"/>
      <c r="MBA7" s="2334"/>
      <c r="MBB7" s="2335"/>
      <c r="MBC7" s="2333"/>
      <c r="MBD7" s="2334"/>
      <c r="MBE7" s="2335"/>
      <c r="MBF7" s="2333"/>
      <c r="MBG7" s="2334"/>
      <c r="MBH7" s="2335"/>
      <c r="MBI7" s="2333"/>
      <c r="MBJ7" s="2334"/>
      <c r="MBK7" s="2335"/>
      <c r="MBL7" s="2333"/>
      <c r="MBM7" s="2334"/>
      <c r="MBN7" s="2335"/>
      <c r="MBO7" s="2333"/>
      <c r="MBP7" s="2334"/>
      <c r="MBQ7" s="2335"/>
      <c r="MBR7" s="2333"/>
      <c r="MBS7" s="2334"/>
      <c r="MBT7" s="2335"/>
      <c r="MBU7" s="2333"/>
      <c r="MBV7" s="2334"/>
      <c r="MBW7" s="2335"/>
      <c r="MBX7" s="2333"/>
      <c r="MBY7" s="2334"/>
      <c r="MBZ7" s="2335"/>
      <c r="MCA7" s="2333"/>
      <c r="MCB7" s="2334"/>
      <c r="MCC7" s="2335"/>
      <c r="MCD7" s="2333"/>
      <c r="MCE7" s="2334"/>
      <c r="MCF7" s="2335"/>
      <c r="MCG7" s="2333"/>
      <c r="MCH7" s="2334"/>
      <c r="MCI7" s="2335"/>
      <c r="MCJ7" s="2333"/>
      <c r="MCK7" s="2334"/>
      <c r="MCL7" s="2335"/>
      <c r="MCM7" s="2333"/>
      <c r="MCN7" s="2334"/>
      <c r="MCO7" s="2335"/>
      <c r="MCP7" s="2333"/>
      <c r="MCQ7" s="2334"/>
      <c r="MCR7" s="2335"/>
      <c r="MCS7" s="2333"/>
      <c r="MCT7" s="2334"/>
      <c r="MCU7" s="2335"/>
      <c r="MCV7" s="2333"/>
      <c r="MCW7" s="2334"/>
      <c r="MCX7" s="2335"/>
      <c r="MCY7" s="2333"/>
      <c r="MCZ7" s="2334"/>
      <c r="MDA7" s="2335"/>
      <c r="MDB7" s="2333"/>
      <c r="MDC7" s="2334"/>
      <c r="MDD7" s="2335"/>
      <c r="MDE7" s="2333"/>
      <c r="MDF7" s="2334"/>
      <c r="MDG7" s="2335"/>
      <c r="MDH7" s="2333"/>
      <c r="MDI7" s="2334"/>
      <c r="MDJ7" s="2335"/>
      <c r="MDK7" s="2333"/>
      <c r="MDL7" s="2334"/>
      <c r="MDM7" s="2335"/>
      <c r="MDN7" s="2333"/>
      <c r="MDO7" s="2334"/>
      <c r="MDP7" s="2335"/>
      <c r="MDQ7" s="2333"/>
      <c r="MDR7" s="2334"/>
      <c r="MDS7" s="2335"/>
      <c r="MDT7" s="2333"/>
      <c r="MDU7" s="2334"/>
      <c r="MDV7" s="2335"/>
      <c r="MDW7" s="2333"/>
      <c r="MDX7" s="2334"/>
      <c r="MDY7" s="2335"/>
      <c r="MDZ7" s="2333"/>
      <c r="MEA7" s="2334"/>
      <c r="MEB7" s="2335"/>
      <c r="MEC7" s="2333"/>
      <c r="MED7" s="2334"/>
      <c r="MEE7" s="2335"/>
      <c r="MEF7" s="2333"/>
      <c r="MEG7" s="2334"/>
      <c r="MEH7" s="2335"/>
      <c r="MEI7" s="2333"/>
      <c r="MEJ7" s="2334"/>
      <c r="MEK7" s="2335"/>
      <c r="MEL7" s="2333"/>
      <c r="MEM7" s="2334"/>
      <c r="MEN7" s="2335"/>
      <c r="MEO7" s="2333"/>
      <c r="MEP7" s="2334"/>
      <c r="MEQ7" s="2335"/>
      <c r="MER7" s="2333"/>
      <c r="MES7" s="2334"/>
      <c r="MET7" s="2335"/>
      <c r="MEU7" s="2333"/>
      <c r="MEV7" s="2334"/>
      <c r="MEW7" s="2335"/>
      <c r="MEX7" s="2333"/>
      <c r="MEY7" s="2334"/>
      <c r="MEZ7" s="2335"/>
      <c r="MFA7" s="2333"/>
      <c r="MFB7" s="2334"/>
      <c r="MFC7" s="2335"/>
      <c r="MFD7" s="2333"/>
      <c r="MFE7" s="2334"/>
      <c r="MFF7" s="2335"/>
      <c r="MFG7" s="2333"/>
      <c r="MFH7" s="2334"/>
      <c r="MFI7" s="2335"/>
      <c r="MFJ7" s="2333"/>
      <c r="MFK7" s="2334"/>
      <c r="MFL7" s="2335"/>
      <c r="MFM7" s="2333"/>
      <c r="MFN7" s="2334"/>
      <c r="MFO7" s="2335"/>
      <c r="MFP7" s="2333"/>
      <c r="MFQ7" s="2334"/>
      <c r="MFR7" s="2335"/>
      <c r="MFS7" s="2333"/>
      <c r="MFT7" s="2334"/>
      <c r="MFU7" s="2335"/>
      <c r="MFV7" s="2333"/>
      <c r="MFW7" s="2334"/>
      <c r="MFX7" s="2335"/>
      <c r="MFY7" s="2333"/>
      <c r="MFZ7" s="2334"/>
      <c r="MGA7" s="2335"/>
      <c r="MGB7" s="2333"/>
      <c r="MGC7" s="2334"/>
      <c r="MGD7" s="2335"/>
      <c r="MGE7" s="2333"/>
      <c r="MGF7" s="2334"/>
      <c r="MGG7" s="2335"/>
      <c r="MGH7" s="2333"/>
      <c r="MGI7" s="2334"/>
      <c r="MGJ7" s="2335"/>
      <c r="MGK7" s="2333"/>
      <c r="MGL7" s="2334"/>
      <c r="MGM7" s="2335"/>
      <c r="MGN7" s="2333"/>
      <c r="MGO7" s="2334"/>
      <c r="MGP7" s="2335"/>
      <c r="MGQ7" s="2333"/>
      <c r="MGR7" s="2334"/>
      <c r="MGS7" s="2335"/>
      <c r="MGT7" s="2333"/>
      <c r="MGU7" s="2334"/>
      <c r="MGV7" s="2335"/>
      <c r="MGW7" s="2333"/>
      <c r="MGX7" s="2334"/>
      <c r="MGY7" s="2335"/>
      <c r="MGZ7" s="2333"/>
      <c r="MHA7" s="2334"/>
      <c r="MHB7" s="2335"/>
      <c r="MHC7" s="2333"/>
      <c r="MHD7" s="2334"/>
      <c r="MHE7" s="2335"/>
      <c r="MHF7" s="2333"/>
      <c r="MHG7" s="2334"/>
      <c r="MHH7" s="2335"/>
      <c r="MHI7" s="2333"/>
      <c r="MHJ7" s="2334"/>
      <c r="MHK7" s="2335"/>
      <c r="MHL7" s="2333"/>
      <c r="MHM7" s="2334"/>
      <c r="MHN7" s="2335"/>
      <c r="MHO7" s="2333"/>
      <c r="MHP7" s="2334"/>
      <c r="MHQ7" s="2335"/>
      <c r="MHR7" s="2333"/>
      <c r="MHS7" s="2334"/>
      <c r="MHT7" s="2335"/>
      <c r="MHU7" s="2333"/>
      <c r="MHV7" s="2334"/>
      <c r="MHW7" s="2335"/>
      <c r="MHX7" s="2333"/>
      <c r="MHY7" s="2334"/>
      <c r="MHZ7" s="2335"/>
      <c r="MIA7" s="2333"/>
      <c r="MIB7" s="2334"/>
      <c r="MIC7" s="2335"/>
      <c r="MID7" s="2333"/>
      <c r="MIE7" s="2334"/>
      <c r="MIF7" s="2335"/>
      <c r="MIG7" s="2333"/>
      <c r="MIH7" s="2334"/>
      <c r="MII7" s="2335"/>
      <c r="MIJ7" s="2333"/>
      <c r="MIK7" s="2334"/>
      <c r="MIL7" s="2335"/>
      <c r="MIM7" s="2333"/>
      <c r="MIN7" s="2334"/>
      <c r="MIO7" s="2335"/>
      <c r="MIP7" s="2333"/>
      <c r="MIQ7" s="2334"/>
      <c r="MIR7" s="2335"/>
      <c r="MIS7" s="2333"/>
      <c r="MIT7" s="2334"/>
      <c r="MIU7" s="2335"/>
      <c r="MIV7" s="2333"/>
      <c r="MIW7" s="2334"/>
      <c r="MIX7" s="2335"/>
      <c r="MIY7" s="2333"/>
      <c r="MIZ7" s="2334"/>
      <c r="MJA7" s="2335"/>
      <c r="MJB7" s="2333"/>
      <c r="MJC7" s="2334"/>
      <c r="MJD7" s="2335"/>
      <c r="MJE7" s="2333"/>
      <c r="MJF7" s="2334"/>
      <c r="MJG7" s="2335"/>
      <c r="MJH7" s="2333"/>
      <c r="MJI7" s="2334"/>
      <c r="MJJ7" s="2335"/>
      <c r="MJK7" s="2333"/>
      <c r="MJL7" s="2334"/>
      <c r="MJM7" s="2335"/>
      <c r="MJN7" s="2333"/>
      <c r="MJO7" s="2334"/>
      <c r="MJP7" s="2335"/>
      <c r="MJQ7" s="2333"/>
      <c r="MJR7" s="2334"/>
      <c r="MJS7" s="2335"/>
      <c r="MJT7" s="2333"/>
      <c r="MJU7" s="2334"/>
      <c r="MJV7" s="2335"/>
      <c r="MJW7" s="2333"/>
      <c r="MJX7" s="2334"/>
      <c r="MJY7" s="2335"/>
      <c r="MJZ7" s="2333"/>
      <c r="MKA7" s="2334"/>
      <c r="MKB7" s="2335"/>
      <c r="MKC7" s="2333"/>
      <c r="MKD7" s="2334"/>
      <c r="MKE7" s="2335"/>
      <c r="MKF7" s="2333"/>
      <c r="MKG7" s="2334"/>
      <c r="MKH7" s="2335"/>
      <c r="MKI7" s="2333"/>
      <c r="MKJ7" s="2334"/>
      <c r="MKK7" s="2335"/>
      <c r="MKL7" s="2333"/>
      <c r="MKM7" s="2334"/>
      <c r="MKN7" s="2335"/>
      <c r="MKO7" s="2333"/>
      <c r="MKP7" s="2334"/>
      <c r="MKQ7" s="2335"/>
      <c r="MKR7" s="2333"/>
      <c r="MKS7" s="2334"/>
      <c r="MKT7" s="2335"/>
      <c r="MKU7" s="2333"/>
      <c r="MKV7" s="2334"/>
      <c r="MKW7" s="2335"/>
      <c r="MKX7" s="2333"/>
      <c r="MKY7" s="2334"/>
      <c r="MKZ7" s="2335"/>
      <c r="MLA7" s="2333"/>
      <c r="MLB7" s="2334"/>
      <c r="MLC7" s="2335"/>
      <c r="MLD7" s="2333"/>
      <c r="MLE7" s="2334"/>
      <c r="MLF7" s="2335"/>
      <c r="MLG7" s="2333"/>
      <c r="MLH7" s="2334"/>
      <c r="MLI7" s="2335"/>
      <c r="MLJ7" s="2333"/>
      <c r="MLK7" s="2334"/>
      <c r="MLL7" s="2335"/>
      <c r="MLM7" s="2333"/>
      <c r="MLN7" s="2334"/>
      <c r="MLO7" s="2335"/>
      <c r="MLP7" s="2333"/>
      <c r="MLQ7" s="2334"/>
      <c r="MLR7" s="2335"/>
      <c r="MLS7" s="2333"/>
      <c r="MLT7" s="2334"/>
      <c r="MLU7" s="2335"/>
      <c r="MLV7" s="2333"/>
      <c r="MLW7" s="2334"/>
      <c r="MLX7" s="2335"/>
      <c r="MLY7" s="2333"/>
      <c r="MLZ7" s="2334"/>
      <c r="MMA7" s="2335"/>
      <c r="MMB7" s="2333"/>
      <c r="MMC7" s="2334"/>
      <c r="MMD7" s="2335"/>
      <c r="MME7" s="2333"/>
      <c r="MMF7" s="2334"/>
      <c r="MMG7" s="2335"/>
      <c r="MMH7" s="2333"/>
      <c r="MMI7" s="2334"/>
      <c r="MMJ7" s="2335"/>
      <c r="MMK7" s="2333"/>
      <c r="MML7" s="2334"/>
      <c r="MMM7" s="2335"/>
      <c r="MMN7" s="2333"/>
      <c r="MMO7" s="2334"/>
      <c r="MMP7" s="2335"/>
      <c r="MMQ7" s="2333"/>
      <c r="MMR7" s="2334"/>
      <c r="MMS7" s="2335"/>
      <c r="MMT7" s="2333"/>
      <c r="MMU7" s="2334"/>
      <c r="MMV7" s="2335"/>
      <c r="MMW7" s="2333"/>
      <c r="MMX7" s="2334"/>
      <c r="MMY7" s="2335"/>
      <c r="MMZ7" s="2333"/>
      <c r="MNA7" s="2334"/>
      <c r="MNB7" s="2335"/>
      <c r="MNC7" s="2333"/>
      <c r="MND7" s="2334"/>
      <c r="MNE7" s="2335"/>
      <c r="MNF7" s="2333"/>
      <c r="MNG7" s="2334"/>
      <c r="MNH7" s="2335"/>
      <c r="MNI7" s="2333"/>
      <c r="MNJ7" s="2334"/>
      <c r="MNK7" s="2335"/>
      <c r="MNL7" s="2333"/>
      <c r="MNM7" s="2334"/>
      <c r="MNN7" s="2335"/>
      <c r="MNO7" s="2333"/>
      <c r="MNP7" s="2334"/>
      <c r="MNQ7" s="2335"/>
      <c r="MNR7" s="2333"/>
      <c r="MNS7" s="2334"/>
      <c r="MNT7" s="2335"/>
      <c r="MNU7" s="2333"/>
      <c r="MNV7" s="2334"/>
      <c r="MNW7" s="2335"/>
      <c r="MNX7" s="2333"/>
      <c r="MNY7" s="2334"/>
      <c r="MNZ7" s="2335"/>
      <c r="MOA7" s="2333"/>
      <c r="MOB7" s="2334"/>
      <c r="MOC7" s="2335"/>
      <c r="MOD7" s="2333"/>
      <c r="MOE7" s="2334"/>
      <c r="MOF7" s="2335"/>
      <c r="MOG7" s="2333"/>
      <c r="MOH7" s="2334"/>
      <c r="MOI7" s="2335"/>
      <c r="MOJ7" s="2333"/>
      <c r="MOK7" s="2334"/>
      <c r="MOL7" s="2335"/>
      <c r="MOM7" s="2333"/>
      <c r="MON7" s="2334"/>
      <c r="MOO7" s="2335"/>
      <c r="MOP7" s="2333"/>
      <c r="MOQ7" s="2334"/>
      <c r="MOR7" s="2335"/>
      <c r="MOS7" s="2333"/>
      <c r="MOT7" s="2334"/>
      <c r="MOU7" s="2335"/>
      <c r="MOV7" s="2333"/>
      <c r="MOW7" s="2334"/>
      <c r="MOX7" s="2335"/>
      <c r="MOY7" s="2333"/>
      <c r="MOZ7" s="2334"/>
      <c r="MPA7" s="2335"/>
      <c r="MPB7" s="2333"/>
      <c r="MPC7" s="2334"/>
      <c r="MPD7" s="2335"/>
      <c r="MPE7" s="2333"/>
      <c r="MPF7" s="2334"/>
      <c r="MPG7" s="2335"/>
      <c r="MPH7" s="2333"/>
      <c r="MPI7" s="2334"/>
      <c r="MPJ7" s="2335"/>
      <c r="MPK7" s="2333"/>
      <c r="MPL7" s="2334"/>
      <c r="MPM7" s="2335"/>
      <c r="MPN7" s="2333"/>
      <c r="MPO7" s="2334"/>
      <c r="MPP7" s="2335"/>
      <c r="MPQ7" s="2333"/>
      <c r="MPR7" s="2334"/>
      <c r="MPS7" s="2335"/>
      <c r="MPT7" s="2333"/>
      <c r="MPU7" s="2334"/>
      <c r="MPV7" s="2335"/>
      <c r="MPW7" s="2333"/>
      <c r="MPX7" s="2334"/>
      <c r="MPY7" s="2335"/>
      <c r="MPZ7" s="2333"/>
      <c r="MQA7" s="2334"/>
      <c r="MQB7" s="2335"/>
      <c r="MQC7" s="2333"/>
      <c r="MQD7" s="2334"/>
      <c r="MQE7" s="2335"/>
      <c r="MQF7" s="2333"/>
      <c r="MQG7" s="2334"/>
      <c r="MQH7" s="2335"/>
      <c r="MQI7" s="2333"/>
      <c r="MQJ7" s="2334"/>
      <c r="MQK7" s="2335"/>
      <c r="MQL7" s="2333"/>
      <c r="MQM7" s="2334"/>
      <c r="MQN7" s="2335"/>
      <c r="MQO7" s="2333"/>
      <c r="MQP7" s="2334"/>
      <c r="MQQ7" s="2335"/>
      <c r="MQR7" s="2333"/>
      <c r="MQS7" s="2334"/>
      <c r="MQT7" s="2335"/>
      <c r="MQU7" s="2333"/>
      <c r="MQV7" s="2334"/>
      <c r="MQW7" s="2335"/>
      <c r="MQX7" s="2333"/>
      <c r="MQY7" s="2334"/>
      <c r="MQZ7" s="2335"/>
      <c r="MRA7" s="2333"/>
      <c r="MRB7" s="2334"/>
      <c r="MRC7" s="2335"/>
      <c r="MRD7" s="2333"/>
      <c r="MRE7" s="2334"/>
      <c r="MRF7" s="2335"/>
      <c r="MRG7" s="2333"/>
      <c r="MRH7" s="2334"/>
      <c r="MRI7" s="2335"/>
      <c r="MRJ7" s="2333"/>
      <c r="MRK7" s="2334"/>
      <c r="MRL7" s="2335"/>
      <c r="MRM7" s="2333"/>
      <c r="MRN7" s="2334"/>
      <c r="MRO7" s="2335"/>
      <c r="MRP7" s="2333"/>
      <c r="MRQ7" s="2334"/>
      <c r="MRR7" s="2335"/>
      <c r="MRS7" s="2333"/>
      <c r="MRT7" s="2334"/>
      <c r="MRU7" s="2335"/>
      <c r="MRV7" s="2333"/>
      <c r="MRW7" s="2334"/>
      <c r="MRX7" s="2335"/>
      <c r="MRY7" s="2333"/>
      <c r="MRZ7" s="2334"/>
      <c r="MSA7" s="2335"/>
      <c r="MSB7" s="2333"/>
      <c r="MSC7" s="2334"/>
      <c r="MSD7" s="2335"/>
      <c r="MSE7" s="2333"/>
      <c r="MSF7" s="2334"/>
      <c r="MSG7" s="2335"/>
      <c r="MSH7" s="2333"/>
      <c r="MSI7" s="2334"/>
      <c r="MSJ7" s="2335"/>
      <c r="MSK7" s="2333"/>
      <c r="MSL7" s="2334"/>
      <c r="MSM7" s="2335"/>
      <c r="MSN7" s="2333"/>
      <c r="MSO7" s="2334"/>
      <c r="MSP7" s="2335"/>
      <c r="MSQ7" s="2333"/>
      <c r="MSR7" s="2334"/>
      <c r="MSS7" s="2335"/>
      <c r="MST7" s="2333"/>
      <c r="MSU7" s="2334"/>
      <c r="MSV7" s="2335"/>
      <c r="MSW7" s="2333"/>
      <c r="MSX7" s="2334"/>
      <c r="MSY7" s="2335"/>
      <c r="MSZ7" s="2333"/>
      <c r="MTA7" s="2334"/>
      <c r="MTB7" s="2335"/>
      <c r="MTC7" s="2333"/>
      <c r="MTD7" s="2334"/>
      <c r="MTE7" s="2335"/>
      <c r="MTF7" s="2333"/>
      <c r="MTG7" s="2334"/>
      <c r="MTH7" s="2335"/>
      <c r="MTI7" s="2333"/>
      <c r="MTJ7" s="2334"/>
      <c r="MTK7" s="2335"/>
      <c r="MTL7" s="2333"/>
      <c r="MTM7" s="2334"/>
      <c r="MTN7" s="2335"/>
      <c r="MTO7" s="2333"/>
      <c r="MTP7" s="2334"/>
      <c r="MTQ7" s="2335"/>
      <c r="MTR7" s="2333"/>
      <c r="MTS7" s="2334"/>
      <c r="MTT7" s="2335"/>
      <c r="MTU7" s="2333"/>
      <c r="MTV7" s="2334"/>
      <c r="MTW7" s="2335"/>
      <c r="MTX7" s="2333"/>
      <c r="MTY7" s="2334"/>
      <c r="MTZ7" s="2335"/>
      <c r="MUA7" s="2333"/>
      <c r="MUB7" s="2334"/>
      <c r="MUC7" s="2335"/>
      <c r="MUD7" s="2333"/>
      <c r="MUE7" s="2334"/>
      <c r="MUF7" s="2335"/>
      <c r="MUG7" s="2333"/>
      <c r="MUH7" s="2334"/>
      <c r="MUI7" s="2335"/>
      <c r="MUJ7" s="2333"/>
      <c r="MUK7" s="2334"/>
      <c r="MUL7" s="2335"/>
      <c r="MUM7" s="2333"/>
      <c r="MUN7" s="2334"/>
      <c r="MUO7" s="2335"/>
      <c r="MUP7" s="2333"/>
      <c r="MUQ7" s="2334"/>
      <c r="MUR7" s="2335"/>
      <c r="MUS7" s="2333"/>
      <c r="MUT7" s="2334"/>
      <c r="MUU7" s="2335"/>
      <c r="MUV7" s="2333"/>
      <c r="MUW7" s="2334"/>
      <c r="MUX7" s="2335"/>
      <c r="MUY7" s="2333"/>
      <c r="MUZ7" s="2334"/>
      <c r="MVA7" s="2335"/>
      <c r="MVB7" s="2333"/>
      <c r="MVC7" s="2334"/>
      <c r="MVD7" s="2335"/>
      <c r="MVE7" s="2333"/>
      <c r="MVF7" s="2334"/>
      <c r="MVG7" s="2335"/>
      <c r="MVH7" s="2333"/>
      <c r="MVI7" s="2334"/>
      <c r="MVJ7" s="2335"/>
      <c r="MVK7" s="2333"/>
      <c r="MVL7" s="2334"/>
      <c r="MVM7" s="2335"/>
      <c r="MVN7" s="2333"/>
      <c r="MVO7" s="2334"/>
      <c r="MVP7" s="2335"/>
      <c r="MVQ7" s="2333"/>
      <c r="MVR7" s="2334"/>
      <c r="MVS7" s="2335"/>
      <c r="MVT7" s="2333"/>
      <c r="MVU7" s="2334"/>
      <c r="MVV7" s="2335"/>
      <c r="MVW7" s="2333"/>
      <c r="MVX7" s="2334"/>
      <c r="MVY7" s="2335"/>
      <c r="MVZ7" s="2333"/>
      <c r="MWA7" s="2334"/>
      <c r="MWB7" s="2335"/>
      <c r="MWC7" s="2333"/>
      <c r="MWD7" s="2334"/>
      <c r="MWE7" s="2335"/>
      <c r="MWF7" s="2333"/>
      <c r="MWG7" s="2334"/>
      <c r="MWH7" s="2335"/>
      <c r="MWI7" s="2333"/>
      <c r="MWJ7" s="2334"/>
      <c r="MWK7" s="2335"/>
      <c r="MWL7" s="2333"/>
      <c r="MWM7" s="2334"/>
      <c r="MWN7" s="2335"/>
      <c r="MWO7" s="2333"/>
      <c r="MWP7" s="2334"/>
      <c r="MWQ7" s="2335"/>
      <c r="MWR7" s="2333"/>
      <c r="MWS7" s="2334"/>
      <c r="MWT7" s="2335"/>
      <c r="MWU7" s="2333"/>
      <c r="MWV7" s="2334"/>
      <c r="MWW7" s="2335"/>
      <c r="MWX7" s="2333"/>
      <c r="MWY7" s="2334"/>
      <c r="MWZ7" s="2335"/>
      <c r="MXA7" s="2333"/>
      <c r="MXB7" s="2334"/>
      <c r="MXC7" s="2335"/>
      <c r="MXD7" s="2333"/>
      <c r="MXE7" s="2334"/>
      <c r="MXF7" s="2335"/>
      <c r="MXG7" s="2333"/>
      <c r="MXH7" s="2334"/>
      <c r="MXI7" s="2335"/>
      <c r="MXJ7" s="2333"/>
      <c r="MXK7" s="2334"/>
      <c r="MXL7" s="2335"/>
      <c r="MXM7" s="2333"/>
      <c r="MXN7" s="2334"/>
      <c r="MXO7" s="2335"/>
      <c r="MXP7" s="2333"/>
      <c r="MXQ7" s="2334"/>
      <c r="MXR7" s="2335"/>
      <c r="MXS7" s="2333"/>
      <c r="MXT7" s="2334"/>
      <c r="MXU7" s="2335"/>
      <c r="MXV7" s="2333"/>
      <c r="MXW7" s="2334"/>
      <c r="MXX7" s="2335"/>
      <c r="MXY7" s="2333"/>
      <c r="MXZ7" s="2334"/>
      <c r="MYA7" s="2335"/>
      <c r="MYB7" s="2333"/>
      <c r="MYC7" s="2334"/>
      <c r="MYD7" s="2335"/>
      <c r="MYE7" s="2333"/>
      <c r="MYF7" s="2334"/>
      <c r="MYG7" s="2335"/>
      <c r="MYH7" s="2333"/>
      <c r="MYI7" s="2334"/>
      <c r="MYJ7" s="2335"/>
      <c r="MYK7" s="2333"/>
      <c r="MYL7" s="2334"/>
      <c r="MYM7" s="2335"/>
      <c r="MYN7" s="2333"/>
      <c r="MYO7" s="2334"/>
      <c r="MYP7" s="2335"/>
      <c r="MYQ7" s="2333"/>
      <c r="MYR7" s="2334"/>
      <c r="MYS7" s="2335"/>
      <c r="MYT7" s="2333"/>
      <c r="MYU7" s="2334"/>
      <c r="MYV7" s="2335"/>
      <c r="MYW7" s="2333"/>
      <c r="MYX7" s="2334"/>
      <c r="MYY7" s="2335"/>
      <c r="MYZ7" s="2333"/>
      <c r="MZA7" s="2334"/>
      <c r="MZB7" s="2335"/>
      <c r="MZC7" s="2333"/>
      <c r="MZD7" s="2334"/>
      <c r="MZE7" s="2335"/>
      <c r="MZF7" s="2333"/>
      <c r="MZG7" s="2334"/>
      <c r="MZH7" s="2335"/>
      <c r="MZI7" s="2333"/>
      <c r="MZJ7" s="2334"/>
      <c r="MZK7" s="2335"/>
      <c r="MZL7" s="2333"/>
      <c r="MZM7" s="2334"/>
      <c r="MZN7" s="2335"/>
      <c r="MZO7" s="2333"/>
      <c r="MZP7" s="2334"/>
      <c r="MZQ7" s="2335"/>
      <c r="MZR7" s="2333"/>
      <c r="MZS7" s="2334"/>
      <c r="MZT7" s="2335"/>
      <c r="MZU7" s="2333"/>
      <c r="MZV7" s="2334"/>
      <c r="MZW7" s="2335"/>
      <c r="MZX7" s="2333"/>
      <c r="MZY7" s="2334"/>
      <c r="MZZ7" s="2335"/>
      <c r="NAA7" s="2333"/>
      <c r="NAB7" s="2334"/>
      <c r="NAC7" s="2335"/>
      <c r="NAD7" s="2333"/>
      <c r="NAE7" s="2334"/>
      <c r="NAF7" s="2335"/>
      <c r="NAG7" s="2333"/>
      <c r="NAH7" s="2334"/>
      <c r="NAI7" s="2335"/>
      <c r="NAJ7" s="2333"/>
      <c r="NAK7" s="2334"/>
      <c r="NAL7" s="2335"/>
      <c r="NAM7" s="2333"/>
      <c r="NAN7" s="2334"/>
      <c r="NAO7" s="2335"/>
      <c r="NAP7" s="2333"/>
      <c r="NAQ7" s="2334"/>
      <c r="NAR7" s="2335"/>
      <c r="NAS7" s="2333"/>
      <c r="NAT7" s="2334"/>
      <c r="NAU7" s="2335"/>
      <c r="NAV7" s="2333"/>
      <c r="NAW7" s="2334"/>
      <c r="NAX7" s="2335"/>
      <c r="NAY7" s="2333"/>
      <c r="NAZ7" s="2334"/>
      <c r="NBA7" s="2335"/>
      <c r="NBB7" s="2333"/>
      <c r="NBC7" s="2334"/>
      <c r="NBD7" s="2335"/>
      <c r="NBE7" s="2333"/>
      <c r="NBF7" s="2334"/>
      <c r="NBG7" s="2335"/>
      <c r="NBH7" s="2333"/>
      <c r="NBI7" s="2334"/>
      <c r="NBJ7" s="2335"/>
      <c r="NBK7" s="2333"/>
      <c r="NBL7" s="2334"/>
      <c r="NBM7" s="2335"/>
      <c r="NBN7" s="2333"/>
      <c r="NBO7" s="2334"/>
      <c r="NBP7" s="2335"/>
      <c r="NBQ7" s="2333"/>
      <c r="NBR7" s="2334"/>
      <c r="NBS7" s="2335"/>
      <c r="NBT7" s="2333"/>
      <c r="NBU7" s="2334"/>
      <c r="NBV7" s="2335"/>
      <c r="NBW7" s="2333"/>
      <c r="NBX7" s="2334"/>
      <c r="NBY7" s="2335"/>
      <c r="NBZ7" s="2333"/>
      <c r="NCA7" s="2334"/>
      <c r="NCB7" s="2335"/>
      <c r="NCC7" s="2333"/>
      <c r="NCD7" s="2334"/>
      <c r="NCE7" s="2335"/>
      <c r="NCF7" s="2333"/>
      <c r="NCG7" s="2334"/>
      <c r="NCH7" s="2335"/>
      <c r="NCI7" s="2333"/>
      <c r="NCJ7" s="2334"/>
      <c r="NCK7" s="2335"/>
      <c r="NCL7" s="2333"/>
      <c r="NCM7" s="2334"/>
      <c r="NCN7" s="2335"/>
      <c r="NCO7" s="2333"/>
      <c r="NCP7" s="2334"/>
      <c r="NCQ7" s="2335"/>
      <c r="NCR7" s="2333"/>
      <c r="NCS7" s="2334"/>
      <c r="NCT7" s="2335"/>
      <c r="NCU7" s="2333"/>
      <c r="NCV7" s="2334"/>
      <c r="NCW7" s="2335"/>
      <c r="NCX7" s="2333"/>
      <c r="NCY7" s="2334"/>
      <c r="NCZ7" s="2335"/>
      <c r="NDA7" s="2333"/>
      <c r="NDB7" s="2334"/>
      <c r="NDC7" s="2335"/>
      <c r="NDD7" s="2333"/>
      <c r="NDE7" s="2334"/>
      <c r="NDF7" s="2335"/>
      <c r="NDG7" s="2333"/>
      <c r="NDH7" s="2334"/>
      <c r="NDI7" s="2335"/>
      <c r="NDJ7" s="2333"/>
      <c r="NDK7" s="2334"/>
      <c r="NDL7" s="2335"/>
      <c r="NDM7" s="2333"/>
      <c r="NDN7" s="2334"/>
      <c r="NDO7" s="2335"/>
      <c r="NDP7" s="2333"/>
      <c r="NDQ7" s="2334"/>
      <c r="NDR7" s="2335"/>
      <c r="NDS7" s="2333"/>
      <c r="NDT7" s="2334"/>
      <c r="NDU7" s="2335"/>
      <c r="NDV7" s="2333"/>
      <c r="NDW7" s="2334"/>
      <c r="NDX7" s="2335"/>
      <c r="NDY7" s="2333"/>
      <c r="NDZ7" s="2334"/>
      <c r="NEA7" s="2335"/>
      <c r="NEB7" s="2333"/>
      <c r="NEC7" s="2334"/>
      <c r="NED7" s="2335"/>
      <c r="NEE7" s="2333"/>
      <c r="NEF7" s="2334"/>
      <c r="NEG7" s="2335"/>
      <c r="NEH7" s="2333"/>
      <c r="NEI7" s="2334"/>
      <c r="NEJ7" s="2335"/>
      <c r="NEK7" s="2333"/>
      <c r="NEL7" s="2334"/>
      <c r="NEM7" s="2335"/>
      <c r="NEN7" s="2333"/>
      <c r="NEO7" s="2334"/>
      <c r="NEP7" s="2335"/>
      <c r="NEQ7" s="2333"/>
      <c r="NER7" s="2334"/>
      <c r="NES7" s="2335"/>
      <c r="NET7" s="2333"/>
      <c r="NEU7" s="2334"/>
      <c r="NEV7" s="2335"/>
      <c r="NEW7" s="2333"/>
      <c r="NEX7" s="2334"/>
      <c r="NEY7" s="2335"/>
      <c r="NEZ7" s="2333"/>
      <c r="NFA7" s="2334"/>
      <c r="NFB7" s="2335"/>
      <c r="NFC7" s="2333"/>
      <c r="NFD7" s="2334"/>
      <c r="NFE7" s="2335"/>
      <c r="NFF7" s="2333"/>
      <c r="NFG7" s="2334"/>
      <c r="NFH7" s="2335"/>
      <c r="NFI7" s="2333"/>
      <c r="NFJ7" s="2334"/>
      <c r="NFK7" s="2335"/>
      <c r="NFL7" s="2333"/>
      <c r="NFM7" s="2334"/>
      <c r="NFN7" s="2335"/>
      <c r="NFO7" s="2333"/>
      <c r="NFP7" s="2334"/>
      <c r="NFQ7" s="2335"/>
      <c r="NFR7" s="2333"/>
      <c r="NFS7" s="2334"/>
      <c r="NFT7" s="2335"/>
      <c r="NFU7" s="2333"/>
      <c r="NFV7" s="2334"/>
      <c r="NFW7" s="2335"/>
      <c r="NFX7" s="2333"/>
      <c r="NFY7" s="2334"/>
      <c r="NFZ7" s="2335"/>
      <c r="NGA7" s="2333"/>
      <c r="NGB7" s="2334"/>
      <c r="NGC7" s="2335"/>
      <c r="NGD7" s="2333"/>
      <c r="NGE7" s="2334"/>
      <c r="NGF7" s="2335"/>
      <c r="NGG7" s="2333"/>
      <c r="NGH7" s="2334"/>
      <c r="NGI7" s="2335"/>
      <c r="NGJ7" s="2333"/>
      <c r="NGK7" s="2334"/>
      <c r="NGL7" s="2335"/>
      <c r="NGM7" s="2333"/>
      <c r="NGN7" s="2334"/>
      <c r="NGO7" s="2335"/>
      <c r="NGP7" s="2333"/>
      <c r="NGQ7" s="2334"/>
      <c r="NGR7" s="2335"/>
      <c r="NGS7" s="2333"/>
      <c r="NGT7" s="2334"/>
      <c r="NGU7" s="2335"/>
      <c r="NGV7" s="2333"/>
      <c r="NGW7" s="2334"/>
      <c r="NGX7" s="2335"/>
      <c r="NGY7" s="2333"/>
      <c r="NGZ7" s="2334"/>
      <c r="NHA7" s="2335"/>
      <c r="NHB7" s="2333"/>
      <c r="NHC7" s="2334"/>
      <c r="NHD7" s="2335"/>
      <c r="NHE7" s="2333"/>
      <c r="NHF7" s="2334"/>
      <c r="NHG7" s="2335"/>
      <c r="NHH7" s="2333"/>
      <c r="NHI7" s="2334"/>
      <c r="NHJ7" s="2335"/>
      <c r="NHK7" s="2333"/>
      <c r="NHL7" s="2334"/>
      <c r="NHM7" s="2335"/>
      <c r="NHN7" s="2333"/>
      <c r="NHO7" s="2334"/>
      <c r="NHP7" s="2335"/>
      <c r="NHQ7" s="2333"/>
      <c r="NHR7" s="2334"/>
      <c r="NHS7" s="2335"/>
      <c r="NHT7" s="2333"/>
      <c r="NHU7" s="2334"/>
      <c r="NHV7" s="2335"/>
      <c r="NHW7" s="2333"/>
      <c r="NHX7" s="2334"/>
      <c r="NHY7" s="2335"/>
      <c r="NHZ7" s="2333"/>
      <c r="NIA7" s="2334"/>
      <c r="NIB7" s="2335"/>
      <c r="NIC7" s="2333"/>
      <c r="NID7" s="2334"/>
      <c r="NIE7" s="2335"/>
      <c r="NIF7" s="2333"/>
      <c r="NIG7" s="2334"/>
      <c r="NIH7" s="2335"/>
      <c r="NII7" s="2333"/>
      <c r="NIJ7" s="2334"/>
      <c r="NIK7" s="2335"/>
      <c r="NIL7" s="2333"/>
      <c r="NIM7" s="2334"/>
      <c r="NIN7" s="2335"/>
      <c r="NIO7" s="2333"/>
      <c r="NIP7" s="2334"/>
      <c r="NIQ7" s="2335"/>
      <c r="NIR7" s="2333"/>
      <c r="NIS7" s="2334"/>
      <c r="NIT7" s="2335"/>
      <c r="NIU7" s="2333"/>
      <c r="NIV7" s="2334"/>
      <c r="NIW7" s="2335"/>
      <c r="NIX7" s="2333"/>
      <c r="NIY7" s="2334"/>
      <c r="NIZ7" s="2335"/>
      <c r="NJA7" s="2333"/>
      <c r="NJB7" s="2334"/>
      <c r="NJC7" s="2335"/>
      <c r="NJD7" s="2333"/>
      <c r="NJE7" s="2334"/>
      <c r="NJF7" s="2335"/>
      <c r="NJG7" s="2333"/>
      <c r="NJH7" s="2334"/>
      <c r="NJI7" s="2335"/>
      <c r="NJJ7" s="2333"/>
      <c r="NJK7" s="2334"/>
      <c r="NJL7" s="2335"/>
      <c r="NJM7" s="2333"/>
      <c r="NJN7" s="2334"/>
      <c r="NJO7" s="2335"/>
      <c r="NJP7" s="2333"/>
      <c r="NJQ7" s="2334"/>
      <c r="NJR7" s="2335"/>
      <c r="NJS7" s="2333"/>
      <c r="NJT7" s="2334"/>
      <c r="NJU7" s="2335"/>
      <c r="NJV7" s="2333"/>
      <c r="NJW7" s="2334"/>
      <c r="NJX7" s="2335"/>
      <c r="NJY7" s="2333"/>
      <c r="NJZ7" s="2334"/>
      <c r="NKA7" s="2335"/>
      <c r="NKB7" s="2333"/>
      <c r="NKC7" s="2334"/>
      <c r="NKD7" s="2335"/>
      <c r="NKE7" s="2333"/>
      <c r="NKF7" s="2334"/>
      <c r="NKG7" s="2335"/>
      <c r="NKH7" s="2333"/>
      <c r="NKI7" s="2334"/>
      <c r="NKJ7" s="2335"/>
      <c r="NKK7" s="2333"/>
      <c r="NKL7" s="2334"/>
      <c r="NKM7" s="2335"/>
      <c r="NKN7" s="2333"/>
      <c r="NKO7" s="2334"/>
      <c r="NKP7" s="2335"/>
      <c r="NKQ7" s="2333"/>
      <c r="NKR7" s="2334"/>
      <c r="NKS7" s="2335"/>
      <c r="NKT7" s="2333"/>
      <c r="NKU7" s="2334"/>
      <c r="NKV7" s="2335"/>
      <c r="NKW7" s="2333"/>
      <c r="NKX7" s="2334"/>
      <c r="NKY7" s="2335"/>
      <c r="NKZ7" s="2333"/>
      <c r="NLA7" s="2334"/>
      <c r="NLB7" s="2335"/>
      <c r="NLC7" s="2333"/>
      <c r="NLD7" s="2334"/>
      <c r="NLE7" s="2335"/>
      <c r="NLF7" s="2333"/>
      <c r="NLG7" s="2334"/>
      <c r="NLH7" s="2335"/>
      <c r="NLI7" s="2333"/>
      <c r="NLJ7" s="2334"/>
      <c r="NLK7" s="2335"/>
      <c r="NLL7" s="2333"/>
      <c r="NLM7" s="2334"/>
      <c r="NLN7" s="2335"/>
      <c r="NLO7" s="2333"/>
      <c r="NLP7" s="2334"/>
      <c r="NLQ7" s="2335"/>
      <c r="NLR7" s="2333"/>
      <c r="NLS7" s="2334"/>
      <c r="NLT7" s="2335"/>
      <c r="NLU7" s="2333"/>
      <c r="NLV7" s="2334"/>
      <c r="NLW7" s="2335"/>
      <c r="NLX7" s="2333"/>
      <c r="NLY7" s="2334"/>
      <c r="NLZ7" s="2335"/>
      <c r="NMA7" s="2333"/>
      <c r="NMB7" s="2334"/>
      <c r="NMC7" s="2335"/>
      <c r="NMD7" s="2333"/>
      <c r="NME7" s="2334"/>
      <c r="NMF7" s="2335"/>
      <c r="NMG7" s="2333"/>
      <c r="NMH7" s="2334"/>
      <c r="NMI7" s="2335"/>
      <c r="NMJ7" s="2333"/>
      <c r="NMK7" s="2334"/>
      <c r="NML7" s="2335"/>
      <c r="NMM7" s="2333"/>
      <c r="NMN7" s="2334"/>
      <c r="NMO7" s="2335"/>
      <c r="NMP7" s="2333"/>
      <c r="NMQ7" s="2334"/>
      <c r="NMR7" s="2335"/>
      <c r="NMS7" s="2333"/>
      <c r="NMT7" s="2334"/>
      <c r="NMU7" s="2335"/>
      <c r="NMV7" s="2333"/>
      <c r="NMW7" s="2334"/>
      <c r="NMX7" s="2335"/>
      <c r="NMY7" s="2333"/>
      <c r="NMZ7" s="2334"/>
      <c r="NNA7" s="2335"/>
      <c r="NNB7" s="2333"/>
      <c r="NNC7" s="2334"/>
      <c r="NND7" s="2335"/>
      <c r="NNE7" s="2333"/>
      <c r="NNF7" s="2334"/>
      <c r="NNG7" s="2335"/>
      <c r="NNH7" s="2333"/>
      <c r="NNI7" s="2334"/>
      <c r="NNJ7" s="2335"/>
      <c r="NNK7" s="2333"/>
      <c r="NNL7" s="2334"/>
      <c r="NNM7" s="2335"/>
      <c r="NNN7" s="2333"/>
      <c r="NNO7" s="2334"/>
      <c r="NNP7" s="2335"/>
      <c r="NNQ7" s="2333"/>
      <c r="NNR7" s="2334"/>
      <c r="NNS7" s="2335"/>
      <c r="NNT7" s="2333"/>
      <c r="NNU7" s="2334"/>
      <c r="NNV7" s="2335"/>
      <c r="NNW7" s="2333"/>
      <c r="NNX7" s="2334"/>
      <c r="NNY7" s="2335"/>
      <c r="NNZ7" s="2333"/>
      <c r="NOA7" s="2334"/>
      <c r="NOB7" s="2335"/>
      <c r="NOC7" s="2333"/>
      <c r="NOD7" s="2334"/>
      <c r="NOE7" s="2335"/>
      <c r="NOF7" s="2333"/>
      <c r="NOG7" s="2334"/>
      <c r="NOH7" s="2335"/>
      <c r="NOI7" s="2333"/>
      <c r="NOJ7" s="2334"/>
      <c r="NOK7" s="2335"/>
      <c r="NOL7" s="2333"/>
      <c r="NOM7" s="2334"/>
      <c r="NON7" s="2335"/>
      <c r="NOO7" s="2333"/>
      <c r="NOP7" s="2334"/>
      <c r="NOQ7" s="2335"/>
      <c r="NOR7" s="2333"/>
      <c r="NOS7" s="2334"/>
      <c r="NOT7" s="2335"/>
      <c r="NOU7" s="2333"/>
      <c r="NOV7" s="2334"/>
      <c r="NOW7" s="2335"/>
      <c r="NOX7" s="2333"/>
      <c r="NOY7" s="2334"/>
      <c r="NOZ7" s="2335"/>
      <c r="NPA7" s="2333"/>
      <c r="NPB7" s="2334"/>
      <c r="NPC7" s="2335"/>
      <c r="NPD7" s="2333"/>
      <c r="NPE7" s="2334"/>
      <c r="NPF7" s="2335"/>
      <c r="NPG7" s="2333"/>
      <c r="NPH7" s="2334"/>
      <c r="NPI7" s="2335"/>
      <c r="NPJ7" s="2333"/>
      <c r="NPK7" s="2334"/>
      <c r="NPL7" s="2335"/>
      <c r="NPM7" s="2333"/>
      <c r="NPN7" s="2334"/>
      <c r="NPO7" s="2335"/>
      <c r="NPP7" s="2333"/>
      <c r="NPQ7" s="2334"/>
      <c r="NPR7" s="2335"/>
      <c r="NPS7" s="2333"/>
      <c r="NPT7" s="2334"/>
      <c r="NPU7" s="2335"/>
      <c r="NPV7" s="2333"/>
      <c r="NPW7" s="2334"/>
      <c r="NPX7" s="2335"/>
      <c r="NPY7" s="2333"/>
      <c r="NPZ7" s="2334"/>
      <c r="NQA7" s="2335"/>
      <c r="NQB7" s="2333"/>
      <c r="NQC7" s="2334"/>
      <c r="NQD7" s="2335"/>
      <c r="NQE7" s="2333"/>
      <c r="NQF7" s="2334"/>
      <c r="NQG7" s="2335"/>
      <c r="NQH7" s="2333"/>
      <c r="NQI7" s="2334"/>
      <c r="NQJ7" s="2335"/>
      <c r="NQK7" s="2333"/>
      <c r="NQL7" s="2334"/>
      <c r="NQM7" s="2335"/>
      <c r="NQN7" s="2333"/>
      <c r="NQO7" s="2334"/>
      <c r="NQP7" s="2335"/>
      <c r="NQQ7" s="2333"/>
      <c r="NQR7" s="2334"/>
      <c r="NQS7" s="2335"/>
      <c r="NQT7" s="2333"/>
      <c r="NQU7" s="2334"/>
      <c r="NQV7" s="2335"/>
      <c r="NQW7" s="2333"/>
      <c r="NQX7" s="2334"/>
      <c r="NQY7" s="2335"/>
      <c r="NQZ7" s="2333"/>
      <c r="NRA7" s="2334"/>
      <c r="NRB7" s="2335"/>
      <c r="NRC7" s="2333"/>
      <c r="NRD7" s="2334"/>
      <c r="NRE7" s="2335"/>
      <c r="NRF7" s="2333"/>
      <c r="NRG7" s="2334"/>
      <c r="NRH7" s="2335"/>
      <c r="NRI7" s="2333"/>
      <c r="NRJ7" s="2334"/>
      <c r="NRK7" s="2335"/>
      <c r="NRL7" s="2333"/>
      <c r="NRM7" s="2334"/>
      <c r="NRN7" s="2335"/>
      <c r="NRO7" s="2333"/>
      <c r="NRP7" s="2334"/>
      <c r="NRQ7" s="2335"/>
      <c r="NRR7" s="2333"/>
      <c r="NRS7" s="2334"/>
      <c r="NRT7" s="2335"/>
      <c r="NRU7" s="2333"/>
      <c r="NRV7" s="2334"/>
      <c r="NRW7" s="2335"/>
      <c r="NRX7" s="2333"/>
      <c r="NRY7" s="2334"/>
      <c r="NRZ7" s="2335"/>
      <c r="NSA7" s="2333"/>
      <c r="NSB7" s="2334"/>
      <c r="NSC7" s="2335"/>
      <c r="NSD7" s="2333"/>
      <c r="NSE7" s="2334"/>
      <c r="NSF7" s="2335"/>
      <c r="NSG7" s="2333"/>
      <c r="NSH7" s="2334"/>
      <c r="NSI7" s="2335"/>
      <c r="NSJ7" s="2333"/>
      <c r="NSK7" s="2334"/>
      <c r="NSL7" s="2335"/>
      <c r="NSM7" s="2333"/>
      <c r="NSN7" s="2334"/>
      <c r="NSO7" s="2335"/>
      <c r="NSP7" s="2333"/>
      <c r="NSQ7" s="2334"/>
      <c r="NSR7" s="2335"/>
      <c r="NSS7" s="2333"/>
      <c r="NST7" s="2334"/>
      <c r="NSU7" s="2335"/>
      <c r="NSV7" s="2333"/>
      <c r="NSW7" s="2334"/>
      <c r="NSX7" s="2335"/>
      <c r="NSY7" s="2333"/>
      <c r="NSZ7" s="2334"/>
      <c r="NTA7" s="2335"/>
      <c r="NTB7" s="2333"/>
      <c r="NTC7" s="2334"/>
      <c r="NTD7" s="2335"/>
      <c r="NTE7" s="2333"/>
      <c r="NTF7" s="2334"/>
      <c r="NTG7" s="2335"/>
      <c r="NTH7" s="2333"/>
      <c r="NTI7" s="2334"/>
      <c r="NTJ7" s="2335"/>
      <c r="NTK7" s="2333"/>
      <c r="NTL7" s="2334"/>
      <c r="NTM7" s="2335"/>
      <c r="NTN7" s="2333"/>
      <c r="NTO7" s="2334"/>
      <c r="NTP7" s="2335"/>
      <c r="NTQ7" s="2333"/>
      <c r="NTR7" s="2334"/>
      <c r="NTS7" s="2335"/>
      <c r="NTT7" s="2333"/>
      <c r="NTU7" s="2334"/>
      <c r="NTV7" s="2335"/>
      <c r="NTW7" s="2333"/>
      <c r="NTX7" s="2334"/>
      <c r="NTY7" s="2335"/>
      <c r="NTZ7" s="2333"/>
      <c r="NUA7" s="2334"/>
      <c r="NUB7" s="2335"/>
      <c r="NUC7" s="2333"/>
      <c r="NUD7" s="2334"/>
      <c r="NUE7" s="2335"/>
      <c r="NUF7" s="2333"/>
      <c r="NUG7" s="2334"/>
      <c r="NUH7" s="2335"/>
      <c r="NUI7" s="2333"/>
      <c r="NUJ7" s="2334"/>
      <c r="NUK7" s="2335"/>
      <c r="NUL7" s="2333"/>
      <c r="NUM7" s="2334"/>
      <c r="NUN7" s="2335"/>
      <c r="NUO7" s="2333"/>
      <c r="NUP7" s="2334"/>
      <c r="NUQ7" s="2335"/>
      <c r="NUR7" s="2333"/>
      <c r="NUS7" s="2334"/>
      <c r="NUT7" s="2335"/>
      <c r="NUU7" s="2333"/>
      <c r="NUV7" s="2334"/>
      <c r="NUW7" s="2335"/>
      <c r="NUX7" s="2333"/>
      <c r="NUY7" s="2334"/>
      <c r="NUZ7" s="2335"/>
      <c r="NVA7" s="2333"/>
      <c r="NVB7" s="2334"/>
      <c r="NVC7" s="2335"/>
      <c r="NVD7" s="2333"/>
      <c r="NVE7" s="2334"/>
      <c r="NVF7" s="2335"/>
      <c r="NVG7" s="2333"/>
      <c r="NVH7" s="2334"/>
      <c r="NVI7" s="2335"/>
      <c r="NVJ7" s="2333"/>
      <c r="NVK7" s="2334"/>
      <c r="NVL7" s="2335"/>
      <c r="NVM7" s="2333"/>
      <c r="NVN7" s="2334"/>
      <c r="NVO7" s="2335"/>
      <c r="NVP7" s="2333"/>
      <c r="NVQ7" s="2334"/>
      <c r="NVR7" s="2335"/>
      <c r="NVS7" s="2333"/>
      <c r="NVT7" s="2334"/>
      <c r="NVU7" s="2335"/>
      <c r="NVV7" s="2333"/>
      <c r="NVW7" s="2334"/>
      <c r="NVX7" s="2335"/>
      <c r="NVY7" s="2333"/>
      <c r="NVZ7" s="2334"/>
      <c r="NWA7" s="2335"/>
      <c r="NWB7" s="2333"/>
      <c r="NWC7" s="2334"/>
      <c r="NWD7" s="2335"/>
      <c r="NWE7" s="2333"/>
      <c r="NWF7" s="2334"/>
      <c r="NWG7" s="2335"/>
      <c r="NWH7" s="2333"/>
      <c r="NWI7" s="2334"/>
      <c r="NWJ7" s="2335"/>
      <c r="NWK7" s="2333"/>
      <c r="NWL7" s="2334"/>
      <c r="NWM7" s="2335"/>
      <c r="NWN7" s="2333"/>
      <c r="NWO7" s="2334"/>
      <c r="NWP7" s="2335"/>
      <c r="NWQ7" s="2333"/>
      <c r="NWR7" s="2334"/>
      <c r="NWS7" s="2335"/>
      <c r="NWT7" s="2333"/>
      <c r="NWU7" s="2334"/>
      <c r="NWV7" s="2335"/>
      <c r="NWW7" s="2333"/>
      <c r="NWX7" s="2334"/>
      <c r="NWY7" s="2335"/>
      <c r="NWZ7" s="2333"/>
      <c r="NXA7" s="2334"/>
      <c r="NXB7" s="2335"/>
      <c r="NXC7" s="2333"/>
      <c r="NXD7" s="2334"/>
      <c r="NXE7" s="2335"/>
      <c r="NXF7" s="2333"/>
      <c r="NXG7" s="2334"/>
      <c r="NXH7" s="2335"/>
      <c r="NXI7" s="2333"/>
      <c r="NXJ7" s="2334"/>
      <c r="NXK7" s="2335"/>
      <c r="NXL7" s="2333"/>
      <c r="NXM7" s="2334"/>
      <c r="NXN7" s="2335"/>
      <c r="NXO7" s="2333"/>
      <c r="NXP7" s="2334"/>
      <c r="NXQ7" s="2335"/>
      <c r="NXR7" s="2333"/>
      <c r="NXS7" s="2334"/>
      <c r="NXT7" s="2335"/>
      <c r="NXU7" s="2333"/>
      <c r="NXV7" s="2334"/>
      <c r="NXW7" s="2335"/>
      <c r="NXX7" s="2333"/>
      <c r="NXY7" s="2334"/>
      <c r="NXZ7" s="2335"/>
      <c r="NYA7" s="2333"/>
      <c r="NYB7" s="2334"/>
      <c r="NYC7" s="2335"/>
      <c r="NYD7" s="2333"/>
      <c r="NYE7" s="2334"/>
      <c r="NYF7" s="2335"/>
      <c r="NYG7" s="2333"/>
      <c r="NYH7" s="2334"/>
      <c r="NYI7" s="2335"/>
      <c r="NYJ7" s="2333"/>
      <c r="NYK7" s="2334"/>
      <c r="NYL7" s="2335"/>
      <c r="NYM7" s="2333"/>
      <c r="NYN7" s="2334"/>
      <c r="NYO7" s="2335"/>
      <c r="NYP7" s="2333"/>
      <c r="NYQ7" s="2334"/>
      <c r="NYR7" s="2335"/>
      <c r="NYS7" s="2333"/>
      <c r="NYT7" s="2334"/>
      <c r="NYU7" s="2335"/>
      <c r="NYV7" s="2333"/>
      <c r="NYW7" s="2334"/>
      <c r="NYX7" s="2335"/>
      <c r="NYY7" s="2333"/>
      <c r="NYZ7" s="2334"/>
      <c r="NZA7" s="2335"/>
      <c r="NZB7" s="2333"/>
      <c r="NZC7" s="2334"/>
      <c r="NZD7" s="2335"/>
      <c r="NZE7" s="2333"/>
      <c r="NZF7" s="2334"/>
      <c r="NZG7" s="2335"/>
      <c r="NZH7" s="2333"/>
      <c r="NZI7" s="2334"/>
      <c r="NZJ7" s="2335"/>
      <c r="NZK7" s="2333"/>
      <c r="NZL7" s="2334"/>
      <c r="NZM7" s="2335"/>
      <c r="NZN7" s="2333"/>
      <c r="NZO7" s="2334"/>
      <c r="NZP7" s="2335"/>
      <c r="NZQ7" s="2333"/>
      <c r="NZR7" s="2334"/>
      <c r="NZS7" s="2335"/>
      <c r="NZT7" s="2333"/>
      <c r="NZU7" s="2334"/>
      <c r="NZV7" s="2335"/>
      <c r="NZW7" s="2333"/>
      <c r="NZX7" s="2334"/>
      <c r="NZY7" s="2335"/>
      <c r="NZZ7" s="2333"/>
      <c r="OAA7" s="2334"/>
      <c r="OAB7" s="2335"/>
      <c r="OAC7" s="2333"/>
      <c r="OAD7" s="2334"/>
      <c r="OAE7" s="2335"/>
      <c r="OAF7" s="2333"/>
      <c r="OAG7" s="2334"/>
      <c r="OAH7" s="2335"/>
      <c r="OAI7" s="2333"/>
      <c r="OAJ7" s="2334"/>
      <c r="OAK7" s="2335"/>
      <c r="OAL7" s="2333"/>
      <c r="OAM7" s="2334"/>
      <c r="OAN7" s="2335"/>
      <c r="OAO7" s="2333"/>
      <c r="OAP7" s="2334"/>
      <c r="OAQ7" s="2335"/>
      <c r="OAR7" s="2333"/>
      <c r="OAS7" s="2334"/>
      <c r="OAT7" s="2335"/>
      <c r="OAU7" s="2333"/>
      <c r="OAV7" s="2334"/>
      <c r="OAW7" s="2335"/>
      <c r="OAX7" s="2333"/>
      <c r="OAY7" s="2334"/>
      <c r="OAZ7" s="2335"/>
      <c r="OBA7" s="2333"/>
      <c r="OBB7" s="2334"/>
      <c r="OBC7" s="2335"/>
      <c r="OBD7" s="2333"/>
      <c r="OBE7" s="2334"/>
      <c r="OBF7" s="2335"/>
      <c r="OBG7" s="2333"/>
      <c r="OBH7" s="2334"/>
      <c r="OBI7" s="2335"/>
      <c r="OBJ7" s="2333"/>
      <c r="OBK7" s="2334"/>
      <c r="OBL7" s="2335"/>
      <c r="OBM7" s="2333"/>
      <c r="OBN7" s="2334"/>
      <c r="OBO7" s="2335"/>
      <c r="OBP7" s="2333"/>
      <c r="OBQ7" s="2334"/>
      <c r="OBR7" s="2335"/>
      <c r="OBS7" s="2333"/>
      <c r="OBT7" s="2334"/>
      <c r="OBU7" s="2335"/>
      <c r="OBV7" s="2333"/>
      <c r="OBW7" s="2334"/>
      <c r="OBX7" s="2335"/>
      <c r="OBY7" s="2333"/>
      <c r="OBZ7" s="2334"/>
      <c r="OCA7" s="2335"/>
      <c r="OCB7" s="2333"/>
      <c r="OCC7" s="2334"/>
      <c r="OCD7" s="2335"/>
      <c r="OCE7" s="2333"/>
      <c r="OCF7" s="2334"/>
      <c r="OCG7" s="2335"/>
      <c r="OCH7" s="2333"/>
      <c r="OCI7" s="2334"/>
      <c r="OCJ7" s="2335"/>
      <c r="OCK7" s="2333"/>
      <c r="OCL7" s="2334"/>
      <c r="OCM7" s="2335"/>
      <c r="OCN7" s="2333"/>
      <c r="OCO7" s="2334"/>
      <c r="OCP7" s="2335"/>
      <c r="OCQ7" s="2333"/>
      <c r="OCR7" s="2334"/>
      <c r="OCS7" s="2335"/>
      <c r="OCT7" s="2333"/>
      <c r="OCU7" s="2334"/>
      <c r="OCV7" s="2335"/>
      <c r="OCW7" s="2333"/>
      <c r="OCX7" s="2334"/>
      <c r="OCY7" s="2335"/>
      <c r="OCZ7" s="2333"/>
      <c r="ODA7" s="2334"/>
      <c r="ODB7" s="2335"/>
      <c r="ODC7" s="2333"/>
      <c r="ODD7" s="2334"/>
      <c r="ODE7" s="2335"/>
      <c r="ODF7" s="2333"/>
      <c r="ODG7" s="2334"/>
      <c r="ODH7" s="2335"/>
      <c r="ODI7" s="2333"/>
      <c r="ODJ7" s="2334"/>
      <c r="ODK7" s="2335"/>
      <c r="ODL7" s="2333"/>
      <c r="ODM7" s="2334"/>
      <c r="ODN7" s="2335"/>
      <c r="ODO7" s="2333"/>
      <c r="ODP7" s="2334"/>
      <c r="ODQ7" s="2335"/>
      <c r="ODR7" s="2333"/>
      <c r="ODS7" s="2334"/>
      <c r="ODT7" s="2335"/>
      <c r="ODU7" s="2333"/>
      <c r="ODV7" s="2334"/>
      <c r="ODW7" s="2335"/>
      <c r="ODX7" s="2333"/>
      <c r="ODY7" s="2334"/>
      <c r="ODZ7" s="2335"/>
      <c r="OEA7" s="2333"/>
      <c r="OEB7" s="2334"/>
      <c r="OEC7" s="2335"/>
      <c r="OED7" s="2333"/>
      <c r="OEE7" s="2334"/>
      <c r="OEF7" s="2335"/>
      <c r="OEG7" s="2333"/>
      <c r="OEH7" s="2334"/>
      <c r="OEI7" s="2335"/>
      <c r="OEJ7" s="2333"/>
      <c r="OEK7" s="2334"/>
      <c r="OEL7" s="2335"/>
      <c r="OEM7" s="2333"/>
      <c r="OEN7" s="2334"/>
      <c r="OEO7" s="2335"/>
      <c r="OEP7" s="2333"/>
      <c r="OEQ7" s="2334"/>
      <c r="OER7" s="2335"/>
      <c r="OES7" s="2333"/>
      <c r="OET7" s="2334"/>
      <c r="OEU7" s="2335"/>
      <c r="OEV7" s="2333"/>
      <c r="OEW7" s="2334"/>
      <c r="OEX7" s="2335"/>
      <c r="OEY7" s="2333"/>
      <c r="OEZ7" s="2334"/>
      <c r="OFA7" s="2335"/>
      <c r="OFB7" s="2333"/>
      <c r="OFC7" s="2334"/>
      <c r="OFD7" s="2335"/>
      <c r="OFE7" s="2333"/>
      <c r="OFF7" s="2334"/>
      <c r="OFG7" s="2335"/>
      <c r="OFH7" s="2333"/>
      <c r="OFI7" s="2334"/>
      <c r="OFJ7" s="2335"/>
      <c r="OFK7" s="2333"/>
      <c r="OFL7" s="2334"/>
      <c r="OFM7" s="2335"/>
      <c r="OFN7" s="2333"/>
      <c r="OFO7" s="2334"/>
      <c r="OFP7" s="2335"/>
      <c r="OFQ7" s="2333"/>
      <c r="OFR7" s="2334"/>
      <c r="OFS7" s="2335"/>
      <c r="OFT7" s="2333"/>
      <c r="OFU7" s="2334"/>
      <c r="OFV7" s="2335"/>
      <c r="OFW7" s="2333"/>
      <c r="OFX7" s="2334"/>
      <c r="OFY7" s="2335"/>
      <c r="OFZ7" s="2333"/>
      <c r="OGA7" s="2334"/>
      <c r="OGB7" s="2335"/>
      <c r="OGC7" s="2333"/>
      <c r="OGD7" s="2334"/>
      <c r="OGE7" s="2335"/>
      <c r="OGF7" s="2333"/>
      <c r="OGG7" s="2334"/>
      <c r="OGH7" s="2335"/>
      <c r="OGI7" s="2333"/>
      <c r="OGJ7" s="2334"/>
      <c r="OGK7" s="2335"/>
      <c r="OGL7" s="2333"/>
      <c r="OGM7" s="2334"/>
      <c r="OGN7" s="2335"/>
      <c r="OGO7" s="2333"/>
      <c r="OGP7" s="2334"/>
      <c r="OGQ7" s="2335"/>
      <c r="OGR7" s="2333"/>
      <c r="OGS7" s="2334"/>
      <c r="OGT7" s="2335"/>
      <c r="OGU7" s="2333"/>
      <c r="OGV7" s="2334"/>
      <c r="OGW7" s="2335"/>
      <c r="OGX7" s="2333"/>
      <c r="OGY7" s="2334"/>
      <c r="OGZ7" s="2335"/>
      <c r="OHA7" s="2333"/>
      <c r="OHB7" s="2334"/>
      <c r="OHC7" s="2335"/>
      <c r="OHD7" s="2333"/>
      <c r="OHE7" s="2334"/>
      <c r="OHF7" s="2335"/>
      <c r="OHG7" s="2333"/>
      <c r="OHH7" s="2334"/>
      <c r="OHI7" s="2335"/>
      <c r="OHJ7" s="2333"/>
      <c r="OHK7" s="2334"/>
      <c r="OHL7" s="2335"/>
      <c r="OHM7" s="2333"/>
      <c r="OHN7" s="2334"/>
      <c r="OHO7" s="2335"/>
      <c r="OHP7" s="2333"/>
      <c r="OHQ7" s="2334"/>
      <c r="OHR7" s="2335"/>
      <c r="OHS7" s="2333"/>
      <c r="OHT7" s="2334"/>
      <c r="OHU7" s="2335"/>
      <c r="OHV7" s="2333"/>
      <c r="OHW7" s="2334"/>
      <c r="OHX7" s="2335"/>
      <c r="OHY7" s="2333"/>
      <c r="OHZ7" s="2334"/>
      <c r="OIA7" s="2335"/>
      <c r="OIB7" s="2333"/>
      <c r="OIC7" s="2334"/>
      <c r="OID7" s="2335"/>
      <c r="OIE7" s="2333"/>
      <c r="OIF7" s="2334"/>
      <c r="OIG7" s="2335"/>
      <c r="OIH7" s="2333"/>
      <c r="OII7" s="2334"/>
      <c r="OIJ7" s="2335"/>
      <c r="OIK7" s="2333"/>
      <c r="OIL7" s="2334"/>
      <c r="OIM7" s="2335"/>
      <c r="OIN7" s="2333"/>
      <c r="OIO7" s="2334"/>
      <c r="OIP7" s="2335"/>
      <c r="OIQ7" s="2333"/>
      <c r="OIR7" s="2334"/>
      <c r="OIS7" s="2335"/>
      <c r="OIT7" s="2333"/>
      <c r="OIU7" s="2334"/>
      <c r="OIV7" s="2335"/>
      <c r="OIW7" s="2333"/>
      <c r="OIX7" s="2334"/>
      <c r="OIY7" s="2335"/>
      <c r="OIZ7" s="2333"/>
      <c r="OJA7" s="2334"/>
      <c r="OJB7" s="2335"/>
      <c r="OJC7" s="2333"/>
      <c r="OJD7" s="2334"/>
      <c r="OJE7" s="2335"/>
      <c r="OJF7" s="2333"/>
      <c r="OJG7" s="2334"/>
      <c r="OJH7" s="2335"/>
      <c r="OJI7" s="2333"/>
      <c r="OJJ7" s="2334"/>
      <c r="OJK7" s="2335"/>
      <c r="OJL7" s="2333"/>
      <c r="OJM7" s="2334"/>
      <c r="OJN7" s="2335"/>
      <c r="OJO7" s="2333"/>
      <c r="OJP7" s="2334"/>
      <c r="OJQ7" s="2335"/>
      <c r="OJR7" s="2333"/>
      <c r="OJS7" s="2334"/>
      <c r="OJT7" s="2335"/>
      <c r="OJU7" s="2333"/>
      <c r="OJV7" s="2334"/>
      <c r="OJW7" s="2335"/>
      <c r="OJX7" s="2333"/>
      <c r="OJY7" s="2334"/>
      <c r="OJZ7" s="2335"/>
      <c r="OKA7" s="2333"/>
      <c r="OKB7" s="2334"/>
      <c r="OKC7" s="2335"/>
      <c r="OKD7" s="2333"/>
      <c r="OKE7" s="2334"/>
      <c r="OKF7" s="2335"/>
      <c r="OKG7" s="2333"/>
      <c r="OKH7" s="2334"/>
      <c r="OKI7" s="2335"/>
      <c r="OKJ7" s="2333"/>
      <c r="OKK7" s="2334"/>
      <c r="OKL7" s="2335"/>
      <c r="OKM7" s="2333"/>
      <c r="OKN7" s="2334"/>
      <c r="OKO7" s="2335"/>
      <c r="OKP7" s="2333"/>
      <c r="OKQ7" s="2334"/>
      <c r="OKR7" s="2335"/>
      <c r="OKS7" s="2333"/>
      <c r="OKT7" s="2334"/>
      <c r="OKU7" s="2335"/>
      <c r="OKV7" s="2333"/>
      <c r="OKW7" s="2334"/>
      <c r="OKX7" s="2335"/>
      <c r="OKY7" s="2333"/>
      <c r="OKZ7" s="2334"/>
      <c r="OLA7" s="2335"/>
      <c r="OLB7" s="2333"/>
      <c r="OLC7" s="2334"/>
      <c r="OLD7" s="2335"/>
      <c r="OLE7" s="2333"/>
      <c r="OLF7" s="2334"/>
      <c r="OLG7" s="2335"/>
      <c r="OLH7" s="2333"/>
      <c r="OLI7" s="2334"/>
      <c r="OLJ7" s="2335"/>
      <c r="OLK7" s="2333"/>
      <c r="OLL7" s="2334"/>
      <c r="OLM7" s="2335"/>
      <c r="OLN7" s="2333"/>
      <c r="OLO7" s="2334"/>
      <c r="OLP7" s="2335"/>
      <c r="OLQ7" s="2333"/>
      <c r="OLR7" s="2334"/>
      <c r="OLS7" s="2335"/>
      <c r="OLT7" s="2333"/>
      <c r="OLU7" s="2334"/>
      <c r="OLV7" s="2335"/>
      <c r="OLW7" s="2333"/>
      <c r="OLX7" s="2334"/>
      <c r="OLY7" s="2335"/>
      <c r="OLZ7" s="2333"/>
      <c r="OMA7" s="2334"/>
      <c r="OMB7" s="2335"/>
      <c r="OMC7" s="2333"/>
      <c r="OMD7" s="2334"/>
      <c r="OME7" s="2335"/>
      <c r="OMF7" s="2333"/>
      <c r="OMG7" s="2334"/>
      <c r="OMH7" s="2335"/>
      <c r="OMI7" s="2333"/>
      <c r="OMJ7" s="2334"/>
      <c r="OMK7" s="2335"/>
      <c r="OML7" s="2333"/>
      <c r="OMM7" s="2334"/>
      <c r="OMN7" s="2335"/>
      <c r="OMO7" s="2333"/>
      <c r="OMP7" s="2334"/>
      <c r="OMQ7" s="2335"/>
      <c r="OMR7" s="2333"/>
      <c r="OMS7" s="2334"/>
      <c r="OMT7" s="2335"/>
      <c r="OMU7" s="2333"/>
      <c r="OMV7" s="2334"/>
      <c r="OMW7" s="2335"/>
      <c r="OMX7" s="2333"/>
      <c r="OMY7" s="2334"/>
      <c r="OMZ7" s="2335"/>
      <c r="ONA7" s="2333"/>
      <c r="ONB7" s="2334"/>
      <c r="ONC7" s="2335"/>
      <c r="OND7" s="2333"/>
      <c r="ONE7" s="2334"/>
      <c r="ONF7" s="2335"/>
      <c r="ONG7" s="2333"/>
      <c r="ONH7" s="2334"/>
      <c r="ONI7" s="2335"/>
      <c r="ONJ7" s="2333"/>
      <c r="ONK7" s="2334"/>
      <c r="ONL7" s="2335"/>
      <c r="ONM7" s="2333"/>
      <c r="ONN7" s="2334"/>
      <c r="ONO7" s="2335"/>
      <c r="ONP7" s="2333"/>
      <c r="ONQ7" s="2334"/>
      <c r="ONR7" s="2335"/>
      <c r="ONS7" s="2333"/>
      <c r="ONT7" s="2334"/>
      <c r="ONU7" s="2335"/>
      <c r="ONV7" s="2333"/>
      <c r="ONW7" s="2334"/>
      <c r="ONX7" s="2335"/>
      <c r="ONY7" s="2333"/>
      <c r="ONZ7" s="2334"/>
      <c r="OOA7" s="2335"/>
      <c r="OOB7" s="2333"/>
      <c r="OOC7" s="2334"/>
      <c r="OOD7" s="2335"/>
      <c r="OOE7" s="2333"/>
      <c r="OOF7" s="2334"/>
      <c r="OOG7" s="2335"/>
      <c r="OOH7" s="2333"/>
      <c r="OOI7" s="2334"/>
      <c r="OOJ7" s="2335"/>
      <c r="OOK7" s="2333"/>
      <c r="OOL7" s="2334"/>
      <c r="OOM7" s="2335"/>
      <c r="OON7" s="2333"/>
      <c r="OOO7" s="2334"/>
      <c r="OOP7" s="2335"/>
      <c r="OOQ7" s="2333"/>
      <c r="OOR7" s="2334"/>
      <c r="OOS7" s="2335"/>
      <c r="OOT7" s="2333"/>
      <c r="OOU7" s="2334"/>
      <c r="OOV7" s="2335"/>
      <c r="OOW7" s="2333"/>
      <c r="OOX7" s="2334"/>
      <c r="OOY7" s="2335"/>
      <c r="OOZ7" s="2333"/>
      <c r="OPA7" s="2334"/>
      <c r="OPB7" s="2335"/>
      <c r="OPC7" s="2333"/>
      <c r="OPD7" s="2334"/>
      <c r="OPE7" s="2335"/>
      <c r="OPF7" s="2333"/>
      <c r="OPG7" s="2334"/>
      <c r="OPH7" s="2335"/>
      <c r="OPI7" s="2333"/>
      <c r="OPJ7" s="2334"/>
      <c r="OPK7" s="2335"/>
      <c r="OPL7" s="2333"/>
      <c r="OPM7" s="2334"/>
      <c r="OPN7" s="2335"/>
      <c r="OPO7" s="2333"/>
      <c r="OPP7" s="2334"/>
      <c r="OPQ7" s="2335"/>
      <c r="OPR7" s="2333"/>
      <c r="OPS7" s="2334"/>
      <c r="OPT7" s="2335"/>
      <c r="OPU7" s="2333"/>
      <c r="OPV7" s="2334"/>
      <c r="OPW7" s="2335"/>
      <c r="OPX7" s="2333"/>
      <c r="OPY7" s="2334"/>
      <c r="OPZ7" s="2335"/>
      <c r="OQA7" s="2333"/>
      <c r="OQB7" s="2334"/>
      <c r="OQC7" s="2335"/>
      <c r="OQD7" s="2333"/>
      <c r="OQE7" s="2334"/>
      <c r="OQF7" s="2335"/>
      <c r="OQG7" s="2333"/>
      <c r="OQH7" s="2334"/>
      <c r="OQI7" s="2335"/>
      <c r="OQJ7" s="2333"/>
      <c r="OQK7" s="2334"/>
      <c r="OQL7" s="2335"/>
      <c r="OQM7" s="2333"/>
      <c r="OQN7" s="2334"/>
      <c r="OQO7" s="2335"/>
      <c r="OQP7" s="2333"/>
      <c r="OQQ7" s="2334"/>
      <c r="OQR7" s="2335"/>
      <c r="OQS7" s="2333"/>
      <c r="OQT7" s="2334"/>
      <c r="OQU7" s="2335"/>
      <c r="OQV7" s="2333"/>
      <c r="OQW7" s="2334"/>
      <c r="OQX7" s="2335"/>
      <c r="OQY7" s="2333"/>
      <c r="OQZ7" s="2334"/>
      <c r="ORA7" s="2335"/>
      <c r="ORB7" s="2333"/>
      <c r="ORC7" s="2334"/>
      <c r="ORD7" s="2335"/>
      <c r="ORE7" s="2333"/>
      <c r="ORF7" s="2334"/>
      <c r="ORG7" s="2335"/>
      <c r="ORH7" s="2333"/>
      <c r="ORI7" s="2334"/>
      <c r="ORJ7" s="2335"/>
      <c r="ORK7" s="2333"/>
      <c r="ORL7" s="2334"/>
      <c r="ORM7" s="2335"/>
      <c r="ORN7" s="2333"/>
      <c r="ORO7" s="2334"/>
      <c r="ORP7" s="2335"/>
      <c r="ORQ7" s="2333"/>
      <c r="ORR7" s="2334"/>
      <c r="ORS7" s="2335"/>
      <c r="ORT7" s="2333"/>
      <c r="ORU7" s="2334"/>
      <c r="ORV7" s="2335"/>
      <c r="ORW7" s="2333"/>
      <c r="ORX7" s="2334"/>
      <c r="ORY7" s="2335"/>
      <c r="ORZ7" s="2333"/>
      <c r="OSA7" s="2334"/>
      <c r="OSB7" s="2335"/>
      <c r="OSC7" s="2333"/>
      <c r="OSD7" s="2334"/>
      <c r="OSE7" s="2335"/>
      <c r="OSF7" s="2333"/>
      <c r="OSG7" s="2334"/>
      <c r="OSH7" s="2335"/>
      <c r="OSI7" s="2333"/>
      <c r="OSJ7" s="2334"/>
      <c r="OSK7" s="2335"/>
      <c r="OSL7" s="2333"/>
      <c r="OSM7" s="2334"/>
      <c r="OSN7" s="2335"/>
      <c r="OSO7" s="2333"/>
      <c r="OSP7" s="2334"/>
      <c r="OSQ7" s="2335"/>
      <c r="OSR7" s="2333"/>
      <c r="OSS7" s="2334"/>
      <c r="OST7" s="2335"/>
      <c r="OSU7" s="2333"/>
      <c r="OSV7" s="2334"/>
      <c r="OSW7" s="2335"/>
      <c r="OSX7" s="2333"/>
      <c r="OSY7" s="2334"/>
      <c r="OSZ7" s="2335"/>
      <c r="OTA7" s="2333"/>
      <c r="OTB7" s="2334"/>
      <c r="OTC7" s="2335"/>
      <c r="OTD7" s="2333"/>
      <c r="OTE7" s="2334"/>
      <c r="OTF7" s="2335"/>
      <c r="OTG7" s="2333"/>
      <c r="OTH7" s="2334"/>
      <c r="OTI7" s="2335"/>
      <c r="OTJ7" s="2333"/>
      <c r="OTK7" s="2334"/>
      <c r="OTL7" s="2335"/>
      <c r="OTM7" s="2333"/>
      <c r="OTN7" s="2334"/>
      <c r="OTO7" s="2335"/>
      <c r="OTP7" s="2333"/>
      <c r="OTQ7" s="2334"/>
      <c r="OTR7" s="2335"/>
      <c r="OTS7" s="2333"/>
      <c r="OTT7" s="2334"/>
      <c r="OTU7" s="2335"/>
      <c r="OTV7" s="2333"/>
      <c r="OTW7" s="2334"/>
      <c r="OTX7" s="2335"/>
      <c r="OTY7" s="2333"/>
      <c r="OTZ7" s="2334"/>
      <c r="OUA7" s="2335"/>
      <c r="OUB7" s="2333"/>
      <c r="OUC7" s="2334"/>
      <c r="OUD7" s="2335"/>
      <c r="OUE7" s="2333"/>
      <c r="OUF7" s="2334"/>
      <c r="OUG7" s="2335"/>
      <c r="OUH7" s="2333"/>
      <c r="OUI7" s="2334"/>
      <c r="OUJ7" s="2335"/>
      <c r="OUK7" s="2333"/>
      <c r="OUL7" s="2334"/>
      <c r="OUM7" s="2335"/>
      <c r="OUN7" s="2333"/>
      <c r="OUO7" s="2334"/>
      <c r="OUP7" s="2335"/>
      <c r="OUQ7" s="2333"/>
      <c r="OUR7" s="2334"/>
      <c r="OUS7" s="2335"/>
      <c r="OUT7" s="2333"/>
      <c r="OUU7" s="2334"/>
      <c r="OUV7" s="2335"/>
      <c r="OUW7" s="2333"/>
      <c r="OUX7" s="2334"/>
      <c r="OUY7" s="2335"/>
      <c r="OUZ7" s="2333"/>
      <c r="OVA7" s="2334"/>
      <c r="OVB7" s="2335"/>
      <c r="OVC7" s="2333"/>
      <c r="OVD7" s="2334"/>
      <c r="OVE7" s="2335"/>
      <c r="OVF7" s="2333"/>
      <c r="OVG7" s="2334"/>
      <c r="OVH7" s="2335"/>
      <c r="OVI7" s="2333"/>
      <c r="OVJ7" s="2334"/>
      <c r="OVK7" s="2335"/>
      <c r="OVL7" s="2333"/>
      <c r="OVM7" s="2334"/>
      <c r="OVN7" s="2335"/>
      <c r="OVO7" s="2333"/>
      <c r="OVP7" s="2334"/>
      <c r="OVQ7" s="2335"/>
      <c r="OVR7" s="2333"/>
      <c r="OVS7" s="2334"/>
      <c r="OVT7" s="2335"/>
      <c r="OVU7" s="2333"/>
      <c r="OVV7" s="2334"/>
      <c r="OVW7" s="2335"/>
      <c r="OVX7" s="2333"/>
      <c r="OVY7" s="2334"/>
      <c r="OVZ7" s="2335"/>
      <c r="OWA7" s="2333"/>
      <c r="OWB7" s="2334"/>
      <c r="OWC7" s="2335"/>
      <c r="OWD7" s="2333"/>
      <c r="OWE7" s="2334"/>
      <c r="OWF7" s="2335"/>
      <c r="OWG7" s="2333"/>
      <c r="OWH7" s="2334"/>
      <c r="OWI7" s="2335"/>
      <c r="OWJ7" s="2333"/>
      <c r="OWK7" s="2334"/>
      <c r="OWL7" s="2335"/>
      <c r="OWM7" s="2333"/>
      <c r="OWN7" s="2334"/>
      <c r="OWO7" s="2335"/>
      <c r="OWP7" s="2333"/>
      <c r="OWQ7" s="2334"/>
      <c r="OWR7" s="2335"/>
      <c r="OWS7" s="2333"/>
      <c r="OWT7" s="2334"/>
      <c r="OWU7" s="2335"/>
      <c r="OWV7" s="2333"/>
      <c r="OWW7" s="2334"/>
      <c r="OWX7" s="2335"/>
      <c r="OWY7" s="2333"/>
      <c r="OWZ7" s="2334"/>
      <c r="OXA7" s="2335"/>
      <c r="OXB7" s="2333"/>
      <c r="OXC7" s="2334"/>
      <c r="OXD7" s="2335"/>
      <c r="OXE7" s="2333"/>
      <c r="OXF7" s="2334"/>
      <c r="OXG7" s="2335"/>
      <c r="OXH7" s="2333"/>
      <c r="OXI7" s="2334"/>
      <c r="OXJ7" s="2335"/>
      <c r="OXK7" s="2333"/>
      <c r="OXL7" s="2334"/>
      <c r="OXM7" s="2335"/>
      <c r="OXN7" s="2333"/>
      <c r="OXO7" s="2334"/>
      <c r="OXP7" s="2335"/>
      <c r="OXQ7" s="2333"/>
      <c r="OXR7" s="2334"/>
      <c r="OXS7" s="2335"/>
      <c r="OXT7" s="2333"/>
      <c r="OXU7" s="2334"/>
      <c r="OXV7" s="2335"/>
      <c r="OXW7" s="2333"/>
      <c r="OXX7" s="2334"/>
      <c r="OXY7" s="2335"/>
      <c r="OXZ7" s="2333"/>
      <c r="OYA7" s="2334"/>
      <c r="OYB7" s="2335"/>
      <c r="OYC7" s="2333"/>
      <c r="OYD7" s="2334"/>
      <c r="OYE7" s="2335"/>
      <c r="OYF7" s="2333"/>
      <c r="OYG7" s="2334"/>
      <c r="OYH7" s="2335"/>
      <c r="OYI7" s="2333"/>
      <c r="OYJ7" s="2334"/>
      <c r="OYK7" s="2335"/>
      <c r="OYL7" s="2333"/>
      <c r="OYM7" s="2334"/>
      <c r="OYN7" s="2335"/>
      <c r="OYO7" s="2333"/>
      <c r="OYP7" s="2334"/>
      <c r="OYQ7" s="2335"/>
      <c r="OYR7" s="2333"/>
      <c r="OYS7" s="2334"/>
      <c r="OYT7" s="2335"/>
      <c r="OYU7" s="2333"/>
      <c r="OYV7" s="2334"/>
      <c r="OYW7" s="2335"/>
      <c r="OYX7" s="2333"/>
      <c r="OYY7" s="2334"/>
      <c r="OYZ7" s="2335"/>
      <c r="OZA7" s="2333"/>
      <c r="OZB7" s="2334"/>
      <c r="OZC7" s="2335"/>
      <c r="OZD7" s="2333"/>
      <c r="OZE7" s="2334"/>
      <c r="OZF7" s="2335"/>
      <c r="OZG7" s="2333"/>
      <c r="OZH7" s="2334"/>
      <c r="OZI7" s="2335"/>
      <c r="OZJ7" s="2333"/>
      <c r="OZK7" s="2334"/>
      <c r="OZL7" s="2335"/>
      <c r="OZM7" s="2333"/>
      <c r="OZN7" s="2334"/>
      <c r="OZO7" s="2335"/>
      <c r="OZP7" s="2333"/>
      <c r="OZQ7" s="2334"/>
      <c r="OZR7" s="2335"/>
      <c r="OZS7" s="2333"/>
      <c r="OZT7" s="2334"/>
      <c r="OZU7" s="2335"/>
      <c r="OZV7" s="2333"/>
      <c r="OZW7" s="2334"/>
      <c r="OZX7" s="2335"/>
      <c r="OZY7" s="2333"/>
      <c r="OZZ7" s="2334"/>
      <c r="PAA7" s="2335"/>
      <c r="PAB7" s="2333"/>
      <c r="PAC7" s="2334"/>
      <c r="PAD7" s="2335"/>
      <c r="PAE7" s="2333"/>
      <c r="PAF7" s="2334"/>
      <c r="PAG7" s="2335"/>
      <c r="PAH7" s="2333"/>
      <c r="PAI7" s="2334"/>
      <c r="PAJ7" s="2335"/>
      <c r="PAK7" s="2333"/>
      <c r="PAL7" s="2334"/>
      <c r="PAM7" s="2335"/>
      <c r="PAN7" s="2333"/>
      <c r="PAO7" s="2334"/>
      <c r="PAP7" s="2335"/>
      <c r="PAQ7" s="2333"/>
      <c r="PAR7" s="2334"/>
      <c r="PAS7" s="2335"/>
      <c r="PAT7" s="2333"/>
      <c r="PAU7" s="2334"/>
      <c r="PAV7" s="2335"/>
      <c r="PAW7" s="2333"/>
      <c r="PAX7" s="2334"/>
      <c r="PAY7" s="2335"/>
      <c r="PAZ7" s="2333"/>
      <c r="PBA7" s="2334"/>
      <c r="PBB7" s="2335"/>
      <c r="PBC7" s="2333"/>
      <c r="PBD7" s="2334"/>
      <c r="PBE7" s="2335"/>
      <c r="PBF7" s="2333"/>
      <c r="PBG7" s="2334"/>
      <c r="PBH7" s="2335"/>
      <c r="PBI7" s="2333"/>
      <c r="PBJ7" s="2334"/>
      <c r="PBK7" s="2335"/>
      <c r="PBL7" s="2333"/>
      <c r="PBM7" s="2334"/>
      <c r="PBN7" s="2335"/>
      <c r="PBO7" s="2333"/>
      <c r="PBP7" s="2334"/>
      <c r="PBQ7" s="2335"/>
      <c r="PBR7" s="2333"/>
      <c r="PBS7" s="2334"/>
      <c r="PBT7" s="2335"/>
      <c r="PBU7" s="2333"/>
      <c r="PBV7" s="2334"/>
      <c r="PBW7" s="2335"/>
      <c r="PBX7" s="2333"/>
      <c r="PBY7" s="2334"/>
      <c r="PBZ7" s="2335"/>
      <c r="PCA7" s="2333"/>
      <c r="PCB7" s="2334"/>
      <c r="PCC7" s="2335"/>
      <c r="PCD7" s="2333"/>
      <c r="PCE7" s="2334"/>
      <c r="PCF7" s="2335"/>
      <c r="PCG7" s="2333"/>
      <c r="PCH7" s="2334"/>
      <c r="PCI7" s="2335"/>
      <c r="PCJ7" s="2333"/>
      <c r="PCK7" s="2334"/>
      <c r="PCL7" s="2335"/>
      <c r="PCM7" s="2333"/>
      <c r="PCN7" s="2334"/>
      <c r="PCO7" s="2335"/>
      <c r="PCP7" s="2333"/>
      <c r="PCQ7" s="2334"/>
      <c r="PCR7" s="2335"/>
      <c r="PCS7" s="2333"/>
      <c r="PCT7" s="2334"/>
      <c r="PCU7" s="2335"/>
      <c r="PCV7" s="2333"/>
      <c r="PCW7" s="2334"/>
      <c r="PCX7" s="2335"/>
      <c r="PCY7" s="2333"/>
      <c r="PCZ7" s="2334"/>
      <c r="PDA7" s="2335"/>
      <c r="PDB7" s="2333"/>
      <c r="PDC7" s="2334"/>
      <c r="PDD7" s="2335"/>
      <c r="PDE7" s="2333"/>
      <c r="PDF7" s="2334"/>
      <c r="PDG7" s="2335"/>
      <c r="PDH7" s="2333"/>
      <c r="PDI7" s="2334"/>
      <c r="PDJ7" s="2335"/>
      <c r="PDK7" s="2333"/>
      <c r="PDL7" s="2334"/>
      <c r="PDM7" s="2335"/>
      <c r="PDN7" s="2333"/>
      <c r="PDO7" s="2334"/>
      <c r="PDP7" s="2335"/>
      <c r="PDQ7" s="2333"/>
      <c r="PDR7" s="2334"/>
      <c r="PDS7" s="2335"/>
      <c r="PDT7" s="2333"/>
      <c r="PDU7" s="2334"/>
      <c r="PDV7" s="2335"/>
      <c r="PDW7" s="2333"/>
      <c r="PDX7" s="2334"/>
      <c r="PDY7" s="2335"/>
      <c r="PDZ7" s="2333"/>
      <c r="PEA7" s="2334"/>
      <c r="PEB7" s="2335"/>
      <c r="PEC7" s="2333"/>
      <c r="PED7" s="2334"/>
      <c r="PEE7" s="2335"/>
      <c r="PEF7" s="2333"/>
      <c r="PEG7" s="2334"/>
      <c r="PEH7" s="2335"/>
      <c r="PEI7" s="2333"/>
      <c r="PEJ7" s="2334"/>
      <c r="PEK7" s="2335"/>
      <c r="PEL7" s="2333"/>
      <c r="PEM7" s="2334"/>
      <c r="PEN7" s="2335"/>
      <c r="PEO7" s="2333"/>
      <c r="PEP7" s="2334"/>
      <c r="PEQ7" s="2335"/>
      <c r="PER7" s="2333"/>
      <c r="PES7" s="2334"/>
      <c r="PET7" s="2335"/>
      <c r="PEU7" s="2333"/>
      <c r="PEV7" s="2334"/>
      <c r="PEW7" s="2335"/>
      <c r="PEX7" s="2333"/>
      <c r="PEY7" s="2334"/>
      <c r="PEZ7" s="2335"/>
      <c r="PFA7" s="2333"/>
      <c r="PFB7" s="2334"/>
      <c r="PFC7" s="2335"/>
      <c r="PFD7" s="2333"/>
      <c r="PFE7" s="2334"/>
      <c r="PFF7" s="2335"/>
      <c r="PFG7" s="2333"/>
      <c r="PFH7" s="2334"/>
      <c r="PFI7" s="2335"/>
      <c r="PFJ7" s="2333"/>
      <c r="PFK7" s="2334"/>
      <c r="PFL7" s="2335"/>
      <c r="PFM7" s="2333"/>
      <c r="PFN7" s="2334"/>
      <c r="PFO7" s="2335"/>
      <c r="PFP7" s="2333"/>
      <c r="PFQ7" s="2334"/>
      <c r="PFR7" s="2335"/>
      <c r="PFS7" s="2333"/>
      <c r="PFT7" s="2334"/>
      <c r="PFU7" s="2335"/>
      <c r="PFV7" s="2333"/>
      <c r="PFW7" s="2334"/>
      <c r="PFX7" s="2335"/>
      <c r="PFY7" s="2333"/>
      <c r="PFZ7" s="2334"/>
      <c r="PGA7" s="2335"/>
      <c r="PGB7" s="2333"/>
      <c r="PGC7" s="2334"/>
      <c r="PGD7" s="2335"/>
      <c r="PGE7" s="2333"/>
      <c r="PGF7" s="2334"/>
      <c r="PGG7" s="2335"/>
      <c r="PGH7" s="2333"/>
      <c r="PGI7" s="2334"/>
      <c r="PGJ7" s="2335"/>
      <c r="PGK7" s="2333"/>
      <c r="PGL7" s="2334"/>
      <c r="PGM7" s="2335"/>
      <c r="PGN7" s="2333"/>
      <c r="PGO7" s="2334"/>
      <c r="PGP7" s="2335"/>
      <c r="PGQ7" s="2333"/>
      <c r="PGR7" s="2334"/>
      <c r="PGS7" s="2335"/>
      <c r="PGT7" s="2333"/>
      <c r="PGU7" s="2334"/>
      <c r="PGV7" s="2335"/>
      <c r="PGW7" s="2333"/>
      <c r="PGX7" s="2334"/>
      <c r="PGY7" s="2335"/>
      <c r="PGZ7" s="2333"/>
      <c r="PHA7" s="2334"/>
      <c r="PHB7" s="2335"/>
      <c r="PHC7" s="2333"/>
      <c r="PHD7" s="2334"/>
      <c r="PHE7" s="2335"/>
      <c r="PHF7" s="2333"/>
      <c r="PHG7" s="2334"/>
      <c r="PHH7" s="2335"/>
      <c r="PHI7" s="2333"/>
      <c r="PHJ7" s="2334"/>
      <c r="PHK7" s="2335"/>
      <c r="PHL7" s="2333"/>
      <c r="PHM7" s="2334"/>
      <c r="PHN7" s="2335"/>
      <c r="PHO7" s="2333"/>
      <c r="PHP7" s="2334"/>
      <c r="PHQ7" s="2335"/>
      <c r="PHR7" s="2333"/>
      <c r="PHS7" s="2334"/>
      <c r="PHT7" s="2335"/>
      <c r="PHU7" s="2333"/>
      <c r="PHV7" s="2334"/>
      <c r="PHW7" s="2335"/>
      <c r="PHX7" s="2333"/>
      <c r="PHY7" s="2334"/>
      <c r="PHZ7" s="2335"/>
      <c r="PIA7" s="2333"/>
      <c r="PIB7" s="2334"/>
      <c r="PIC7" s="2335"/>
      <c r="PID7" s="2333"/>
      <c r="PIE7" s="2334"/>
      <c r="PIF7" s="2335"/>
      <c r="PIG7" s="2333"/>
      <c r="PIH7" s="2334"/>
      <c r="PII7" s="2335"/>
      <c r="PIJ7" s="2333"/>
      <c r="PIK7" s="2334"/>
      <c r="PIL7" s="2335"/>
      <c r="PIM7" s="2333"/>
      <c r="PIN7" s="2334"/>
      <c r="PIO7" s="2335"/>
      <c r="PIP7" s="2333"/>
      <c r="PIQ7" s="2334"/>
      <c r="PIR7" s="2335"/>
      <c r="PIS7" s="2333"/>
      <c r="PIT7" s="2334"/>
      <c r="PIU7" s="2335"/>
      <c r="PIV7" s="2333"/>
      <c r="PIW7" s="2334"/>
      <c r="PIX7" s="2335"/>
      <c r="PIY7" s="2333"/>
      <c r="PIZ7" s="2334"/>
      <c r="PJA7" s="2335"/>
      <c r="PJB7" s="2333"/>
      <c r="PJC7" s="2334"/>
      <c r="PJD7" s="2335"/>
      <c r="PJE7" s="2333"/>
      <c r="PJF7" s="2334"/>
      <c r="PJG7" s="2335"/>
      <c r="PJH7" s="2333"/>
      <c r="PJI7" s="2334"/>
      <c r="PJJ7" s="2335"/>
      <c r="PJK7" s="2333"/>
      <c r="PJL7" s="2334"/>
      <c r="PJM7" s="2335"/>
      <c r="PJN7" s="2333"/>
      <c r="PJO7" s="2334"/>
      <c r="PJP7" s="2335"/>
      <c r="PJQ7" s="2333"/>
      <c r="PJR7" s="2334"/>
      <c r="PJS7" s="2335"/>
      <c r="PJT7" s="2333"/>
      <c r="PJU7" s="2334"/>
      <c r="PJV7" s="2335"/>
      <c r="PJW7" s="2333"/>
      <c r="PJX7" s="2334"/>
      <c r="PJY7" s="2335"/>
      <c r="PJZ7" s="2333"/>
      <c r="PKA7" s="2334"/>
      <c r="PKB7" s="2335"/>
      <c r="PKC7" s="2333"/>
      <c r="PKD7" s="2334"/>
      <c r="PKE7" s="2335"/>
      <c r="PKF7" s="2333"/>
      <c r="PKG7" s="2334"/>
      <c r="PKH7" s="2335"/>
      <c r="PKI7" s="2333"/>
      <c r="PKJ7" s="2334"/>
      <c r="PKK7" s="2335"/>
      <c r="PKL7" s="2333"/>
      <c r="PKM7" s="2334"/>
      <c r="PKN7" s="2335"/>
      <c r="PKO7" s="2333"/>
      <c r="PKP7" s="2334"/>
      <c r="PKQ7" s="2335"/>
      <c r="PKR7" s="2333"/>
      <c r="PKS7" s="2334"/>
      <c r="PKT7" s="2335"/>
      <c r="PKU7" s="2333"/>
      <c r="PKV7" s="2334"/>
      <c r="PKW7" s="2335"/>
      <c r="PKX7" s="2333"/>
      <c r="PKY7" s="2334"/>
      <c r="PKZ7" s="2335"/>
      <c r="PLA7" s="2333"/>
      <c r="PLB7" s="2334"/>
      <c r="PLC7" s="2335"/>
      <c r="PLD7" s="2333"/>
      <c r="PLE7" s="2334"/>
      <c r="PLF7" s="2335"/>
      <c r="PLG7" s="2333"/>
      <c r="PLH7" s="2334"/>
      <c r="PLI7" s="2335"/>
      <c r="PLJ7" s="2333"/>
      <c r="PLK7" s="2334"/>
      <c r="PLL7" s="2335"/>
      <c r="PLM7" s="2333"/>
      <c r="PLN7" s="2334"/>
      <c r="PLO7" s="2335"/>
      <c r="PLP7" s="2333"/>
      <c r="PLQ7" s="2334"/>
      <c r="PLR7" s="2335"/>
      <c r="PLS7" s="2333"/>
      <c r="PLT7" s="2334"/>
      <c r="PLU7" s="2335"/>
      <c r="PLV7" s="2333"/>
      <c r="PLW7" s="2334"/>
      <c r="PLX7" s="2335"/>
      <c r="PLY7" s="2333"/>
      <c r="PLZ7" s="2334"/>
      <c r="PMA7" s="2335"/>
      <c r="PMB7" s="2333"/>
      <c r="PMC7" s="2334"/>
      <c r="PMD7" s="2335"/>
      <c r="PME7" s="2333"/>
      <c r="PMF7" s="2334"/>
      <c r="PMG7" s="2335"/>
      <c r="PMH7" s="2333"/>
      <c r="PMI7" s="2334"/>
      <c r="PMJ7" s="2335"/>
      <c r="PMK7" s="2333"/>
      <c r="PML7" s="2334"/>
      <c r="PMM7" s="2335"/>
      <c r="PMN7" s="2333"/>
      <c r="PMO7" s="2334"/>
      <c r="PMP7" s="2335"/>
      <c r="PMQ7" s="2333"/>
      <c r="PMR7" s="2334"/>
      <c r="PMS7" s="2335"/>
      <c r="PMT7" s="2333"/>
      <c r="PMU7" s="2334"/>
      <c r="PMV7" s="2335"/>
      <c r="PMW7" s="2333"/>
      <c r="PMX7" s="2334"/>
      <c r="PMY7" s="2335"/>
      <c r="PMZ7" s="2333"/>
      <c r="PNA7" s="2334"/>
      <c r="PNB7" s="2335"/>
      <c r="PNC7" s="2333"/>
      <c r="PND7" s="2334"/>
      <c r="PNE7" s="2335"/>
      <c r="PNF7" s="2333"/>
      <c r="PNG7" s="2334"/>
      <c r="PNH7" s="2335"/>
      <c r="PNI7" s="2333"/>
      <c r="PNJ7" s="2334"/>
      <c r="PNK7" s="2335"/>
      <c r="PNL7" s="2333"/>
      <c r="PNM7" s="2334"/>
      <c r="PNN7" s="2335"/>
      <c r="PNO7" s="2333"/>
      <c r="PNP7" s="2334"/>
      <c r="PNQ7" s="2335"/>
      <c r="PNR7" s="2333"/>
      <c r="PNS7" s="2334"/>
      <c r="PNT7" s="2335"/>
      <c r="PNU7" s="2333"/>
      <c r="PNV7" s="2334"/>
      <c r="PNW7" s="2335"/>
      <c r="PNX7" s="2333"/>
      <c r="PNY7" s="2334"/>
      <c r="PNZ7" s="2335"/>
      <c r="POA7" s="2333"/>
      <c r="POB7" s="2334"/>
      <c r="POC7" s="2335"/>
      <c r="POD7" s="2333"/>
      <c r="POE7" s="2334"/>
      <c r="POF7" s="2335"/>
      <c r="POG7" s="2333"/>
      <c r="POH7" s="2334"/>
      <c r="POI7" s="2335"/>
      <c r="POJ7" s="2333"/>
      <c r="POK7" s="2334"/>
      <c r="POL7" s="2335"/>
      <c r="POM7" s="2333"/>
      <c r="PON7" s="2334"/>
      <c r="POO7" s="2335"/>
      <c r="POP7" s="2333"/>
      <c r="POQ7" s="2334"/>
      <c r="POR7" s="2335"/>
      <c r="POS7" s="2333"/>
      <c r="POT7" s="2334"/>
      <c r="POU7" s="2335"/>
      <c r="POV7" s="2333"/>
      <c r="POW7" s="2334"/>
      <c r="POX7" s="2335"/>
      <c r="POY7" s="2333"/>
      <c r="POZ7" s="2334"/>
      <c r="PPA7" s="2335"/>
      <c r="PPB7" s="2333"/>
      <c r="PPC7" s="2334"/>
      <c r="PPD7" s="2335"/>
      <c r="PPE7" s="2333"/>
      <c r="PPF7" s="2334"/>
      <c r="PPG7" s="2335"/>
      <c r="PPH7" s="2333"/>
      <c r="PPI7" s="2334"/>
      <c r="PPJ7" s="2335"/>
      <c r="PPK7" s="2333"/>
      <c r="PPL7" s="2334"/>
      <c r="PPM7" s="2335"/>
      <c r="PPN7" s="2333"/>
      <c r="PPO7" s="2334"/>
      <c r="PPP7" s="2335"/>
      <c r="PPQ7" s="2333"/>
      <c r="PPR7" s="2334"/>
      <c r="PPS7" s="2335"/>
      <c r="PPT7" s="2333"/>
      <c r="PPU7" s="2334"/>
      <c r="PPV7" s="2335"/>
      <c r="PPW7" s="2333"/>
      <c r="PPX7" s="2334"/>
      <c r="PPY7" s="2335"/>
      <c r="PPZ7" s="2333"/>
      <c r="PQA7" s="2334"/>
      <c r="PQB7" s="2335"/>
      <c r="PQC7" s="2333"/>
      <c r="PQD7" s="2334"/>
      <c r="PQE7" s="2335"/>
      <c r="PQF7" s="2333"/>
      <c r="PQG7" s="2334"/>
      <c r="PQH7" s="2335"/>
      <c r="PQI7" s="2333"/>
      <c r="PQJ7" s="2334"/>
      <c r="PQK7" s="2335"/>
      <c r="PQL7" s="2333"/>
      <c r="PQM7" s="2334"/>
      <c r="PQN7" s="2335"/>
      <c r="PQO7" s="2333"/>
      <c r="PQP7" s="2334"/>
      <c r="PQQ7" s="2335"/>
      <c r="PQR7" s="2333"/>
      <c r="PQS7" s="2334"/>
      <c r="PQT7" s="2335"/>
      <c r="PQU7" s="2333"/>
      <c r="PQV7" s="2334"/>
      <c r="PQW7" s="2335"/>
      <c r="PQX7" s="2333"/>
      <c r="PQY7" s="2334"/>
      <c r="PQZ7" s="2335"/>
      <c r="PRA7" s="2333"/>
      <c r="PRB7" s="2334"/>
      <c r="PRC7" s="2335"/>
      <c r="PRD7" s="2333"/>
      <c r="PRE7" s="2334"/>
      <c r="PRF7" s="2335"/>
      <c r="PRG7" s="2333"/>
      <c r="PRH7" s="2334"/>
      <c r="PRI7" s="2335"/>
      <c r="PRJ7" s="2333"/>
      <c r="PRK7" s="2334"/>
      <c r="PRL7" s="2335"/>
      <c r="PRM7" s="2333"/>
      <c r="PRN7" s="2334"/>
      <c r="PRO7" s="2335"/>
      <c r="PRP7" s="2333"/>
      <c r="PRQ7" s="2334"/>
      <c r="PRR7" s="2335"/>
      <c r="PRS7" s="2333"/>
      <c r="PRT7" s="2334"/>
      <c r="PRU7" s="2335"/>
      <c r="PRV7" s="2333"/>
      <c r="PRW7" s="2334"/>
      <c r="PRX7" s="2335"/>
      <c r="PRY7" s="2333"/>
      <c r="PRZ7" s="2334"/>
      <c r="PSA7" s="2335"/>
      <c r="PSB7" s="2333"/>
      <c r="PSC7" s="2334"/>
      <c r="PSD7" s="2335"/>
      <c r="PSE7" s="2333"/>
      <c r="PSF7" s="2334"/>
      <c r="PSG7" s="2335"/>
      <c r="PSH7" s="2333"/>
      <c r="PSI7" s="2334"/>
      <c r="PSJ7" s="2335"/>
      <c r="PSK7" s="2333"/>
      <c r="PSL7" s="2334"/>
      <c r="PSM7" s="2335"/>
      <c r="PSN7" s="2333"/>
      <c r="PSO7" s="2334"/>
      <c r="PSP7" s="2335"/>
      <c r="PSQ7" s="2333"/>
      <c r="PSR7" s="2334"/>
      <c r="PSS7" s="2335"/>
      <c r="PST7" s="2333"/>
      <c r="PSU7" s="2334"/>
      <c r="PSV7" s="2335"/>
      <c r="PSW7" s="2333"/>
      <c r="PSX7" s="2334"/>
      <c r="PSY7" s="2335"/>
      <c r="PSZ7" s="2333"/>
      <c r="PTA7" s="2334"/>
      <c r="PTB7" s="2335"/>
      <c r="PTC7" s="2333"/>
      <c r="PTD7" s="2334"/>
      <c r="PTE7" s="2335"/>
      <c r="PTF7" s="2333"/>
      <c r="PTG7" s="2334"/>
      <c r="PTH7" s="2335"/>
      <c r="PTI7" s="2333"/>
      <c r="PTJ7" s="2334"/>
      <c r="PTK7" s="2335"/>
      <c r="PTL7" s="2333"/>
      <c r="PTM7" s="2334"/>
      <c r="PTN7" s="2335"/>
      <c r="PTO7" s="2333"/>
      <c r="PTP7" s="2334"/>
      <c r="PTQ7" s="2335"/>
      <c r="PTR7" s="2333"/>
      <c r="PTS7" s="2334"/>
      <c r="PTT7" s="2335"/>
      <c r="PTU7" s="2333"/>
      <c r="PTV7" s="2334"/>
      <c r="PTW7" s="2335"/>
      <c r="PTX7" s="2333"/>
      <c r="PTY7" s="2334"/>
      <c r="PTZ7" s="2335"/>
      <c r="PUA7" s="2333"/>
      <c r="PUB7" s="2334"/>
      <c r="PUC7" s="2335"/>
      <c r="PUD7" s="2333"/>
      <c r="PUE7" s="2334"/>
      <c r="PUF7" s="2335"/>
      <c r="PUG7" s="2333"/>
      <c r="PUH7" s="2334"/>
      <c r="PUI7" s="2335"/>
      <c r="PUJ7" s="2333"/>
      <c r="PUK7" s="2334"/>
      <c r="PUL7" s="2335"/>
      <c r="PUM7" s="2333"/>
      <c r="PUN7" s="2334"/>
      <c r="PUO7" s="2335"/>
      <c r="PUP7" s="2333"/>
      <c r="PUQ7" s="2334"/>
      <c r="PUR7" s="2335"/>
      <c r="PUS7" s="2333"/>
      <c r="PUT7" s="2334"/>
      <c r="PUU7" s="2335"/>
      <c r="PUV7" s="2333"/>
      <c r="PUW7" s="2334"/>
      <c r="PUX7" s="2335"/>
      <c r="PUY7" s="2333"/>
      <c r="PUZ7" s="2334"/>
      <c r="PVA7" s="2335"/>
      <c r="PVB7" s="2333"/>
      <c r="PVC7" s="2334"/>
      <c r="PVD7" s="2335"/>
      <c r="PVE7" s="2333"/>
      <c r="PVF7" s="2334"/>
      <c r="PVG7" s="2335"/>
      <c r="PVH7" s="2333"/>
      <c r="PVI7" s="2334"/>
      <c r="PVJ7" s="2335"/>
      <c r="PVK7" s="2333"/>
      <c r="PVL7" s="2334"/>
      <c r="PVM7" s="2335"/>
      <c r="PVN7" s="2333"/>
      <c r="PVO7" s="2334"/>
      <c r="PVP7" s="2335"/>
      <c r="PVQ7" s="2333"/>
      <c r="PVR7" s="2334"/>
      <c r="PVS7" s="2335"/>
      <c r="PVT7" s="2333"/>
      <c r="PVU7" s="2334"/>
      <c r="PVV7" s="2335"/>
      <c r="PVW7" s="2333"/>
      <c r="PVX7" s="2334"/>
      <c r="PVY7" s="2335"/>
      <c r="PVZ7" s="2333"/>
      <c r="PWA7" s="2334"/>
      <c r="PWB7" s="2335"/>
      <c r="PWC7" s="2333"/>
      <c r="PWD7" s="2334"/>
      <c r="PWE7" s="2335"/>
      <c r="PWF7" s="2333"/>
      <c r="PWG7" s="2334"/>
      <c r="PWH7" s="2335"/>
      <c r="PWI7" s="2333"/>
      <c r="PWJ7" s="2334"/>
      <c r="PWK7" s="2335"/>
      <c r="PWL7" s="2333"/>
      <c r="PWM7" s="2334"/>
      <c r="PWN7" s="2335"/>
      <c r="PWO7" s="2333"/>
      <c r="PWP7" s="2334"/>
      <c r="PWQ7" s="2335"/>
      <c r="PWR7" s="2333"/>
      <c r="PWS7" s="2334"/>
      <c r="PWT7" s="2335"/>
      <c r="PWU7" s="2333"/>
      <c r="PWV7" s="2334"/>
      <c r="PWW7" s="2335"/>
      <c r="PWX7" s="2333"/>
      <c r="PWY7" s="2334"/>
      <c r="PWZ7" s="2335"/>
      <c r="PXA7" s="2333"/>
      <c r="PXB7" s="2334"/>
      <c r="PXC7" s="2335"/>
      <c r="PXD7" s="2333"/>
      <c r="PXE7" s="2334"/>
      <c r="PXF7" s="2335"/>
      <c r="PXG7" s="2333"/>
      <c r="PXH7" s="2334"/>
      <c r="PXI7" s="2335"/>
      <c r="PXJ7" s="2333"/>
      <c r="PXK7" s="2334"/>
      <c r="PXL7" s="2335"/>
      <c r="PXM7" s="2333"/>
      <c r="PXN7" s="2334"/>
      <c r="PXO7" s="2335"/>
      <c r="PXP7" s="2333"/>
      <c r="PXQ7" s="2334"/>
      <c r="PXR7" s="2335"/>
      <c r="PXS7" s="2333"/>
      <c r="PXT7" s="2334"/>
      <c r="PXU7" s="2335"/>
      <c r="PXV7" s="2333"/>
      <c r="PXW7" s="2334"/>
      <c r="PXX7" s="2335"/>
      <c r="PXY7" s="2333"/>
      <c r="PXZ7" s="2334"/>
      <c r="PYA7" s="2335"/>
      <c r="PYB7" s="2333"/>
      <c r="PYC7" s="2334"/>
      <c r="PYD7" s="2335"/>
      <c r="PYE7" s="2333"/>
      <c r="PYF7" s="2334"/>
      <c r="PYG7" s="2335"/>
      <c r="PYH7" s="2333"/>
      <c r="PYI7" s="2334"/>
      <c r="PYJ7" s="2335"/>
      <c r="PYK7" s="2333"/>
      <c r="PYL7" s="2334"/>
      <c r="PYM7" s="2335"/>
      <c r="PYN7" s="2333"/>
      <c r="PYO7" s="2334"/>
      <c r="PYP7" s="2335"/>
      <c r="PYQ7" s="2333"/>
      <c r="PYR7" s="2334"/>
      <c r="PYS7" s="2335"/>
      <c r="PYT7" s="2333"/>
      <c r="PYU7" s="2334"/>
      <c r="PYV7" s="2335"/>
      <c r="PYW7" s="2333"/>
      <c r="PYX7" s="2334"/>
      <c r="PYY7" s="2335"/>
      <c r="PYZ7" s="2333"/>
      <c r="PZA7" s="2334"/>
      <c r="PZB7" s="2335"/>
      <c r="PZC7" s="2333"/>
      <c r="PZD7" s="2334"/>
      <c r="PZE7" s="2335"/>
      <c r="PZF7" s="2333"/>
      <c r="PZG7" s="2334"/>
      <c r="PZH7" s="2335"/>
      <c r="PZI7" s="2333"/>
      <c r="PZJ7" s="2334"/>
      <c r="PZK7" s="2335"/>
      <c r="PZL7" s="2333"/>
      <c r="PZM7" s="2334"/>
      <c r="PZN7" s="2335"/>
      <c r="PZO7" s="2333"/>
      <c r="PZP7" s="2334"/>
      <c r="PZQ7" s="2335"/>
      <c r="PZR7" s="2333"/>
      <c r="PZS7" s="2334"/>
      <c r="PZT7" s="2335"/>
      <c r="PZU7" s="2333"/>
      <c r="PZV7" s="2334"/>
      <c r="PZW7" s="2335"/>
      <c r="PZX7" s="2333"/>
      <c r="PZY7" s="2334"/>
      <c r="PZZ7" s="2335"/>
      <c r="QAA7" s="2333"/>
      <c r="QAB7" s="2334"/>
      <c r="QAC7" s="2335"/>
      <c r="QAD7" s="2333"/>
      <c r="QAE7" s="2334"/>
      <c r="QAF7" s="2335"/>
      <c r="QAG7" s="2333"/>
      <c r="QAH7" s="2334"/>
      <c r="QAI7" s="2335"/>
      <c r="QAJ7" s="2333"/>
      <c r="QAK7" s="2334"/>
      <c r="QAL7" s="2335"/>
      <c r="QAM7" s="2333"/>
      <c r="QAN7" s="2334"/>
      <c r="QAO7" s="2335"/>
      <c r="QAP7" s="2333"/>
      <c r="QAQ7" s="2334"/>
      <c r="QAR7" s="2335"/>
      <c r="QAS7" s="2333"/>
      <c r="QAT7" s="2334"/>
      <c r="QAU7" s="2335"/>
      <c r="QAV7" s="2333"/>
      <c r="QAW7" s="2334"/>
      <c r="QAX7" s="2335"/>
      <c r="QAY7" s="2333"/>
      <c r="QAZ7" s="2334"/>
      <c r="QBA7" s="2335"/>
      <c r="QBB7" s="2333"/>
      <c r="QBC7" s="2334"/>
      <c r="QBD7" s="2335"/>
      <c r="QBE7" s="2333"/>
      <c r="QBF7" s="2334"/>
      <c r="QBG7" s="2335"/>
      <c r="QBH7" s="2333"/>
      <c r="QBI7" s="2334"/>
      <c r="QBJ7" s="2335"/>
      <c r="QBK7" s="2333"/>
      <c r="QBL7" s="2334"/>
      <c r="QBM7" s="2335"/>
      <c r="QBN7" s="2333"/>
      <c r="QBO7" s="2334"/>
      <c r="QBP7" s="2335"/>
      <c r="QBQ7" s="2333"/>
      <c r="QBR7" s="2334"/>
      <c r="QBS7" s="2335"/>
      <c r="QBT7" s="2333"/>
      <c r="QBU7" s="2334"/>
      <c r="QBV7" s="2335"/>
      <c r="QBW7" s="2333"/>
      <c r="QBX7" s="2334"/>
      <c r="QBY7" s="2335"/>
      <c r="QBZ7" s="2333"/>
      <c r="QCA7" s="2334"/>
      <c r="QCB7" s="2335"/>
      <c r="QCC7" s="2333"/>
      <c r="QCD7" s="2334"/>
      <c r="QCE7" s="2335"/>
      <c r="QCF7" s="2333"/>
      <c r="QCG7" s="2334"/>
      <c r="QCH7" s="2335"/>
      <c r="QCI7" s="2333"/>
      <c r="QCJ7" s="2334"/>
      <c r="QCK7" s="2335"/>
      <c r="QCL7" s="2333"/>
      <c r="QCM7" s="2334"/>
      <c r="QCN7" s="2335"/>
      <c r="QCO7" s="2333"/>
      <c r="QCP7" s="2334"/>
      <c r="QCQ7" s="2335"/>
      <c r="QCR7" s="2333"/>
      <c r="QCS7" s="2334"/>
      <c r="QCT7" s="2335"/>
      <c r="QCU7" s="2333"/>
      <c r="QCV7" s="2334"/>
      <c r="QCW7" s="2335"/>
      <c r="QCX7" s="2333"/>
      <c r="QCY7" s="2334"/>
      <c r="QCZ7" s="2335"/>
      <c r="QDA7" s="2333"/>
      <c r="QDB7" s="2334"/>
      <c r="QDC7" s="2335"/>
      <c r="QDD7" s="2333"/>
      <c r="QDE7" s="2334"/>
      <c r="QDF7" s="2335"/>
      <c r="QDG7" s="2333"/>
      <c r="QDH7" s="2334"/>
      <c r="QDI7" s="2335"/>
      <c r="QDJ7" s="2333"/>
      <c r="QDK7" s="2334"/>
      <c r="QDL7" s="2335"/>
      <c r="QDM7" s="2333"/>
      <c r="QDN7" s="2334"/>
      <c r="QDO7" s="2335"/>
      <c r="QDP7" s="2333"/>
      <c r="QDQ7" s="2334"/>
      <c r="QDR7" s="2335"/>
      <c r="QDS7" s="2333"/>
      <c r="QDT7" s="2334"/>
      <c r="QDU7" s="2335"/>
      <c r="QDV7" s="2333"/>
      <c r="QDW7" s="2334"/>
      <c r="QDX7" s="2335"/>
      <c r="QDY7" s="2333"/>
      <c r="QDZ7" s="2334"/>
      <c r="QEA7" s="2335"/>
      <c r="QEB7" s="2333"/>
      <c r="QEC7" s="2334"/>
      <c r="QED7" s="2335"/>
      <c r="QEE7" s="2333"/>
      <c r="QEF7" s="2334"/>
      <c r="QEG7" s="2335"/>
      <c r="QEH7" s="2333"/>
      <c r="QEI7" s="2334"/>
      <c r="QEJ7" s="2335"/>
      <c r="QEK7" s="2333"/>
      <c r="QEL7" s="2334"/>
      <c r="QEM7" s="2335"/>
      <c r="QEN7" s="2333"/>
      <c r="QEO7" s="2334"/>
      <c r="QEP7" s="2335"/>
      <c r="QEQ7" s="2333"/>
      <c r="QER7" s="2334"/>
      <c r="QES7" s="2335"/>
      <c r="QET7" s="2333"/>
      <c r="QEU7" s="2334"/>
      <c r="QEV7" s="2335"/>
      <c r="QEW7" s="2333"/>
      <c r="QEX7" s="2334"/>
      <c r="QEY7" s="2335"/>
      <c r="QEZ7" s="2333"/>
      <c r="QFA7" s="2334"/>
      <c r="QFB7" s="2335"/>
      <c r="QFC7" s="2333"/>
      <c r="QFD7" s="2334"/>
      <c r="QFE7" s="2335"/>
      <c r="QFF7" s="2333"/>
      <c r="QFG7" s="2334"/>
      <c r="QFH7" s="2335"/>
      <c r="QFI7" s="2333"/>
      <c r="QFJ7" s="2334"/>
      <c r="QFK7" s="2335"/>
      <c r="QFL7" s="2333"/>
      <c r="QFM7" s="2334"/>
      <c r="QFN7" s="2335"/>
      <c r="QFO7" s="2333"/>
      <c r="QFP7" s="2334"/>
      <c r="QFQ7" s="2335"/>
      <c r="QFR7" s="2333"/>
      <c r="QFS7" s="2334"/>
      <c r="QFT7" s="2335"/>
      <c r="QFU7" s="2333"/>
      <c r="QFV7" s="2334"/>
      <c r="QFW7" s="2335"/>
      <c r="QFX7" s="2333"/>
      <c r="QFY7" s="2334"/>
      <c r="QFZ7" s="2335"/>
      <c r="QGA7" s="2333"/>
      <c r="QGB7" s="2334"/>
      <c r="QGC7" s="2335"/>
      <c r="QGD7" s="2333"/>
      <c r="QGE7" s="2334"/>
      <c r="QGF7" s="2335"/>
      <c r="QGG7" s="2333"/>
      <c r="QGH7" s="2334"/>
      <c r="QGI7" s="2335"/>
      <c r="QGJ7" s="2333"/>
      <c r="QGK7" s="2334"/>
      <c r="QGL7" s="2335"/>
      <c r="QGM7" s="2333"/>
      <c r="QGN7" s="2334"/>
      <c r="QGO7" s="2335"/>
      <c r="QGP7" s="2333"/>
      <c r="QGQ7" s="2334"/>
      <c r="QGR7" s="2335"/>
      <c r="QGS7" s="2333"/>
      <c r="QGT7" s="2334"/>
      <c r="QGU7" s="2335"/>
      <c r="QGV7" s="2333"/>
      <c r="QGW7" s="2334"/>
      <c r="QGX7" s="2335"/>
      <c r="QGY7" s="2333"/>
      <c r="QGZ7" s="2334"/>
      <c r="QHA7" s="2335"/>
      <c r="QHB7" s="2333"/>
      <c r="QHC7" s="2334"/>
      <c r="QHD7" s="2335"/>
      <c r="QHE7" s="2333"/>
      <c r="QHF7" s="2334"/>
      <c r="QHG7" s="2335"/>
      <c r="QHH7" s="2333"/>
      <c r="QHI7" s="2334"/>
      <c r="QHJ7" s="2335"/>
      <c r="QHK7" s="2333"/>
      <c r="QHL7" s="2334"/>
      <c r="QHM7" s="2335"/>
      <c r="QHN7" s="2333"/>
      <c r="QHO7" s="2334"/>
      <c r="QHP7" s="2335"/>
      <c r="QHQ7" s="2333"/>
      <c r="QHR7" s="2334"/>
      <c r="QHS7" s="2335"/>
      <c r="QHT7" s="2333"/>
      <c r="QHU7" s="2334"/>
      <c r="QHV7" s="2335"/>
      <c r="QHW7" s="2333"/>
      <c r="QHX7" s="2334"/>
      <c r="QHY7" s="2335"/>
      <c r="QHZ7" s="2333"/>
      <c r="QIA7" s="2334"/>
      <c r="QIB7" s="2335"/>
      <c r="QIC7" s="2333"/>
      <c r="QID7" s="2334"/>
      <c r="QIE7" s="2335"/>
      <c r="QIF7" s="2333"/>
      <c r="QIG7" s="2334"/>
      <c r="QIH7" s="2335"/>
      <c r="QII7" s="2333"/>
      <c r="QIJ7" s="2334"/>
      <c r="QIK7" s="2335"/>
      <c r="QIL7" s="2333"/>
      <c r="QIM7" s="2334"/>
      <c r="QIN7" s="2335"/>
      <c r="QIO7" s="2333"/>
      <c r="QIP7" s="2334"/>
      <c r="QIQ7" s="2335"/>
      <c r="QIR7" s="2333"/>
      <c r="QIS7" s="2334"/>
      <c r="QIT7" s="2335"/>
      <c r="QIU7" s="2333"/>
      <c r="QIV7" s="2334"/>
      <c r="QIW7" s="2335"/>
      <c r="QIX7" s="2333"/>
      <c r="QIY7" s="2334"/>
      <c r="QIZ7" s="2335"/>
      <c r="QJA7" s="2333"/>
      <c r="QJB7" s="2334"/>
      <c r="QJC7" s="2335"/>
      <c r="QJD7" s="2333"/>
      <c r="QJE7" s="2334"/>
      <c r="QJF7" s="2335"/>
      <c r="QJG7" s="2333"/>
      <c r="QJH7" s="2334"/>
      <c r="QJI7" s="2335"/>
      <c r="QJJ7" s="2333"/>
      <c r="QJK7" s="2334"/>
      <c r="QJL7" s="2335"/>
      <c r="QJM7" s="2333"/>
      <c r="QJN7" s="2334"/>
      <c r="QJO7" s="2335"/>
      <c r="QJP7" s="2333"/>
      <c r="QJQ7" s="2334"/>
      <c r="QJR7" s="2335"/>
      <c r="QJS7" s="2333"/>
      <c r="QJT7" s="2334"/>
      <c r="QJU7" s="2335"/>
      <c r="QJV7" s="2333"/>
      <c r="QJW7" s="2334"/>
      <c r="QJX7" s="2335"/>
      <c r="QJY7" s="2333"/>
      <c r="QJZ7" s="2334"/>
      <c r="QKA7" s="2335"/>
      <c r="QKB7" s="2333"/>
      <c r="QKC7" s="2334"/>
      <c r="QKD7" s="2335"/>
      <c r="QKE7" s="2333"/>
      <c r="QKF7" s="2334"/>
      <c r="QKG7" s="2335"/>
      <c r="QKH7" s="2333"/>
      <c r="QKI7" s="2334"/>
      <c r="QKJ7" s="2335"/>
      <c r="QKK7" s="2333"/>
      <c r="QKL7" s="2334"/>
      <c r="QKM7" s="2335"/>
      <c r="QKN7" s="2333"/>
      <c r="QKO7" s="2334"/>
      <c r="QKP7" s="2335"/>
      <c r="QKQ7" s="2333"/>
      <c r="QKR7" s="2334"/>
      <c r="QKS7" s="2335"/>
      <c r="QKT7" s="2333"/>
      <c r="QKU7" s="2334"/>
      <c r="QKV7" s="2335"/>
      <c r="QKW7" s="2333"/>
      <c r="QKX7" s="2334"/>
      <c r="QKY7" s="2335"/>
      <c r="QKZ7" s="2333"/>
      <c r="QLA7" s="2334"/>
      <c r="QLB7" s="2335"/>
      <c r="QLC7" s="2333"/>
      <c r="QLD7" s="2334"/>
      <c r="QLE7" s="2335"/>
      <c r="QLF7" s="2333"/>
      <c r="QLG7" s="2334"/>
      <c r="QLH7" s="2335"/>
      <c r="QLI7" s="2333"/>
      <c r="QLJ7" s="2334"/>
      <c r="QLK7" s="2335"/>
      <c r="QLL7" s="2333"/>
      <c r="QLM7" s="2334"/>
      <c r="QLN7" s="2335"/>
      <c r="QLO7" s="2333"/>
      <c r="QLP7" s="2334"/>
      <c r="QLQ7" s="2335"/>
      <c r="QLR7" s="2333"/>
      <c r="QLS7" s="2334"/>
      <c r="QLT7" s="2335"/>
      <c r="QLU7" s="2333"/>
      <c r="QLV7" s="2334"/>
      <c r="QLW7" s="2335"/>
      <c r="QLX7" s="2333"/>
      <c r="QLY7" s="2334"/>
      <c r="QLZ7" s="2335"/>
      <c r="QMA7" s="2333"/>
      <c r="QMB7" s="2334"/>
      <c r="QMC7" s="2335"/>
      <c r="QMD7" s="2333"/>
      <c r="QME7" s="2334"/>
      <c r="QMF7" s="2335"/>
      <c r="QMG7" s="2333"/>
      <c r="QMH7" s="2334"/>
      <c r="QMI7" s="2335"/>
      <c r="QMJ7" s="2333"/>
      <c r="QMK7" s="2334"/>
      <c r="QML7" s="2335"/>
      <c r="QMM7" s="2333"/>
      <c r="QMN7" s="2334"/>
      <c r="QMO7" s="2335"/>
      <c r="QMP7" s="2333"/>
      <c r="QMQ7" s="2334"/>
      <c r="QMR7" s="2335"/>
      <c r="QMS7" s="2333"/>
      <c r="QMT7" s="2334"/>
      <c r="QMU7" s="2335"/>
      <c r="QMV7" s="2333"/>
      <c r="QMW7" s="2334"/>
      <c r="QMX7" s="2335"/>
      <c r="QMY7" s="2333"/>
      <c r="QMZ7" s="2334"/>
      <c r="QNA7" s="2335"/>
      <c r="QNB7" s="2333"/>
      <c r="QNC7" s="2334"/>
      <c r="QND7" s="2335"/>
      <c r="QNE7" s="2333"/>
      <c r="QNF7" s="2334"/>
      <c r="QNG7" s="2335"/>
      <c r="QNH7" s="2333"/>
      <c r="QNI7" s="2334"/>
      <c r="QNJ7" s="2335"/>
      <c r="QNK7" s="2333"/>
      <c r="QNL7" s="2334"/>
      <c r="QNM7" s="2335"/>
      <c r="QNN7" s="2333"/>
      <c r="QNO7" s="2334"/>
      <c r="QNP7" s="2335"/>
      <c r="QNQ7" s="2333"/>
      <c r="QNR7" s="2334"/>
      <c r="QNS7" s="2335"/>
      <c r="QNT7" s="2333"/>
      <c r="QNU7" s="2334"/>
      <c r="QNV7" s="2335"/>
      <c r="QNW7" s="2333"/>
      <c r="QNX7" s="2334"/>
      <c r="QNY7" s="2335"/>
      <c r="QNZ7" s="2333"/>
      <c r="QOA7" s="2334"/>
      <c r="QOB7" s="2335"/>
      <c r="QOC7" s="2333"/>
      <c r="QOD7" s="2334"/>
      <c r="QOE7" s="2335"/>
      <c r="QOF7" s="2333"/>
      <c r="QOG7" s="2334"/>
      <c r="QOH7" s="2335"/>
      <c r="QOI7" s="2333"/>
      <c r="QOJ7" s="2334"/>
      <c r="QOK7" s="2335"/>
      <c r="QOL7" s="2333"/>
      <c r="QOM7" s="2334"/>
      <c r="QON7" s="2335"/>
      <c r="QOO7" s="2333"/>
      <c r="QOP7" s="2334"/>
      <c r="QOQ7" s="2335"/>
      <c r="QOR7" s="2333"/>
      <c r="QOS7" s="2334"/>
      <c r="QOT7" s="2335"/>
      <c r="QOU7" s="2333"/>
      <c r="QOV7" s="2334"/>
      <c r="QOW7" s="2335"/>
      <c r="QOX7" s="2333"/>
      <c r="QOY7" s="2334"/>
      <c r="QOZ7" s="2335"/>
      <c r="QPA7" s="2333"/>
      <c r="QPB7" s="2334"/>
      <c r="QPC7" s="2335"/>
      <c r="QPD7" s="2333"/>
      <c r="QPE7" s="2334"/>
      <c r="QPF7" s="2335"/>
      <c r="QPG7" s="2333"/>
      <c r="QPH7" s="2334"/>
      <c r="QPI7" s="2335"/>
      <c r="QPJ7" s="2333"/>
      <c r="QPK7" s="2334"/>
      <c r="QPL7" s="2335"/>
      <c r="QPM7" s="2333"/>
      <c r="QPN7" s="2334"/>
      <c r="QPO7" s="2335"/>
      <c r="QPP7" s="2333"/>
      <c r="QPQ7" s="2334"/>
      <c r="QPR7" s="2335"/>
      <c r="QPS7" s="2333"/>
      <c r="QPT7" s="2334"/>
      <c r="QPU7" s="2335"/>
      <c r="QPV7" s="2333"/>
      <c r="QPW7" s="2334"/>
      <c r="QPX7" s="2335"/>
      <c r="QPY7" s="2333"/>
      <c r="QPZ7" s="2334"/>
      <c r="QQA7" s="2335"/>
      <c r="QQB7" s="2333"/>
      <c r="QQC7" s="2334"/>
      <c r="QQD7" s="2335"/>
      <c r="QQE7" s="2333"/>
      <c r="QQF7" s="2334"/>
      <c r="QQG7" s="2335"/>
      <c r="QQH7" s="2333"/>
      <c r="QQI7" s="2334"/>
      <c r="QQJ7" s="2335"/>
      <c r="QQK7" s="2333"/>
      <c r="QQL7" s="2334"/>
      <c r="QQM7" s="2335"/>
      <c r="QQN7" s="2333"/>
      <c r="QQO7" s="2334"/>
      <c r="QQP7" s="2335"/>
      <c r="QQQ7" s="2333"/>
      <c r="QQR7" s="2334"/>
      <c r="QQS7" s="2335"/>
      <c r="QQT7" s="2333"/>
      <c r="QQU7" s="2334"/>
      <c r="QQV7" s="2335"/>
      <c r="QQW7" s="2333"/>
      <c r="QQX7" s="2334"/>
      <c r="QQY7" s="2335"/>
      <c r="QQZ7" s="2333"/>
      <c r="QRA7" s="2334"/>
      <c r="QRB7" s="2335"/>
      <c r="QRC7" s="2333"/>
      <c r="QRD7" s="2334"/>
      <c r="QRE7" s="2335"/>
      <c r="QRF7" s="2333"/>
      <c r="QRG7" s="2334"/>
      <c r="QRH7" s="2335"/>
      <c r="QRI7" s="2333"/>
      <c r="QRJ7" s="2334"/>
      <c r="QRK7" s="2335"/>
      <c r="QRL7" s="2333"/>
      <c r="QRM7" s="2334"/>
      <c r="QRN7" s="2335"/>
      <c r="QRO7" s="2333"/>
      <c r="QRP7" s="2334"/>
      <c r="QRQ7" s="2335"/>
      <c r="QRR7" s="2333"/>
      <c r="QRS7" s="2334"/>
      <c r="QRT7" s="2335"/>
      <c r="QRU7" s="2333"/>
      <c r="QRV7" s="2334"/>
      <c r="QRW7" s="2335"/>
      <c r="QRX7" s="2333"/>
      <c r="QRY7" s="2334"/>
      <c r="QRZ7" s="2335"/>
      <c r="QSA7" s="2333"/>
      <c r="QSB7" s="2334"/>
      <c r="QSC7" s="2335"/>
      <c r="QSD7" s="2333"/>
      <c r="QSE7" s="2334"/>
      <c r="QSF7" s="2335"/>
      <c r="QSG7" s="2333"/>
      <c r="QSH7" s="2334"/>
      <c r="QSI7" s="2335"/>
      <c r="QSJ7" s="2333"/>
      <c r="QSK7" s="2334"/>
      <c r="QSL7" s="2335"/>
      <c r="QSM7" s="2333"/>
      <c r="QSN7" s="2334"/>
      <c r="QSO7" s="2335"/>
      <c r="QSP7" s="2333"/>
      <c r="QSQ7" s="2334"/>
      <c r="QSR7" s="2335"/>
      <c r="QSS7" s="2333"/>
      <c r="QST7" s="2334"/>
      <c r="QSU7" s="2335"/>
      <c r="QSV7" s="2333"/>
      <c r="QSW7" s="2334"/>
      <c r="QSX7" s="2335"/>
      <c r="QSY7" s="2333"/>
      <c r="QSZ7" s="2334"/>
      <c r="QTA7" s="2335"/>
      <c r="QTB7" s="2333"/>
      <c r="QTC7" s="2334"/>
      <c r="QTD7" s="2335"/>
      <c r="QTE7" s="2333"/>
      <c r="QTF7" s="2334"/>
      <c r="QTG7" s="2335"/>
      <c r="QTH7" s="2333"/>
      <c r="QTI7" s="2334"/>
      <c r="QTJ7" s="2335"/>
      <c r="QTK7" s="2333"/>
      <c r="QTL7" s="2334"/>
      <c r="QTM7" s="2335"/>
      <c r="QTN7" s="2333"/>
      <c r="QTO7" s="2334"/>
      <c r="QTP7" s="2335"/>
      <c r="QTQ7" s="2333"/>
      <c r="QTR7" s="2334"/>
      <c r="QTS7" s="2335"/>
      <c r="QTT7" s="2333"/>
      <c r="QTU7" s="2334"/>
      <c r="QTV7" s="2335"/>
      <c r="QTW7" s="2333"/>
      <c r="QTX7" s="2334"/>
      <c r="QTY7" s="2335"/>
      <c r="QTZ7" s="2333"/>
      <c r="QUA7" s="2334"/>
      <c r="QUB7" s="2335"/>
      <c r="QUC7" s="2333"/>
      <c r="QUD7" s="2334"/>
      <c r="QUE7" s="2335"/>
      <c r="QUF7" s="2333"/>
      <c r="QUG7" s="2334"/>
      <c r="QUH7" s="2335"/>
      <c r="QUI7" s="2333"/>
      <c r="QUJ7" s="2334"/>
      <c r="QUK7" s="2335"/>
      <c r="QUL7" s="2333"/>
      <c r="QUM7" s="2334"/>
      <c r="QUN7" s="2335"/>
      <c r="QUO7" s="2333"/>
      <c r="QUP7" s="2334"/>
      <c r="QUQ7" s="2335"/>
      <c r="QUR7" s="2333"/>
      <c r="QUS7" s="2334"/>
      <c r="QUT7" s="2335"/>
      <c r="QUU7" s="2333"/>
      <c r="QUV7" s="2334"/>
      <c r="QUW7" s="2335"/>
      <c r="QUX7" s="2333"/>
      <c r="QUY7" s="2334"/>
      <c r="QUZ7" s="2335"/>
      <c r="QVA7" s="2333"/>
      <c r="QVB7" s="2334"/>
      <c r="QVC7" s="2335"/>
      <c r="QVD7" s="2333"/>
      <c r="QVE7" s="2334"/>
      <c r="QVF7" s="2335"/>
      <c r="QVG7" s="2333"/>
      <c r="QVH7" s="2334"/>
      <c r="QVI7" s="2335"/>
      <c r="QVJ7" s="2333"/>
      <c r="QVK7" s="2334"/>
      <c r="QVL7" s="2335"/>
      <c r="QVM7" s="2333"/>
      <c r="QVN7" s="2334"/>
      <c r="QVO7" s="2335"/>
      <c r="QVP7" s="2333"/>
      <c r="QVQ7" s="2334"/>
      <c r="QVR7" s="2335"/>
      <c r="QVS7" s="2333"/>
      <c r="QVT7" s="2334"/>
      <c r="QVU7" s="2335"/>
      <c r="QVV7" s="2333"/>
      <c r="QVW7" s="2334"/>
      <c r="QVX7" s="2335"/>
      <c r="QVY7" s="2333"/>
      <c r="QVZ7" s="2334"/>
      <c r="QWA7" s="2335"/>
      <c r="QWB7" s="2333"/>
      <c r="QWC7" s="2334"/>
      <c r="QWD7" s="2335"/>
      <c r="QWE7" s="2333"/>
      <c r="QWF7" s="2334"/>
      <c r="QWG7" s="2335"/>
      <c r="QWH7" s="2333"/>
      <c r="QWI7" s="2334"/>
      <c r="QWJ7" s="2335"/>
      <c r="QWK7" s="2333"/>
      <c r="QWL7" s="2334"/>
      <c r="QWM7" s="2335"/>
      <c r="QWN7" s="2333"/>
      <c r="QWO7" s="2334"/>
      <c r="QWP7" s="2335"/>
      <c r="QWQ7" s="2333"/>
      <c r="QWR7" s="2334"/>
      <c r="QWS7" s="2335"/>
      <c r="QWT7" s="2333"/>
      <c r="QWU7" s="2334"/>
      <c r="QWV7" s="2335"/>
      <c r="QWW7" s="2333"/>
      <c r="QWX7" s="2334"/>
      <c r="QWY7" s="2335"/>
      <c r="QWZ7" s="2333"/>
      <c r="QXA7" s="2334"/>
      <c r="QXB7" s="2335"/>
      <c r="QXC7" s="2333"/>
      <c r="QXD7" s="2334"/>
      <c r="QXE7" s="2335"/>
      <c r="QXF7" s="2333"/>
      <c r="QXG7" s="2334"/>
      <c r="QXH7" s="2335"/>
      <c r="QXI7" s="2333"/>
      <c r="QXJ7" s="2334"/>
      <c r="QXK7" s="2335"/>
      <c r="QXL7" s="2333"/>
      <c r="QXM7" s="2334"/>
      <c r="QXN7" s="2335"/>
      <c r="QXO7" s="2333"/>
      <c r="QXP7" s="2334"/>
      <c r="QXQ7" s="2335"/>
      <c r="QXR7" s="2333"/>
      <c r="QXS7" s="2334"/>
      <c r="QXT7" s="2335"/>
      <c r="QXU7" s="2333"/>
      <c r="QXV7" s="2334"/>
      <c r="QXW7" s="2335"/>
      <c r="QXX7" s="2333"/>
      <c r="QXY7" s="2334"/>
      <c r="QXZ7" s="2335"/>
      <c r="QYA7" s="2333"/>
      <c r="QYB7" s="2334"/>
      <c r="QYC7" s="2335"/>
      <c r="QYD7" s="2333"/>
      <c r="QYE7" s="2334"/>
      <c r="QYF7" s="2335"/>
      <c r="QYG7" s="2333"/>
      <c r="QYH7" s="2334"/>
      <c r="QYI7" s="2335"/>
      <c r="QYJ7" s="2333"/>
      <c r="QYK7" s="2334"/>
      <c r="QYL7" s="2335"/>
      <c r="QYM7" s="2333"/>
      <c r="QYN7" s="2334"/>
      <c r="QYO7" s="2335"/>
      <c r="QYP7" s="2333"/>
      <c r="QYQ7" s="2334"/>
      <c r="QYR7" s="2335"/>
      <c r="QYS7" s="2333"/>
      <c r="QYT7" s="2334"/>
      <c r="QYU7" s="2335"/>
      <c r="QYV7" s="2333"/>
      <c r="QYW7" s="2334"/>
      <c r="QYX7" s="2335"/>
      <c r="QYY7" s="2333"/>
      <c r="QYZ7" s="2334"/>
      <c r="QZA7" s="2335"/>
      <c r="QZB7" s="2333"/>
      <c r="QZC7" s="2334"/>
      <c r="QZD7" s="2335"/>
      <c r="QZE7" s="2333"/>
      <c r="QZF7" s="2334"/>
      <c r="QZG7" s="2335"/>
      <c r="QZH7" s="2333"/>
      <c r="QZI7" s="2334"/>
      <c r="QZJ7" s="2335"/>
      <c r="QZK7" s="2333"/>
      <c r="QZL7" s="2334"/>
      <c r="QZM7" s="2335"/>
      <c r="QZN7" s="2333"/>
      <c r="QZO7" s="2334"/>
      <c r="QZP7" s="2335"/>
      <c r="QZQ7" s="2333"/>
      <c r="QZR7" s="2334"/>
      <c r="QZS7" s="2335"/>
      <c r="QZT7" s="2333"/>
      <c r="QZU7" s="2334"/>
      <c r="QZV7" s="2335"/>
      <c r="QZW7" s="2333"/>
      <c r="QZX7" s="2334"/>
      <c r="QZY7" s="2335"/>
      <c r="QZZ7" s="2333"/>
      <c r="RAA7" s="2334"/>
      <c r="RAB7" s="2335"/>
      <c r="RAC7" s="2333"/>
      <c r="RAD7" s="2334"/>
      <c r="RAE7" s="2335"/>
      <c r="RAF7" s="2333"/>
      <c r="RAG7" s="2334"/>
      <c r="RAH7" s="2335"/>
      <c r="RAI7" s="2333"/>
      <c r="RAJ7" s="2334"/>
      <c r="RAK7" s="2335"/>
      <c r="RAL7" s="2333"/>
      <c r="RAM7" s="2334"/>
      <c r="RAN7" s="2335"/>
      <c r="RAO7" s="2333"/>
      <c r="RAP7" s="2334"/>
      <c r="RAQ7" s="2335"/>
      <c r="RAR7" s="2333"/>
      <c r="RAS7" s="2334"/>
      <c r="RAT7" s="2335"/>
      <c r="RAU7" s="2333"/>
      <c r="RAV7" s="2334"/>
      <c r="RAW7" s="2335"/>
      <c r="RAX7" s="2333"/>
      <c r="RAY7" s="2334"/>
      <c r="RAZ7" s="2335"/>
      <c r="RBA7" s="2333"/>
      <c r="RBB7" s="2334"/>
      <c r="RBC7" s="2335"/>
      <c r="RBD7" s="2333"/>
      <c r="RBE7" s="2334"/>
      <c r="RBF7" s="2335"/>
      <c r="RBG7" s="2333"/>
      <c r="RBH7" s="2334"/>
      <c r="RBI7" s="2335"/>
      <c r="RBJ7" s="2333"/>
      <c r="RBK7" s="2334"/>
      <c r="RBL7" s="2335"/>
      <c r="RBM7" s="2333"/>
      <c r="RBN7" s="2334"/>
      <c r="RBO7" s="2335"/>
      <c r="RBP7" s="2333"/>
      <c r="RBQ7" s="2334"/>
      <c r="RBR7" s="2335"/>
      <c r="RBS7" s="2333"/>
      <c r="RBT7" s="2334"/>
      <c r="RBU7" s="2335"/>
      <c r="RBV7" s="2333"/>
      <c r="RBW7" s="2334"/>
      <c r="RBX7" s="2335"/>
      <c r="RBY7" s="2333"/>
      <c r="RBZ7" s="2334"/>
      <c r="RCA7" s="2335"/>
      <c r="RCB7" s="2333"/>
      <c r="RCC7" s="2334"/>
      <c r="RCD7" s="2335"/>
      <c r="RCE7" s="2333"/>
      <c r="RCF7" s="2334"/>
      <c r="RCG7" s="2335"/>
      <c r="RCH7" s="2333"/>
      <c r="RCI7" s="2334"/>
      <c r="RCJ7" s="2335"/>
      <c r="RCK7" s="2333"/>
      <c r="RCL7" s="2334"/>
      <c r="RCM7" s="2335"/>
      <c r="RCN7" s="2333"/>
      <c r="RCO7" s="2334"/>
      <c r="RCP7" s="2335"/>
      <c r="RCQ7" s="2333"/>
      <c r="RCR7" s="2334"/>
      <c r="RCS7" s="2335"/>
      <c r="RCT7" s="2333"/>
      <c r="RCU7" s="2334"/>
      <c r="RCV7" s="2335"/>
      <c r="RCW7" s="2333"/>
      <c r="RCX7" s="2334"/>
      <c r="RCY7" s="2335"/>
      <c r="RCZ7" s="2333"/>
      <c r="RDA7" s="2334"/>
      <c r="RDB7" s="2335"/>
      <c r="RDC7" s="2333"/>
      <c r="RDD7" s="2334"/>
      <c r="RDE7" s="2335"/>
      <c r="RDF7" s="2333"/>
      <c r="RDG7" s="2334"/>
      <c r="RDH7" s="2335"/>
      <c r="RDI7" s="2333"/>
      <c r="RDJ7" s="2334"/>
      <c r="RDK7" s="2335"/>
      <c r="RDL7" s="2333"/>
      <c r="RDM7" s="2334"/>
      <c r="RDN7" s="2335"/>
      <c r="RDO7" s="2333"/>
      <c r="RDP7" s="2334"/>
      <c r="RDQ7" s="2335"/>
      <c r="RDR7" s="2333"/>
      <c r="RDS7" s="2334"/>
      <c r="RDT7" s="2335"/>
      <c r="RDU7" s="2333"/>
      <c r="RDV7" s="2334"/>
      <c r="RDW7" s="2335"/>
      <c r="RDX7" s="2333"/>
      <c r="RDY7" s="2334"/>
      <c r="RDZ7" s="2335"/>
      <c r="REA7" s="2333"/>
      <c r="REB7" s="2334"/>
      <c r="REC7" s="2335"/>
      <c r="RED7" s="2333"/>
      <c r="REE7" s="2334"/>
      <c r="REF7" s="2335"/>
      <c r="REG7" s="2333"/>
      <c r="REH7" s="2334"/>
      <c r="REI7" s="2335"/>
      <c r="REJ7" s="2333"/>
      <c r="REK7" s="2334"/>
      <c r="REL7" s="2335"/>
      <c r="REM7" s="2333"/>
      <c r="REN7" s="2334"/>
      <c r="REO7" s="2335"/>
      <c r="REP7" s="2333"/>
      <c r="REQ7" s="2334"/>
      <c r="RER7" s="2335"/>
      <c r="RES7" s="2333"/>
      <c r="RET7" s="2334"/>
      <c r="REU7" s="2335"/>
      <c r="REV7" s="2333"/>
      <c r="REW7" s="2334"/>
      <c r="REX7" s="2335"/>
      <c r="REY7" s="2333"/>
      <c r="REZ7" s="2334"/>
      <c r="RFA7" s="2335"/>
      <c r="RFB7" s="2333"/>
      <c r="RFC7" s="2334"/>
      <c r="RFD7" s="2335"/>
      <c r="RFE7" s="2333"/>
      <c r="RFF7" s="2334"/>
      <c r="RFG7" s="2335"/>
      <c r="RFH7" s="2333"/>
      <c r="RFI7" s="2334"/>
      <c r="RFJ7" s="2335"/>
      <c r="RFK7" s="2333"/>
      <c r="RFL7" s="2334"/>
      <c r="RFM7" s="2335"/>
      <c r="RFN7" s="2333"/>
      <c r="RFO7" s="2334"/>
      <c r="RFP7" s="2335"/>
      <c r="RFQ7" s="2333"/>
      <c r="RFR7" s="2334"/>
      <c r="RFS7" s="2335"/>
      <c r="RFT7" s="2333"/>
      <c r="RFU7" s="2334"/>
      <c r="RFV7" s="2335"/>
      <c r="RFW7" s="2333"/>
      <c r="RFX7" s="2334"/>
      <c r="RFY7" s="2335"/>
      <c r="RFZ7" s="2333"/>
      <c r="RGA7" s="2334"/>
      <c r="RGB7" s="2335"/>
      <c r="RGC7" s="2333"/>
      <c r="RGD7" s="2334"/>
      <c r="RGE7" s="2335"/>
      <c r="RGF7" s="2333"/>
      <c r="RGG7" s="2334"/>
      <c r="RGH7" s="2335"/>
      <c r="RGI7" s="2333"/>
      <c r="RGJ7" s="2334"/>
      <c r="RGK7" s="2335"/>
      <c r="RGL7" s="2333"/>
      <c r="RGM7" s="2334"/>
      <c r="RGN7" s="2335"/>
      <c r="RGO7" s="2333"/>
      <c r="RGP7" s="2334"/>
      <c r="RGQ7" s="2335"/>
      <c r="RGR7" s="2333"/>
      <c r="RGS7" s="2334"/>
      <c r="RGT7" s="2335"/>
      <c r="RGU7" s="2333"/>
      <c r="RGV7" s="2334"/>
      <c r="RGW7" s="2335"/>
      <c r="RGX7" s="2333"/>
      <c r="RGY7" s="2334"/>
      <c r="RGZ7" s="2335"/>
      <c r="RHA7" s="2333"/>
      <c r="RHB7" s="2334"/>
      <c r="RHC7" s="2335"/>
      <c r="RHD7" s="2333"/>
      <c r="RHE7" s="2334"/>
      <c r="RHF7" s="2335"/>
      <c r="RHG7" s="2333"/>
      <c r="RHH7" s="2334"/>
      <c r="RHI7" s="2335"/>
      <c r="RHJ7" s="2333"/>
      <c r="RHK7" s="2334"/>
      <c r="RHL7" s="2335"/>
      <c r="RHM7" s="2333"/>
      <c r="RHN7" s="2334"/>
      <c r="RHO7" s="2335"/>
      <c r="RHP7" s="2333"/>
      <c r="RHQ7" s="2334"/>
      <c r="RHR7" s="2335"/>
      <c r="RHS7" s="2333"/>
      <c r="RHT7" s="2334"/>
      <c r="RHU7" s="2335"/>
      <c r="RHV7" s="2333"/>
      <c r="RHW7" s="2334"/>
      <c r="RHX7" s="2335"/>
      <c r="RHY7" s="2333"/>
      <c r="RHZ7" s="2334"/>
      <c r="RIA7" s="2335"/>
      <c r="RIB7" s="2333"/>
      <c r="RIC7" s="2334"/>
      <c r="RID7" s="2335"/>
      <c r="RIE7" s="2333"/>
      <c r="RIF7" s="2334"/>
      <c r="RIG7" s="2335"/>
      <c r="RIH7" s="2333"/>
      <c r="RII7" s="2334"/>
      <c r="RIJ7" s="2335"/>
      <c r="RIK7" s="2333"/>
      <c r="RIL7" s="2334"/>
      <c r="RIM7" s="2335"/>
      <c r="RIN7" s="2333"/>
      <c r="RIO7" s="2334"/>
      <c r="RIP7" s="2335"/>
      <c r="RIQ7" s="2333"/>
      <c r="RIR7" s="2334"/>
      <c r="RIS7" s="2335"/>
      <c r="RIT7" s="2333"/>
      <c r="RIU7" s="2334"/>
      <c r="RIV7" s="2335"/>
      <c r="RIW7" s="2333"/>
      <c r="RIX7" s="2334"/>
      <c r="RIY7" s="2335"/>
      <c r="RIZ7" s="2333"/>
      <c r="RJA7" s="2334"/>
      <c r="RJB7" s="2335"/>
      <c r="RJC7" s="2333"/>
      <c r="RJD7" s="2334"/>
      <c r="RJE7" s="2335"/>
      <c r="RJF7" s="2333"/>
      <c r="RJG7" s="2334"/>
      <c r="RJH7" s="2335"/>
      <c r="RJI7" s="2333"/>
      <c r="RJJ7" s="2334"/>
      <c r="RJK7" s="2335"/>
      <c r="RJL7" s="2333"/>
      <c r="RJM7" s="2334"/>
      <c r="RJN7" s="2335"/>
      <c r="RJO7" s="2333"/>
      <c r="RJP7" s="2334"/>
      <c r="RJQ7" s="2335"/>
      <c r="RJR7" s="2333"/>
      <c r="RJS7" s="2334"/>
      <c r="RJT7" s="2335"/>
      <c r="RJU7" s="2333"/>
      <c r="RJV7" s="2334"/>
      <c r="RJW7" s="2335"/>
      <c r="RJX7" s="2333"/>
      <c r="RJY7" s="2334"/>
      <c r="RJZ7" s="2335"/>
      <c r="RKA7" s="2333"/>
      <c r="RKB7" s="2334"/>
      <c r="RKC7" s="2335"/>
      <c r="RKD7" s="2333"/>
      <c r="RKE7" s="2334"/>
      <c r="RKF7" s="2335"/>
      <c r="RKG7" s="2333"/>
      <c r="RKH7" s="2334"/>
      <c r="RKI7" s="2335"/>
      <c r="RKJ7" s="2333"/>
      <c r="RKK7" s="2334"/>
      <c r="RKL7" s="2335"/>
      <c r="RKM7" s="2333"/>
      <c r="RKN7" s="2334"/>
      <c r="RKO7" s="2335"/>
      <c r="RKP7" s="2333"/>
      <c r="RKQ7" s="2334"/>
      <c r="RKR7" s="2335"/>
      <c r="RKS7" s="2333"/>
      <c r="RKT7" s="2334"/>
      <c r="RKU7" s="2335"/>
      <c r="RKV7" s="2333"/>
      <c r="RKW7" s="2334"/>
      <c r="RKX7" s="2335"/>
      <c r="RKY7" s="2333"/>
      <c r="RKZ7" s="2334"/>
      <c r="RLA7" s="2335"/>
      <c r="RLB7" s="2333"/>
      <c r="RLC7" s="2334"/>
      <c r="RLD7" s="2335"/>
      <c r="RLE7" s="2333"/>
      <c r="RLF7" s="2334"/>
      <c r="RLG7" s="2335"/>
      <c r="RLH7" s="2333"/>
      <c r="RLI7" s="2334"/>
      <c r="RLJ7" s="2335"/>
      <c r="RLK7" s="2333"/>
      <c r="RLL7" s="2334"/>
      <c r="RLM7" s="2335"/>
      <c r="RLN7" s="2333"/>
      <c r="RLO7" s="2334"/>
      <c r="RLP7" s="2335"/>
      <c r="RLQ7" s="2333"/>
      <c r="RLR7" s="2334"/>
      <c r="RLS7" s="2335"/>
      <c r="RLT7" s="2333"/>
      <c r="RLU7" s="2334"/>
      <c r="RLV7" s="2335"/>
      <c r="RLW7" s="2333"/>
      <c r="RLX7" s="2334"/>
      <c r="RLY7" s="2335"/>
      <c r="RLZ7" s="2333"/>
      <c r="RMA7" s="2334"/>
      <c r="RMB7" s="2335"/>
      <c r="RMC7" s="2333"/>
      <c r="RMD7" s="2334"/>
      <c r="RME7" s="2335"/>
      <c r="RMF7" s="2333"/>
      <c r="RMG7" s="2334"/>
      <c r="RMH7" s="2335"/>
      <c r="RMI7" s="2333"/>
      <c r="RMJ7" s="2334"/>
      <c r="RMK7" s="2335"/>
      <c r="RML7" s="2333"/>
      <c r="RMM7" s="2334"/>
      <c r="RMN7" s="2335"/>
      <c r="RMO7" s="2333"/>
      <c r="RMP7" s="2334"/>
      <c r="RMQ7" s="2335"/>
      <c r="RMR7" s="2333"/>
      <c r="RMS7" s="2334"/>
      <c r="RMT7" s="2335"/>
      <c r="RMU7" s="2333"/>
      <c r="RMV7" s="2334"/>
      <c r="RMW7" s="2335"/>
      <c r="RMX7" s="2333"/>
      <c r="RMY7" s="2334"/>
      <c r="RMZ7" s="2335"/>
      <c r="RNA7" s="2333"/>
      <c r="RNB7" s="2334"/>
      <c r="RNC7" s="2335"/>
      <c r="RND7" s="2333"/>
      <c r="RNE7" s="2334"/>
      <c r="RNF7" s="2335"/>
      <c r="RNG7" s="2333"/>
      <c r="RNH7" s="2334"/>
      <c r="RNI7" s="2335"/>
      <c r="RNJ7" s="2333"/>
      <c r="RNK7" s="2334"/>
      <c r="RNL7" s="2335"/>
      <c r="RNM7" s="2333"/>
      <c r="RNN7" s="2334"/>
      <c r="RNO7" s="2335"/>
      <c r="RNP7" s="2333"/>
      <c r="RNQ7" s="2334"/>
      <c r="RNR7" s="2335"/>
      <c r="RNS7" s="2333"/>
      <c r="RNT7" s="2334"/>
      <c r="RNU7" s="2335"/>
      <c r="RNV7" s="2333"/>
      <c r="RNW7" s="2334"/>
      <c r="RNX7" s="2335"/>
      <c r="RNY7" s="2333"/>
      <c r="RNZ7" s="2334"/>
      <c r="ROA7" s="2335"/>
      <c r="ROB7" s="2333"/>
      <c r="ROC7" s="2334"/>
      <c r="ROD7" s="2335"/>
      <c r="ROE7" s="2333"/>
      <c r="ROF7" s="2334"/>
      <c r="ROG7" s="2335"/>
      <c r="ROH7" s="2333"/>
      <c r="ROI7" s="2334"/>
      <c r="ROJ7" s="2335"/>
      <c r="ROK7" s="2333"/>
      <c r="ROL7" s="2334"/>
      <c r="ROM7" s="2335"/>
      <c r="RON7" s="2333"/>
      <c r="ROO7" s="2334"/>
      <c r="ROP7" s="2335"/>
      <c r="ROQ7" s="2333"/>
      <c r="ROR7" s="2334"/>
      <c r="ROS7" s="2335"/>
      <c r="ROT7" s="2333"/>
      <c r="ROU7" s="2334"/>
      <c r="ROV7" s="2335"/>
      <c r="ROW7" s="2333"/>
      <c r="ROX7" s="2334"/>
      <c r="ROY7" s="2335"/>
      <c r="ROZ7" s="2333"/>
      <c r="RPA7" s="2334"/>
      <c r="RPB7" s="2335"/>
      <c r="RPC7" s="2333"/>
      <c r="RPD7" s="2334"/>
      <c r="RPE7" s="2335"/>
      <c r="RPF7" s="2333"/>
      <c r="RPG7" s="2334"/>
      <c r="RPH7" s="2335"/>
      <c r="RPI7" s="2333"/>
      <c r="RPJ7" s="2334"/>
      <c r="RPK7" s="2335"/>
      <c r="RPL7" s="2333"/>
      <c r="RPM7" s="2334"/>
      <c r="RPN7" s="2335"/>
      <c r="RPO7" s="2333"/>
      <c r="RPP7" s="2334"/>
      <c r="RPQ7" s="2335"/>
      <c r="RPR7" s="2333"/>
      <c r="RPS7" s="2334"/>
      <c r="RPT7" s="2335"/>
      <c r="RPU7" s="2333"/>
      <c r="RPV7" s="2334"/>
      <c r="RPW7" s="2335"/>
      <c r="RPX7" s="2333"/>
      <c r="RPY7" s="2334"/>
      <c r="RPZ7" s="2335"/>
      <c r="RQA7" s="2333"/>
      <c r="RQB7" s="2334"/>
      <c r="RQC7" s="2335"/>
      <c r="RQD7" s="2333"/>
      <c r="RQE7" s="2334"/>
      <c r="RQF7" s="2335"/>
      <c r="RQG7" s="2333"/>
      <c r="RQH7" s="2334"/>
      <c r="RQI7" s="2335"/>
      <c r="RQJ7" s="2333"/>
      <c r="RQK7" s="2334"/>
      <c r="RQL7" s="2335"/>
      <c r="RQM7" s="2333"/>
      <c r="RQN7" s="2334"/>
      <c r="RQO7" s="2335"/>
      <c r="RQP7" s="2333"/>
      <c r="RQQ7" s="2334"/>
      <c r="RQR7" s="2335"/>
      <c r="RQS7" s="2333"/>
      <c r="RQT7" s="2334"/>
      <c r="RQU7" s="2335"/>
      <c r="RQV7" s="2333"/>
      <c r="RQW7" s="2334"/>
      <c r="RQX7" s="2335"/>
      <c r="RQY7" s="2333"/>
      <c r="RQZ7" s="2334"/>
      <c r="RRA7" s="2335"/>
      <c r="RRB7" s="2333"/>
      <c r="RRC7" s="2334"/>
      <c r="RRD7" s="2335"/>
      <c r="RRE7" s="2333"/>
      <c r="RRF7" s="2334"/>
      <c r="RRG7" s="2335"/>
      <c r="RRH7" s="2333"/>
      <c r="RRI7" s="2334"/>
      <c r="RRJ7" s="2335"/>
      <c r="RRK7" s="2333"/>
      <c r="RRL7" s="2334"/>
      <c r="RRM7" s="2335"/>
      <c r="RRN7" s="2333"/>
      <c r="RRO7" s="2334"/>
      <c r="RRP7" s="2335"/>
      <c r="RRQ7" s="2333"/>
      <c r="RRR7" s="2334"/>
      <c r="RRS7" s="2335"/>
      <c r="RRT7" s="2333"/>
      <c r="RRU7" s="2334"/>
      <c r="RRV7" s="2335"/>
      <c r="RRW7" s="2333"/>
      <c r="RRX7" s="2334"/>
      <c r="RRY7" s="2335"/>
      <c r="RRZ7" s="2333"/>
      <c r="RSA7" s="2334"/>
      <c r="RSB7" s="2335"/>
      <c r="RSC7" s="2333"/>
      <c r="RSD7" s="2334"/>
      <c r="RSE7" s="2335"/>
      <c r="RSF7" s="2333"/>
      <c r="RSG7" s="2334"/>
      <c r="RSH7" s="2335"/>
      <c r="RSI7" s="2333"/>
      <c r="RSJ7" s="2334"/>
      <c r="RSK7" s="2335"/>
      <c r="RSL7" s="2333"/>
      <c r="RSM7" s="2334"/>
      <c r="RSN7" s="2335"/>
      <c r="RSO7" s="2333"/>
      <c r="RSP7" s="2334"/>
      <c r="RSQ7" s="2335"/>
      <c r="RSR7" s="2333"/>
      <c r="RSS7" s="2334"/>
      <c r="RST7" s="2335"/>
      <c r="RSU7" s="2333"/>
      <c r="RSV7" s="2334"/>
      <c r="RSW7" s="2335"/>
      <c r="RSX7" s="2333"/>
      <c r="RSY7" s="2334"/>
      <c r="RSZ7" s="2335"/>
      <c r="RTA7" s="2333"/>
      <c r="RTB7" s="2334"/>
      <c r="RTC7" s="2335"/>
      <c r="RTD7" s="2333"/>
      <c r="RTE7" s="2334"/>
      <c r="RTF7" s="2335"/>
      <c r="RTG7" s="2333"/>
      <c r="RTH7" s="2334"/>
      <c r="RTI7" s="2335"/>
      <c r="RTJ7" s="2333"/>
      <c r="RTK7" s="2334"/>
      <c r="RTL7" s="2335"/>
      <c r="RTM7" s="2333"/>
      <c r="RTN7" s="2334"/>
      <c r="RTO7" s="2335"/>
      <c r="RTP7" s="2333"/>
      <c r="RTQ7" s="2334"/>
      <c r="RTR7" s="2335"/>
      <c r="RTS7" s="2333"/>
      <c r="RTT7" s="2334"/>
      <c r="RTU7" s="2335"/>
      <c r="RTV7" s="2333"/>
      <c r="RTW7" s="2334"/>
      <c r="RTX7" s="2335"/>
      <c r="RTY7" s="2333"/>
      <c r="RTZ7" s="2334"/>
      <c r="RUA7" s="2335"/>
      <c r="RUB7" s="2333"/>
      <c r="RUC7" s="2334"/>
      <c r="RUD7" s="2335"/>
      <c r="RUE7" s="2333"/>
      <c r="RUF7" s="2334"/>
      <c r="RUG7" s="2335"/>
      <c r="RUH7" s="2333"/>
      <c r="RUI7" s="2334"/>
      <c r="RUJ7" s="2335"/>
      <c r="RUK7" s="2333"/>
      <c r="RUL7" s="2334"/>
      <c r="RUM7" s="2335"/>
      <c r="RUN7" s="2333"/>
      <c r="RUO7" s="2334"/>
      <c r="RUP7" s="2335"/>
      <c r="RUQ7" s="2333"/>
      <c r="RUR7" s="2334"/>
      <c r="RUS7" s="2335"/>
      <c r="RUT7" s="2333"/>
      <c r="RUU7" s="2334"/>
      <c r="RUV7" s="2335"/>
      <c r="RUW7" s="2333"/>
      <c r="RUX7" s="2334"/>
      <c r="RUY7" s="2335"/>
      <c r="RUZ7" s="2333"/>
      <c r="RVA7" s="2334"/>
      <c r="RVB7" s="2335"/>
      <c r="RVC7" s="2333"/>
      <c r="RVD7" s="2334"/>
      <c r="RVE7" s="2335"/>
      <c r="RVF7" s="2333"/>
      <c r="RVG7" s="2334"/>
      <c r="RVH7" s="2335"/>
      <c r="RVI7" s="2333"/>
      <c r="RVJ7" s="2334"/>
      <c r="RVK7" s="2335"/>
      <c r="RVL7" s="2333"/>
      <c r="RVM7" s="2334"/>
      <c r="RVN7" s="2335"/>
      <c r="RVO7" s="2333"/>
      <c r="RVP7" s="2334"/>
      <c r="RVQ7" s="2335"/>
      <c r="RVR7" s="2333"/>
      <c r="RVS7" s="2334"/>
      <c r="RVT7" s="2335"/>
      <c r="RVU7" s="2333"/>
      <c r="RVV7" s="2334"/>
      <c r="RVW7" s="2335"/>
      <c r="RVX7" s="2333"/>
      <c r="RVY7" s="2334"/>
      <c r="RVZ7" s="2335"/>
      <c r="RWA7" s="2333"/>
      <c r="RWB7" s="2334"/>
      <c r="RWC7" s="2335"/>
      <c r="RWD7" s="2333"/>
      <c r="RWE7" s="2334"/>
      <c r="RWF7" s="2335"/>
      <c r="RWG7" s="2333"/>
      <c r="RWH7" s="2334"/>
      <c r="RWI7" s="2335"/>
      <c r="RWJ7" s="2333"/>
      <c r="RWK7" s="2334"/>
      <c r="RWL7" s="2335"/>
      <c r="RWM7" s="2333"/>
      <c r="RWN7" s="2334"/>
      <c r="RWO7" s="2335"/>
      <c r="RWP7" s="2333"/>
      <c r="RWQ7" s="2334"/>
      <c r="RWR7" s="2335"/>
      <c r="RWS7" s="2333"/>
      <c r="RWT7" s="2334"/>
      <c r="RWU7" s="2335"/>
      <c r="RWV7" s="2333"/>
      <c r="RWW7" s="2334"/>
      <c r="RWX7" s="2335"/>
      <c r="RWY7" s="2333"/>
      <c r="RWZ7" s="2334"/>
      <c r="RXA7" s="2335"/>
      <c r="RXB7" s="2333"/>
      <c r="RXC7" s="2334"/>
      <c r="RXD7" s="2335"/>
      <c r="RXE7" s="2333"/>
      <c r="RXF7" s="2334"/>
      <c r="RXG7" s="2335"/>
      <c r="RXH7" s="2333"/>
      <c r="RXI7" s="2334"/>
      <c r="RXJ7" s="2335"/>
      <c r="RXK7" s="2333"/>
      <c r="RXL7" s="2334"/>
      <c r="RXM7" s="2335"/>
      <c r="RXN7" s="2333"/>
      <c r="RXO7" s="2334"/>
      <c r="RXP7" s="2335"/>
      <c r="RXQ7" s="2333"/>
      <c r="RXR7" s="2334"/>
      <c r="RXS7" s="2335"/>
      <c r="RXT7" s="2333"/>
      <c r="RXU7" s="2334"/>
      <c r="RXV7" s="2335"/>
      <c r="RXW7" s="2333"/>
      <c r="RXX7" s="2334"/>
      <c r="RXY7" s="2335"/>
      <c r="RXZ7" s="2333"/>
      <c r="RYA7" s="2334"/>
      <c r="RYB7" s="2335"/>
      <c r="RYC7" s="2333"/>
      <c r="RYD7" s="2334"/>
      <c r="RYE7" s="2335"/>
      <c r="RYF7" s="2333"/>
      <c r="RYG7" s="2334"/>
      <c r="RYH7" s="2335"/>
      <c r="RYI7" s="2333"/>
      <c r="RYJ7" s="2334"/>
      <c r="RYK7" s="2335"/>
      <c r="RYL7" s="2333"/>
      <c r="RYM7" s="2334"/>
      <c r="RYN7" s="2335"/>
      <c r="RYO7" s="2333"/>
      <c r="RYP7" s="2334"/>
      <c r="RYQ7" s="2335"/>
      <c r="RYR7" s="2333"/>
      <c r="RYS7" s="2334"/>
      <c r="RYT7" s="2335"/>
      <c r="RYU7" s="2333"/>
      <c r="RYV7" s="2334"/>
      <c r="RYW7" s="2335"/>
      <c r="RYX7" s="2333"/>
      <c r="RYY7" s="2334"/>
      <c r="RYZ7" s="2335"/>
      <c r="RZA7" s="2333"/>
      <c r="RZB7" s="2334"/>
      <c r="RZC7" s="2335"/>
      <c r="RZD7" s="2333"/>
      <c r="RZE7" s="2334"/>
      <c r="RZF7" s="2335"/>
      <c r="RZG7" s="2333"/>
      <c r="RZH7" s="2334"/>
      <c r="RZI7" s="2335"/>
      <c r="RZJ7" s="2333"/>
      <c r="RZK7" s="2334"/>
      <c r="RZL7" s="2335"/>
      <c r="RZM7" s="2333"/>
      <c r="RZN7" s="2334"/>
      <c r="RZO7" s="2335"/>
      <c r="RZP7" s="2333"/>
      <c r="RZQ7" s="2334"/>
      <c r="RZR7" s="2335"/>
      <c r="RZS7" s="2333"/>
      <c r="RZT7" s="2334"/>
      <c r="RZU7" s="2335"/>
      <c r="RZV7" s="2333"/>
      <c r="RZW7" s="2334"/>
      <c r="RZX7" s="2335"/>
      <c r="RZY7" s="2333"/>
      <c r="RZZ7" s="2334"/>
      <c r="SAA7" s="2335"/>
      <c r="SAB7" s="2333"/>
      <c r="SAC7" s="2334"/>
      <c r="SAD7" s="2335"/>
      <c r="SAE7" s="2333"/>
      <c r="SAF7" s="2334"/>
      <c r="SAG7" s="2335"/>
      <c r="SAH7" s="2333"/>
      <c r="SAI7" s="2334"/>
      <c r="SAJ7" s="2335"/>
      <c r="SAK7" s="2333"/>
      <c r="SAL7" s="2334"/>
      <c r="SAM7" s="2335"/>
      <c r="SAN7" s="2333"/>
      <c r="SAO7" s="2334"/>
      <c r="SAP7" s="2335"/>
      <c r="SAQ7" s="2333"/>
      <c r="SAR7" s="2334"/>
      <c r="SAS7" s="2335"/>
      <c r="SAT7" s="2333"/>
      <c r="SAU7" s="2334"/>
      <c r="SAV7" s="2335"/>
      <c r="SAW7" s="2333"/>
      <c r="SAX7" s="2334"/>
      <c r="SAY7" s="2335"/>
      <c r="SAZ7" s="2333"/>
      <c r="SBA7" s="2334"/>
      <c r="SBB7" s="2335"/>
      <c r="SBC7" s="2333"/>
      <c r="SBD7" s="2334"/>
      <c r="SBE7" s="2335"/>
      <c r="SBF7" s="2333"/>
      <c r="SBG7" s="2334"/>
      <c r="SBH7" s="2335"/>
      <c r="SBI7" s="2333"/>
      <c r="SBJ7" s="2334"/>
      <c r="SBK7" s="2335"/>
      <c r="SBL7" s="2333"/>
      <c r="SBM7" s="2334"/>
      <c r="SBN7" s="2335"/>
      <c r="SBO7" s="2333"/>
      <c r="SBP7" s="2334"/>
      <c r="SBQ7" s="2335"/>
      <c r="SBR7" s="2333"/>
      <c r="SBS7" s="2334"/>
      <c r="SBT7" s="2335"/>
      <c r="SBU7" s="2333"/>
      <c r="SBV7" s="2334"/>
      <c r="SBW7" s="2335"/>
      <c r="SBX7" s="2333"/>
      <c r="SBY7" s="2334"/>
      <c r="SBZ7" s="2335"/>
      <c r="SCA7" s="2333"/>
      <c r="SCB7" s="2334"/>
      <c r="SCC7" s="2335"/>
      <c r="SCD7" s="2333"/>
      <c r="SCE7" s="2334"/>
      <c r="SCF7" s="2335"/>
      <c r="SCG7" s="2333"/>
      <c r="SCH7" s="2334"/>
      <c r="SCI7" s="2335"/>
      <c r="SCJ7" s="2333"/>
      <c r="SCK7" s="2334"/>
      <c r="SCL7" s="2335"/>
      <c r="SCM7" s="2333"/>
      <c r="SCN7" s="2334"/>
      <c r="SCO7" s="2335"/>
      <c r="SCP7" s="2333"/>
      <c r="SCQ7" s="2334"/>
      <c r="SCR7" s="2335"/>
      <c r="SCS7" s="2333"/>
      <c r="SCT7" s="2334"/>
      <c r="SCU7" s="2335"/>
      <c r="SCV7" s="2333"/>
      <c r="SCW7" s="2334"/>
      <c r="SCX7" s="2335"/>
      <c r="SCY7" s="2333"/>
      <c r="SCZ7" s="2334"/>
      <c r="SDA7" s="2335"/>
      <c r="SDB7" s="2333"/>
      <c r="SDC7" s="2334"/>
      <c r="SDD7" s="2335"/>
      <c r="SDE7" s="2333"/>
      <c r="SDF7" s="2334"/>
      <c r="SDG7" s="2335"/>
      <c r="SDH7" s="2333"/>
      <c r="SDI7" s="2334"/>
      <c r="SDJ7" s="2335"/>
      <c r="SDK7" s="2333"/>
      <c r="SDL7" s="2334"/>
      <c r="SDM7" s="2335"/>
      <c r="SDN7" s="2333"/>
      <c r="SDO7" s="2334"/>
      <c r="SDP7" s="2335"/>
      <c r="SDQ7" s="2333"/>
      <c r="SDR7" s="2334"/>
      <c r="SDS7" s="2335"/>
      <c r="SDT7" s="2333"/>
      <c r="SDU7" s="2334"/>
      <c r="SDV7" s="2335"/>
      <c r="SDW7" s="2333"/>
      <c r="SDX7" s="2334"/>
      <c r="SDY7" s="2335"/>
      <c r="SDZ7" s="2333"/>
      <c r="SEA7" s="2334"/>
      <c r="SEB7" s="2335"/>
      <c r="SEC7" s="2333"/>
      <c r="SED7" s="2334"/>
      <c r="SEE7" s="2335"/>
      <c r="SEF7" s="2333"/>
      <c r="SEG7" s="2334"/>
      <c r="SEH7" s="2335"/>
      <c r="SEI7" s="2333"/>
      <c r="SEJ7" s="2334"/>
      <c r="SEK7" s="2335"/>
      <c r="SEL7" s="2333"/>
      <c r="SEM7" s="2334"/>
      <c r="SEN7" s="2335"/>
      <c r="SEO7" s="2333"/>
      <c r="SEP7" s="2334"/>
      <c r="SEQ7" s="2335"/>
      <c r="SER7" s="2333"/>
      <c r="SES7" s="2334"/>
      <c r="SET7" s="2335"/>
      <c r="SEU7" s="2333"/>
      <c r="SEV7" s="2334"/>
      <c r="SEW7" s="2335"/>
      <c r="SEX7" s="2333"/>
      <c r="SEY7" s="2334"/>
      <c r="SEZ7" s="2335"/>
      <c r="SFA7" s="2333"/>
      <c r="SFB7" s="2334"/>
      <c r="SFC7" s="2335"/>
      <c r="SFD7" s="2333"/>
      <c r="SFE7" s="2334"/>
      <c r="SFF7" s="2335"/>
      <c r="SFG7" s="2333"/>
      <c r="SFH7" s="2334"/>
      <c r="SFI7" s="2335"/>
      <c r="SFJ7" s="2333"/>
      <c r="SFK7" s="2334"/>
      <c r="SFL7" s="2335"/>
      <c r="SFM7" s="2333"/>
      <c r="SFN7" s="2334"/>
      <c r="SFO7" s="2335"/>
      <c r="SFP7" s="2333"/>
      <c r="SFQ7" s="2334"/>
      <c r="SFR7" s="2335"/>
      <c r="SFS7" s="2333"/>
      <c r="SFT7" s="2334"/>
      <c r="SFU7" s="2335"/>
      <c r="SFV7" s="2333"/>
      <c r="SFW7" s="2334"/>
      <c r="SFX7" s="2335"/>
      <c r="SFY7" s="2333"/>
      <c r="SFZ7" s="2334"/>
      <c r="SGA7" s="2335"/>
      <c r="SGB7" s="2333"/>
      <c r="SGC7" s="2334"/>
      <c r="SGD7" s="2335"/>
      <c r="SGE7" s="2333"/>
      <c r="SGF7" s="2334"/>
      <c r="SGG7" s="2335"/>
      <c r="SGH7" s="2333"/>
      <c r="SGI7" s="2334"/>
      <c r="SGJ7" s="2335"/>
      <c r="SGK7" s="2333"/>
      <c r="SGL7" s="2334"/>
      <c r="SGM7" s="2335"/>
      <c r="SGN7" s="2333"/>
      <c r="SGO7" s="2334"/>
      <c r="SGP7" s="2335"/>
      <c r="SGQ7" s="2333"/>
      <c r="SGR7" s="2334"/>
      <c r="SGS7" s="2335"/>
      <c r="SGT7" s="2333"/>
      <c r="SGU7" s="2334"/>
      <c r="SGV7" s="2335"/>
      <c r="SGW7" s="2333"/>
      <c r="SGX7" s="2334"/>
      <c r="SGY7" s="2335"/>
      <c r="SGZ7" s="2333"/>
      <c r="SHA7" s="2334"/>
      <c r="SHB7" s="2335"/>
      <c r="SHC7" s="2333"/>
      <c r="SHD7" s="2334"/>
      <c r="SHE7" s="2335"/>
      <c r="SHF7" s="2333"/>
      <c r="SHG7" s="2334"/>
      <c r="SHH7" s="2335"/>
      <c r="SHI7" s="2333"/>
      <c r="SHJ7" s="2334"/>
      <c r="SHK7" s="2335"/>
      <c r="SHL7" s="2333"/>
      <c r="SHM7" s="2334"/>
      <c r="SHN7" s="2335"/>
      <c r="SHO7" s="2333"/>
      <c r="SHP7" s="2334"/>
      <c r="SHQ7" s="2335"/>
      <c r="SHR7" s="2333"/>
      <c r="SHS7" s="2334"/>
      <c r="SHT7" s="2335"/>
      <c r="SHU7" s="2333"/>
      <c r="SHV7" s="2334"/>
      <c r="SHW7" s="2335"/>
      <c r="SHX7" s="2333"/>
      <c r="SHY7" s="2334"/>
      <c r="SHZ7" s="2335"/>
      <c r="SIA7" s="2333"/>
      <c r="SIB7" s="2334"/>
      <c r="SIC7" s="2335"/>
      <c r="SID7" s="2333"/>
      <c r="SIE7" s="2334"/>
      <c r="SIF7" s="2335"/>
      <c r="SIG7" s="2333"/>
      <c r="SIH7" s="2334"/>
      <c r="SII7" s="2335"/>
      <c r="SIJ7" s="2333"/>
      <c r="SIK7" s="2334"/>
      <c r="SIL7" s="2335"/>
      <c r="SIM7" s="2333"/>
      <c r="SIN7" s="2334"/>
      <c r="SIO7" s="2335"/>
      <c r="SIP7" s="2333"/>
      <c r="SIQ7" s="2334"/>
      <c r="SIR7" s="2335"/>
      <c r="SIS7" s="2333"/>
      <c r="SIT7" s="2334"/>
      <c r="SIU7" s="2335"/>
      <c r="SIV7" s="2333"/>
      <c r="SIW7" s="2334"/>
      <c r="SIX7" s="2335"/>
      <c r="SIY7" s="2333"/>
      <c r="SIZ7" s="2334"/>
      <c r="SJA7" s="2335"/>
      <c r="SJB7" s="2333"/>
      <c r="SJC7" s="2334"/>
      <c r="SJD7" s="2335"/>
      <c r="SJE7" s="2333"/>
      <c r="SJF7" s="2334"/>
      <c r="SJG7" s="2335"/>
      <c r="SJH7" s="2333"/>
      <c r="SJI7" s="2334"/>
      <c r="SJJ7" s="2335"/>
      <c r="SJK7" s="2333"/>
      <c r="SJL7" s="2334"/>
      <c r="SJM7" s="2335"/>
      <c r="SJN7" s="2333"/>
      <c r="SJO7" s="2334"/>
      <c r="SJP7" s="2335"/>
      <c r="SJQ7" s="2333"/>
      <c r="SJR7" s="2334"/>
      <c r="SJS7" s="2335"/>
      <c r="SJT7" s="2333"/>
      <c r="SJU7" s="2334"/>
      <c r="SJV7" s="2335"/>
      <c r="SJW7" s="2333"/>
      <c r="SJX7" s="2334"/>
      <c r="SJY7" s="2335"/>
      <c r="SJZ7" s="2333"/>
      <c r="SKA7" s="2334"/>
      <c r="SKB7" s="2335"/>
      <c r="SKC7" s="2333"/>
      <c r="SKD7" s="2334"/>
      <c r="SKE7" s="2335"/>
      <c r="SKF7" s="2333"/>
      <c r="SKG7" s="2334"/>
      <c r="SKH7" s="2335"/>
      <c r="SKI7" s="2333"/>
      <c r="SKJ7" s="2334"/>
      <c r="SKK7" s="2335"/>
      <c r="SKL7" s="2333"/>
      <c r="SKM7" s="2334"/>
      <c r="SKN7" s="2335"/>
      <c r="SKO7" s="2333"/>
      <c r="SKP7" s="2334"/>
      <c r="SKQ7" s="2335"/>
      <c r="SKR7" s="2333"/>
      <c r="SKS7" s="2334"/>
      <c r="SKT7" s="2335"/>
      <c r="SKU7" s="2333"/>
      <c r="SKV7" s="2334"/>
      <c r="SKW7" s="2335"/>
      <c r="SKX7" s="2333"/>
      <c r="SKY7" s="2334"/>
      <c r="SKZ7" s="2335"/>
      <c r="SLA7" s="2333"/>
      <c r="SLB7" s="2334"/>
      <c r="SLC7" s="2335"/>
      <c r="SLD7" s="2333"/>
      <c r="SLE7" s="2334"/>
      <c r="SLF7" s="2335"/>
      <c r="SLG7" s="2333"/>
      <c r="SLH7" s="2334"/>
      <c r="SLI7" s="2335"/>
      <c r="SLJ7" s="2333"/>
      <c r="SLK7" s="2334"/>
      <c r="SLL7" s="2335"/>
      <c r="SLM7" s="2333"/>
      <c r="SLN7" s="2334"/>
      <c r="SLO7" s="2335"/>
      <c r="SLP7" s="2333"/>
      <c r="SLQ7" s="2334"/>
      <c r="SLR7" s="2335"/>
      <c r="SLS7" s="2333"/>
      <c r="SLT7" s="2334"/>
      <c r="SLU7" s="2335"/>
      <c r="SLV7" s="2333"/>
      <c r="SLW7" s="2334"/>
      <c r="SLX7" s="2335"/>
      <c r="SLY7" s="2333"/>
      <c r="SLZ7" s="2334"/>
      <c r="SMA7" s="2335"/>
      <c r="SMB7" s="2333"/>
      <c r="SMC7" s="2334"/>
      <c r="SMD7" s="2335"/>
      <c r="SME7" s="2333"/>
      <c r="SMF7" s="2334"/>
      <c r="SMG7" s="2335"/>
      <c r="SMH7" s="2333"/>
      <c r="SMI7" s="2334"/>
      <c r="SMJ7" s="2335"/>
      <c r="SMK7" s="2333"/>
      <c r="SML7" s="2334"/>
      <c r="SMM7" s="2335"/>
      <c r="SMN7" s="2333"/>
      <c r="SMO7" s="2334"/>
      <c r="SMP7" s="2335"/>
      <c r="SMQ7" s="2333"/>
      <c r="SMR7" s="2334"/>
      <c r="SMS7" s="2335"/>
      <c r="SMT7" s="2333"/>
      <c r="SMU7" s="2334"/>
      <c r="SMV7" s="2335"/>
      <c r="SMW7" s="2333"/>
      <c r="SMX7" s="2334"/>
      <c r="SMY7" s="2335"/>
      <c r="SMZ7" s="2333"/>
      <c r="SNA7" s="2334"/>
      <c r="SNB7" s="2335"/>
      <c r="SNC7" s="2333"/>
      <c r="SND7" s="2334"/>
      <c r="SNE7" s="2335"/>
      <c r="SNF7" s="2333"/>
      <c r="SNG7" s="2334"/>
      <c r="SNH7" s="2335"/>
      <c r="SNI7" s="2333"/>
      <c r="SNJ7" s="2334"/>
      <c r="SNK7" s="2335"/>
      <c r="SNL7" s="2333"/>
      <c r="SNM7" s="2334"/>
      <c r="SNN7" s="2335"/>
      <c r="SNO7" s="2333"/>
      <c r="SNP7" s="2334"/>
      <c r="SNQ7" s="2335"/>
      <c r="SNR7" s="2333"/>
      <c r="SNS7" s="2334"/>
      <c r="SNT7" s="2335"/>
      <c r="SNU7" s="2333"/>
      <c r="SNV7" s="2334"/>
      <c r="SNW7" s="2335"/>
      <c r="SNX7" s="2333"/>
      <c r="SNY7" s="2334"/>
      <c r="SNZ7" s="2335"/>
      <c r="SOA7" s="2333"/>
      <c r="SOB7" s="2334"/>
      <c r="SOC7" s="2335"/>
      <c r="SOD7" s="2333"/>
      <c r="SOE7" s="2334"/>
      <c r="SOF7" s="2335"/>
      <c r="SOG7" s="2333"/>
      <c r="SOH7" s="2334"/>
      <c r="SOI7" s="2335"/>
      <c r="SOJ7" s="2333"/>
      <c r="SOK7" s="2334"/>
      <c r="SOL7" s="2335"/>
      <c r="SOM7" s="2333"/>
      <c r="SON7" s="2334"/>
      <c r="SOO7" s="2335"/>
      <c r="SOP7" s="2333"/>
      <c r="SOQ7" s="2334"/>
      <c r="SOR7" s="2335"/>
      <c r="SOS7" s="2333"/>
      <c r="SOT7" s="2334"/>
      <c r="SOU7" s="2335"/>
      <c r="SOV7" s="2333"/>
      <c r="SOW7" s="2334"/>
      <c r="SOX7" s="2335"/>
      <c r="SOY7" s="2333"/>
      <c r="SOZ7" s="2334"/>
      <c r="SPA7" s="2335"/>
      <c r="SPB7" s="2333"/>
      <c r="SPC7" s="2334"/>
      <c r="SPD7" s="2335"/>
      <c r="SPE7" s="2333"/>
      <c r="SPF7" s="2334"/>
      <c r="SPG7" s="2335"/>
      <c r="SPH7" s="2333"/>
      <c r="SPI7" s="2334"/>
      <c r="SPJ7" s="2335"/>
      <c r="SPK7" s="2333"/>
      <c r="SPL7" s="2334"/>
      <c r="SPM7" s="2335"/>
      <c r="SPN7" s="2333"/>
      <c r="SPO7" s="2334"/>
      <c r="SPP7" s="2335"/>
      <c r="SPQ7" s="2333"/>
      <c r="SPR7" s="2334"/>
      <c r="SPS7" s="2335"/>
      <c r="SPT7" s="2333"/>
      <c r="SPU7" s="2334"/>
      <c r="SPV7" s="2335"/>
      <c r="SPW7" s="2333"/>
      <c r="SPX7" s="2334"/>
      <c r="SPY7" s="2335"/>
      <c r="SPZ7" s="2333"/>
      <c r="SQA7" s="2334"/>
      <c r="SQB7" s="2335"/>
      <c r="SQC7" s="2333"/>
      <c r="SQD7" s="2334"/>
      <c r="SQE7" s="2335"/>
      <c r="SQF7" s="2333"/>
      <c r="SQG7" s="2334"/>
      <c r="SQH7" s="2335"/>
      <c r="SQI7" s="2333"/>
      <c r="SQJ7" s="2334"/>
      <c r="SQK7" s="2335"/>
      <c r="SQL7" s="2333"/>
      <c r="SQM7" s="2334"/>
      <c r="SQN7" s="2335"/>
      <c r="SQO7" s="2333"/>
      <c r="SQP7" s="2334"/>
      <c r="SQQ7" s="2335"/>
      <c r="SQR7" s="2333"/>
      <c r="SQS7" s="2334"/>
      <c r="SQT7" s="2335"/>
      <c r="SQU7" s="2333"/>
      <c r="SQV7" s="2334"/>
      <c r="SQW7" s="2335"/>
      <c r="SQX7" s="2333"/>
      <c r="SQY7" s="2334"/>
      <c r="SQZ7" s="2335"/>
      <c r="SRA7" s="2333"/>
      <c r="SRB7" s="2334"/>
      <c r="SRC7" s="2335"/>
      <c r="SRD7" s="2333"/>
      <c r="SRE7" s="2334"/>
      <c r="SRF7" s="2335"/>
      <c r="SRG7" s="2333"/>
      <c r="SRH7" s="2334"/>
      <c r="SRI7" s="2335"/>
      <c r="SRJ7" s="2333"/>
      <c r="SRK7" s="2334"/>
      <c r="SRL7" s="2335"/>
      <c r="SRM7" s="2333"/>
      <c r="SRN7" s="2334"/>
      <c r="SRO7" s="2335"/>
      <c r="SRP7" s="2333"/>
      <c r="SRQ7" s="2334"/>
      <c r="SRR7" s="2335"/>
      <c r="SRS7" s="2333"/>
      <c r="SRT7" s="2334"/>
      <c r="SRU7" s="2335"/>
      <c r="SRV7" s="2333"/>
      <c r="SRW7" s="2334"/>
      <c r="SRX7" s="2335"/>
      <c r="SRY7" s="2333"/>
      <c r="SRZ7" s="2334"/>
      <c r="SSA7" s="2335"/>
      <c r="SSB7" s="2333"/>
      <c r="SSC7" s="2334"/>
      <c r="SSD7" s="2335"/>
      <c r="SSE7" s="2333"/>
      <c r="SSF7" s="2334"/>
      <c r="SSG7" s="2335"/>
      <c r="SSH7" s="2333"/>
      <c r="SSI7" s="2334"/>
      <c r="SSJ7" s="2335"/>
      <c r="SSK7" s="2333"/>
      <c r="SSL7" s="2334"/>
      <c r="SSM7" s="2335"/>
      <c r="SSN7" s="2333"/>
      <c r="SSO7" s="2334"/>
      <c r="SSP7" s="2335"/>
      <c r="SSQ7" s="2333"/>
      <c r="SSR7" s="2334"/>
      <c r="SSS7" s="2335"/>
      <c r="SST7" s="2333"/>
      <c r="SSU7" s="2334"/>
      <c r="SSV7" s="2335"/>
      <c r="SSW7" s="2333"/>
      <c r="SSX7" s="2334"/>
      <c r="SSY7" s="2335"/>
      <c r="SSZ7" s="2333"/>
      <c r="STA7" s="2334"/>
      <c r="STB7" s="2335"/>
      <c r="STC7" s="2333"/>
      <c r="STD7" s="2334"/>
      <c r="STE7" s="2335"/>
      <c r="STF7" s="2333"/>
      <c r="STG7" s="2334"/>
      <c r="STH7" s="2335"/>
      <c r="STI7" s="2333"/>
      <c r="STJ7" s="2334"/>
      <c r="STK7" s="2335"/>
      <c r="STL7" s="2333"/>
      <c r="STM7" s="2334"/>
      <c r="STN7" s="2335"/>
      <c r="STO7" s="2333"/>
      <c r="STP7" s="2334"/>
      <c r="STQ7" s="2335"/>
      <c r="STR7" s="2333"/>
      <c r="STS7" s="2334"/>
      <c r="STT7" s="2335"/>
      <c r="STU7" s="2333"/>
      <c r="STV7" s="2334"/>
      <c r="STW7" s="2335"/>
      <c r="STX7" s="2333"/>
      <c r="STY7" s="2334"/>
      <c r="STZ7" s="2335"/>
      <c r="SUA7" s="2333"/>
      <c r="SUB7" s="2334"/>
      <c r="SUC7" s="2335"/>
      <c r="SUD7" s="2333"/>
      <c r="SUE7" s="2334"/>
      <c r="SUF7" s="2335"/>
      <c r="SUG7" s="2333"/>
      <c r="SUH7" s="2334"/>
      <c r="SUI7" s="2335"/>
      <c r="SUJ7" s="2333"/>
      <c r="SUK7" s="2334"/>
      <c r="SUL7" s="2335"/>
      <c r="SUM7" s="2333"/>
      <c r="SUN7" s="2334"/>
      <c r="SUO7" s="2335"/>
      <c r="SUP7" s="2333"/>
      <c r="SUQ7" s="2334"/>
      <c r="SUR7" s="2335"/>
      <c r="SUS7" s="2333"/>
      <c r="SUT7" s="2334"/>
      <c r="SUU7" s="2335"/>
      <c r="SUV7" s="2333"/>
      <c r="SUW7" s="2334"/>
      <c r="SUX7" s="2335"/>
      <c r="SUY7" s="2333"/>
      <c r="SUZ7" s="2334"/>
      <c r="SVA7" s="2335"/>
      <c r="SVB7" s="2333"/>
      <c r="SVC7" s="2334"/>
      <c r="SVD7" s="2335"/>
      <c r="SVE7" s="2333"/>
      <c r="SVF7" s="2334"/>
      <c r="SVG7" s="2335"/>
      <c r="SVH7" s="2333"/>
      <c r="SVI7" s="2334"/>
      <c r="SVJ7" s="2335"/>
      <c r="SVK7" s="2333"/>
      <c r="SVL7" s="2334"/>
      <c r="SVM7" s="2335"/>
      <c r="SVN7" s="2333"/>
      <c r="SVO7" s="2334"/>
      <c r="SVP7" s="2335"/>
      <c r="SVQ7" s="2333"/>
      <c r="SVR7" s="2334"/>
      <c r="SVS7" s="2335"/>
      <c r="SVT7" s="2333"/>
      <c r="SVU7" s="2334"/>
      <c r="SVV7" s="2335"/>
      <c r="SVW7" s="2333"/>
      <c r="SVX7" s="2334"/>
      <c r="SVY7" s="2335"/>
      <c r="SVZ7" s="2333"/>
      <c r="SWA7" s="2334"/>
      <c r="SWB7" s="2335"/>
      <c r="SWC7" s="2333"/>
      <c r="SWD7" s="2334"/>
      <c r="SWE7" s="2335"/>
      <c r="SWF7" s="2333"/>
      <c r="SWG7" s="2334"/>
      <c r="SWH7" s="2335"/>
      <c r="SWI7" s="2333"/>
      <c r="SWJ7" s="2334"/>
      <c r="SWK7" s="2335"/>
      <c r="SWL7" s="2333"/>
      <c r="SWM7" s="2334"/>
      <c r="SWN7" s="2335"/>
      <c r="SWO7" s="2333"/>
      <c r="SWP7" s="2334"/>
      <c r="SWQ7" s="2335"/>
      <c r="SWR7" s="2333"/>
      <c r="SWS7" s="2334"/>
      <c r="SWT7" s="2335"/>
      <c r="SWU7" s="2333"/>
      <c r="SWV7" s="2334"/>
      <c r="SWW7" s="2335"/>
      <c r="SWX7" s="2333"/>
      <c r="SWY7" s="2334"/>
      <c r="SWZ7" s="2335"/>
      <c r="SXA7" s="2333"/>
      <c r="SXB7" s="2334"/>
      <c r="SXC7" s="2335"/>
      <c r="SXD7" s="2333"/>
      <c r="SXE7" s="2334"/>
      <c r="SXF7" s="2335"/>
      <c r="SXG7" s="2333"/>
      <c r="SXH7" s="2334"/>
      <c r="SXI7" s="2335"/>
      <c r="SXJ7" s="2333"/>
      <c r="SXK7" s="2334"/>
      <c r="SXL7" s="2335"/>
      <c r="SXM7" s="2333"/>
      <c r="SXN7" s="2334"/>
      <c r="SXO7" s="2335"/>
      <c r="SXP7" s="2333"/>
      <c r="SXQ7" s="2334"/>
      <c r="SXR7" s="2335"/>
      <c r="SXS7" s="2333"/>
      <c r="SXT7" s="2334"/>
      <c r="SXU7" s="2335"/>
      <c r="SXV7" s="2333"/>
      <c r="SXW7" s="2334"/>
      <c r="SXX7" s="2335"/>
      <c r="SXY7" s="2333"/>
      <c r="SXZ7" s="2334"/>
      <c r="SYA7" s="2335"/>
      <c r="SYB7" s="2333"/>
      <c r="SYC7" s="2334"/>
      <c r="SYD7" s="2335"/>
      <c r="SYE7" s="2333"/>
      <c r="SYF7" s="2334"/>
      <c r="SYG7" s="2335"/>
      <c r="SYH7" s="2333"/>
      <c r="SYI7" s="2334"/>
      <c r="SYJ7" s="2335"/>
      <c r="SYK7" s="2333"/>
      <c r="SYL7" s="2334"/>
      <c r="SYM7" s="2335"/>
      <c r="SYN7" s="2333"/>
      <c r="SYO7" s="2334"/>
      <c r="SYP7" s="2335"/>
      <c r="SYQ7" s="2333"/>
      <c r="SYR7" s="2334"/>
      <c r="SYS7" s="2335"/>
      <c r="SYT7" s="2333"/>
      <c r="SYU7" s="2334"/>
      <c r="SYV7" s="2335"/>
      <c r="SYW7" s="2333"/>
      <c r="SYX7" s="2334"/>
      <c r="SYY7" s="2335"/>
      <c r="SYZ7" s="2333"/>
      <c r="SZA7" s="2334"/>
      <c r="SZB7" s="2335"/>
      <c r="SZC7" s="2333"/>
      <c r="SZD7" s="2334"/>
      <c r="SZE7" s="2335"/>
      <c r="SZF7" s="2333"/>
      <c r="SZG7" s="2334"/>
      <c r="SZH7" s="2335"/>
      <c r="SZI7" s="2333"/>
      <c r="SZJ7" s="2334"/>
      <c r="SZK7" s="2335"/>
      <c r="SZL7" s="2333"/>
      <c r="SZM7" s="2334"/>
      <c r="SZN7" s="2335"/>
      <c r="SZO7" s="2333"/>
      <c r="SZP7" s="2334"/>
      <c r="SZQ7" s="2335"/>
      <c r="SZR7" s="2333"/>
      <c r="SZS7" s="2334"/>
      <c r="SZT7" s="2335"/>
      <c r="SZU7" s="2333"/>
      <c r="SZV7" s="2334"/>
      <c r="SZW7" s="2335"/>
      <c r="SZX7" s="2333"/>
      <c r="SZY7" s="2334"/>
      <c r="SZZ7" s="2335"/>
      <c r="TAA7" s="2333"/>
      <c r="TAB7" s="2334"/>
      <c r="TAC7" s="2335"/>
      <c r="TAD7" s="2333"/>
      <c r="TAE7" s="2334"/>
      <c r="TAF7" s="2335"/>
      <c r="TAG7" s="2333"/>
      <c r="TAH7" s="2334"/>
      <c r="TAI7" s="2335"/>
      <c r="TAJ7" s="2333"/>
      <c r="TAK7" s="2334"/>
      <c r="TAL7" s="2335"/>
      <c r="TAM7" s="2333"/>
      <c r="TAN7" s="2334"/>
      <c r="TAO7" s="2335"/>
      <c r="TAP7" s="2333"/>
      <c r="TAQ7" s="2334"/>
      <c r="TAR7" s="2335"/>
      <c r="TAS7" s="2333"/>
      <c r="TAT7" s="2334"/>
      <c r="TAU7" s="2335"/>
      <c r="TAV7" s="2333"/>
      <c r="TAW7" s="2334"/>
      <c r="TAX7" s="2335"/>
      <c r="TAY7" s="2333"/>
      <c r="TAZ7" s="2334"/>
      <c r="TBA7" s="2335"/>
      <c r="TBB7" s="2333"/>
      <c r="TBC7" s="2334"/>
      <c r="TBD7" s="2335"/>
      <c r="TBE7" s="2333"/>
      <c r="TBF7" s="2334"/>
      <c r="TBG7" s="2335"/>
      <c r="TBH7" s="2333"/>
      <c r="TBI7" s="2334"/>
      <c r="TBJ7" s="2335"/>
      <c r="TBK7" s="2333"/>
      <c r="TBL7" s="2334"/>
      <c r="TBM7" s="2335"/>
      <c r="TBN7" s="2333"/>
      <c r="TBO7" s="2334"/>
      <c r="TBP7" s="2335"/>
      <c r="TBQ7" s="2333"/>
      <c r="TBR7" s="2334"/>
      <c r="TBS7" s="2335"/>
      <c r="TBT7" s="2333"/>
      <c r="TBU7" s="2334"/>
      <c r="TBV7" s="2335"/>
      <c r="TBW7" s="2333"/>
      <c r="TBX7" s="2334"/>
      <c r="TBY7" s="2335"/>
      <c r="TBZ7" s="2333"/>
      <c r="TCA7" s="2334"/>
      <c r="TCB7" s="2335"/>
      <c r="TCC7" s="2333"/>
      <c r="TCD7" s="2334"/>
      <c r="TCE7" s="2335"/>
      <c r="TCF7" s="2333"/>
      <c r="TCG7" s="2334"/>
      <c r="TCH7" s="2335"/>
      <c r="TCI7" s="2333"/>
      <c r="TCJ7" s="2334"/>
      <c r="TCK7" s="2335"/>
      <c r="TCL7" s="2333"/>
      <c r="TCM7" s="2334"/>
      <c r="TCN7" s="2335"/>
      <c r="TCO7" s="2333"/>
      <c r="TCP7" s="2334"/>
      <c r="TCQ7" s="2335"/>
      <c r="TCR7" s="2333"/>
      <c r="TCS7" s="2334"/>
      <c r="TCT7" s="2335"/>
      <c r="TCU7" s="2333"/>
      <c r="TCV7" s="2334"/>
      <c r="TCW7" s="2335"/>
      <c r="TCX7" s="2333"/>
      <c r="TCY7" s="2334"/>
      <c r="TCZ7" s="2335"/>
      <c r="TDA7" s="2333"/>
      <c r="TDB7" s="2334"/>
      <c r="TDC7" s="2335"/>
      <c r="TDD7" s="2333"/>
      <c r="TDE7" s="2334"/>
      <c r="TDF7" s="2335"/>
      <c r="TDG7" s="2333"/>
      <c r="TDH7" s="2334"/>
      <c r="TDI7" s="2335"/>
      <c r="TDJ7" s="2333"/>
      <c r="TDK7" s="2334"/>
      <c r="TDL7" s="2335"/>
      <c r="TDM7" s="2333"/>
      <c r="TDN7" s="2334"/>
      <c r="TDO7" s="2335"/>
      <c r="TDP7" s="2333"/>
      <c r="TDQ7" s="2334"/>
      <c r="TDR7" s="2335"/>
      <c r="TDS7" s="2333"/>
      <c r="TDT7" s="2334"/>
      <c r="TDU7" s="2335"/>
      <c r="TDV7" s="2333"/>
      <c r="TDW7" s="2334"/>
      <c r="TDX7" s="2335"/>
      <c r="TDY7" s="2333"/>
      <c r="TDZ7" s="2334"/>
      <c r="TEA7" s="2335"/>
      <c r="TEB7" s="2333"/>
      <c r="TEC7" s="2334"/>
      <c r="TED7" s="2335"/>
      <c r="TEE7" s="2333"/>
      <c r="TEF7" s="2334"/>
      <c r="TEG7" s="2335"/>
      <c r="TEH7" s="2333"/>
      <c r="TEI7" s="2334"/>
      <c r="TEJ7" s="2335"/>
      <c r="TEK7" s="2333"/>
      <c r="TEL7" s="2334"/>
      <c r="TEM7" s="2335"/>
      <c r="TEN7" s="2333"/>
      <c r="TEO7" s="2334"/>
      <c r="TEP7" s="2335"/>
      <c r="TEQ7" s="2333"/>
      <c r="TER7" s="2334"/>
      <c r="TES7" s="2335"/>
      <c r="TET7" s="2333"/>
      <c r="TEU7" s="2334"/>
      <c r="TEV7" s="2335"/>
      <c r="TEW7" s="2333"/>
      <c r="TEX7" s="2334"/>
      <c r="TEY7" s="2335"/>
      <c r="TEZ7" s="2333"/>
      <c r="TFA7" s="2334"/>
      <c r="TFB7" s="2335"/>
      <c r="TFC7" s="2333"/>
      <c r="TFD7" s="2334"/>
      <c r="TFE7" s="2335"/>
      <c r="TFF7" s="2333"/>
      <c r="TFG7" s="2334"/>
      <c r="TFH7" s="2335"/>
      <c r="TFI7" s="2333"/>
      <c r="TFJ7" s="2334"/>
      <c r="TFK7" s="2335"/>
      <c r="TFL7" s="2333"/>
      <c r="TFM7" s="2334"/>
      <c r="TFN7" s="2335"/>
      <c r="TFO7" s="2333"/>
      <c r="TFP7" s="2334"/>
      <c r="TFQ7" s="2335"/>
      <c r="TFR7" s="2333"/>
      <c r="TFS7" s="2334"/>
      <c r="TFT7" s="2335"/>
      <c r="TFU7" s="2333"/>
      <c r="TFV7" s="2334"/>
      <c r="TFW7" s="2335"/>
      <c r="TFX7" s="2333"/>
      <c r="TFY7" s="2334"/>
      <c r="TFZ7" s="2335"/>
      <c r="TGA7" s="2333"/>
      <c r="TGB7" s="2334"/>
      <c r="TGC7" s="2335"/>
      <c r="TGD7" s="2333"/>
      <c r="TGE7" s="2334"/>
      <c r="TGF7" s="2335"/>
      <c r="TGG7" s="2333"/>
      <c r="TGH7" s="2334"/>
      <c r="TGI7" s="2335"/>
      <c r="TGJ7" s="2333"/>
      <c r="TGK7" s="2334"/>
      <c r="TGL7" s="2335"/>
      <c r="TGM7" s="2333"/>
      <c r="TGN7" s="2334"/>
      <c r="TGO7" s="2335"/>
      <c r="TGP7" s="2333"/>
      <c r="TGQ7" s="2334"/>
      <c r="TGR7" s="2335"/>
      <c r="TGS7" s="2333"/>
      <c r="TGT7" s="2334"/>
      <c r="TGU7" s="2335"/>
      <c r="TGV7" s="2333"/>
      <c r="TGW7" s="2334"/>
      <c r="TGX7" s="2335"/>
      <c r="TGY7" s="2333"/>
      <c r="TGZ7" s="2334"/>
      <c r="THA7" s="2335"/>
      <c r="THB7" s="2333"/>
      <c r="THC7" s="2334"/>
      <c r="THD7" s="2335"/>
      <c r="THE7" s="2333"/>
      <c r="THF7" s="2334"/>
      <c r="THG7" s="2335"/>
      <c r="THH7" s="2333"/>
      <c r="THI7" s="2334"/>
      <c r="THJ7" s="2335"/>
      <c r="THK7" s="2333"/>
      <c r="THL7" s="2334"/>
      <c r="THM7" s="2335"/>
      <c r="THN7" s="2333"/>
      <c r="THO7" s="2334"/>
      <c r="THP7" s="2335"/>
      <c r="THQ7" s="2333"/>
      <c r="THR7" s="2334"/>
      <c r="THS7" s="2335"/>
      <c r="THT7" s="2333"/>
      <c r="THU7" s="2334"/>
      <c r="THV7" s="2335"/>
      <c r="THW7" s="2333"/>
      <c r="THX7" s="2334"/>
      <c r="THY7" s="2335"/>
      <c r="THZ7" s="2333"/>
      <c r="TIA7" s="2334"/>
      <c r="TIB7" s="2335"/>
      <c r="TIC7" s="2333"/>
      <c r="TID7" s="2334"/>
      <c r="TIE7" s="2335"/>
      <c r="TIF7" s="2333"/>
      <c r="TIG7" s="2334"/>
      <c r="TIH7" s="2335"/>
      <c r="TII7" s="2333"/>
      <c r="TIJ7" s="2334"/>
      <c r="TIK7" s="2335"/>
      <c r="TIL7" s="2333"/>
      <c r="TIM7" s="2334"/>
      <c r="TIN7" s="2335"/>
      <c r="TIO7" s="2333"/>
      <c r="TIP7" s="2334"/>
      <c r="TIQ7" s="2335"/>
      <c r="TIR7" s="2333"/>
      <c r="TIS7" s="2334"/>
      <c r="TIT7" s="2335"/>
      <c r="TIU7" s="2333"/>
      <c r="TIV7" s="2334"/>
      <c r="TIW7" s="2335"/>
      <c r="TIX7" s="2333"/>
      <c r="TIY7" s="2334"/>
      <c r="TIZ7" s="2335"/>
      <c r="TJA7" s="2333"/>
      <c r="TJB7" s="2334"/>
      <c r="TJC7" s="2335"/>
      <c r="TJD7" s="2333"/>
      <c r="TJE7" s="2334"/>
      <c r="TJF7" s="2335"/>
      <c r="TJG7" s="2333"/>
      <c r="TJH7" s="2334"/>
      <c r="TJI7" s="2335"/>
      <c r="TJJ7" s="2333"/>
      <c r="TJK7" s="2334"/>
      <c r="TJL7" s="2335"/>
      <c r="TJM7" s="2333"/>
      <c r="TJN7" s="2334"/>
      <c r="TJO7" s="2335"/>
      <c r="TJP7" s="2333"/>
      <c r="TJQ7" s="2334"/>
      <c r="TJR7" s="2335"/>
      <c r="TJS7" s="2333"/>
      <c r="TJT7" s="2334"/>
      <c r="TJU7" s="2335"/>
      <c r="TJV7" s="2333"/>
      <c r="TJW7" s="2334"/>
      <c r="TJX7" s="2335"/>
      <c r="TJY7" s="2333"/>
      <c r="TJZ7" s="2334"/>
      <c r="TKA7" s="2335"/>
      <c r="TKB7" s="2333"/>
      <c r="TKC7" s="2334"/>
      <c r="TKD7" s="2335"/>
      <c r="TKE7" s="2333"/>
      <c r="TKF7" s="2334"/>
      <c r="TKG7" s="2335"/>
      <c r="TKH7" s="2333"/>
      <c r="TKI7" s="2334"/>
      <c r="TKJ7" s="2335"/>
      <c r="TKK7" s="2333"/>
      <c r="TKL7" s="2334"/>
      <c r="TKM7" s="2335"/>
      <c r="TKN7" s="2333"/>
      <c r="TKO7" s="2334"/>
      <c r="TKP7" s="2335"/>
      <c r="TKQ7" s="2333"/>
      <c r="TKR7" s="2334"/>
      <c r="TKS7" s="2335"/>
      <c r="TKT7" s="2333"/>
      <c r="TKU7" s="2334"/>
      <c r="TKV7" s="2335"/>
      <c r="TKW7" s="2333"/>
      <c r="TKX7" s="2334"/>
      <c r="TKY7" s="2335"/>
      <c r="TKZ7" s="2333"/>
      <c r="TLA7" s="2334"/>
      <c r="TLB7" s="2335"/>
      <c r="TLC7" s="2333"/>
      <c r="TLD7" s="2334"/>
      <c r="TLE7" s="2335"/>
      <c r="TLF7" s="2333"/>
      <c r="TLG7" s="2334"/>
      <c r="TLH7" s="2335"/>
      <c r="TLI7" s="2333"/>
      <c r="TLJ7" s="2334"/>
      <c r="TLK7" s="2335"/>
      <c r="TLL7" s="2333"/>
      <c r="TLM7" s="2334"/>
      <c r="TLN7" s="2335"/>
      <c r="TLO7" s="2333"/>
      <c r="TLP7" s="2334"/>
      <c r="TLQ7" s="2335"/>
      <c r="TLR7" s="2333"/>
      <c r="TLS7" s="2334"/>
      <c r="TLT7" s="2335"/>
      <c r="TLU7" s="2333"/>
      <c r="TLV7" s="2334"/>
      <c r="TLW7" s="2335"/>
      <c r="TLX7" s="2333"/>
      <c r="TLY7" s="2334"/>
      <c r="TLZ7" s="2335"/>
      <c r="TMA7" s="2333"/>
      <c r="TMB7" s="2334"/>
      <c r="TMC7" s="2335"/>
      <c r="TMD7" s="2333"/>
      <c r="TME7" s="2334"/>
      <c r="TMF7" s="2335"/>
      <c r="TMG7" s="2333"/>
      <c r="TMH7" s="2334"/>
      <c r="TMI7" s="2335"/>
      <c r="TMJ7" s="2333"/>
      <c r="TMK7" s="2334"/>
      <c r="TML7" s="2335"/>
      <c r="TMM7" s="2333"/>
      <c r="TMN7" s="2334"/>
      <c r="TMO7" s="2335"/>
      <c r="TMP7" s="2333"/>
      <c r="TMQ7" s="2334"/>
      <c r="TMR7" s="2335"/>
      <c r="TMS7" s="2333"/>
      <c r="TMT7" s="2334"/>
      <c r="TMU7" s="2335"/>
      <c r="TMV7" s="2333"/>
      <c r="TMW7" s="2334"/>
      <c r="TMX7" s="2335"/>
      <c r="TMY7" s="2333"/>
      <c r="TMZ7" s="2334"/>
      <c r="TNA7" s="2335"/>
      <c r="TNB7" s="2333"/>
      <c r="TNC7" s="2334"/>
      <c r="TND7" s="2335"/>
      <c r="TNE7" s="2333"/>
      <c r="TNF7" s="2334"/>
      <c r="TNG7" s="2335"/>
      <c r="TNH7" s="2333"/>
      <c r="TNI7" s="2334"/>
      <c r="TNJ7" s="2335"/>
      <c r="TNK7" s="2333"/>
      <c r="TNL7" s="2334"/>
      <c r="TNM7" s="2335"/>
      <c r="TNN7" s="2333"/>
      <c r="TNO7" s="2334"/>
      <c r="TNP7" s="2335"/>
      <c r="TNQ7" s="2333"/>
      <c r="TNR7" s="2334"/>
      <c r="TNS7" s="2335"/>
      <c r="TNT7" s="2333"/>
      <c r="TNU7" s="2334"/>
      <c r="TNV7" s="2335"/>
      <c r="TNW7" s="2333"/>
      <c r="TNX7" s="2334"/>
      <c r="TNY7" s="2335"/>
      <c r="TNZ7" s="2333"/>
      <c r="TOA7" s="2334"/>
      <c r="TOB7" s="2335"/>
      <c r="TOC7" s="2333"/>
      <c r="TOD7" s="2334"/>
      <c r="TOE7" s="2335"/>
      <c r="TOF7" s="2333"/>
      <c r="TOG7" s="2334"/>
      <c r="TOH7" s="2335"/>
      <c r="TOI7" s="2333"/>
      <c r="TOJ7" s="2334"/>
      <c r="TOK7" s="2335"/>
      <c r="TOL7" s="2333"/>
      <c r="TOM7" s="2334"/>
      <c r="TON7" s="2335"/>
      <c r="TOO7" s="2333"/>
      <c r="TOP7" s="2334"/>
      <c r="TOQ7" s="2335"/>
      <c r="TOR7" s="2333"/>
      <c r="TOS7" s="2334"/>
      <c r="TOT7" s="2335"/>
      <c r="TOU7" s="2333"/>
      <c r="TOV7" s="2334"/>
      <c r="TOW7" s="2335"/>
      <c r="TOX7" s="2333"/>
      <c r="TOY7" s="2334"/>
      <c r="TOZ7" s="2335"/>
      <c r="TPA7" s="2333"/>
      <c r="TPB7" s="2334"/>
      <c r="TPC7" s="2335"/>
      <c r="TPD7" s="2333"/>
      <c r="TPE7" s="2334"/>
      <c r="TPF7" s="2335"/>
      <c r="TPG7" s="2333"/>
      <c r="TPH7" s="2334"/>
      <c r="TPI7" s="2335"/>
      <c r="TPJ7" s="2333"/>
      <c r="TPK7" s="2334"/>
      <c r="TPL7" s="2335"/>
      <c r="TPM7" s="2333"/>
      <c r="TPN7" s="2334"/>
      <c r="TPO7" s="2335"/>
      <c r="TPP7" s="2333"/>
      <c r="TPQ7" s="2334"/>
      <c r="TPR7" s="2335"/>
      <c r="TPS7" s="2333"/>
      <c r="TPT7" s="2334"/>
      <c r="TPU7" s="2335"/>
      <c r="TPV7" s="2333"/>
      <c r="TPW7" s="2334"/>
      <c r="TPX7" s="2335"/>
      <c r="TPY7" s="2333"/>
      <c r="TPZ7" s="2334"/>
      <c r="TQA7" s="2335"/>
      <c r="TQB7" s="2333"/>
      <c r="TQC7" s="2334"/>
      <c r="TQD7" s="2335"/>
      <c r="TQE7" s="2333"/>
      <c r="TQF7" s="2334"/>
      <c r="TQG7" s="2335"/>
      <c r="TQH7" s="2333"/>
      <c r="TQI7" s="2334"/>
      <c r="TQJ7" s="2335"/>
      <c r="TQK7" s="2333"/>
      <c r="TQL7" s="2334"/>
      <c r="TQM7" s="2335"/>
      <c r="TQN7" s="2333"/>
      <c r="TQO7" s="2334"/>
      <c r="TQP7" s="2335"/>
      <c r="TQQ7" s="2333"/>
      <c r="TQR7" s="2334"/>
      <c r="TQS7" s="2335"/>
      <c r="TQT7" s="2333"/>
      <c r="TQU7" s="2334"/>
      <c r="TQV7" s="2335"/>
      <c r="TQW7" s="2333"/>
      <c r="TQX7" s="2334"/>
      <c r="TQY7" s="2335"/>
      <c r="TQZ7" s="2333"/>
      <c r="TRA7" s="2334"/>
      <c r="TRB7" s="2335"/>
      <c r="TRC7" s="2333"/>
      <c r="TRD7" s="2334"/>
      <c r="TRE7" s="2335"/>
      <c r="TRF7" s="2333"/>
      <c r="TRG7" s="2334"/>
      <c r="TRH7" s="2335"/>
      <c r="TRI7" s="2333"/>
      <c r="TRJ7" s="2334"/>
      <c r="TRK7" s="2335"/>
      <c r="TRL7" s="2333"/>
      <c r="TRM7" s="2334"/>
      <c r="TRN7" s="2335"/>
      <c r="TRO7" s="2333"/>
      <c r="TRP7" s="2334"/>
      <c r="TRQ7" s="2335"/>
      <c r="TRR7" s="2333"/>
      <c r="TRS7" s="2334"/>
      <c r="TRT7" s="2335"/>
      <c r="TRU7" s="2333"/>
      <c r="TRV7" s="2334"/>
      <c r="TRW7" s="2335"/>
      <c r="TRX7" s="2333"/>
      <c r="TRY7" s="2334"/>
      <c r="TRZ7" s="2335"/>
      <c r="TSA7" s="2333"/>
      <c r="TSB7" s="2334"/>
      <c r="TSC7" s="2335"/>
      <c r="TSD7" s="2333"/>
      <c r="TSE7" s="2334"/>
      <c r="TSF7" s="2335"/>
      <c r="TSG7" s="2333"/>
      <c r="TSH7" s="2334"/>
      <c r="TSI7" s="2335"/>
      <c r="TSJ7" s="2333"/>
      <c r="TSK7" s="2334"/>
      <c r="TSL7" s="2335"/>
      <c r="TSM7" s="2333"/>
      <c r="TSN7" s="2334"/>
      <c r="TSO7" s="2335"/>
      <c r="TSP7" s="2333"/>
      <c r="TSQ7" s="2334"/>
      <c r="TSR7" s="2335"/>
      <c r="TSS7" s="2333"/>
      <c r="TST7" s="2334"/>
      <c r="TSU7" s="2335"/>
      <c r="TSV7" s="2333"/>
      <c r="TSW7" s="2334"/>
      <c r="TSX7" s="2335"/>
      <c r="TSY7" s="2333"/>
      <c r="TSZ7" s="2334"/>
      <c r="TTA7" s="2335"/>
      <c r="TTB7" s="2333"/>
      <c r="TTC7" s="2334"/>
      <c r="TTD7" s="2335"/>
      <c r="TTE7" s="2333"/>
      <c r="TTF7" s="2334"/>
      <c r="TTG7" s="2335"/>
      <c r="TTH7" s="2333"/>
      <c r="TTI7" s="2334"/>
      <c r="TTJ7" s="2335"/>
      <c r="TTK7" s="2333"/>
      <c r="TTL7" s="2334"/>
      <c r="TTM7" s="2335"/>
      <c r="TTN7" s="2333"/>
      <c r="TTO7" s="2334"/>
      <c r="TTP7" s="2335"/>
      <c r="TTQ7" s="2333"/>
      <c r="TTR7" s="2334"/>
      <c r="TTS7" s="2335"/>
      <c r="TTT7" s="2333"/>
      <c r="TTU7" s="2334"/>
      <c r="TTV7" s="2335"/>
      <c r="TTW7" s="2333"/>
      <c r="TTX7" s="2334"/>
      <c r="TTY7" s="2335"/>
      <c r="TTZ7" s="2333"/>
      <c r="TUA7" s="2334"/>
      <c r="TUB7" s="2335"/>
      <c r="TUC7" s="2333"/>
      <c r="TUD7" s="2334"/>
      <c r="TUE7" s="2335"/>
      <c r="TUF7" s="2333"/>
      <c r="TUG7" s="2334"/>
      <c r="TUH7" s="2335"/>
      <c r="TUI7" s="2333"/>
      <c r="TUJ7" s="2334"/>
      <c r="TUK7" s="2335"/>
      <c r="TUL7" s="2333"/>
      <c r="TUM7" s="2334"/>
      <c r="TUN7" s="2335"/>
      <c r="TUO7" s="2333"/>
      <c r="TUP7" s="2334"/>
      <c r="TUQ7" s="2335"/>
      <c r="TUR7" s="2333"/>
      <c r="TUS7" s="2334"/>
      <c r="TUT7" s="2335"/>
      <c r="TUU7" s="2333"/>
      <c r="TUV7" s="2334"/>
      <c r="TUW7" s="2335"/>
      <c r="TUX7" s="2333"/>
      <c r="TUY7" s="2334"/>
      <c r="TUZ7" s="2335"/>
      <c r="TVA7" s="2333"/>
      <c r="TVB7" s="2334"/>
      <c r="TVC7" s="2335"/>
      <c r="TVD7" s="2333"/>
      <c r="TVE7" s="2334"/>
      <c r="TVF7" s="2335"/>
      <c r="TVG7" s="2333"/>
      <c r="TVH7" s="2334"/>
      <c r="TVI7" s="2335"/>
      <c r="TVJ7" s="2333"/>
      <c r="TVK7" s="2334"/>
      <c r="TVL7" s="2335"/>
      <c r="TVM7" s="2333"/>
      <c r="TVN7" s="2334"/>
      <c r="TVO7" s="2335"/>
      <c r="TVP7" s="2333"/>
      <c r="TVQ7" s="2334"/>
      <c r="TVR7" s="2335"/>
      <c r="TVS7" s="2333"/>
      <c r="TVT7" s="2334"/>
      <c r="TVU7" s="2335"/>
      <c r="TVV7" s="2333"/>
      <c r="TVW7" s="2334"/>
      <c r="TVX7" s="2335"/>
      <c r="TVY7" s="2333"/>
      <c r="TVZ7" s="2334"/>
      <c r="TWA7" s="2335"/>
      <c r="TWB7" s="2333"/>
      <c r="TWC7" s="2334"/>
      <c r="TWD7" s="2335"/>
      <c r="TWE7" s="2333"/>
      <c r="TWF7" s="2334"/>
      <c r="TWG7" s="2335"/>
      <c r="TWH7" s="2333"/>
      <c r="TWI7" s="2334"/>
      <c r="TWJ7" s="2335"/>
      <c r="TWK7" s="2333"/>
      <c r="TWL7" s="2334"/>
      <c r="TWM7" s="2335"/>
      <c r="TWN7" s="2333"/>
      <c r="TWO7" s="2334"/>
      <c r="TWP7" s="2335"/>
      <c r="TWQ7" s="2333"/>
      <c r="TWR7" s="2334"/>
      <c r="TWS7" s="2335"/>
      <c r="TWT7" s="2333"/>
      <c r="TWU7" s="2334"/>
      <c r="TWV7" s="2335"/>
      <c r="TWW7" s="2333"/>
      <c r="TWX7" s="2334"/>
      <c r="TWY7" s="2335"/>
      <c r="TWZ7" s="2333"/>
      <c r="TXA7" s="2334"/>
      <c r="TXB7" s="2335"/>
      <c r="TXC7" s="2333"/>
      <c r="TXD7" s="2334"/>
      <c r="TXE7" s="2335"/>
      <c r="TXF7" s="2333"/>
      <c r="TXG7" s="2334"/>
      <c r="TXH7" s="2335"/>
      <c r="TXI7" s="2333"/>
      <c r="TXJ7" s="2334"/>
      <c r="TXK7" s="2335"/>
      <c r="TXL7" s="2333"/>
      <c r="TXM7" s="2334"/>
      <c r="TXN7" s="2335"/>
      <c r="TXO7" s="2333"/>
      <c r="TXP7" s="2334"/>
      <c r="TXQ7" s="2335"/>
      <c r="TXR7" s="2333"/>
      <c r="TXS7" s="2334"/>
      <c r="TXT7" s="2335"/>
      <c r="TXU7" s="2333"/>
      <c r="TXV7" s="2334"/>
      <c r="TXW7" s="2335"/>
      <c r="TXX7" s="2333"/>
      <c r="TXY7" s="2334"/>
      <c r="TXZ7" s="2335"/>
      <c r="TYA7" s="2333"/>
      <c r="TYB7" s="2334"/>
      <c r="TYC7" s="2335"/>
      <c r="TYD7" s="2333"/>
      <c r="TYE7" s="2334"/>
      <c r="TYF7" s="2335"/>
      <c r="TYG7" s="2333"/>
      <c r="TYH7" s="2334"/>
      <c r="TYI7" s="2335"/>
      <c r="TYJ7" s="2333"/>
      <c r="TYK7" s="2334"/>
      <c r="TYL7" s="2335"/>
      <c r="TYM7" s="2333"/>
      <c r="TYN7" s="2334"/>
      <c r="TYO7" s="2335"/>
      <c r="TYP7" s="2333"/>
      <c r="TYQ7" s="2334"/>
      <c r="TYR7" s="2335"/>
      <c r="TYS7" s="2333"/>
      <c r="TYT7" s="2334"/>
      <c r="TYU7" s="2335"/>
      <c r="TYV7" s="2333"/>
      <c r="TYW7" s="2334"/>
      <c r="TYX7" s="2335"/>
      <c r="TYY7" s="2333"/>
      <c r="TYZ7" s="2334"/>
      <c r="TZA7" s="2335"/>
      <c r="TZB7" s="2333"/>
      <c r="TZC7" s="2334"/>
      <c r="TZD7" s="2335"/>
      <c r="TZE7" s="2333"/>
      <c r="TZF7" s="2334"/>
      <c r="TZG7" s="2335"/>
      <c r="TZH7" s="2333"/>
      <c r="TZI7" s="2334"/>
      <c r="TZJ7" s="2335"/>
      <c r="TZK7" s="2333"/>
      <c r="TZL7" s="2334"/>
      <c r="TZM7" s="2335"/>
      <c r="TZN7" s="2333"/>
      <c r="TZO7" s="2334"/>
      <c r="TZP7" s="2335"/>
      <c r="TZQ7" s="2333"/>
      <c r="TZR7" s="2334"/>
      <c r="TZS7" s="2335"/>
      <c r="TZT7" s="2333"/>
      <c r="TZU7" s="2334"/>
      <c r="TZV7" s="2335"/>
      <c r="TZW7" s="2333"/>
      <c r="TZX7" s="2334"/>
      <c r="TZY7" s="2335"/>
      <c r="TZZ7" s="2333"/>
      <c r="UAA7" s="2334"/>
      <c r="UAB7" s="2335"/>
      <c r="UAC7" s="2333"/>
      <c r="UAD7" s="2334"/>
      <c r="UAE7" s="2335"/>
      <c r="UAF7" s="2333"/>
      <c r="UAG7" s="2334"/>
      <c r="UAH7" s="2335"/>
      <c r="UAI7" s="2333"/>
      <c r="UAJ7" s="2334"/>
      <c r="UAK7" s="2335"/>
      <c r="UAL7" s="2333"/>
      <c r="UAM7" s="2334"/>
      <c r="UAN7" s="2335"/>
      <c r="UAO7" s="2333"/>
      <c r="UAP7" s="2334"/>
      <c r="UAQ7" s="2335"/>
      <c r="UAR7" s="2333"/>
      <c r="UAS7" s="2334"/>
      <c r="UAT7" s="2335"/>
      <c r="UAU7" s="2333"/>
      <c r="UAV7" s="2334"/>
      <c r="UAW7" s="2335"/>
      <c r="UAX7" s="2333"/>
      <c r="UAY7" s="2334"/>
      <c r="UAZ7" s="2335"/>
      <c r="UBA7" s="2333"/>
      <c r="UBB7" s="2334"/>
      <c r="UBC7" s="2335"/>
      <c r="UBD7" s="2333"/>
      <c r="UBE7" s="2334"/>
      <c r="UBF7" s="2335"/>
      <c r="UBG7" s="2333"/>
      <c r="UBH7" s="2334"/>
      <c r="UBI7" s="2335"/>
      <c r="UBJ7" s="2333"/>
      <c r="UBK7" s="2334"/>
      <c r="UBL7" s="2335"/>
      <c r="UBM7" s="2333"/>
      <c r="UBN7" s="2334"/>
      <c r="UBO7" s="2335"/>
      <c r="UBP7" s="2333"/>
      <c r="UBQ7" s="2334"/>
      <c r="UBR7" s="2335"/>
      <c r="UBS7" s="2333"/>
      <c r="UBT7" s="2334"/>
      <c r="UBU7" s="2335"/>
      <c r="UBV7" s="2333"/>
      <c r="UBW7" s="2334"/>
      <c r="UBX7" s="2335"/>
      <c r="UBY7" s="2333"/>
      <c r="UBZ7" s="2334"/>
      <c r="UCA7" s="2335"/>
      <c r="UCB7" s="2333"/>
      <c r="UCC7" s="2334"/>
      <c r="UCD7" s="2335"/>
      <c r="UCE7" s="2333"/>
      <c r="UCF7" s="2334"/>
      <c r="UCG7" s="2335"/>
      <c r="UCH7" s="2333"/>
      <c r="UCI7" s="2334"/>
      <c r="UCJ7" s="2335"/>
      <c r="UCK7" s="2333"/>
      <c r="UCL7" s="2334"/>
      <c r="UCM7" s="2335"/>
      <c r="UCN7" s="2333"/>
      <c r="UCO7" s="2334"/>
      <c r="UCP7" s="2335"/>
      <c r="UCQ7" s="2333"/>
      <c r="UCR7" s="2334"/>
      <c r="UCS7" s="2335"/>
      <c r="UCT7" s="2333"/>
      <c r="UCU7" s="2334"/>
      <c r="UCV7" s="2335"/>
      <c r="UCW7" s="2333"/>
      <c r="UCX7" s="2334"/>
      <c r="UCY7" s="2335"/>
      <c r="UCZ7" s="2333"/>
      <c r="UDA7" s="2334"/>
      <c r="UDB7" s="2335"/>
      <c r="UDC7" s="2333"/>
      <c r="UDD7" s="2334"/>
      <c r="UDE7" s="2335"/>
      <c r="UDF7" s="2333"/>
      <c r="UDG7" s="2334"/>
      <c r="UDH7" s="2335"/>
      <c r="UDI7" s="2333"/>
      <c r="UDJ7" s="2334"/>
      <c r="UDK7" s="2335"/>
      <c r="UDL7" s="2333"/>
      <c r="UDM7" s="2334"/>
      <c r="UDN7" s="2335"/>
      <c r="UDO7" s="2333"/>
      <c r="UDP7" s="2334"/>
      <c r="UDQ7" s="2335"/>
      <c r="UDR7" s="2333"/>
      <c r="UDS7" s="2334"/>
      <c r="UDT7" s="2335"/>
      <c r="UDU7" s="2333"/>
      <c r="UDV7" s="2334"/>
      <c r="UDW7" s="2335"/>
      <c r="UDX7" s="2333"/>
      <c r="UDY7" s="2334"/>
      <c r="UDZ7" s="2335"/>
      <c r="UEA7" s="2333"/>
      <c r="UEB7" s="2334"/>
      <c r="UEC7" s="2335"/>
      <c r="UED7" s="2333"/>
      <c r="UEE7" s="2334"/>
      <c r="UEF7" s="2335"/>
      <c r="UEG7" s="2333"/>
      <c r="UEH7" s="2334"/>
      <c r="UEI7" s="2335"/>
      <c r="UEJ7" s="2333"/>
      <c r="UEK7" s="2334"/>
      <c r="UEL7" s="2335"/>
      <c r="UEM7" s="2333"/>
      <c r="UEN7" s="2334"/>
      <c r="UEO7" s="2335"/>
      <c r="UEP7" s="2333"/>
      <c r="UEQ7" s="2334"/>
      <c r="UER7" s="2335"/>
      <c r="UES7" s="2333"/>
      <c r="UET7" s="2334"/>
      <c r="UEU7" s="2335"/>
      <c r="UEV7" s="2333"/>
      <c r="UEW7" s="2334"/>
      <c r="UEX7" s="2335"/>
      <c r="UEY7" s="2333"/>
      <c r="UEZ7" s="2334"/>
      <c r="UFA7" s="2335"/>
      <c r="UFB7" s="2333"/>
      <c r="UFC7" s="2334"/>
      <c r="UFD7" s="2335"/>
      <c r="UFE7" s="2333"/>
      <c r="UFF7" s="2334"/>
      <c r="UFG7" s="2335"/>
      <c r="UFH7" s="2333"/>
      <c r="UFI7" s="2334"/>
      <c r="UFJ7" s="2335"/>
      <c r="UFK7" s="2333"/>
      <c r="UFL7" s="2334"/>
      <c r="UFM7" s="2335"/>
      <c r="UFN7" s="2333"/>
      <c r="UFO7" s="2334"/>
      <c r="UFP7" s="2335"/>
      <c r="UFQ7" s="2333"/>
      <c r="UFR7" s="2334"/>
      <c r="UFS7" s="2335"/>
      <c r="UFT7" s="2333"/>
      <c r="UFU7" s="2334"/>
      <c r="UFV7" s="2335"/>
      <c r="UFW7" s="2333"/>
      <c r="UFX7" s="2334"/>
      <c r="UFY7" s="2335"/>
      <c r="UFZ7" s="2333"/>
      <c r="UGA7" s="2334"/>
      <c r="UGB7" s="2335"/>
      <c r="UGC7" s="2333"/>
      <c r="UGD7" s="2334"/>
      <c r="UGE7" s="2335"/>
      <c r="UGF7" s="2333"/>
      <c r="UGG7" s="2334"/>
      <c r="UGH7" s="2335"/>
      <c r="UGI7" s="2333"/>
      <c r="UGJ7" s="2334"/>
      <c r="UGK7" s="2335"/>
      <c r="UGL7" s="2333"/>
      <c r="UGM7" s="2334"/>
      <c r="UGN7" s="2335"/>
      <c r="UGO7" s="2333"/>
      <c r="UGP7" s="2334"/>
      <c r="UGQ7" s="2335"/>
      <c r="UGR7" s="2333"/>
      <c r="UGS7" s="2334"/>
      <c r="UGT7" s="2335"/>
      <c r="UGU7" s="2333"/>
      <c r="UGV7" s="2334"/>
      <c r="UGW7" s="2335"/>
      <c r="UGX7" s="2333"/>
      <c r="UGY7" s="2334"/>
      <c r="UGZ7" s="2335"/>
      <c r="UHA7" s="2333"/>
      <c r="UHB7" s="2334"/>
      <c r="UHC7" s="2335"/>
      <c r="UHD7" s="2333"/>
      <c r="UHE7" s="2334"/>
      <c r="UHF7" s="2335"/>
      <c r="UHG7" s="2333"/>
      <c r="UHH7" s="2334"/>
      <c r="UHI7" s="2335"/>
      <c r="UHJ7" s="2333"/>
      <c r="UHK7" s="2334"/>
      <c r="UHL7" s="2335"/>
      <c r="UHM7" s="2333"/>
      <c r="UHN7" s="2334"/>
      <c r="UHO7" s="2335"/>
      <c r="UHP7" s="2333"/>
      <c r="UHQ7" s="2334"/>
      <c r="UHR7" s="2335"/>
      <c r="UHS7" s="2333"/>
      <c r="UHT7" s="2334"/>
      <c r="UHU7" s="2335"/>
      <c r="UHV7" s="2333"/>
      <c r="UHW7" s="2334"/>
      <c r="UHX7" s="2335"/>
      <c r="UHY7" s="2333"/>
      <c r="UHZ7" s="2334"/>
      <c r="UIA7" s="2335"/>
      <c r="UIB7" s="2333"/>
      <c r="UIC7" s="2334"/>
      <c r="UID7" s="2335"/>
      <c r="UIE7" s="2333"/>
      <c r="UIF7" s="2334"/>
      <c r="UIG7" s="2335"/>
      <c r="UIH7" s="2333"/>
      <c r="UII7" s="2334"/>
      <c r="UIJ7" s="2335"/>
      <c r="UIK7" s="2333"/>
      <c r="UIL7" s="2334"/>
      <c r="UIM7" s="2335"/>
      <c r="UIN7" s="2333"/>
      <c r="UIO7" s="2334"/>
      <c r="UIP7" s="2335"/>
      <c r="UIQ7" s="2333"/>
      <c r="UIR7" s="2334"/>
      <c r="UIS7" s="2335"/>
      <c r="UIT7" s="2333"/>
      <c r="UIU7" s="2334"/>
      <c r="UIV7" s="2335"/>
      <c r="UIW7" s="2333"/>
      <c r="UIX7" s="2334"/>
      <c r="UIY7" s="2335"/>
      <c r="UIZ7" s="2333"/>
      <c r="UJA7" s="2334"/>
      <c r="UJB7" s="2335"/>
      <c r="UJC7" s="2333"/>
      <c r="UJD7" s="2334"/>
      <c r="UJE7" s="2335"/>
      <c r="UJF7" s="2333"/>
      <c r="UJG7" s="2334"/>
      <c r="UJH7" s="2335"/>
      <c r="UJI7" s="2333"/>
      <c r="UJJ7" s="2334"/>
      <c r="UJK7" s="2335"/>
      <c r="UJL7" s="2333"/>
      <c r="UJM7" s="2334"/>
      <c r="UJN7" s="2335"/>
      <c r="UJO7" s="2333"/>
      <c r="UJP7" s="2334"/>
      <c r="UJQ7" s="2335"/>
      <c r="UJR7" s="2333"/>
      <c r="UJS7" s="2334"/>
      <c r="UJT7" s="2335"/>
      <c r="UJU7" s="2333"/>
      <c r="UJV7" s="2334"/>
      <c r="UJW7" s="2335"/>
      <c r="UJX7" s="2333"/>
      <c r="UJY7" s="2334"/>
      <c r="UJZ7" s="2335"/>
      <c r="UKA7" s="2333"/>
      <c r="UKB7" s="2334"/>
      <c r="UKC7" s="2335"/>
      <c r="UKD7" s="2333"/>
      <c r="UKE7" s="2334"/>
      <c r="UKF7" s="2335"/>
      <c r="UKG7" s="2333"/>
      <c r="UKH7" s="2334"/>
      <c r="UKI7" s="2335"/>
      <c r="UKJ7" s="2333"/>
      <c r="UKK7" s="2334"/>
      <c r="UKL7" s="2335"/>
      <c r="UKM7" s="2333"/>
      <c r="UKN7" s="2334"/>
      <c r="UKO7" s="2335"/>
      <c r="UKP7" s="2333"/>
      <c r="UKQ7" s="2334"/>
      <c r="UKR7" s="2335"/>
      <c r="UKS7" s="2333"/>
      <c r="UKT7" s="2334"/>
      <c r="UKU7" s="2335"/>
      <c r="UKV7" s="2333"/>
      <c r="UKW7" s="2334"/>
      <c r="UKX7" s="2335"/>
      <c r="UKY7" s="2333"/>
      <c r="UKZ7" s="2334"/>
      <c r="ULA7" s="2335"/>
      <c r="ULB7" s="2333"/>
      <c r="ULC7" s="2334"/>
      <c r="ULD7" s="2335"/>
      <c r="ULE7" s="2333"/>
      <c r="ULF7" s="2334"/>
      <c r="ULG7" s="2335"/>
      <c r="ULH7" s="2333"/>
      <c r="ULI7" s="2334"/>
      <c r="ULJ7" s="2335"/>
      <c r="ULK7" s="2333"/>
      <c r="ULL7" s="2334"/>
      <c r="ULM7" s="2335"/>
      <c r="ULN7" s="2333"/>
      <c r="ULO7" s="2334"/>
      <c r="ULP7" s="2335"/>
      <c r="ULQ7" s="2333"/>
      <c r="ULR7" s="2334"/>
      <c r="ULS7" s="2335"/>
      <c r="ULT7" s="2333"/>
      <c r="ULU7" s="2334"/>
      <c r="ULV7" s="2335"/>
      <c r="ULW7" s="2333"/>
      <c r="ULX7" s="2334"/>
      <c r="ULY7" s="2335"/>
      <c r="ULZ7" s="2333"/>
      <c r="UMA7" s="2334"/>
      <c r="UMB7" s="2335"/>
      <c r="UMC7" s="2333"/>
      <c r="UMD7" s="2334"/>
      <c r="UME7" s="2335"/>
      <c r="UMF7" s="2333"/>
      <c r="UMG7" s="2334"/>
      <c r="UMH7" s="2335"/>
      <c r="UMI7" s="2333"/>
      <c r="UMJ7" s="2334"/>
      <c r="UMK7" s="2335"/>
      <c r="UML7" s="2333"/>
      <c r="UMM7" s="2334"/>
      <c r="UMN7" s="2335"/>
      <c r="UMO7" s="2333"/>
      <c r="UMP7" s="2334"/>
      <c r="UMQ7" s="2335"/>
      <c r="UMR7" s="2333"/>
      <c r="UMS7" s="2334"/>
      <c r="UMT7" s="2335"/>
      <c r="UMU7" s="2333"/>
      <c r="UMV7" s="2334"/>
      <c r="UMW7" s="2335"/>
      <c r="UMX7" s="2333"/>
      <c r="UMY7" s="2334"/>
      <c r="UMZ7" s="2335"/>
      <c r="UNA7" s="2333"/>
      <c r="UNB7" s="2334"/>
      <c r="UNC7" s="2335"/>
      <c r="UND7" s="2333"/>
      <c r="UNE7" s="2334"/>
      <c r="UNF7" s="2335"/>
      <c r="UNG7" s="2333"/>
      <c r="UNH7" s="2334"/>
      <c r="UNI7" s="2335"/>
      <c r="UNJ7" s="2333"/>
      <c r="UNK7" s="2334"/>
      <c r="UNL7" s="2335"/>
      <c r="UNM7" s="2333"/>
      <c r="UNN7" s="2334"/>
      <c r="UNO7" s="2335"/>
      <c r="UNP7" s="2333"/>
      <c r="UNQ7" s="2334"/>
      <c r="UNR7" s="2335"/>
      <c r="UNS7" s="2333"/>
      <c r="UNT7" s="2334"/>
      <c r="UNU7" s="2335"/>
      <c r="UNV7" s="2333"/>
      <c r="UNW7" s="2334"/>
      <c r="UNX7" s="2335"/>
      <c r="UNY7" s="2333"/>
      <c r="UNZ7" s="2334"/>
      <c r="UOA7" s="2335"/>
      <c r="UOB7" s="2333"/>
      <c r="UOC7" s="2334"/>
      <c r="UOD7" s="2335"/>
      <c r="UOE7" s="2333"/>
      <c r="UOF7" s="2334"/>
      <c r="UOG7" s="2335"/>
      <c r="UOH7" s="2333"/>
      <c r="UOI7" s="2334"/>
      <c r="UOJ7" s="2335"/>
      <c r="UOK7" s="2333"/>
      <c r="UOL7" s="2334"/>
      <c r="UOM7" s="2335"/>
      <c r="UON7" s="2333"/>
      <c r="UOO7" s="2334"/>
      <c r="UOP7" s="2335"/>
      <c r="UOQ7" s="2333"/>
      <c r="UOR7" s="2334"/>
      <c r="UOS7" s="2335"/>
      <c r="UOT7" s="2333"/>
      <c r="UOU7" s="2334"/>
      <c r="UOV7" s="2335"/>
      <c r="UOW7" s="2333"/>
      <c r="UOX7" s="2334"/>
      <c r="UOY7" s="2335"/>
      <c r="UOZ7" s="2333"/>
      <c r="UPA7" s="2334"/>
      <c r="UPB7" s="2335"/>
      <c r="UPC7" s="2333"/>
      <c r="UPD7" s="2334"/>
      <c r="UPE7" s="2335"/>
      <c r="UPF7" s="2333"/>
      <c r="UPG7" s="2334"/>
      <c r="UPH7" s="2335"/>
      <c r="UPI7" s="2333"/>
      <c r="UPJ7" s="2334"/>
      <c r="UPK7" s="2335"/>
      <c r="UPL7" s="2333"/>
      <c r="UPM7" s="2334"/>
      <c r="UPN7" s="2335"/>
      <c r="UPO7" s="2333"/>
      <c r="UPP7" s="2334"/>
      <c r="UPQ7" s="2335"/>
      <c r="UPR7" s="2333"/>
      <c r="UPS7" s="2334"/>
      <c r="UPT7" s="2335"/>
      <c r="UPU7" s="2333"/>
      <c r="UPV7" s="2334"/>
      <c r="UPW7" s="2335"/>
      <c r="UPX7" s="2333"/>
      <c r="UPY7" s="2334"/>
      <c r="UPZ7" s="2335"/>
      <c r="UQA7" s="2333"/>
      <c r="UQB7" s="2334"/>
      <c r="UQC7" s="2335"/>
      <c r="UQD7" s="2333"/>
      <c r="UQE7" s="2334"/>
      <c r="UQF7" s="2335"/>
      <c r="UQG7" s="2333"/>
      <c r="UQH7" s="2334"/>
      <c r="UQI7" s="2335"/>
      <c r="UQJ7" s="2333"/>
      <c r="UQK7" s="2334"/>
      <c r="UQL7" s="2335"/>
      <c r="UQM7" s="2333"/>
      <c r="UQN7" s="2334"/>
      <c r="UQO7" s="2335"/>
      <c r="UQP7" s="2333"/>
      <c r="UQQ7" s="2334"/>
      <c r="UQR7" s="2335"/>
      <c r="UQS7" s="2333"/>
      <c r="UQT7" s="2334"/>
      <c r="UQU7" s="2335"/>
      <c r="UQV7" s="2333"/>
      <c r="UQW7" s="2334"/>
      <c r="UQX7" s="2335"/>
      <c r="UQY7" s="2333"/>
      <c r="UQZ7" s="2334"/>
      <c r="URA7" s="2335"/>
      <c r="URB7" s="2333"/>
      <c r="URC7" s="2334"/>
      <c r="URD7" s="2335"/>
      <c r="URE7" s="2333"/>
      <c r="URF7" s="2334"/>
      <c r="URG7" s="2335"/>
      <c r="URH7" s="2333"/>
      <c r="URI7" s="2334"/>
      <c r="URJ7" s="2335"/>
      <c r="URK7" s="2333"/>
      <c r="URL7" s="2334"/>
      <c r="URM7" s="2335"/>
      <c r="URN7" s="2333"/>
      <c r="URO7" s="2334"/>
      <c r="URP7" s="2335"/>
      <c r="URQ7" s="2333"/>
      <c r="URR7" s="2334"/>
      <c r="URS7" s="2335"/>
      <c r="URT7" s="2333"/>
      <c r="URU7" s="2334"/>
      <c r="URV7" s="2335"/>
      <c r="URW7" s="2333"/>
      <c r="URX7" s="2334"/>
      <c r="URY7" s="2335"/>
      <c r="URZ7" s="2333"/>
      <c r="USA7" s="2334"/>
      <c r="USB7" s="2335"/>
      <c r="USC7" s="2333"/>
      <c r="USD7" s="2334"/>
      <c r="USE7" s="2335"/>
      <c r="USF7" s="2333"/>
      <c r="USG7" s="2334"/>
      <c r="USH7" s="2335"/>
      <c r="USI7" s="2333"/>
      <c r="USJ7" s="2334"/>
      <c r="USK7" s="2335"/>
      <c r="USL7" s="2333"/>
      <c r="USM7" s="2334"/>
      <c r="USN7" s="2335"/>
      <c r="USO7" s="2333"/>
      <c r="USP7" s="2334"/>
      <c r="USQ7" s="2335"/>
      <c r="USR7" s="2333"/>
      <c r="USS7" s="2334"/>
      <c r="UST7" s="2335"/>
      <c r="USU7" s="2333"/>
      <c r="USV7" s="2334"/>
      <c r="USW7" s="2335"/>
      <c r="USX7" s="2333"/>
      <c r="USY7" s="2334"/>
      <c r="USZ7" s="2335"/>
      <c r="UTA7" s="2333"/>
      <c r="UTB7" s="2334"/>
      <c r="UTC7" s="2335"/>
      <c r="UTD7" s="2333"/>
      <c r="UTE7" s="2334"/>
      <c r="UTF7" s="2335"/>
      <c r="UTG7" s="2333"/>
      <c r="UTH7" s="2334"/>
      <c r="UTI7" s="2335"/>
      <c r="UTJ7" s="2333"/>
      <c r="UTK7" s="2334"/>
      <c r="UTL7" s="2335"/>
      <c r="UTM7" s="2333"/>
      <c r="UTN7" s="2334"/>
      <c r="UTO7" s="2335"/>
      <c r="UTP7" s="2333"/>
      <c r="UTQ7" s="2334"/>
      <c r="UTR7" s="2335"/>
      <c r="UTS7" s="2333"/>
      <c r="UTT7" s="2334"/>
      <c r="UTU7" s="2335"/>
      <c r="UTV7" s="2333"/>
      <c r="UTW7" s="2334"/>
      <c r="UTX7" s="2335"/>
      <c r="UTY7" s="2333"/>
      <c r="UTZ7" s="2334"/>
      <c r="UUA7" s="2335"/>
      <c r="UUB7" s="2333"/>
      <c r="UUC7" s="2334"/>
      <c r="UUD7" s="2335"/>
      <c r="UUE7" s="2333"/>
      <c r="UUF7" s="2334"/>
      <c r="UUG7" s="2335"/>
      <c r="UUH7" s="2333"/>
      <c r="UUI7" s="2334"/>
      <c r="UUJ7" s="2335"/>
      <c r="UUK7" s="2333"/>
      <c r="UUL7" s="2334"/>
      <c r="UUM7" s="2335"/>
      <c r="UUN7" s="2333"/>
      <c r="UUO7" s="2334"/>
      <c r="UUP7" s="2335"/>
      <c r="UUQ7" s="2333"/>
      <c r="UUR7" s="2334"/>
      <c r="UUS7" s="2335"/>
      <c r="UUT7" s="2333"/>
      <c r="UUU7" s="2334"/>
      <c r="UUV7" s="2335"/>
      <c r="UUW7" s="2333"/>
      <c r="UUX7" s="2334"/>
      <c r="UUY7" s="2335"/>
      <c r="UUZ7" s="2333"/>
      <c r="UVA7" s="2334"/>
      <c r="UVB7" s="2335"/>
      <c r="UVC7" s="2333"/>
      <c r="UVD7" s="2334"/>
      <c r="UVE7" s="2335"/>
      <c r="UVF7" s="2333"/>
      <c r="UVG7" s="2334"/>
      <c r="UVH7" s="2335"/>
      <c r="UVI7" s="2333"/>
      <c r="UVJ7" s="2334"/>
      <c r="UVK7" s="2335"/>
      <c r="UVL7" s="2333"/>
      <c r="UVM7" s="2334"/>
      <c r="UVN7" s="2335"/>
      <c r="UVO7" s="2333"/>
      <c r="UVP7" s="2334"/>
      <c r="UVQ7" s="2335"/>
      <c r="UVR7" s="2333"/>
      <c r="UVS7" s="2334"/>
      <c r="UVT7" s="2335"/>
      <c r="UVU7" s="2333"/>
      <c r="UVV7" s="2334"/>
      <c r="UVW7" s="2335"/>
      <c r="UVX7" s="2333"/>
      <c r="UVY7" s="2334"/>
      <c r="UVZ7" s="2335"/>
      <c r="UWA7" s="2333"/>
      <c r="UWB7" s="2334"/>
      <c r="UWC7" s="2335"/>
      <c r="UWD7" s="2333"/>
      <c r="UWE7" s="2334"/>
      <c r="UWF7" s="2335"/>
      <c r="UWG7" s="2333"/>
      <c r="UWH7" s="2334"/>
      <c r="UWI7" s="2335"/>
      <c r="UWJ7" s="2333"/>
      <c r="UWK7" s="2334"/>
      <c r="UWL7" s="2335"/>
      <c r="UWM7" s="2333"/>
      <c r="UWN7" s="2334"/>
      <c r="UWO7" s="2335"/>
      <c r="UWP7" s="2333"/>
      <c r="UWQ7" s="2334"/>
      <c r="UWR7" s="2335"/>
      <c r="UWS7" s="2333"/>
      <c r="UWT7" s="2334"/>
      <c r="UWU7" s="2335"/>
      <c r="UWV7" s="2333"/>
      <c r="UWW7" s="2334"/>
      <c r="UWX7" s="2335"/>
      <c r="UWY7" s="2333"/>
      <c r="UWZ7" s="2334"/>
      <c r="UXA7" s="2335"/>
      <c r="UXB7" s="2333"/>
      <c r="UXC7" s="2334"/>
      <c r="UXD7" s="2335"/>
      <c r="UXE7" s="2333"/>
      <c r="UXF7" s="2334"/>
      <c r="UXG7" s="2335"/>
      <c r="UXH7" s="2333"/>
      <c r="UXI7" s="2334"/>
      <c r="UXJ7" s="2335"/>
      <c r="UXK7" s="2333"/>
      <c r="UXL7" s="2334"/>
      <c r="UXM7" s="2335"/>
      <c r="UXN7" s="2333"/>
      <c r="UXO7" s="2334"/>
      <c r="UXP7" s="2335"/>
      <c r="UXQ7" s="2333"/>
      <c r="UXR7" s="2334"/>
      <c r="UXS7" s="2335"/>
      <c r="UXT7" s="2333"/>
      <c r="UXU7" s="2334"/>
      <c r="UXV7" s="2335"/>
      <c r="UXW7" s="2333"/>
      <c r="UXX7" s="2334"/>
      <c r="UXY7" s="2335"/>
      <c r="UXZ7" s="2333"/>
      <c r="UYA7" s="2334"/>
      <c r="UYB7" s="2335"/>
      <c r="UYC7" s="2333"/>
      <c r="UYD7" s="2334"/>
      <c r="UYE7" s="2335"/>
      <c r="UYF7" s="2333"/>
      <c r="UYG7" s="2334"/>
      <c r="UYH7" s="2335"/>
      <c r="UYI7" s="2333"/>
      <c r="UYJ7" s="2334"/>
      <c r="UYK7" s="2335"/>
      <c r="UYL7" s="2333"/>
      <c r="UYM7" s="2334"/>
      <c r="UYN7" s="2335"/>
      <c r="UYO7" s="2333"/>
      <c r="UYP7" s="2334"/>
      <c r="UYQ7" s="2335"/>
      <c r="UYR7" s="2333"/>
      <c r="UYS7" s="2334"/>
      <c r="UYT7" s="2335"/>
      <c r="UYU7" s="2333"/>
      <c r="UYV7" s="2334"/>
      <c r="UYW7" s="2335"/>
      <c r="UYX7" s="2333"/>
      <c r="UYY7" s="2334"/>
      <c r="UYZ7" s="2335"/>
      <c r="UZA7" s="2333"/>
      <c r="UZB7" s="2334"/>
      <c r="UZC7" s="2335"/>
      <c r="UZD7" s="2333"/>
      <c r="UZE7" s="2334"/>
      <c r="UZF7" s="2335"/>
      <c r="UZG7" s="2333"/>
      <c r="UZH7" s="2334"/>
      <c r="UZI7" s="2335"/>
      <c r="UZJ7" s="2333"/>
      <c r="UZK7" s="2334"/>
      <c r="UZL7" s="2335"/>
      <c r="UZM7" s="2333"/>
      <c r="UZN7" s="2334"/>
      <c r="UZO7" s="2335"/>
      <c r="UZP7" s="2333"/>
      <c r="UZQ7" s="2334"/>
      <c r="UZR7" s="2335"/>
      <c r="UZS7" s="2333"/>
      <c r="UZT7" s="2334"/>
      <c r="UZU7" s="2335"/>
      <c r="UZV7" s="2333"/>
      <c r="UZW7" s="2334"/>
      <c r="UZX7" s="2335"/>
      <c r="UZY7" s="2333"/>
      <c r="UZZ7" s="2334"/>
      <c r="VAA7" s="2335"/>
      <c r="VAB7" s="2333"/>
      <c r="VAC7" s="2334"/>
      <c r="VAD7" s="2335"/>
      <c r="VAE7" s="2333"/>
      <c r="VAF7" s="2334"/>
      <c r="VAG7" s="2335"/>
      <c r="VAH7" s="2333"/>
      <c r="VAI7" s="2334"/>
      <c r="VAJ7" s="2335"/>
      <c r="VAK7" s="2333"/>
      <c r="VAL7" s="2334"/>
      <c r="VAM7" s="2335"/>
      <c r="VAN7" s="2333"/>
      <c r="VAO7" s="2334"/>
      <c r="VAP7" s="2335"/>
      <c r="VAQ7" s="2333"/>
      <c r="VAR7" s="2334"/>
      <c r="VAS7" s="2335"/>
      <c r="VAT7" s="2333"/>
      <c r="VAU7" s="2334"/>
      <c r="VAV7" s="2335"/>
      <c r="VAW7" s="2333"/>
      <c r="VAX7" s="2334"/>
      <c r="VAY7" s="2335"/>
      <c r="VAZ7" s="2333"/>
      <c r="VBA7" s="2334"/>
      <c r="VBB7" s="2335"/>
      <c r="VBC7" s="2333"/>
      <c r="VBD7" s="2334"/>
      <c r="VBE7" s="2335"/>
      <c r="VBF7" s="2333"/>
      <c r="VBG7" s="2334"/>
      <c r="VBH7" s="2335"/>
      <c r="VBI7" s="2333"/>
      <c r="VBJ7" s="2334"/>
      <c r="VBK7" s="2335"/>
      <c r="VBL7" s="2333"/>
      <c r="VBM7" s="2334"/>
      <c r="VBN7" s="2335"/>
      <c r="VBO7" s="2333"/>
      <c r="VBP7" s="2334"/>
      <c r="VBQ7" s="2335"/>
      <c r="VBR7" s="2333"/>
      <c r="VBS7" s="2334"/>
      <c r="VBT7" s="2335"/>
      <c r="VBU7" s="2333"/>
      <c r="VBV7" s="2334"/>
      <c r="VBW7" s="2335"/>
      <c r="VBX7" s="2333"/>
      <c r="VBY7" s="2334"/>
      <c r="VBZ7" s="2335"/>
      <c r="VCA7" s="2333"/>
      <c r="VCB7" s="2334"/>
      <c r="VCC7" s="2335"/>
      <c r="VCD7" s="2333"/>
      <c r="VCE7" s="2334"/>
      <c r="VCF7" s="2335"/>
      <c r="VCG7" s="2333"/>
      <c r="VCH7" s="2334"/>
      <c r="VCI7" s="2335"/>
      <c r="VCJ7" s="2333"/>
      <c r="VCK7" s="2334"/>
      <c r="VCL7" s="2335"/>
      <c r="VCM7" s="2333"/>
      <c r="VCN7" s="2334"/>
      <c r="VCO7" s="2335"/>
      <c r="VCP7" s="2333"/>
      <c r="VCQ7" s="2334"/>
      <c r="VCR7" s="2335"/>
      <c r="VCS7" s="2333"/>
      <c r="VCT7" s="2334"/>
      <c r="VCU7" s="2335"/>
      <c r="VCV7" s="2333"/>
      <c r="VCW7" s="2334"/>
      <c r="VCX7" s="2335"/>
      <c r="VCY7" s="2333"/>
      <c r="VCZ7" s="2334"/>
      <c r="VDA7" s="2335"/>
      <c r="VDB7" s="2333"/>
      <c r="VDC7" s="2334"/>
      <c r="VDD7" s="2335"/>
      <c r="VDE7" s="2333"/>
      <c r="VDF7" s="2334"/>
      <c r="VDG7" s="2335"/>
      <c r="VDH7" s="2333"/>
      <c r="VDI7" s="2334"/>
      <c r="VDJ7" s="2335"/>
      <c r="VDK7" s="2333"/>
      <c r="VDL7" s="2334"/>
      <c r="VDM7" s="2335"/>
      <c r="VDN7" s="2333"/>
      <c r="VDO7" s="2334"/>
      <c r="VDP7" s="2335"/>
      <c r="VDQ7" s="2333"/>
      <c r="VDR7" s="2334"/>
      <c r="VDS7" s="2335"/>
      <c r="VDT7" s="2333"/>
      <c r="VDU7" s="2334"/>
      <c r="VDV7" s="2335"/>
      <c r="VDW7" s="2333"/>
      <c r="VDX7" s="2334"/>
      <c r="VDY7" s="2335"/>
      <c r="VDZ7" s="2333"/>
      <c r="VEA7" s="2334"/>
      <c r="VEB7" s="2335"/>
      <c r="VEC7" s="2333"/>
      <c r="VED7" s="2334"/>
      <c r="VEE7" s="2335"/>
      <c r="VEF7" s="2333"/>
      <c r="VEG7" s="2334"/>
      <c r="VEH7" s="2335"/>
      <c r="VEI7" s="2333"/>
      <c r="VEJ7" s="2334"/>
      <c r="VEK7" s="2335"/>
      <c r="VEL7" s="2333"/>
      <c r="VEM7" s="2334"/>
      <c r="VEN7" s="2335"/>
      <c r="VEO7" s="2333"/>
      <c r="VEP7" s="2334"/>
      <c r="VEQ7" s="2335"/>
      <c r="VER7" s="2333"/>
      <c r="VES7" s="2334"/>
      <c r="VET7" s="2335"/>
      <c r="VEU7" s="2333"/>
      <c r="VEV7" s="2334"/>
      <c r="VEW7" s="2335"/>
      <c r="VEX7" s="2333"/>
      <c r="VEY7" s="2334"/>
      <c r="VEZ7" s="2335"/>
      <c r="VFA7" s="2333"/>
      <c r="VFB7" s="2334"/>
      <c r="VFC7" s="2335"/>
      <c r="VFD7" s="2333"/>
      <c r="VFE7" s="2334"/>
      <c r="VFF7" s="2335"/>
      <c r="VFG7" s="2333"/>
      <c r="VFH7" s="2334"/>
      <c r="VFI7" s="2335"/>
      <c r="VFJ7" s="2333"/>
      <c r="VFK7" s="2334"/>
      <c r="VFL7" s="2335"/>
      <c r="VFM7" s="2333"/>
      <c r="VFN7" s="2334"/>
      <c r="VFO7" s="2335"/>
      <c r="VFP7" s="2333"/>
      <c r="VFQ7" s="2334"/>
      <c r="VFR7" s="2335"/>
      <c r="VFS7" s="2333"/>
      <c r="VFT7" s="2334"/>
      <c r="VFU7" s="2335"/>
      <c r="VFV7" s="2333"/>
      <c r="VFW7" s="2334"/>
      <c r="VFX7" s="2335"/>
      <c r="VFY7" s="2333"/>
      <c r="VFZ7" s="2334"/>
      <c r="VGA7" s="2335"/>
      <c r="VGB7" s="2333"/>
      <c r="VGC7" s="2334"/>
      <c r="VGD7" s="2335"/>
      <c r="VGE7" s="2333"/>
      <c r="VGF7" s="2334"/>
      <c r="VGG7" s="2335"/>
      <c r="VGH7" s="2333"/>
      <c r="VGI7" s="2334"/>
      <c r="VGJ7" s="2335"/>
      <c r="VGK7" s="2333"/>
      <c r="VGL7" s="2334"/>
      <c r="VGM7" s="2335"/>
      <c r="VGN7" s="2333"/>
      <c r="VGO7" s="2334"/>
      <c r="VGP7" s="2335"/>
      <c r="VGQ7" s="2333"/>
      <c r="VGR7" s="2334"/>
      <c r="VGS7" s="2335"/>
      <c r="VGT7" s="2333"/>
      <c r="VGU7" s="2334"/>
      <c r="VGV7" s="2335"/>
      <c r="VGW7" s="2333"/>
      <c r="VGX7" s="2334"/>
      <c r="VGY7" s="2335"/>
      <c r="VGZ7" s="2333"/>
      <c r="VHA7" s="2334"/>
      <c r="VHB7" s="2335"/>
      <c r="VHC7" s="2333"/>
      <c r="VHD7" s="2334"/>
      <c r="VHE7" s="2335"/>
      <c r="VHF7" s="2333"/>
      <c r="VHG7" s="2334"/>
      <c r="VHH7" s="2335"/>
      <c r="VHI7" s="2333"/>
      <c r="VHJ7" s="2334"/>
      <c r="VHK7" s="2335"/>
      <c r="VHL7" s="2333"/>
      <c r="VHM7" s="2334"/>
      <c r="VHN7" s="2335"/>
      <c r="VHO7" s="2333"/>
      <c r="VHP7" s="2334"/>
      <c r="VHQ7" s="2335"/>
      <c r="VHR7" s="2333"/>
      <c r="VHS7" s="2334"/>
      <c r="VHT7" s="2335"/>
      <c r="VHU7" s="2333"/>
      <c r="VHV7" s="2334"/>
      <c r="VHW7" s="2335"/>
      <c r="VHX7" s="2333"/>
      <c r="VHY7" s="2334"/>
      <c r="VHZ7" s="2335"/>
      <c r="VIA7" s="2333"/>
      <c r="VIB7" s="2334"/>
      <c r="VIC7" s="2335"/>
      <c r="VID7" s="2333"/>
      <c r="VIE7" s="2334"/>
      <c r="VIF7" s="2335"/>
      <c r="VIG7" s="2333"/>
      <c r="VIH7" s="2334"/>
      <c r="VII7" s="2335"/>
      <c r="VIJ7" s="2333"/>
      <c r="VIK7" s="2334"/>
      <c r="VIL7" s="2335"/>
      <c r="VIM7" s="2333"/>
      <c r="VIN7" s="2334"/>
      <c r="VIO7" s="2335"/>
      <c r="VIP7" s="2333"/>
      <c r="VIQ7" s="2334"/>
      <c r="VIR7" s="2335"/>
      <c r="VIS7" s="2333"/>
      <c r="VIT7" s="2334"/>
      <c r="VIU7" s="2335"/>
      <c r="VIV7" s="2333"/>
      <c r="VIW7" s="2334"/>
      <c r="VIX7" s="2335"/>
      <c r="VIY7" s="2333"/>
      <c r="VIZ7" s="2334"/>
      <c r="VJA7" s="2335"/>
      <c r="VJB7" s="2333"/>
      <c r="VJC7" s="2334"/>
      <c r="VJD7" s="2335"/>
      <c r="VJE7" s="2333"/>
      <c r="VJF7" s="2334"/>
      <c r="VJG7" s="2335"/>
      <c r="VJH7" s="2333"/>
      <c r="VJI7" s="2334"/>
      <c r="VJJ7" s="2335"/>
      <c r="VJK7" s="2333"/>
      <c r="VJL7" s="2334"/>
      <c r="VJM7" s="2335"/>
      <c r="VJN7" s="2333"/>
      <c r="VJO7" s="2334"/>
      <c r="VJP7" s="2335"/>
      <c r="VJQ7" s="2333"/>
      <c r="VJR7" s="2334"/>
      <c r="VJS7" s="2335"/>
      <c r="VJT7" s="2333"/>
      <c r="VJU7" s="2334"/>
      <c r="VJV7" s="2335"/>
      <c r="VJW7" s="2333"/>
      <c r="VJX7" s="2334"/>
      <c r="VJY7" s="2335"/>
      <c r="VJZ7" s="2333"/>
      <c r="VKA7" s="2334"/>
      <c r="VKB7" s="2335"/>
      <c r="VKC7" s="2333"/>
      <c r="VKD7" s="2334"/>
      <c r="VKE7" s="2335"/>
      <c r="VKF7" s="2333"/>
      <c r="VKG7" s="2334"/>
      <c r="VKH7" s="2335"/>
      <c r="VKI7" s="2333"/>
      <c r="VKJ7" s="2334"/>
      <c r="VKK7" s="2335"/>
      <c r="VKL7" s="2333"/>
      <c r="VKM7" s="2334"/>
      <c r="VKN7" s="2335"/>
      <c r="VKO7" s="2333"/>
      <c r="VKP7" s="2334"/>
      <c r="VKQ7" s="2335"/>
      <c r="VKR7" s="2333"/>
      <c r="VKS7" s="2334"/>
      <c r="VKT7" s="2335"/>
      <c r="VKU7" s="2333"/>
      <c r="VKV7" s="2334"/>
      <c r="VKW7" s="2335"/>
      <c r="VKX7" s="2333"/>
      <c r="VKY7" s="2334"/>
      <c r="VKZ7" s="2335"/>
      <c r="VLA7" s="2333"/>
      <c r="VLB7" s="2334"/>
      <c r="VLC7" s="2335"/>
      <c r="VLD7" s="2333"/>
      <c r="VLE7" s="2334"/>
      <c r="VLF7" s="2335"/>
      <c r="VLG7" s="2333"/>
      <c r="VLH7" s="2334"/>
      <c r="VLI7" s="2335"/>
      <c r="VLJ7" s="2333"/>
      <c r="VLK7" s="2334"/>
      <c r="VLL7" s="2335"/>
      <c r="VLM7" s="2333"/>
      <c r="VLN7" s="2334"/>
      <c r="VLO7" s="2335"/>
      <c r="VLP7" s="2333"/>
      <c r="VLQ7" s="2334"/>
      <c r="VLR7" s="2335"/>
      <c r="VLS7" s="2333"/>
      <c r="VLT7" s="2334"/>
      <c r="VLU7" s="2335"/>
      <c r="VLV7" s="2333"/>
      <c r="VLW7" s="2334"/>
      <c r="VLX7" s="2335"/>
      <c r="VLY7" s="2333"/>
      <c r="VLZ7" s="2334"/>
      <c r="VMA7" s="2335"/>
      <c r="VMB7" s="2333"/>
      <c r="VMC7" s="2334"/>
      <c r="VMD7" s="2335"/>
      <c r="VME7" s="2333"/>
      <c r="VMF7" s="2334"/>
      <c r="VMG7" s="2335"/>
      <c r="VMH7" s="2333"/>
      <c r="VMI7" s="2334"/>
      <c r="VMJ7" s="2335"/>
      <c r="VMK7" s="2333"/>
      <c r="VML7" s="2334"/>
      <c r="VMM7" s="2335"/>
      <c r="VMN7" s="2333"/>
      <c r="VMO7" s="2334"/>
      <c r="VMP7" s="2335"/>
      <c r="VMQ7" s="2333"/>
      <c r="VMR7" s="2334"/>
      <c r="VMS7" s="2335"/>
      <c r="VMT7" s="2333"/>
      <c r="VMU7" s="2334"/>
      <c r="VMV7" s="2335"/>
      <c r="VMW7" s="2333"/>
      <c r="VMX7" s="2334"/>
      <c r="VMY7" s="2335"/>
      <c r="VMZ7" s="2333"/>
      <c r="VNA7" s="2334"/>
      <c r="VNB7" s="2335"/>
      <c r="VNC7" s="2333"/>
      <c r="VND7" s="2334"/>
      <c r="VNE7" s="2335"/>
      <c r="VNF7" s="2333"/>
      <c r="VNG7" s="2334"/>
      <c r="VNH7" s="2335"/>
      <c r="VNI7" s="2333"/>
      <c r="VNJ7" s="2334"/>
      <c r="VNK7" s="2335"/>
      <c r="VNL7" s="2333"/>
      <c r="VNM7" s="2334"/>
      <c r="VNN7" s="2335"/>
      <c r="VNO7" s="2333"/>
      <c r="VNP7" s="2334"/>
      <c r="VNQ7" s="2335"/>
      <c r="VNR7" s="2333"/>
      <c r="VNS7" s="2334"/>
      <c r="VNT7" s="2335"/>
      <c r="VNU7" s="2333"/>
      <c r="VNV7" s="2334"/>
      <c r="VNW7" s="2335"/>
      <c r="VNX7" s="2333"/>
      <c r="VNY7" s="2334"/>
      <c r="VNZ7" s="2335"/>
      <c r="VOA7" s="2333"/>
      <c r="VOB7" s="2334"/>
      <c r="VOC7" s="2335"/>
      <c r="VOD7" s="2333"/>
      <c r="VOE7" s="2334"/>
      <c r="VOF7" s="2335"/>
      <c r="VOG7" s="2333"/>
      <c r="VOH7" s="2334"/>
      <c r="VOI7" s="2335"/>
      <c r="VOJ7" s="2333"/>
      <c r="VOK7" s="2334"/>
      <c r="VOL7" s="2335"/>
      <c r="VOM7" s="2333"/>
      <c r="VON7" s="2334"/>
      <c r="VOO7" s="2335"/>
      <c r="VOP7" s="2333"/>
      <c r="VOQ7" s="2334"/>
      <c r="VOR7" s="2335"/>
      <c r="VOS7" s="2333"/>
      <c r="VOT7" s="2334"/>
      <c r="VOU7" s="2335"/>
      <c r="VOV7" s="2333"/>
      <c r="VOW7" s="2334"/>
      <c r="VOX7" s="2335"/>
      <c r="VOY7" s="2333"/>
      <c r="VOZ7" s="2334"/>
      <c r="VPA7" s="2335"/>
      <c r="VPB7" s="2333"/>
      <c r="VPC7" s="2334"/>
      <c r="VPD7" s="2335"/>
      <c r="VPE7" s="2333"/>
      <c r="VPF7" s="2334"/>
      <c r="VPG7" s="2335"/>
      <c r="VPH7" s="2333"/>
      <c r="VPI7" s="2334"/>
      <c r="VPJ7" s="2335"/>
      <c r="VPK7" s="2333"/>
      <c r="VPL7" s="2334"/>
      <c r="VPM7" s="2335"/>
      <c r="VPN7" s="2333"/>
      <c r="VPO7" s="2334"/>
      <c r="VPP7" s="2335"/>
      <c r="VPQ7" s="2333"/>
      <c r="VPR7" s="2334"/>
      <c r="VPS7" s="2335"/>
      <c r="VPT7" s="2333"/>
      <c r="VPU7" s="2334"/>
      <c r="VPV7" s="2335"/>
      <c r="VPW7" s="2333"/>
      <c r="VPX7" s="2334"/>
      <c r="VPY7" s="2335"/>
      <c r="VPZ7" s="2333"/>
      <c r="VQA7" s="2334"/>
      <c r="VQB7" s="2335"/>
      <c r="VQC7" s="2333"/>
      <c r="VQD7" s="2334"/>
      <c r="VQE7" s="2335"/>
      <c r="VQF7" s="2333"/>
      <c r="VQG7" s="2334"/>
      <c r="VQH7" s="2335"/>
      <c r="VQI7" s="2333"/>
      <c r="VQJ7" s="2334"/>
      <c r="VQK7" s="2335"/>
      <c r="VQL7" s="2333"/>
      <c r="VQM7" s="2334"/>
      <c r="VQN7" s="2335"/>
      <c r="VQO7" s="2333"/>
      <c r="VQP7" s="2334"/>
      <c r="VQQ7" s="2335"/>
      <c r="VQR7" s="2333"/>
      <c r="VQS7" s="2334"/>
      <c r="VQT7" s="2335"/>
      <c r="VQU7" s="2333"/>
      <c r="VQV7" s="2334"/>
      <c r="VQW7" s="2335"/>
      <c r="VQX7" s="2333"/>
      <c r="VQY7" s="2334"/>
      <c r="VQZ7" s="2335"/>
      <c r="VRA7" s="2333"/>
      <c r="VRB7" s="2334"/>
      <c r="VRC7" s="2335"/>
      <c r="VRD7" s="2333"/>
      <c r="VRE7" s="2334"/>
      <c r="VRF7" s="2335"/>
      <c r="VRG7" s="2333"/>
      <c r="VRH7" s="2334"/>
      <c r="VRI7" s="2335"/>
      <c r="VRJ7" s="2333"/>
      <c r="VRK7" s="2334"/>
      <c r="VRL7" s="2335"/>
      <c r="VRM7" s="2333"/>
      <c r="VRN7" s="2334"/>
      <c r="VRO7" s="2335"/>
      <c r="VRP7" s="2333"/>
      <c r="VRQ7" s="2334"/>
      <c r="VRR7" s="2335"/>
      <c r="VRS7" s="2333"/>
      <c r="VRT7" s="2334"/>
      <c r="VRU7" s="2335"/>
      <c r="VRV7" s="2333"/>
      <c r="VRW7" s="2334"/>
      <c r="VRX7" s="2335"/>
      <c r="VRY7" s="2333"/>
      <c r="VRZ7" s="2334"/>
      <c r="VSA7" s="2335"/>
      <c r="VSB7" s="2333"/>
      <c r="VSC7" s="2334"/>
      <c r="VSD7" s="2335"/>
      <c r="VSE7" s="2333"/>
      <c r="VSF7" s="2334"/>
      <c r="VSG7" s="2335"/>
      <c r="VSH7" s="2333"/>
      <c r="VSI7" s="2334"/>
      <c r="VSJ7" s="2335"/>
      <c r="VSK7" s="2333"/>
      <c r="VSL7" s="2334"/>
      <c r="VSM7" s="2335"/>
      <c r="VSN7" s="2333"/>
      <c r="VSO7" s="2334"/>
      <c r="VSP7" s="2335"/>
      <c r="VSQ7" s="2333"/>
      <c r="VSR7" s="2334"/>
      <c r="VSS7" s="2335"/>
      <c r="VST7" s="2333"/>
      <c r="VSU7" s="2334"/>
      <c r="VSV7" s="2335"/>
      <c r="VSW7" s="2333"/>
      <c r="VSX7" s="2334"/>
      <c r="VSY7" s="2335"/>
      <c r="VSZ7" s="2333"/>
      <c r="VTA7" s="2334"/>
      <c r="VTB7" s="2335"/>
      <c r="VTC7" s="2333"/>
      <c r="VTD7" s="2334"/>
      <c r="VTE7" s="2335"/>
      <c r="VTF7" s="2333"/>
      <c r="VTG7" s="2334"/>
      <c r="VTH7" s="2335"/>
      <c r="VTI7" s="2333"/>
      <c r="VTJ7" s="2334"/>
      <c r="VTK7" s="2335"/>
      <c r="VTL7" s="2333"/>
      <c r="VTM7" s="2334"/>
      <c r="VTN7" s="2335"/>
      <c r="VTO7" s="2333"/>
      <c r="VTP7" s="2334"/>
      <c r="VTQ7" s="2335"/>
      <c r="VTR7" s="2333"/>
      <c r="VTS7" s="2334"/>
      <c r="VTT7" s="2335"/>
      <c r="VTU7" s="2333"/>
      <c r="VTV7" s="2334"/>
      <c r="VTW7" s="2335"/>
      <c r="VTX7" s="2333"/>
      <c r="VTY7" s="2334"/>
      <c r="VTZ7" s="2335"/>
      <c r="VUA7" s="2333"/>
      <c r="VUB7" s="2334"/>
      <c r="VUC7" s="2335"/>
      <c r="VUD7" s="2333"/>
      <c r="VUE7" s="2334"/>
      <c r="VUF7" s="2335"/>
      <c r="VUG7" s="2333"/>
      <c r="VUH7" s="2334"/>
      <c r="VUI7" s="2335"/>
      <c r="VUJ7" s="2333"/>
      <c r="VUK7" s="2334"/>
      <c r="VUL7" s="2335"/>
      <c r="VUM7" s="2333"/>
      <c r="VUN7" s="2334"/>
      <c r="VUO7" s="2335"/>
      <c r="VUP7" s="2333"/>
      <c r="VUQ7" s="2334"/>
      <c r="VUR7" s="2335"/>
      <c r="VUS7" s="2333"/>
      <c r="VUT7" s="2334"/>
      <c r="VUU7" s="2335"/>
      <c r="VUV7" s="2333"/>
      <c r="VUW7" s="2334"/>
      <c r="VUX7" s="2335"/>
      <c r="VUY7" s="2333"/>
      <c r="VUZ7" s="2334"/>
      <c r="VVA7" s="2335"/>
      <c r="VVB7" s="2333"/>
      <c r="VVC7" s="2334"/>
      <c r="VVD7" s="2335"/>
      <c r="VVE7" s="2333"/>
      <c r="VVF7" s="2334"/>
      <c r="VVG7" s="2335"/>
      <c r="VVH7" s="2333"/>
      <c r="VVI7" s="2334"/>
      <c r="VVJ7" s="2335"/>
      <c r="VVK7" s="2333"/>
      <c r="VVL7" s="2334"/>
      <c r="VVM7" s="2335"/>
      <c r="VVN7" s="2333"/>
      <c r="VVO7" s="2334"/>
      <c r="VVP7" s="2335"/>
      <c r="VVQ7" s="2333"/>
      <c r="VVR7" s="2334"/>
      <c r="VVS7" s="2335"/>
      <c r="VVT7" s="2333"/>
      <c r="VVU7" s="2334"/>
      <c r="VVV7" s="2335"/>
      <c r="VVW7" s="2333"/>
      <c r="VVX7" s="2334"/>
      <c r="VVY7" s="2335"/>
      <c r="VVZ7" s="2333"/>
      <c r="VWA7" s="2334"/>
      <c r="VWB7" s="2335"/>
      <c r="VWC7" s="2333"/>
      <c r="VWD7" s="2334"/>
      <c r="VWE7" s="2335"/>
      <c r="VWF7" s="2333"/>
      <c r="VWG7" s="2334"/>
      <c r="VWH7" s="2335"/>
      <c r="VWI7" s="2333"/>
      <c r="VWJ7" s="2334"/>
      <c r="VWK7" s="2335"/>
      <c r="VWL7" s="2333"/>
      <c r="VWM7" s="2334"/>
      <c r="VWN7" s="2335"/>
      <c r="VWO7" s="2333"/>
      <c r="VWP7" s="2334"/>
      <c r="VWQ7" s="2335"/>
      <c r="VWR7" s="2333"/>
      <c r="VWS7" s="2334"/>
      <c r="VWT7" s="2335"/>
      <c r="VWU7" s="2333"/>
      <c r="VWV7" s="2334"/>
      <c r="VWW7" s="2335"/>
      <c r="VWX7" s="2333"/>
      <c r="VWY7" s="2334"/>
      <c r="VWZ7" s="2335"/>
      <c r="VXA7" s="2333"/>
      <c r="VXB7" s="2334"/>
      <c r="VXC7" s="2335"/>
      <c r="VXD7" s="2333"/>
      <c r="VXE7" s="2334"/>
      <c r="VXF7" s="2335"/>
      <c r="VXG7" s="2333"/>
      <c r="VXH7" s="2334"/>
      <c r="VXI7" s="2335"/>
      <c r="VXJ7" s="2333"/>
      <c r="VXK7" s="2334"/>
      <c r="VXL7" s="2335"/>
      <c r="VXM7" s="2333"/>
      <c r="VXN7" s="2334"/>
      <c r="VXO7" s="2335"/>
      <c r="VXP7" s="2333"/>
      <c r="VXQ7" s="2334"/>
      <c r="VXR7" s="2335"/>
      <c r="VXS7" s="2333"/>
      <c r="VXT7" s="2334"/>
      <c r="VXU7" s="2335"/>
      <c r="VXV7" s="2333"/>
      <c r="VXW7" s="2334"/>
      <c r="VXX7" s="2335"/>
      <c r="VXY7" s="2333"/>
      <c r="VXZ7" s="2334"/>
      <c r="VYA7" s="2335"/>
      <c r="VYB7" s="2333"/>
      <c r="VYC7" s="2334"/>
      <c r="VYD7" s="2335"/>
      <c r="VYE7" s="2333"/>
      <c r="VYF7" s="2334"/>
      <c r="VYG7" s="2335"/>
      <c r="VYH7" s="2333"/>
      <c r="VYI7" s="2334"/>
      <c r="VYJ7" s="2335"/>
      <c r="VYK7" s="2333"/>
      <c r="VYL7" s="2334"/>
      <c r="VYM7" s="2335"/>
      <c r="VYN7" s="2333"/>
      <c r="VYO7" s="2334"/>
      <c r="VYP7" s="2335"/>
      <c r="VYQ7" s="2333"/>
      <c r="VYR7" s="2334"/>
      <c r="VYS7" s="2335"/>
      <c r="VYT7" s="2333"/>
      <c r="VYU7" s="2334"/>
      <c r="VYV7" s="2335"/>
      <c r="VYW7" s="2333"/>
      <c r="VYX7" s="2334"/>
      <c r="VYY7" s="2335"/>
      <c r="VYZ7" s="2333"/>
      <c r="VZA7" s="2334"/>
      <c r="VZB7" s="2335"/>
      <c r="VZC7" s="2333"/>
      <c r="VZD7" s="2334"/>
      <c r="VZE7" s="2335"/>
      <c r="VZF7" s="2333"/>
      <c r="VZG7" s="2334"/>
      <c r="VZH7" s="2335"/>
      <c r="VZI7" s="2333"/>
      <c r="VZJ7" s="2334"/>
      <c r="VZK7" s="2335"/>
      <c r="VZL7" s="2333"/>
      <c r="VZM7" s="2334"/>
      <c r="VZN7" s="2335"/>
      <c r="VZO7" s="2333"/>
      <c r="VZP7" s="2334"/>
      <c r="VZQ7" s="2335"/>
      <c r="VZR7" s="2333"/>
      <c r="VZS7" s="2334"/>
      <c r="VZT7" s="2335"/>
      <c r="VZU7" s="2333"/>
      <c r="VZV7" s="2334"/>
      <c r="VZW7" s="2335"/>
      <c r="VZX7" s="2333"/>
      <c r="VZY7" s="2334"/>
      <c r="VZZ7" s="2335"/>
      <c r="WAA7" s="2333"/>
      <c r="WAB7" s="2334"/>
      <c r="WAC7" s="2335"/>
      <c r="WAD7" s="2333"/>
      <c r="WAE7" s="2334"/>
      <c r="WAF7" s="2335"/>
      <c r="WAG7" s="2333"/>
      <c r="WAH7" s="2334"/>
      <c r="WAI7" s="2335"/>
      <c r="WAJ7" s="2333"/>
      <c r="WAK7" s="2334"/>
      <c r="WAL7" s="2335"/>
      <c r="WAM7" s="2333"/>
      <c r="WAN7" s="2334"/>
      <c r="WAO7" s="2335"/>
      <c r="WAP7" s="2333"/>
      <c r="WAQ7" s="2334"/>
      <c r="WAR7" s="2335"/>
      <c r="WAS7" s="2333"/>
      <c r="WAT7" s="2334"/>
      <c r="WAU7" s="2335"/>
      <c r="WAV7" s="2333"/>
      <c r="WAW7" s="2334"/>
      <c r="WAX7" s="2335"/>
      <c r="WAY7" s="2333"/>
      <c r="WAZ7" s="2334"/>
      <c r="WBA7" s="2335"/>
      <c r="WBB7" s="2333"/>
      <c r="WBC7" s="2334"/>
      <c r="WBD7" s="2335"/>
      <c r="WBE7" s="2333"/>
      <c r="WBF7" s="2334"/>
      <c r="WBG7" s="2335"/>
      <c r="WBH7" s="2333"/>
      <c r="WBI7" s="2334"/>
      <c r="WBJ7" s="2335"/>
      <c r="WBK7" s="2333"/>
      <c r="WBL7" s="2334"/>
      <c r="WBM7" s="2335"/>
      <c r="WBN7" s="2333"/>
      <c r="WBO7" s="2334"/>
      <c r="WBP7" s="2335"/>
      <c r="WBQ7" s="2333"/>
      <c r="WBR7" s="2334"/>
      <c r="WBS7" s="2335"/>
      <c r="WBT7" s="2333"/>
      <c r="WBU7" s="2334"/>
      <c r="WBV7" s="2335"/>
      <c r="WBW7" s="2333"/>
      <c r="WBX7" s="2334"/>
      <c r="WBY7" s="2335"/>
      <c r="WBZ7" s="2333"/>
      <c r="WCA7" s="2334"/>
      <c r="WCB7" s="2335"/>
      <c r="WCC7" s="2333"/>
      <c r="WCD7" s="2334"/>
      <c r="WCE7" s="2335"/>
      <c r="WCF7" s="2333"/>
      <c r="WCG7" s="2334"/>
      <c r="WCH7" s="2335"/>
      <c r="WCI7" s="2333"/>
      <c r="WCJ7" s="2334"/>
      <c r="WCK7" s="2335"/>
      <c r="WCL7" s="2333"/>
      <c r="WCM7" s="2334"/>
      <c r="WCN7" s="2335"/>
      <c r="WCO7" s="2333"/>
      <c r="WCP7" s="2334"/>
      <c r="WCQ7" s="2335"/>
      <c r="WCR7" s="2333"/>
      <c r="WCS7" s="2334"/>
      <c r="WCT7" s="2335"/>
      <c r="WCU7" s="2333"/>
      <c r="WCV7" s="2334"/>
      <c r="WCW7" s="2335"/>
      <c r="WCX7" s="2333"/>
      <c r="WCY7" s="2334"/>
      <c r="WCZ7" s="2335"/>
      <c r="WDA7" s="2333"/>
      <c r="WDB7" s="2334"/>
      <c r="WDC7" s="2335"/>
      <c r="WDD7" s="2333"/>
      <c r="WDE7" s="2334"/>
      <c r="WDF7" s="2335"/>
      <c r="WDG7" s="2333"/>
      <c r="WDH7" s="2334"/>
      <c r="WDI7" s="2335"/>
      <c r="WDJ7" s="2333"/>
      <c r="WDK7" s="2334"/>
      <c r="WDL7" s="2335"/>
      <c r="WDM7" s="2333"/>
      <c r="WDN7" s="2334"/>
      <c r="WDO7" s="2335"/>
      <c r="WDP7" s="2333"/>
      <c r="WDQ7" s="2334"/>
      <c r="WDR7" s="2335"/>
      <c r="WDS7" s="2333"/>
      <c r="WDT7" s="2334"/>
      <c r="WDU7" s="2335"/>
      <c r="WDV7" s="2333"/>
      <c r="WDW7" s="2334"/>
      <c r="WDX7" s="2335"/>
      <c r="WDY7" s="2333"/>
      <c r="WDZ7" s="2334"/>
      <c r="WEA7" s="2335"/>
      <c r="WEB7" s="2333"/>
      <c r="WEC7" s="2334"/>
      <c r="WED7" s="2335"/>
      <c r="WEE7" s="2333"/>
      <c r="WEF7" s="2334"/>
      <c r="WEG7" s="2335"/>
      <c r="WEH7" s="2333"/>
      <c r="WEI7" s="2334"/>
      <c r="WEJ7" s="2335"/>
      <c r="WEK7" s="2333"/>
      <c r="WEL7" s="2334"/>
      <c r="WEM7" s="2335"/>
      <c r="WEN7" s="2333"/>
      <c r="WEO7" s="2334"/>
      <c r="WEP7" s="2335"/>
      <c r="WEQ7" s="2333"/>
      <c r="WER7" s="2334"/>
      <c r="WES7" s="2335"/>
      <c r="WET7" s="2333"/>
      <c r="WEU7" s="2334"/>
      <c r="WEV7" s="2335"/>
      <c r="WEW7" s="2333"/>
      <c r="WEX7" s="2334"/>
      <c r="WEY7" s="2335"/>
      <c r="WEZ7" s="2333"/>
      <c r="WFA7" s="2334"/>
      <c r="WFB7" s="2335"/>
      <c r="WFC7" s="2333"/>
      <c r="WFD7" s="2334"/>
      <c r="WFE7" s="2335"/>
      <c r="WFF7" s="2333"/>
      <c r="WFG7" s="2334"/>
      <c r="WFH7" s="2335"/>
      <c r="WFI7" s="2333"/>
      <c r="WFJ7" s="2334"/>
      <c r="WFK7" s="2335"/>
      <c r="WFL7" s="2333"/>
      <c r="WFM7" s="2334"/>
      <c r="WFN7" s="2335"/>
      <c r="WFO7" s="2333"/>
      <c r="WFP7" s="2334"/>
      <c r="WFQ7" s="2335"/>
      <c r="WFR7" s="2333"/>
      <c r="WFS7" s="2334"/>
      <c r="WFT7" s="2335"/>
      <c r="WFU7" s="2333"/>
      <c r="WFV7" s="2334"/>
      <c r="WFW7" s="2335"/>
      <c r="WFX7" s="2333"/>
      <c r="WFY7" s="2334"/>
      <c r="WFZ7" s="2335"/>
      <c r="WGA7" s="2333"/>
      <c r="WGB7" s="2334"/>
      <c r="WGC7" s="2335"/>
      <c r="WGD7" s="2333"/>
      <c r="WGE7" s="2334"/>
      <c r="WGF7" s="2335"/>
      <c r="WGG7" s="2333"/>
      <c r="WGH7" s="2334"/>
      <c r="WGI7" s="2335"/>
      <c r="WGJ7" s="2333"/>
      <c r="WGK7" s="2334"/>
      <c r="WGL7" s="2335"/>
      <c r="WGM7" s="2333"/>
      <c r="WGN7" s="2334"/>
      <c r="WGO7" s="2335"/>
      <c r="WGP7" s="2333"/>
      <c r="WGQ7" s="2334"/>
      <c r="WGR7" s="2335"/>
      <c r="WGS7" s="2333"/>
      <c r="WGT7" s="2334"/>
      <c r="WGU7" s="2335"/>
      <c r="WGV7" s="2333"/>
      <c r="WGW7" s="2334"/>
      <c r="WGX7" s="2335"/>
      <c r="WGY7" s="2333"/>
      <c r="WGZ7" s="2334"/>
      <c r="WHA7" s="2335"/>
      <c r="WHB7" s="2333"/>
      <c r="WHC7" s="2334"/>
      <c r="WHD7" s="2335"/>
      <c r="WHE7" s="2333"/>
      <c r="WHF7" s="2334"/>
      <c r="WHG7" s="2335"/>
      <c r="WHH7" s="2333"/>
      <c r="WHI7" s="2334"/>
      <c r="WHJ7" s="2335"/>
      <c r="WHK7" s="2333"/>
      <c r="WHL7" s="2334"/>
      <c r="WHM7" s="2335"/>
      <c r="WHN7" s="2333"/>
      <c r="WHO7" s="2334"/>
      <c r="WHP7" s="2335"/>
      <c r="WHQ7" s="2333"/>
      <c r="WHR7" s="2334"/>
      <c r="WHS7" s="2335"/>
      <c r="WHT7" s="2333"/>
      <c r="WHU7" s="2334"/>
      <c r="WHV7" s="2335"/>
      <c r="WHW7" s="2333"/>
      <c r="WHX7" s="2334"/>
      <c r="WHY7" s="2335"/>
      <c r="WHZ7" s="2333"/>
      <c r="WIA7" s="2334"/>
      <c r="WIB7" s="2335"/>
      <c r="WIC7" s="2333"/>
      <c r="WID7" s="2334"/>
      <c r="WIE7" s="2335"/>
      <c r="WIF7" s="2333"/>
      <c r="WIG7" s="2334"/>
      <c r="WIH7" s="2335"/>
      <c r="WII7" s="2333"/>
      <c r="WIJ7" s="2334"/>
      <c r="WIK7" s="2335"/>
      <c r="WIL7" s="2333"/>
      <c r="WIM7" s="2334"/>
      <c r="WIN7" s="2335"/>
      <c r="WIO7" s="2333"/>
      <c r="WIP7" s="2334"/>
      <c r="WIQ7" s="2335"/>
      <c r="WIR7" s="2333"/>
      <c r="WIS7" s="2334"/>
      <c r="WIT7" s="2335"/>
      <c r="WIU7" s="2333"/>
      <c r="WIV7" s="2334"/>
      <c r="WIW7" s="2335"/>
      <c r="WIX7" s="2333"/>
      <c r="WIY7" s="2334"/>
      <c r="WIZ7" s="2335"/>
      <c r="WJA7" s="2333"/>
      <c r="WJB7" s="2334"/>
      <c r="WJC7" s="2335"/>
      <c r="WJD7" s="2333"/>
      <c r="WJE7" s="2334"/>
      <c r="WJF7" s="2335"/>
      <c r="WJG7" s="2333"/>
      <c r="WJH7" s="2334"/>
      <c r="WJI7" s="2335"/>
      <c r="WJJ7" s="2333"/>
      <c r="WJK7" s="2334"/>
      <c r="WJL7" s="2335"/>
      <c r="WJM7" s="2333"/>
      <c r="WJN7" s="2334"/>
      <c r="WJO7" s="2335"/>
      <c r="WJP7" s="2333"/>
      <c r="WJQ7" s="2334"/>
      <c r="WJR7" s="2335"/>
      <c r="WJS7" s="2333"/>
      <c r="WJT7" s="2334"/>
      <c r="WJU7" s="2335"/>
      <c r="WJV7" s="2333"/>
      <c r="WJW7" s="2334"/>
      <c r="WJX7" s="2335"/>
      <c r="WJY7" s="2333"/>
      <c r="WJZ7" s="2334"/>
      <c r="WKA7" s="2335"/>
      <c r="WKB7" s="2333"/>
      <c r="WKC7" s="2334"/>
      <c r="WKD7" s="2335"/>
      <c r="WKE7" s="2333"/>
      <c r="WKF7" s="2334"/>
      <c r="WKG7" s="2335"/>
      <c r="WKH7" s="2333"/>
      <c r="WKI7" s="2334"/>
      <c r="WKJ7" s="2335"/>
      <c r="WKK7" s="2333"/>
      <c r="WKL7" s="2334"/>
      <c r="WKM7" s="2335"/>
      <c r="WKN7" s="2333"/>
      <c r="WKO7" s="2334"/>
      <c r="WKP7" s="2335"/>
      <c r="WKQ7" s="2333"/>
      <c r="WKR7" s="2334"/>
      <c r="WKS7" s="2335"/>
      <c r="WKT7" s="2333"/>
      <c r="WKU7" s="2334"/>
      <c r="WKV7" s="2335"/>
      <c r="WKW7" s="2333"/>
      <c r="WKX7" s="2334"/>
      <c r="WKY7" s="2335"/>
      <c r="WKZ7" s="2333"/>
      <c r="WLA7" s="2334"/>
      <c r="WLB7" s="2335"/>
      <c r="WLC7" s="2333"/>
      <c r="WLD7" s="2334"/>
      <c r="WLE7" s="2335"/>
      <c r="WLF7" s="2333"/>
      <c r="WLG7" s="2334"/>
      <c r="WLH7" s="2335"/>
      <c r="WLI7" s="2333"/>
      <c r="WLJ7" s="2334"/>
      <c r="WLK7" s="2335"/>
      <c r="WLL7" s="2333"/>
      <c r="WLM7" s="2334"/>
      <c r="WLN7" s="2335"/>
      <c r="WLO7" s="2333"/>
      <c r="WLP7" s="2334"/>
      <c r="WLQ7" s="2335"/>
      <c r="WLR7" s="2333"/>
      <c r="WLS7" s="2334"/>
      <c r="WLT7" s="2335"/>
      <c r="WLU7" s="2333"/>
      <c r="WLV7" s="2334"/>
      <c r="WLW7" s="2335"/>
      <c r="WLX7" s="2333"/>
      <c r="WLY7" s="2334"/>
      <c r="WLZ7" s="2335"/>
      <c r="WMA7" s="2333"/>
      <c r="WMB7" s="2334"/>
      <c r="WMC7" s="2335"/>
      <c r="WMD7" s="2333"/>
      <c r="WME7" s="2334"/>
      <c r="WMF7" s="2335"/>
      <c r="WMG7" s="2333"/>
      <c r="WMH7" s="2334"/>
      <c r="WMI7" s="2335"/>
      <c r="WMJ7" s="2333"/>
      <c r="WMK7" s="2334"/>
      <c r="WML7" s="2335"/>
      <c r="WMM7" s="2333"/>
      <c r="WMN7" s="2334"/>
      <c r="WMO7" s="2335"/>
      <c r="WMP7" s="2333"/>
      <c r="WMQ7" s="2334"/>
      <c r="WMR7" s="2335"/>
      <c r="WMS7" s="2333"/>
      <c r="WMT7" s="2334"/>
      <c r="WMU7" s="2335"/>
      <c r="WMV7" s="2333"/>
      <c r="WMW7" s="2334"/>
      <c r="WMX7" s="2335"/>
      <c r="WMY7" s="2333"/>
      <c r="WMZ7" s="2334"/>
      <c r="WNA7" s="2335"/>
      <c r="WNB7" s="2333"/>
      <c r="WNC7" s="2334"/>
      <c r="WND7" s="2335"/>
      <c r="WNE7" s="2333"/>
      <c r="WNF7" s="2334"/>
      <c r="WNG7" s="2335"/>
      <c r="WNH7" s="2333"/>
      <c r="WNI7" s="2334"/>
      <c r="WNJ7" s="2335"/>
      <c r="WNK7" s="2333"/>
      <c r="WNL7" s="2334"/>
      <c r="WNM7" s="2335"/>
      <c r="WNN7" s="2333"/>
      <c r="WNO7" s="2334"/>
      <c r="WNP7" s="2335"/>
      <c r="WNQ7" s="2333"/>
      <c r="WNR7" s="2334"/>
      <c r="WNS7" s="2335"/>
      <c r="WNT7" s="2333"/>
      <c r="WNU7" s="2334"/>
      <c r="WNV7" s="2335"/>
      <c r="WNW7" s="2333"/>
      <c r="WNX7" s="2334"/>
      <c r="WNY7" s="2335"/>
      <c r="WNZ7" s="2333"/>
      <c r="WOA7" s="2334"/>
      <c r="WOB7" s="2335"/>
      <c r="WOC7" s="2333"/>
      <c r="WOD7" s="2334"/>
      <c r="WOE7" s="2335"/>
      <c r="WOF7" s="2333"/>
      <c r="WOG7" s="2334"/>
      <c r="WOH7" s="2335"/>
      <c r="WOI7" s="2333"/>
      <c r="WOJ7" s="2334"/>
      <c r="WOK7" s="2335"/>
      <c r="WOL7" s="2333"/>
      <c r="WOM7" s="2334"/>
      <c r="WON7" s="2335"/>
      <c r="WOO7" s="2333"/>
      <c r="WOP7" s="2334"/>
      <c r="WOQ7" s="2335"/>
      <c r="WOR7" s="2333"/>
      <c r="WOS7" s="2334"/>
      <c r="WOT7" s="2335"/>
      <c r="WOU7" s="2333"/>
      <c r="WOV7" s="2334"/>
      <c r="WOW7" s="2335"/>
      <c r="WOX7" s="2333"/>
      <c r="WOY7" s="2334"/>
      <c r="WOZ7" s="2335"/>
      <c r="WPA7" s="2333"/>
      <c r="WPB7" s="2334"/>
      <c r="WPC7" s="2335"/>
      <c r="WPD7" s="2333"/>
      <c r="WPE7" s="2334"/>
      <c r="WPF7" s="2335"/>
      <c r="WPG7" s="2333"/>
      <c r="WPH7" s="2334"/>
      <c r="WPI7" s="2335"/>
      <c r="WPJ7" s="2333"/>
      <c r="WPK7" s="2334"/>
      <c r="WPL7" s="2335"/>
      <c r="WPM7" s="2333"/>
      <c r="WPN7" s="2334"/>
      <c r="WPO7" s="2335"/>
      <c r="WPP7" s="2333"/>
      <c r="WPQ7" s="2334"/>
      <c r="WPR7" s="2335"/>
      <c r="WPS7" s="2333"/>
      <c r="WPT7" s="2334"/>
      <c r="WPU7" s="2335"/>
      <c r="WPV7" s="2333"/>
      <c r="WPW7" s="2334"/>
      <c r="WPX7" s="2335"/>
      <c r="WPY7" s="2333"/>
      <c r="WPZ7" s="2334"/>
      <c r="WQA7" s="2335"/>
      <c r="WQB7" s="2333"/>
      <c r="WQC7" s="2334"/>
      <c r="WQD7" s="2335"/>
      <c r="WQE7" s="2333"/>
      <c r="WQF7" s="2334"/>
      <c r="WQG7" s="2335"/>
      <c r="WQH7" s="2333"/>
      <c r="WQI7" s="2334"/>
      <c r="WQJ7" s="2335"/>
      <c r="WQK7" s="2333"/>
      <c r="WQL7" s="2334"/>
      <c r="WQM7" s="2335"/>
      <c r="WQN7" s="2333"/>
      <c r="WQO7" s="2334"/>
      <c r="WQP7" s="2335"/>
      <c r="WQQ7" s="2333"/>
      <c r="WQR7" s="2334"/>
      <c r="WQS7" s="2335"/>
      <c r="WQT7" s="2333"/>
      <c r="WQU7" s="2334"/>
      <c r="WQV7" s="2335"/>
      <c r="WQW7" s="2333"/>
      <c r="WQX7" s="2334"/>
      <c r="WQY7" s="2335"/>
      <c r="WQZ7" s="2333"/>
      <c r="WRA7" s="2334"/>
      <c r="WRB7" s="2335"/>
      <c r="WRC7" s="2333"/>
      <c r="WRD7" s="2334"/>
      <c r="WRE7" s="2335"/>
      <c r="WRF7" s="2333"/>
      <c r="WRG7" s="2334"/>
      <c r="WRH7" s="2335"/>
      <c r="WRI7" s="2333"/>
      <c r="WRJ7" s="2334"/>
      <c r="WRK7" s="2335"/>
      <c r="WRL7" s="2333"/>
      <c r="WRM7" s="2334"/>
      <c r="WRN7" s="2335"/>
      <c r="WRO7" s="2333"/>
      <c r="WRP7" s="2334"/>
      <c r="WRQ7" s="2335"/>
      <c r="WRR7" s="2333"/>
      <c r="WRS7" s="2334"/>
      <c r="WRT7" s="2335"/>
      <c r="WRU7" s="2333"/>
      <c r="WRV7" s="2334"/>
      <c r="WRW7" s="2335"/>
      <c r="WRX7" s="2333"/>
      <c r="WRY7" s="2334"/>
      <c r="WRZ7" s="2335"/>
      <c r="WSA7" s="2333"/>
      <c r="WSB7" s="2334"/>
      <c r="WSC7" s="2335"/>
      <c r="WSD7" s="2333"/>
      <c r="WSE7" s="2334"/>
      <c r="WSF7" s="2335"/>
      <c r="WSG7" s="2333"/>
      <c r="WSH7" s="2334"/>
      <c r="WSI7" s="2335"/>
      <c r="WSJ7" s="2333"/>
      <c r="WSK7" s="2334"/>
      <c r="WSL7" s="2335"/>
      <c r="WSM7" s="2333"/>
      <c r="WSN7" s="2334"/>
      <c r="WSO7" s="2335"/>
      <c r="WSP7" s="2333"/>
      <c r="WSQ7" s="2334"/>
      <c r="WSR7" s="2335"/>
      <c r="WSS7" s="2333"/>
      <c r="WST7" s="2334"/>
      <c r="WSU7" s="2335"/>
      <c r="WSV7" s="2333"/>
      <c r="WSW7" s="2334"/>
      <c r="WSX7" s="2335"/>
      <c r="WSY7" s="2333"/>
      <c r="WSZ7" s="2334"/>
      <c r="WTA7" s="2335"/>
      <c r="WTB7" s="2333"/>
      <c r="WTC7" s="2334"/>
      <c r="WTD7" s="2335"/>
      <c r="WTE7" s="2333"/>
      <c r="WTF7" s="2334"/>
      <c r="WTG7" s="2335"/>
      <c r="WTH7" s="2333"/>
      <c r="WTI7" s="2334"/>
      <c r="WTJ7" s="2335"/>
      <c r="WTK7" s="2333"/>
      <c r="WTL7" s="2334"/>
      <c r="WTM7" s="2335"/>
      <c r="WTN7" s="2333"/>
      <c r="WTO7" s="2334"/>
      <c r="WTP7" s="2335"/>
      <c r="WTQ7" s="2333"/>
      <c r="WTR7" s="2334"/>
      <c r="WTS7" s="2335"/>
      <c r="WTT7" s="2333"/>
      <c r="WTU7" s="2334"/>
      <c r="WTV7" s="2335"/>
      <c r="WTW7" s="2333"/>
      <c r="WTX7" s="2334"/>
      <c r="WTY7" s="2335"/>
      <c r="WTZ7" s="2333"/>
      <c r="WUA7" s="2334"/>
      <c r="WUB7" s="2335"/>
      <c r="WUC7" s="2333"/>
      <c r="WUD7" s="2334"/>
      <c r="WUE7" s="2335"/>
      <c r="WUF7" s="2333"/>
      <c r="WUG7" s="2334"/>
      <c r="WUH7" s="2335"/>
      <c r="WUI7" s="2333"/>
      <c r="WUJ7" s="2334"/>
      <c r="WUK7" s="2335"/>
      <c r="WUL7" s="2333"/>
      <c r="WUM7" s="2334"/>
      <c r="WUN7" s="2335"/>
      <c r="WUO7" s="2333"/>
      <c r="WUP7" s="2334"/>
      <c r="WUQ7" s="2335"/>
      <c r="WUR7" s="2333"/>
      <c r="WUS7" s="2334"/>
      <c r="WUT7" s="2335"/>
      <c r="WUU7" s="2333"/>
      <c r="WUV7" s="2334"/>
      <c r="WUW7" s="2335"/>
      <c r="WUX7" s="2333"/>
      <c r="WUY7" s="2334"/>
      <c r="WUZ7" s="2335"/>
      <c r="WVA7" s="2333"/>
      <c r="WVB7" s="2334"/>
      <c r="WVC7" s="2335"/>
      <c r="WVD7" s="2333"/>
      <c r="WVE7" s="2334"/>
      <c r="WVF7" s="2335"/>
      <c r="WVG7" s="2333"/>
      <c r="WVH7" s="2334"/>
      <c r="WVI7" s="2335"/>
      <c r="WVJ7" s="2333"/>
      <c r="WVK7" s="2334"/>
      <c r="WVL7" s="2335"/>
      <c r="WVM7" s="2333"/>
      <c r="WVN7" s="2334"/>
      <c r="WVO7" s="2335"/>
      <c r="WVP7" s="2333"/>
      <c r="WVQ7" s="2334"/>
      <c r="WVR7" s="2335"/>
      <c r="WVS7" s="2333"/>
      <c r="WVT7" s="2334"/>
      <c r="WVU7" s="2335"/>
      <c r="WVV7" s="2333"/>
      <c r="WVW7" s="2334"/>
      <c r="WVX7" s="2335"/>
      <c r="WVY7" s="2333"/>
      <c r="WVZ7" s="2334"/>
      <c r="WWA7" s="2335"/>
      <c r="WWB7" s="2333"/>
      <c r="WWC7" s="2334"/>
      <c r="WWD7" s="2335"/>
      <c r="WWE7" s="2333"/>
      <c r="WWF7" s="2334"/>
      <c r="WWG7" s="2335"/>
      <c r="WWH7" s="2333"/>
      <c r="WWI7" s="2334"/>
      <c r="WWJ7" s="2335"/>
      <c r="WWK7" s="2333"/>
      <c r="WWL7" s="2334"/>
      <c r="WWM7" s="2335"/>
      <c r="WWN7" s="2333"/>
      <c r="WWO7" s="2334"/>
      <c r="WWP7" s="2335"/>
      <c r="WWQ7" s="2333"/>
      <c r="WWR7" s="2334"/>
      <c r="WWS7" s="2335"/>
      <c r="WWT7" s="2333"/>
      <c r="WWU7" s="2334"/>
      <c r="WWV7" s="2335"/>
      <c r="WWW7" s="2333"/>
      <c r="WWX7" s="2334"/>
      <c r="WWY7" s="2335"/>
      <c r="WWZ7" s="2333"/>
      <c r="WXA7" s="2334"/>
      <c r="WXB7" s="2335"/>
      <c r="WXC7" s="2333"/>
      <c r="WXD7" s="2334"/>
      <c r="WXE7" s="2335"/>
      <c r="WXF7" s="2333"/>
      <c r="WXG7" s="2334"/>
      <c r="WXH7" s="2335"/>
      <c r="WXI7" s="2333"/>
      <c r="WXJ7" s="2334"/>
      <c r="WXK7" s="2335"/>
      <c r="WXL7" s="2333"/>
      <c r="WXM7" s="2334"/>
      <c r="WXN7" s="2335"/>
      <c r="WXO7" s="2333"/>
      <c r="WXP7" s="2334"/>
      <c r="WXQ7" s="2335"/>
      <c r="WXR7" s="2333"/>
      <c r="WXS7" s="2334"/>
      <c r="WXT7" s="2335"/>
      <c r="WXU7" s="2333"/>
      <c r="WXV7" s="2334"/>
      <c r="WXW7" s="2335"/>
      <c r="WXX7" s="2333"/>
      <c r="WXY7" s="2334"/>
      <c r="WXZ7" s="2335"/>
      <c r="WYA7" s="2333"/>
      <c r="WYB7" s="2334"/>
      <c r="WYC7" s="2335"/>
      <c r="WYD7" s="2333"/>
      <c r="WYE7" s="2334"/>
      <c r="WYF7" s="2335"/>
      <c r="WYG7" s="2333"/>
      <c r="WYH7" s="2334"/>
      <c r="WYI7" s="2335"/>
      <c r="WYJ7" s="2333"/>
      <c r="WYK7" s="2334"/>
      <c r="WYL7" s="2335"/>
      <c r="WYM7" s="2333"/>
      <c r="WYN7" s="2334"/>
      <c r="WYO7" s="2335"/>
      <c r="WYP7" s="2333"/>
      <c r="WYQ7" s="2334"/>
      <c r="WYR7" s="2335"/>
      <c r="WYS7" s="2333"/>
      <c r="WYT7" s="2334"/>
      <c r="WYU7" s="2335"/>
      <c r="WYV7" s="2333"/>
      <c r="WYW7" s="2334"/>
      <c r="WYX7" s="2335"/>
      <c r="WYY7" s="2333"/>
      <c r="WYZ7" s="2334"/>
      <c r="WZA7" s="2335"/>
      <c r="WZB7" s="2333"/>
      <c r="WZC7" s="2334"/>
      <c r="WZD7" s="2335"/>
      <c r="WZE7" s="2333"/>
      <c r="WZF7" s="2334"/>
      <c r="WZG7" s="2335"/>
      <c r="WZH7" s="2333"/>
      <c r="WZI7" s="2334"/>
      <c r="WZJ7" s="2335"/>
      <c r="WZK7" s="2333"/>
      <c r="WZL7" s="2334"/>
      <c r="WZM7" s="2335"/>
      <c r="WZN7" s="2333"/>
      <c r="WZO7" s="2334"/>
      <c r="WZP7" s="2335"/>
      <c r="WZQ7" s="2333"/>
      <c r="WZR7" s="2334"/>
      <c r="WZS7" s="2335"/>
      <c r="WZT7" s="2333"/>
      <c r="WZU7" s="2334"/>
      <c r="WZV7" s="2335"/>
      <c r="WZW7" s="2333"/>
      <c r="WZX7" s="2334"/>
      <c r="WZY7" s="2335"/>
      <c r="WZZ7" s="2333"/>
      <c r="XAA7" s="2334"/>
      <c r="XAB7" s="2335"/>
      <c r="XAC7" s="2333"/>
      <c r="XAD7" s="2334"/>
      <c r="XAE7" s="2335"/>
      <c r="XAF7" s="2333"/>
      <c r="XAG7" s="2334"/>
      <c r="XAH7" s="2335"/>
      <c r="XAI7" s="2333"/>
      <c r="XAJ7" s="2334"/>
      <c r="XAK7" s="2335"/>
      <c r="XAL7" s="2333"/>
      <c r="XAM7" s="2334"/>
      <c r="XAN7" s="2335"/>
      <c r="XAO7" s="2333"/>
      <c r="XAP7" s="2334"/>
      <c r="XAQ7" s="2335"/>
      <c r="XAR7" s="2333"/>
      <c r="XAS7" s="2334"/>
      <c r="XAT7" s="2335"/>
      <c r="XAU7" s="2333"/>
      <c r="XAV7" s="2334"/>
      <c r="XAW7" s="2335"/>
      <c r="XAX7" s="2333"/>
      <c r="XAY7" s="2334"/>
      <c r="XAZ7" s="2335"/>
      <c r="XBA7" s="2333"/>
      <c r="XBB7" s="2334"/>
      <c r="XBC7" s="2335"/>
      <c r="XBD7" s="2333"/>
      <c r="XBE7" s="2334"/>
      <c r="XBF7" s="2335"/>
      <c r="XBG7" s="2333"/>
      <c r="XBH7" s="2334"/>
      <c r="XBI7" s="2335"/>
      <c r="XBJ7" s="2333"/>
      <c r="XBK7" s="2334"/>
      <c r="XBL7" s="2335"/>
      <c r="XBM7" s="2333"/>
      <c r="XBN7" s="2334"/>
      <c r="XBO7" s="2335"/>
      <c r="XBP7" s="2333"/>
      <c r="XBQ7" s="2334"/>
      <c r="XBR7" s="2335"/>
      <c r="XBS7" s="2333"/>
      <c r="XBT7" s="2334"/>
      <c r="XBU7" s="2335"/>
      <c r="XBV7" s="2333"/>
      <c r="XBW7" s="2334"/>
      <c r="XBX7" s="2335"/>
      <c r="XBY7" s="2333"/>
      <c r="XBZ7" s="2334"/>
      <c r="XCA7" s="2335"/>
      <c r="XCB7" s="2333"/>
      <c r="XCC7" s="2334"/>
      <c r="XCD7" s="2335"/>
      <c r="XCE7" s="2333"/>
      <c r="XCF7" s="2334"/>
      <c r="XCG7" s="2335"/>
      <c r="XCH7" s="2333"/>
      <c r="XCI7" s="2334"/>
      <c r="XCJ7" s="2335"/>
      <c r="XCK7" s="2333"/>
      <c r="XCL7" s="2334"/>
      <c r="XCM7" s="2335"/>
      <c r="XCN7" s="2333"/>
      <c r="XCO7" s="2334"/>
      <c r="XCP7" s="2335"/>
      <c r="XCQ7" s="2333"/>
      <c r="XCR7" s="2334"/>
      <c r="XCS7" s="2335"/>
      <c r="XCT7" s="2333"/>
      <c r="XCU7" s="2334"/>
      <c r="XCV7" s="2335"/>
      <c r="XCW7" s="2333"/>
      <c r="XCX7" s="2334"/>
      <c r="XCY7" s="2335"/>
      <c r="XCZ7" s="2333"/>
      <c r="XDA7" s="2334"/>
      <c r="XDB7" s="2335"/>
      <c r="XDC7" s="2333"/>
      <c r="XDD7" s="2334"/>
      <c r="XDE7" s="2335"/>
      <c r="XDF7" s="2333"/>
      <c r="XDG7" s="2334"/>
      <c r="XDH7" s="2335"/>
      <c r="XDI7" s="2333"/>
      <c r="XDJ7" s="2334"/>
      <c r="XDK7" s="2335"/>
      <c r="XDL7" s="2333"/>
      <c r="XDM7" s="2334"/>
      <c r="XDN7" s="2335"/>
      <c r="XDO7" s="2333"/>
      <c r="XDP7" s="2334"/>
      <c r="XDQ7" s="2335"/>
      <c r="XDR7" s="2333"/>
      <c r="XDS7" s="2334"/>
      <c r="XDT7" s="2335"/>
      <c r="XDU7" s="2333"/>
      <c r="XDV7" s="2334"/>
      <c r="XDW7" s="2335"/>
      <c r="XDX7" s="2333"/>
      <c r="XDY7" s="2334"/>
      <c r="XDZ7" s="2335"/>
      <c r="XEA7" s="2333"/>
      <c r="XEB7" s="2334"/>
      <c r="XEC7" s="2335"/>
      <c r="XED7" s="2333"/>
      <c r="XEE7" s="2334"/>
      <c r="XEF7" s="2335"/>
      <c r="XEG7" s="2333"/>
      <c r="XEH7" s="2334"/>
      <c r="XEI7" s="2335"/>
      <c r="XEJ7" s="2333"/>
      <c r="XEK7" s="2334"/>
      <c r="XEL7" s="2335"/>
      <c r="XEM7" s="2333"/>
      <c r="XEN7" s="2334"/>
      <c r="XEO7" s="2335"/>
      <c r="XEP7" s="2333"/>
      <c r="XEQ7" s="2334"/>
      <c r="XER7" s="2335"/>
      <c r="XES7" s="2333"/>
      <c r="XET7" s="2334"/>
      <c r="XEU7" s="2335"/>
      <c r="XEV7" s="2333"/>
      <c r="XEW7" s="2334"/>
      <c r="XEX7" s="2335"/>
      <c r="XEY7" s="2333"/>
      <c r="XEZ7" s="2334"/>
      <c r="XFA7" s="2335"/>
      <c r="XFB7" s="2333"/>
      <c r="XFC7" s="2334"/>
      <c r="XFD7" s="2335"/>
    </row>
    <row r="8" spans="1:16384" ht="31.5" customHeight="1">
      <c r="A8" s="883" t="s">
        <v>695</v>
      </c>
      <c r="B8" s="883"/>
      <c r="C8" s="319" t="str">
        <f>'6.1stYrOpBudget'!$A$8</f>
        <v>INCOME</v>
      </c>
      <c r="D8" s="120"/>
      <c r="E8" s="1055" t="s">
        <v>877</v>
      </c>
      <c r="F8" s="1055" t="s">
        <v>67</v>
      </c>
      <c r="G8" s="229" t="s">
        <v>203</v>
      </c>
      <c r="H8" s="780" t="s">
        <v>319</v>
      </c>
      <c r="I8" s="1091" t="s">
        <v>610</v>
      </c>
      <c r="J8" s="757" t="s">
        <v>611</v>
      </c>
      <c r="K8" s="1092" t="s">
        <v>319</v>
      </c>
      <c r="L8" s="781" t="s">
        <v>610</v>
      </c>
      <c r="M8" s="757" t="s">
        <v>611</v>
      </c>
      <c r="N8" s="780" t="s">
        <v>319</v>
      </c>
      <c r="O8" s="781" t="s">
        <v>610</v>
      </c>
      <c r="P8" s="757" t="s">
        <v>611</v>
      </c>
      <c r="Q8" s="780" t="s">
        <v>319</v>
      </c>
      <c r="R8" s="781" t="s">
        <v>610</v>
      </c>
      <c r="S8" s="757" t="s">
        <v>611</v>
      </c>
      <c r="T8" s="780" t="s">
        <v>319</v>
      </c>
      <c r="U8" s="781" t="s">
        <v>610</v>
      </c>
      <c r="V8" s="757" t="s">
        <v>611</v>
      </c>
      <c r="W8" s="780" t="s">
        <v>319</v>
      </c>
      <c r="X8" s="781" t="s">
        <v>610</v>
      </c>
      <c r="Y8" s="757" t="s">
        <v>611</v>
      </c>
      <c r="Z8" s="780" t="s">
        <v>319</v>
      </c>
      <c r="AA8" s="781" t="s">
        <v>610</v>
      </c>
      <c r="AB8" s="757" t="s">
        <v>611</v>
      </c>
      <c r="AC8" s="780" t="s">
        <v>319</v>
      </c>
      <c r="AD8" s="781" t="s">
        <v>610</v>
      </c>
      <c r="AE8" s="757" t="s">
        <v>611</v>
      </c>
      <c r="AF8" s="780" t="s">
        <v>319</v>
      </c>
      <c r="AG8" s="781" t="s">
        <v>610</v>
      </c>
      <c r="AH8" s="757" t="s">
        <v>611</v>
      </c>
      <c r="AI8" s="780" t="s">
        <v>319</v>
      </c>
      <c r="AJ8" s="781" t="s">
        <v>610</v>
      </c>
      <c r="AK8" s="757" t="s">
        <v>611</v>
      </c>
      <c r="AL8" s="780" t="s">
        <v>319</v>
      </c>
      <c r="AM8" s="781" t="s">
        <v>610</v>
      </c>
      <c r="AN8" s="757" t="s">
        <v>611</v>
      </c>
      <c r="AO8" s="780" t="s">
        <v>319</v>
      </c>
      <c r="AP8" s="781" t="s">
        <v>610</v>
      </c>
      <c r="AQ8" s="757" t="s">
        <v>611</v>
      </c>
      <c r="AR8" s="780" t="s">
        <v>319</v>
      </c>
      <c r="AS8" s="781" t="s">
        <v>610</v>
      </c>
      <c r="AT8" s="757" t="s">
        <v>611</v>
      </c>
      <c r="AU8" s="780" t="s">
        <v>319</v>
      </c>
      <c r="AV8" s="781" t="s">
        <v>610</v>
      </c>
      <c r="AW8" s="757" t="s">
        <v>611</v>
      </c>
      <c r="AX8" s="780" t="s">
        <v>319</v>
      </c>
      <c r="AY8" s="781" t="s">
        <v>610</v>
      </c>
      <c r="AZ8" s="757" t="s">
        <v>611</v>
      </c>
      <c r="BA8" s="780" t="s">
        <v>319</v>
      </c>
      <c r="BB8" s="781" t="s">
        <v>610</v>
      </c>
      <c r="BC8" s="757" t="s">
        <v>611</v>
      </c>
      <c r="BD8" s="780" t="s">
        <v>319</v>
      </c>
      <c r="BE8" s="781" t="s">
        <v>610</v>
      </c>
      <c r="BF8" s="757" t="s">
        <v>611</v>
      </c>
      <c r="BG8" s="780" t="s">
        <v>319</v>
      </c>
      <c r="BH8" s="781" t="s">
        <v>610</v>
      </c>
      <c r="BI8" s="757" t="s">
        <v>611</v>
      </c>
      <c r="BJ8" s="780" t="s">
        <v>319</v>
      </c>
      <c r="BK8" s="781" t="s">
        <v>610</v>
      </c>
      <c r="BL8" s="757" t="s">
        <v>611</v>
      </c>
      <c r="BM8" s="780" t="s">
        <v>319</v>
      </c>
      <c r="BN8" s="781" t="s">
        <v>610</v>
      </c>
      <c r="BO8" s="757" t="s">
        <v>611</v>
      </c>
      <c r="BP8" s="501"/>
      <c r="BQ8" s="5"/>
      <c r="BR8" s="5"/>
      <c r="BS8" s="5"/>
      <c r="BT8" s="5"/>
      <c r="BU8" s="5"/>
      <c r="BV8" s="5"/>
    </row>
    <row r="9" spans="1:16384" ht="13.8" collapsed="1">
      <c r="A9" s="761" t="s">
        <v>319</v>
      </c>
      <c r="B9" s="761" t="s">
        <v>610</v>
      </c>
      <c r="C9" s="144" t="str">
        <f>'6.1stYrOpBudget'!A9</f>
        <v>Residential - Tenant Rents</v>
      </c>
      <c r="D9" s="124">
        <v>5120</v>
      </c>
      <c r="E9" s="1056">
        <f>1%</f>
        <v>0.01</v>
      </c>
      <c r="F9" s="1056">
        <v>2.5000000000000001E-2</v>
      </c>
      <c r="G9" s="63"/>
      <c r="H9" s="776">
        <f>'6.1stYrOpBudget'!D9</f>
        <v>0</v>
      </c>
      <c r="I9" s="776">
        <f>'6.1stYrOpBudget'!E9</f>
        <v>0</v>
      </c>
      <c r="J9" s="1093">
        <f>'6.1stYrOpBudget'!F9</f>
        <v>0</v>
      </c>
      <c r="K9" s="776">
        <f>H9*(1+$E$9)</f>
        <v>0</v>
      </c>
      <c r="L9" s="178">
        <f>I9*(1+$F9)</f>
        <v>0</v>
      </c>
      <c r="M9" s="178">
        <f>IF('1.GeneralProjectInfo'!$E$58&gt;0,K9+L9,IF(SmallSites=TRUE,'3b.ExistingProj-RentRoll'!$AN$8,J9*(1+$F9)))</f>
        <v>0</v>
      </c>
      <c r="N9" s="776">
        <f>K9*(1+$E$9)</f>
        <v>0</v>
      </c>
      <c r="O9" s="178">
        <f>L9*(1+$F9)</f>
        <v>0</v>
      </c>
      <c r="P9" s="178">
        <f>IF('1.GeneralProjectInfo'!$E$58&gt;0,N9+O9,IF(SmallSites=TRUE,'3b.ExistingProj-RentRoll'!$AO$8,M9*(1+$F9)))</f>
        <v>0</v>
      </c>
      <c r="Q9" s="776">
        <f>N9*(1+$E$9)</f>
        <v>0</v>
      </c>
      <c r="R9" s="178">
        <f>O9*(1+$F9)</f>
        <v>0</v>
      </c>
      <c r="S9" s="178">
        <f>IF('1.GeneralProjectInfo'!$E$58&gt;0,Q9+R9,IF(SmallSites=TRUE,'3b.ExistingProj-RentRoll'!$AP$8,P9*(1+$F9)))</f>
        <v>0</v>
      </c>
      <c r="T9" s="776">
        <f>Q9*(1+$E$9)</f>
        <v>0</v>
      </c>
      <c r="U9" s="178">
        <f>R9*(1+$F9)</f>
        <v>0</v>
      </c>
      <c r="V9" s="178">
        <f>IF('1.GeneralProjectInfo'!$E$58&gt;0,T9+U9,IF(SmallSites=TRUE,'3b.ExistingProj-RentRoll'!$AQ$8,S9*(1+$F9)))</f>
        <v>0</v>
      </c>
      <c r="W9" s="776">
        <f>T9*(1+$E$9)</f>
        <v>0</v>
      </c>
      <c r="X9" s="178">
        <f>U9*(1+$F9)</f>
        <v>0</v>
      </c>
      <c r="Y9" s="178">
        <f>IF('1.GeneralProjectInfo'!$E$58&gt;0,W9+X9,V9*(1+$F9))</f>
        <v>0</v>
      </c>
      <c r="Z9" s="776">
        <f>W9*(1+$E$9)</f>
        <v>0</v>
      </c>
      <c r="AA9" s="178">
        <f>X9*(1+$F9)</f>
        <v>0</v>
      </c>
      <c r="AB9" s="178">
        <f>IF('1.GeneralProjectInfo'!$E$58&gt;0,Z9+AA9,Y9*(1+$F9))</f>
        <v>0</v>
      </c>
      <c r="AC9" s="776">
        <f>Z9*(1+$E$9)</f>
        <v>0</v>
      </c>
      <c r="AD9" s="178">
        <f>AA9*(1+$F9)</f>
        <v>0</v>
      </c>
      <c r="AE9" s="178">
        <f>IF('1.GeneralProjectInfo'!$E$58&gt;0,AC9+AD9,AB9*(1+$F9))</f>
        <v>0</v>
      </c>
      <c r="AF9" s="776">
        <f>AC9*(1+$E$9)</f>
        <v>0</v>
      </c>
      <c r="AG9" s="178">
        <f>AD9*(1+$F9)</f>
        <v>0</v>
      </c>
      <c r="AH9" s="178">
        <f>IF('1.GeneralProjectInfo'!$E$58&gt;0,AF9+AG9,AE9*(1+$F9))</f>
        <v>0</v>
      </c>
      <c r="AI9" s="776">
        <f>AF9*(1+$E$9)</f>
        <v>0</v>
      </c>
      <c r="AJ9" s="178">
        <f>AG9*(1+$F9)</f>
        <v>0</v>
      </c>
      <c r="AK9" s="178">
        <f>IF('1.GeneralProjectInfo'!$E$58&gt;0,AI9+AJ9,AH9*(1+$F9))</f>
        <v>0</v>
      </c>
      <c r="AL9" s="776">
        <f>AI9*(1+$E$9)</f>
        <v>0</v>
      </c>
      <c r="AM9" s="178">
        <f>AJ9*(1+$F9)</f>
        <v>0</v>
      </c>
      <c r="AN9" s="178">
        <f>IF('1.GeneralProjectInfo'!$E$58&gt;0,AL9+AM9,AK9*(1+$F9))</f>
        <v>0</v>
      </c>
      <c r="AO9" s="776">
        <f>AL9*(1+$E$9)</f>
        <v>0</v>
      </c>
      <c r="AP9" s="178">
        <f>AM9*(1+$F9)</f>
        <v>0</v>
      </c>
      <c r="AQ9" s="178">
        <f>IF('1.GeneralProjectInfo'!$E$58&gt;0,AO9+AP9,AN9*(1+$F9))</f>
        <v>0</v>
      </c>
      <c r="AR9" s="776">
        <f>AO9*(1+$E$9)</f>
        <v>0</v>
      </c>
      <c r="AS9" s="178">
        <f>AP9*(1+$F9)</f>
        <v>0</v>
      </c>
      <c r="AT9" s="178">
        <f>IF('1.GeneralProjectInfo'!$E$58&gt;0,AR9+AS9,AQ9*(1+$F9))</f>
        <v>0</v>
      </c>
      <c r="AU9" s="776">
        <f>AR9*(1+$E$9)</f>
        <v>0</v>
      </c>
      <c r="AV9" s="178">
        <f>AS9*(1+$F9)</f>
        <v>0</v>
      </c>
      <c r="AW9" s="178">
        <f>IF('1.GeneralProjectInfo'!$E$58&gt;0,AU9+AV9,AT9*(1+$F9))</f>
        <v>0</v>
      </c>
      <c r="AX9" s="776">
        <f>AU9*(1+$E$9)</f>
        <v>0</v>
      </c>
      <c r="AY9" s="178">
        <f>AV9*(1+$F9)</f>
        <v>0</v>
      </c>
      <c r="AZ9" s="178">
        <f>IF('1.GeneralProjectInfo'!$E$58&gt;0,AX9+AY9,AW9*(1+$F9))</f>
        <v>0</v>
      </c>
      <c r="BA9" s="776">
        <f>AX9*(1+$E$9)</f>
        <v>0</v>
      </c>
      <c r="BB9" s="178">
        <f>AY9*(1+$F9)</f>
        <v>0</v>
      </c>
      <c r="BC9" s="178">
        <f>IF('1.GeneralProjectInfo'!$E$58&gt;0,BA9+BB9,AZ9*(1+$F9))</f>
        <v>0</v>
      </c>
      <c r="BD9" s="776">
        <f>BA9*(1+$E$9)</f>
        <v>0</v>
      </c>
      <c r="BE9" s="178">
        <f>BB9*(1+$F9)</f>
        <v>0</v>
      </c>
      <c r="BF9" s="178">
        <f>IF('1.GeneralProjectInfo'!$E$58&gt;0,BD9+BE9,BC9*(1+$F9))</f>
        <v>0</v>
      </c>
      <c r="BG9" s="776">
        <f>BD9*(1+$E$9)</f>
        <v>0</v>
      </c>
      <c r="BH9" s="178">
        <f>BE9*(1+$F9)</f>
        <v>0</v>
      </c>
      <c r="BI9" s="178">
        <f>IF('1.GeneralProjectInfo'!$E$58&gt;0,BG9+BH9,BF9*(1+$F9))</f>
        <v>0</v>
      </c>
      <c r="BJ9" s="776">
        <f>BG9*(1+$E$9)</f>
        <v>0</v>
      </c>
      <c r="BK9" s="178">
        <f>BH9*(1+$F9)</f>
        <v>0</v>
      </c>
      <c r="BL9" s="178">
        <f>IF('1.GeneralProjectInfo'!$E$58&gt;0,BJ9+BK9,BI9*(1+$F9))</f>
        <v>0</v>
      </c>
      <c r="BM9" s="776">
        <f>BJ9*(1+$E$9)</f>
        <v>0</v>
      </c>
      <c r="BN9" s="178">
        <f>BK9*(1+$F9)</f>
        <v>0</v>
      </c>
      <c r="BO9" s="178">
        <f>IF('1.GeneralProjectInfo'!$E$58&gt;0,BM9+BN9,BL9*(1+$F9))</f>
        <v>0</v>
      </c>
      <c r="BP9" s="5"/>
      <c r="BQ9" s="5"/>
      <c r="BR9" s="5"/>
      <c r="BS9" s="5"/>
      <c r="BT9" s="5"/>
      <c r="BU9" s="5"/>
      <c r="BV9" s="5"/>
    </row>
    <row r="10" spans="1:16384" ht="13.8">
      <c r="A10" s="761"/>
      <c r="B10" s="761"/>
      <c r="C10" s="144" t="s">
        <v>1651</v>
      </c>
      <c r="D10" s="124"/>
      <c r="E10" s="1056"/>
      <c r="F10" s="1933">
        <v>0.04</v>
      </c>
      <c r="G10" s="63"/>
      <c r="H10" s="776"/>
      <c r="I10" s="776"/>
      <c r="J10" s="1093">
        <f>SOS!F6</f>
        <v>0</v>
      </c>
      <c r="K10" s="776"/>
      <c r="L10" s="178"/>
      <c r="M10" s="178">
        <f>J10*(1+$F$10)</f>
        <v>0</v>
      </c>
      <c r="N10" s="178">
        <f t="shared" ref="N10:P10" si="0">K10*(1+$F$10)</f>
        <v>0</v>
      </c>
      <c r="O10" s="178">
        <f t="shared" si="0"/>
        <v>0</v>
      </c>
      <c r="P10" s="178">
        <f t="shared" si="0"/>
        <v>0</v>
      </c>
      <c r="Q10" s="178">
        <f t="shared" ref="Q10" si="1">N10*(1+$F$10)</f>
        <v>0</v>
      </c>
      <c r="R10" s="178">
        <f t="shared" ref="R10" si="2">O10*(1+$F$10)</f>
        <v>0</v>
      </c>
      <c r="S10" s="178">
        <f t="shared" ref="S10" si="3">P10*(1+$F$10)</f>
        <v>0</v>
      </c>
      <c r="T10" s="178">
        <f t="shared" ref="T10" si="4">Q10*(1+$F$10)</f>
        <v>0</v>
      </c>
      <c r="U10" s="178">
        <f t="shared" ref="U10" si="5">R10*(1+$F$10)</f>
        <v>0</v>
      </c>
      <c r="V10" s="178">
        <f t="shared" ref="V10" si="6">S10*(1+$F$10)</f>
        <v>0</v>
      </c>
      <c r="W10" s="178">
        <f t="shared" ref="W10" si="7">T10*(1+$F$10)</f>
        <v>0</v>
      </c>
      <c r="X10" s="178">
        <f t="shared" ref="X10" si="8">U10*(1+$F$10)</f>
        <v>0</v>
      </c>
      <c r="Y10" s="178">
        <f t="shared" ref="Y10" si="9">V10*(1+$F$10)</f>
        <v>0</v>
      </c>
      <c r="Z10" s="178">
        <f t="shared" ref="Z10" si="10">W10*(1+$F$10)</f>
        <v>0</v>
      </c>
      <c r="AA10" s="178">
        <f t="shared" ref="AA10" si="11">X10*(1+$F$10)</f>
        <v>0</v>
      </c>
      <c r="AB10" s="178">
        <f t="shared" ref="AB10" si="12">Y10*(1+$F$10)</f>
        <v>0</v>
      </c>
      <c r="AC10" s="178">
        <f t="shared" ref="AC10" si="13">Z10*(1+$F$10)</f>
        <v>0</v>
      </c>
      <c r="AD10" s="178">
        <f t="shared" ref="AD10" si="14">AA10*(1+$F$10)</f>
        <v>0</v>
      </c>
      <c r="AE10" s="178">
        <f t="shared" ref="AE10" si="15">AB10*(1+$F$10)</f>
        <v>0</v>
      </c>
      <c r="AF10" s="178">
        <f t="shared" ref="AF10" si="16">AC10*(1+$F$10)</f>
        <v>0</v>
      </c>
      <c r="AG10" s="178">
        <f t="shared" ref="AG10" si="17">AD10*(1+$F$10)</f>
        <v>0</v>
      </c>
      <c r="AH10" s="178">
        <f t="shared" ref="AH10" si="18">AE10*(1+$F$10)</f>
        <v>0</v>
      </c>
      <c r="AI10" s="178">
        <f t="shared" ref="AI10" si="19">AF10*(1+$F$10)</f>
        <v>0</v>
      </c>
      <c r="AJ10" s="178">
        <f t="shared" ref="AJ10" si="20">AG10*(1+$F$10)</f>
        <v>0</v>
      </c>
      <c r="AK10" s="178">
        <f t="shared" ref="AK10" si="21">AH10*(1+$F$10)</f>
        <v>0</v>
      </c>
      <c r="AL10" s="178">
        <f t="shared" ref="AL10" si="22">AI10*(1+$F$10)</f>
        <v>0</v>
      </c>
      <c r="AM10" s="178">
        <f t="shared" ref="AM10" si="23">AJ10*(1+$F$10)</f>
        <v>0</v>
      </c>
      <c r="AN10" s="178">
        <f t="shared" ref="AN10" si="24">AK10*(1+$F$10)</f>
        <v>0</v>
      </c>
      <c r="AO10" s="178">
        <f t="shared" ref="AO10" si="25">AL10*(1+$F$10)</f>
        <v>0</v>
      </c>
      <c r="AP10" s="178">
        <f t="shared" ref="AP10" si="26">AM10*(1+$F$10)</f>
        <v>0</v>
      </c>
      <c r="AQ10" s="178">
        <f t="shared" ref="AQ10" si="27">AN10*(1+$F$10)</f>
        <v>0</v>
      </c>
      <c r="AR10" s="178">
        <f t="shared" ref="AR10" si="28">AO10*(1+$F$10)</f>
        <v>0</v>
      </c>
      <c r="AS10" s="178">
        <f t="shared" ref="AS10" si="29">AP10*(1+$F$10)</f>
        <v>0</v>
      </c>
      <c r="AT10" s="178">
        <f t="shared" ref="AT10" si="30">AQ10*(1+$F$10)</f>
        <v>0</v>
      </c>
      <c r="AU10" s="178">
        <f t="shared" ref="AU10" si="31">AR10*(1+$F$10)</f>
        <v>0</v>
      </c>
      <c r="AV10" s="178">
        <f t="shared" ref="AV10" si="32">AS10*(1+$F$10)</f>
        <v>0</v>
      </c>
      <c r="AW10" s="178">
        <f t="shared" ref="AW10" si="33">AT10*(1+$F$10)</f>
        <v>0</v>
      </c>
      <c r="AX10" s="178">
        <f t="shared" ref="AX10" si="34">AU10*(1+$F$10)</f>
        <v>0</v>
      </c>
      <c r="AY10" s="178">
        <f t="shared" ref="AY10" si="35">AV10*(1+$F$10)</f>
        <v>0</v>
      </c>
      <c r="AZ10" s="178">
        <f t="shared" ref="AZ10" si="36">AW10*(1+$F$10)</f>
        <v>0</v>
      </c>
      <c r="BA10" s="178">
        <f t="shared" ref="BA10" si="37">AX10*(1+$F$10)</f>
        <v>0</v>
      </c>
      <c r="BB10" s="178">
        <f t="shared" ref="BB10" si="38">AY10*(1+$F$10)</f>
        <v>0</v>
      </c>
      <c r="BC10" s="178">
        <f t="shared" ref="BC10" si="39">AZ10*(1+$F$10)</f>
        <v>0</v>
      </c>
      <c r="BD10" s="178">
        <f t="shared" ref="BD10" si="40">BA10*(1+$F$10)</f>
        <v>0</v>
      </c>
      <c r="BE10" s="178">
        <f t="shared" ref="BE10" si="41">BB10*(1+$F$10)</f>
        <v>0</v>
      </c>
      <c r="BF10" s="178">
        <f t="shared" ref="BF10" si="42">BC10*(1+$F$10)</f>
        <v>0</v>
      </c>
      <c r="BG10" s="178">
        <f t="shared" ref="BG10" si="43">BD10*(1+$F$10)</f>
        <v>0</v>
      </c>
      <c r="BH10" s="178">
        <f t="shared" ref="BH10" si="44">BE10*(1+$F$10)</f>
        <v>0</v>
      </c>
      <c r="BI10" s="178">
        <f t="shared" ref="BI10" si="45">BF10*(1+$F$10)</f>
        <v>0</v>
      </c>
      <c r="BJ10" s="178">
        <f t="shared" ref="BJ10" si="46">BG10*(1+$F$10)</f>
        <v>0</v>
      </c>
      <c r="BK10" s="178">
        <f t="shared" ref="BK10" si="47">BH10*(1+$F$10)</f>
        <v>0</v>
      </c>
      <c r="BL10" s="178">
        <f t="shared" ref="BL10" si="48">BI10*(1+$F$10)</f>
        <v>0</v>
      </c>
      <c r="BM10" s="178">
        <f t="shared" ref="BM10" si="49">BJ10*(1+$F$10)</f>
        <v>0</v>
      </c>
      <c r="BN10" s="178">
        <f t="shared" ref="BN10" si="50">BK10*(1+$F$10)</f>
        <v>0</v>
      </c>
      <c r="BO10" s="178">
        <f t="shared" ref="BO10" si="51">BL10*(1+$F$10)</f>
        <v>0</v>
      </c>
      <c r="BP10" s="5"/>
      <c r="BQ10" s="5"/>
      <c r="BR10" s="5"/>
      <c r="BS10" s="5"/>
      <c r="BT10" s="5"/>
      <c r="BU10" s="5"/>
      <c r="BV10" s="5"/>
    </row>
    <row r="11" spans="1:16384" ht="13.8">
      <c r="A11" s="729" t="str">
        <f>IF('6.1stYrOpBudget'!K11&lt;&gt;"",'6.1stYrOpBudget'!K11,"")</f>
        <v/>
      </c>
      <c r="B11" s="729" t="str">
        <f>'6.1stYrOpBudget'!L11</f>
        <v/>
      </c>
      <c r="C11" s="144" t="str">
        <f>'6.1stYrOpBudget'!A11</f>
        <v>Residential - Tenant Assistance Payments (Other Non-LOSP)</v>
      </c>
      <c r="D11" s="1057"/>
      <c r="E11" s="1058" t="s">
        <v>84</v>
      </c>
      <c r="F11" s="1059" t="s">
        <v>84</v>
      </c>
      <c r="G11" s="63"/>
      <c r="H11" s="776">
        <f>'6.1stYrOpBudget'!D11</f>
        <v>0</v>
      </c>
      <c r="I11" s="776">
        <f>'6.1stYrOpBudget'!E11</f>
        <v>0</v>
      </c>
      <c r="J11" s="178">
        <f>'6.1stYrOpBudget'!F11</f>
        <v>0</v>
      </c>
      <c r="K11" s="776">
        <f>IF($A11&lt;&gt;"",$A11*M11,$E$7*M11)</f>
        <v>0</v>
      </c>
      <c r="L11" s="776">
        <f t="shared" ref="L11:L20" si="52">M11-K11</f>
        <v>0</v>
      </c>
      <c r="M11" s="66"/>
      <c r="N11" s="776">
        <f>IF($A11&lt;&gt;"",$A11*P11,$E$7*P11)</f>
        <v>0</v>
      </c>
      <c r="O11" s="776">
        <f t="shared" ref="O11:O20" si="53">P11-N11</f>
        <v>0</v>
      </c>
      <c r="P11" s="66"/>
      <c r="Q11" s="776">
        <f>IF($A11&lt;&gt;"",$A11*S11,$E$7*S11)</f>
        <v>0</v>
      </c>
      <c r="R11" s="776">
        <f t="shared" ref="R11:R20" si="54">S11-Q11</f>
        <v>0</v>
      </c>
      <c r="S11" s="66"/>
      <c r="T11" s="776">
        <f>IF($A11&lt;&gt;"",$A11*V11,$E$7*V11)</f>
        <v>0</v>
      </c>
      <c r="U11" s="776">
        <f t="shared" ref="U11:U20" si="55">V11-T11</f>
        <v>0</v>
      </c>
      <c r="V11" s="66"/>
      <c r="W11" s="776">
        <f>IF($A11&lt;&gt;"",$A11*Y11,$E$7*Y11)</f>
        <v>0</v>
      </c>
      <c r="X11" s="776">
        <f t="shared" ref="X11:X20" si="56">Y11-W11</f>
        <v>0</v>
      </c>
      <c r="Y11" s="66"/>
      <c r="Z11" s="776">
        <f>IF($A11&lt;&gt;"",$A11*AB11,$E$7*AB11)</f>
        <v>0</v>
      </c>
      <c r="AA11" s="776">
        <f t="shared" ref="AA11:AA20" si="57">AB11-Z11</f>
        <v>0</v>
      </c>
      <c r="AB11" s="66"/>
      <c r="AC11" s="776">
        <f>IF($A11&lt;&gt;"",$A11*AE11,$E$7*AE11)</f>
        <v>0</v>
      </c>
      <c r="AD11" s="776">
        <f t="shared" ref="AD11:AD20" si="58">AE11-AC11</f>
        <v>0</v>
      </c>
      <c r="AE11" s="66"/>
      <c r="AF11" s="776">
        <f>IF($A11&lt;&gt;"",$A11*AH11,$E$7*AH11)</f>
        <v>0</v>
      </c>
      <c r="AG11" s="776">
        <f t="shared" ref="AG11:AG20" si="59">AH11-AF11</f>
        <v>0</v>
      </c>
      <c r="AH11" s="66"/>
      <c r="AI11" s="776">
        <f>IF($A11&lt;&gt;"",$A11*AK11,$E$7*AK11)</f>
        <v>0</v>
      </c>
      <c r="AJ11" s="776">
        <f t="shared" ref="AJ11:AJ20" si="60">AK11-AI11</f>
        <v>0</v>
      </c>
      <c r="AK11" s="66"/>
      <c r="AL11" s="776">
        <f>IF($A11&lt;&gt;"",$A11*AN11,$E$7*AN11)</f>
        <v>0</v>
      </c>
      <c r="AM11" s="776">
        <f t="shared" ref="AM11:AM20" si="61">AN11-AL11</f>
        <v>0</v>
      </c>
      <c r="AN11" s="66"/>
      <c r="AO11" s="776">
        <f>IF($A11&lt;&gt;"",$A11*AQ11,$E$7*AQ11)</f>
        <v>0</v>
      </c>
      <c r="AP11" s="776">
        <f t="shared" ref="AP11:AP20" si="62">AQ11-AO11</f>
        <v>0</v>
      </c>
      <c r="AQ11" s="66"/>
      <c r="AR11" s="776">
        <f>IF($A11&lt;&gt;"",$A11*AT11,$E$7*AT11)</f>
        <v>0</v>
      </c>
      <c r="AS11" s="776">
        <f t="shared" ref="AS11:AS20" si="63">AT11-AR11</f>
        <v>0</v>
      </c>
      <c r="AT11" s="66"/>
      <c r="AU11" s="776">
        <f>IF($A11&lt;&gt;"",$A11*AW11,$E$7*AW11)</f>
        <v>0</v>
      </c>
      <c r="AV11" s="776">
        <f t="shared" ref="AV11:AV20" si="64">AW11-AU11</f>
        <v>0</v>
      </c>
      <c r="AW11" s="66"/>
      <c r="AX11" s="776">
        <f>IF($A11&lt;&gt;"",$A11*AZ11,$E$7*AZ11)</f>
        <v>0</v>
      </c>
      <c r="AY11" s="776">
        <f t="shared" ref="AY11:AY20" si="65">AZ11-AX11</f>
        <v>0</v>
      </c>
      <c r="AZ11" s="66"/>
      <c r="BA11" s="776">
        <f>IF($A11&lt;&gt;"",$A11*BC11,$E$7*BC11)</f>
        <v>0</v>
      </c>
      <c r="BB11" s="776">
        <f t="shared" ref="BB11:BB20" si="66">BC11-BA11</f>
        <v>0</v>
      </c>
      <c r="BC11" s="66"/>
      <c r="BD11" s="776">
        <f>IF($A11&lt;&gt;"",$A11*BF11,$E$7*BF11)</f>
        <v>0</v>
      </c>
      <c r="BE11" s="776">
        <f t="shared" ref="BE11:BE20" si="67">BF11-BD11</f>
        <v>0</v>
      </c>
      <c r="BF11" s="66"/>
      <c r="BG11" s="776">
        <f>IF($A11&lt;&gt;"",$A11*BI11,$E$7*BI11)</f>
        <v>0</v>
      </c>
      <c r="BH11" s="776">
        <f t="shared" ref="BH11:BH20" si="68">BI11-BG11</f>
        <v>0</v>
      </c>
      <c r="BI11" s="66"/>
      <c r="BJ11" s="776">
        <f>IF($A11&lt;&gt;"",$A11*BL11,$E$7*BL11)</f>
        <v>0</v>
      </c>
      <c r="BK11" s="776">
        <f t="shared" ref="BK11:BK20" si="69">BL11-BJ11</f>
        <v>0</v>
      </c>
      <c r="BL11" s="66"/>
      <c r="BM11" s="776">
        <f>IF($A11&lt;&gt;"",$A11*BO11,$E$7*BO11)</f>
        <v>0</v>
      </c>
      <c r="BN11" s="776">
        <f t="shared" ref="BN11:BN20" si="70">BO11-BM11</f>
        <v>0</v>
      </c>
      <c r="BO11" s="66"/>
      <c r="BP11" s="5"/>
      <c r="BQ11" s="5"/>
      <c r="BR11" s="5"/>
      <c r="BS11" s="5"/>
      <c r="BT11" s="5"/>
      <c r="BU11" s="5"/>
      <c r="BV11" s="5"/>
    </row>
    <row r="12" spans="1:16384" ht="13.8" hidden="1">
      <c r="C12" s="144" t="str">
        <f>'6.1stYrOpBudget'!A12</f>
        <v>Residential - LOSP Tenant Assistance Payments</v>
      </c>
      <c r="D12" s="124"/>
      <c r="E12" s="1058" t="s">
        <v>84</v>
      </c>
      <c r="F12" s="1058" t="s">
        <v>84</v>
      </c>
      <c r="G12" s="63"/>
      <c r="H12" s="801">
        <f>'6.1stYrOpBudget'!D12</f>
        <v>0</v>
      </c>
      <c r="I12" s="777"/>
      <c r="J12" s="178">
        <f>'6.1stYrOpBudget'!F12</f>
        <v>0</v>
      </c>
      <c r="K12" s="801">
        <f>IFERROR(IF(-(SUM(K9:K11,K14:K20,K22,K25:K26,K111)-SUM(K83,K93,K105,K124))&gt;0,-(SUM(K9:K11,K14:K20,K22,K25:K26,K111)-SUM(K83,K93,K105,K124)),0),0)</f>
        <v>0</v>
      </c>
      <c r="L12" s="777"/>
      <c r="M12" s="227">
        <f>K12</f>
        <v>0</v>
      </c>
      <c r="N12" s="801">
        <f>IFERROR(IF(-(SUM(N9:N11,N14:N20,N22,N25:N26,N111)-SUM(N83,N93,N105,N124))&gt;0,-(SUM(N9:N11,N14:N20,N22,N25:N26,N111)-SUM(N83,N93,N105,N124)),0),0)</f>
        <v>0</v>
      </c>
      <c r="O12" s="777"/>
      <c r="P12" s="227">
        <f>N12</f>
        <v>0</v>
      </c>
      <c r="Q12" s="801">
        <f>IFERROR(IF(-(SUM(Q9:Q11,Q14:Q20,Q22,Q25:Q26,Q111)-SUM(Q83,Q93,Q105,Q124))&gt;0,-(SUM(Q9:Q11,Q14:Q20,Q22,Q25:Q26,Q111)-SUM(Q83,Q93,Q105,Q124)),0),0)</f>
        <v>0</v>
      </c>
      <c r="R12" s="777"/>
      <c r="S12" s="227">
        <f>Q12</f>
        <v>0</v>
      </c>
      <c r="T12" s="801">
        <f>IFERROR(IF(-(SUM(T9:T11,T14:T20,T22,T25:T26,T111)-SUM(T83,T93,T105,T124))&gt;0,-(SUM(T9:T11,T14:T20,T22,T25:T26,T111)-SUM(T83,T93,T105,T124)),0),0)</f>
        <v>0</v>
      </c>
      <c r="U12" s="777"/>
      <c r="V12" s="227">
        <f>T12</f>
        <v>0</v>
      </c>
      <c r="W12" s="801">
        <f>IFERROR(IF(-(SUM(W9:W11,W14:W20,W22,W25:W26,W111)-SUM(W83,W93,W105,W124))&gt;0,-(SUM(W9:W11,W14:W20,W22,W25:W26,W111)-SUM(W83,W93,W105,W124)),0),0)</f>
        <v>0</v>
      </c>
      <c r="X12" s="777"/>
      <c r="Y12" s="227">
        <f>W12</f>
        <v>0</v>
      </c>
      <c r="Z12" s="801">
        <f>IFERROR(IF(-(SUM(Z9:Z11,Z14:Z20,Z22,Z25:Z26,Z111)-SUM(Z83,Z93,Z105,Z124))&gt;0,-(SUM(Z9:Z11,Z14:Z20,Z22,Z25:Z26,Z111)-SUM(Z83,Z93,Z105,Z124)),0),0)</f>
        <v>0</v>
      </c>
      <c r="AA12" s="777"/>
      <c r="AB12" s="227">
        <f>Z12</f>
        <v>0</v>
      </c>
      <c r="AC12" s="801">
        <f>IFERROR(IF(-(SUM(AC9:AC11,AC14:AC20,AC22,AC25:AC26,AC111)-SUM(AC83,AC93,AC105,AC124))&gt;0,-(SUM(AC9:AC11,AC14:AC20,AC22,AC25:AC26,AC111)-SUM(AC83,AC93,AC105,AC124)),0),0)</f>
        <v>0</v>
      </c>
      <c r="AD12" s="777"/>
      <c r="AE12" s="227">
        <f>AC12</f>
        <v>0</v>
      </c>
      <c r="AF12" s="801">
        <f>IFERROR(IF(-(SUM(AF9:AF11,AF14:AF20,AF22,AF25:AF26,AF111)-SUM(AF83,AF93,AF105,AF124))&gt;0,-(SUM(AF9:AF11,AF14:AF20,AF22,AF25:AF26,AF111)-SUM(AF83,AF93,AF105,AF124)),0),0)</f>
        <v>0</v>
      </c>
      <c r="AG12" s="777"/>
      <c r="AH12" s="227">
        <f>AF12</f>
        <v>0</v>
      </c>
      <c r="AI12" s="801">
        <f>IFERROR(IF(-(SUM(AI9:AI11,AI14:AI20,AI22,AI25:AI26,AI111)-SUM(AI83,AI93,AI105,AI124))&gt;0,-(SUM(AI9:AI11,AI14:AI20,AI22,AI25:AI26,AI111)-SUM(AI83,AI93,AI105,AI124)),0),0)</f>
        <v>0</v>
      </c>
      <c r="AJ12" s="777"/>
      <c r="AK12" s="227">
        <f>AI12</f>
        <v>0</v>
      </c>
      <c r="AL12" s="801">
        <f>IFERROR(IF(-(SUM(AL9:AL11,AL14:AL20,AL22,AL25:AL26,AL111)-SUM(AL83,AL93,AL105,AL124))&gt;0,-(SUM(AL9:AL11,AL14:AL20,AL22,AL25:AL26,AL111)-SUM(AL83,AL93,AL105,AL124)),0),0)</f>
        <v>0</v>
      </c>
      <c r="AM12" s="777"/>
      <c r="AN12" s="227">
        <f>AL12</f>
        <v>0</v>
      </c>
      <c r="AO12" s="801">
        <f>IFERROR(IF(-(SUM(AO9:AO11,AO14:AO20,AO22,AO25:AO26,AO111)-SUM(AO83,AO93,AO105,AO124))&gt;0,-(SUM(AO9:AO11,AO14:AO20,AO22,AO25:AO26,AO111)-SUM(AO83,AO93,AO105,AO124)),0),0)</f>
        <v>0</v>
      </c>
      <c r="AP12" s="777"/>
      <c r="AQ12" s="227">
        <f>AO12</f>
        <v>0</v>
      </c>
      <c r="AR12" s="801">
        <f>IFERROR(IF(-(SUM(AR9:AR11,AR14:AR20,AR22,AR25:AR26,AR111)-SUM(AR83,AR93,AR105,AR124))&gt;0,-(SUM(AR9:AR11,AR14:AR20,AR22,AR25:AR26,AR111)-SUM(AR83,AR93,AR105,AR124)),0),0)</f>
        <v>0</v>
      </c>
      <c r="AS12" s="777"/>
      <c r="AT12" s="227">
        <f>AR12</f>
        <v>0</v>
      </c>
      <c r="AU12" s="801">
        <f>IFERROR(IF(-(SUM(AU9:AU11,AU14:AU20,AU22,AU25:AU26,AU111)-SUM(AU83,AU93,AU105,AU124))&gt;0,-(SUM(AU9:AU11,AU14:AU20,AU22,AU25:AU26,AU111)-SUM(AU83,AU93,AU105,AU124)),0),0)</f>
        <v>0</v>
      </c>
      <c r="AV12" s="777"/>
      <c r="AW12" s="227">
        <f>AU12</f>
        <v>0</v>
      </c>
      <c r="AX12" s="801">
        <f>IFERROR(IF(-(SUM(AX9:AX11,AX14:AX20,AX22,AX25:AX26,AX111)-SUM(AX83,AX93,AX105,AX124))&gt;0,-(SUM(AX9:AX11,AX14:AX20,AX22,AX25:AX26,AX111)-SUM(AX83,AX93,AX105,AX124)),0),0)</f>
        <v>0</v>
      </c>
      <c r="AY12" s="777"/>
      <c r="AZ12" s="227">
        <f>AX12</f>
        <v>0</v>
      </c>
      <c r="BA12" s="801">
        <f>IFERROR(IF(-(SUM(BA9:BA11,BA14:BA20,BA22,BA25:BA26,BA111)-SUM(BA83,BA93,BA105,BA124))&gt;0,-(SUM(BA9:BA11,BA14:BA20,BA22,BA25:BA26,BA111)-SUM(BA83,BA93,BA105,BA124)),0),0)</f>
        <v>0</v>
      </c>
      <c r="BB12" s="777"/>
      <c r="BC12" s="227">
        <f>BA12</f>
        <v>0</v>
      </c>
      <c r="BD12" s="801">
        <f>IFERROR(IF(-(SUM(BD9:BD11,BD14:BD20,BD22,BD25:BD26,BD111)-SUM(BD83,BD93,BD105,BD124))&gt;0,-(SUM(BD9:BD11,BD14:BD20,BD22,BD25:BD26,BD111)-SUM(BD83,BD93,BD105,BD124)),0),0)</f>
        <v>0</v>
      </c>
      <c r="BE12" s="777"/>
      <c r="BF12" s="227">
        <f>BD12</f>
        <v>0</v>
      </c>
      <c r="BG12" s="801">
        <f>IFERROR(IF(-(SUM(BG9:BG11,BG14:BG20,BG22,BG25:BG26,BG111)-SUM(BG83,BG93,BG105,BG124))&gt;0,-(SUM(BG9:BG11,BG14:BG20,BG22,BG25:BG26,BG111)-SUM(BG83,BG93,BG105,BG124)),0),0)</f>
        <v>0</v>
      </c>
      <c r="BH12" s="777"/>
      <c r="BI12" s="227">
        <f>BG12</f>
        <v>0</v>
      </c>
      <c r="BJ12" s="801">
        <f>IFERROR(IF(-(SUM(BJ9:BJ11,BJ14:BJ20,BJ22,BJ25:BJ26,BJ111)-SUM(BJ83,BJ93,BJ105,BJ124))&gt;0,-(SUM(BJ9:BJ11,BJ14:BJ20,BJ22,BJ25:BJ26,BJ111)-SUM(BJ83,BJ93,BJ105,BJ124)),0),0)</f>
        <v>0</v>
      </c>
      <c r="BK12" s="777"/>
      <c r="BL12" s="227">
        <f>BJ12</f>
        <v>0</v>
      </c>
      <c r="BM12" s="801">
        <f>IFERROR(IF(-(SUM(BM9:BM11,BM14:BM20,BM22,BM25:BM26,BM111)-SUM(BM83,BM93,BM105,BM124))&gt;0,-(SUM(BM9:BM11,BM14:BM20,BM22,BM25:BM26,BM111)-SUM(BM83,BM93,BM105,BM124)),0),0)</f>
        <v>0</v>
      </c>
      <c r="BN12" s="777"/>
      <c r="BO12" s="227">
        <f>BM12</f>
        <v>0</v>
      </c>
      <c r="BP12" s="5"/>
      <c r="BQ12" s="5"/>
      <c r="BR12" s="5"/>
      <c r="BS12" s="5"/>
      <c r="BT12" s="5"/>
      <c r="BU12" s="5"/>
      <c r="BV12" s="5"/>
    </row>
    <row r="13" spans="1:16384" ht="21">
      <c r="C13" s="144" t="str">
        <f>'6.1stYrOpBudget'!A13</f>
        <v>Commercial Space</v>
      </c>
      <c r="D13" s="124">
        <v>5140</v>
      </c>
      <c r="E13" s="1058" t="s">
        <v>84</v>
      </c>
      <c r="F13" s="1060">
        <f>'5.CommOp.Budget'!C7</f>
        <v>2.5000000000000001E-2</v>
      </c>
      <c r="G13" s="1661" t="str">
        <f>"from 'Commercial Op. Budget' Worksheet; Commercial to Residential allocation: "&amp; '5.CommOp.Budget'!$C$2 *100 &amp;"%"</f>
        <v>from 'Commercial Op. Budget' Worksheet; Commercial to Residential allocation: 100%</v>
      </c>
      <c r="H13" s="777"/>
      <c r="I13" s="777"/>
      <c r="J13" s="227">
        <f>'6.1stYrOpBudget'!F13</f>
        <v>0</v>
      </c>
      <c r="K13" s="777"/>
      <c r="L13" s="777"/>
      <c r="M13" s="227">
        <f>SUM('5.CommOp.Budget'!$F$7:$F$11)*'5.CommOp.Budget'!$C$2</f>
        <v>0</v>
      </c>
      <c r="N13" s="777"/>
      <c r="O13" s="777"/>
      <c r="P13" s="227">
        <f>SUM('5.CommOp.Budget'!$G$7:$G$11)*'5.CommOp.Budget'!$C$2</f>
        <v>0</v>
      </c>
      <c r="Q13" s="777"/>
      <c r="R13" s="777"/>
      <c r="S13" s="227">
        <f>SUM('5.CommOp.Budget'!$H$7:$H$11)*'5.CommOp.Budget'!$C$2</f>
        <v>0</v>
      </c>
      <c r="T13" s="777"/>
      <c r="U13" s="777"/>
      <c r="V13" s="227">
        <f>SUM('5.CommOp.Budget'!$I$7:$I$11)*'5.CommOp.Budget'!$C$2</f>
        <v>0</v>
      </c>
      <c r="W13" s="777"/>
      <c r="X13" s="777"/>
      <c r="Y13" s="227">
        <f>SUM('5.CommOp.Budget'!$J$7:$J$11)*'5.CommOp.Budget'!$C$2</f>
        <v>0</v>
      </c>
      <c r="Z13" s="777"/>
      <c r="AA13" s="777"/>
      <c r="AB13" s="227">
        <f>SUM('5.CommOp.Budget'!$K$7:$K$11)*'5.CommOp.Budget'!$C$2</f>
        <v>0</v>
      </c>
      <c r="AC13" s="777"/>
      <c r="AD13" s="777"/>
      <c r="AE13" s="227">
        <f>SUM('5.CommOp.Budget'!$L$7:$L$11)*'5.CommOp.Budget'!$C$2</f>
        <v>0</v>
      </c>
      <c r="AF13" s="777"/>
      <c r="AG13" s="777"/>
      <c r="AH13" s="227">
        <f>SUM('5.CommOp.Budget'!$M$7:$M$11)*'5.CommOp.Budget'!$C$2</f>
        <v>0</v>
      </c>
      <c r="AI13" s="777"/>
      <c r="AJ13" s="777"/>
      <c r="AK13" s="227">
        <f>SUM('5.CommOp.Budget'!$N$7:$N$11)*'5.CommOp.Budget'!$C$2</f>
        <v>0</v>
      </c>
      <c r="AL13" s="777"/>
      <c r="AM13" s="777"/>
      <c r="AN13" s="227">
        <f>SUM('5.CommOp.Budget'!$O$7:$O$11)*'5.CommOp.Budget'!$C$2</f>
        <v>0</v>
      </c>
      <c r="AO13" s="777"/>
      <c r="AP13" s="777"/>
      <c r="AQ13" s="227">
        <f>SUM('5.CommOp.Budget'!$P$7:$P$11)*'5.CommOp.Budget'!$C$2</f>
        <v>0</v>
      </c>
      <c r="AR13" s="777"/>
      <c r="AS13" s="777"/>
      <c r="AT13" s="227">
        <f>SUM('5.CommOp.Budget'!$Q$7:$Q$11)*'5.CommOp.Budget'!$C$2</f>
        <v>0</v>
      </c>
      <c r="AU13" s="777"/>
      <c r="AV13" s="777"/>
      <c r="AW13" s="227">
        <f>SUM('5.CommOp.Budget'!$R$7:$R$11)*'5.CommOp.Budget'!$C$2</f>
        <v>0</v>
      </c>
      <c r="AX13" s="777"/>
      <c r="AY13" s="777"/>
      <c r="AZ13" s="227">
        <f>SUM('5.CommOp.Budget'!$S$7:$S$11)*'5.CommOp.Budget'!$C$2</f>
        <v>0</v>
      </c>
      <c r="BA13" s="777"/>
      <c r="BB13" s="777"/>
      <c r="BC13" s="227">
        <f>SUM('5.CommOp.Budget'!$T$7:$T$11)*'5.CommOp.Budget'!$C$2</f>
        <v>0</v>
      </c>
      <c r="BD13" s="777"/>
      <c r="BE13" s="777"/>
      <c r="BF13" s="227">
        <f>SUM('5.CommOp.Budget'!$U$7:$U$11)*'5.CommOp.Budget'!$C$2</f>
        <v>0</v>
      </c>
      <c r="BG13" s="777"/>
      <c r="BH13" s="777"/>
      <c r="BI13" s="227">
        <f>SUM('5.CommOp.Budget'!$V$7:$V$11)*'5.CommOp.Budget'!$C$2</f>
        <v>0</v>
      </c>
      <c r="BJ13" s="777"/>
      <c r="BK13" s="777"/>
      <c r="BL13" s="227">
        <f>SUM('5.CommOp.Budget'!$W$7:$W$11)*'5.CommOp.Budget'!$C$2</f>
        <v>0</v>
      </c>
      <c r="BM13" s="777"/>
      <c r="BN13" s="777"/>
      <c r="BO13" s="227">
        <f>SUM('5.CommOp.Budget'!$X$7:$X$11)*'5.CommOp.Budget'!$C$2</f>
        <v>0</v>
      </c>
      <c r="BP13" s="5"/>
      <c r="BQ13" s="5"/>
      <c r="BR13" s="5"/>
      <c r="BS13" s="5"/>
      <c r="BT13" s="5"/>
      <c r="BU13" s="5"/>
      <c r="BV13" s="5"/>
    </row>
    <row r="14" spans="1:16384" ht="13.8">
      <c r="C14" s="144" t="str">
        <f>'6.1stYrOpBudget'!A14</f>
        <v>Residential Parking</v>
      </c>
      <c r="D14" s="124">
        <v>5170</v>
      </c>
      <c r="E14" s="1058">
        <f t="shared" ref="E14:E20" si="71">F14</f>
        <v>2.5000000000000001E-2</v>
      </c>
      <c r="F14" s="1056">
        <v>2.5000000000000001E-2</v>
      </c>
      <c r="G14" s="63"/>
      <c r="H14" s="776">
        <f>'6.1stYrOpBudget'!D14</f>
        <v>0</v>
      </c>
      <c r="I14" s="776">
        <f>'6.1stYrOpBudget'!E14</f>
        <v>0</v>
      </c>
      <c r="J14" s="178">
        <f>'6.1stYrOpBudget'!F14</f>
        <v>0</v>
      </c>
      <c r="K14" s="776">
        <f>$E$7*M14</f>
        <v>0</v>
      </c>
      <c r="L14" s="776">
        <f t="shared" si="52"/>
        <v>0</v>
      </c>
      <c r="M14" s="178">
        <f t="shared" ref="M14:M20" si="72">J14*(1+$F14)</f>
        <v>0</v>
      </c>
      <c r="N14" s="776">
        <f>$E$7*P14</f>
        <v>0</v>
      </c>
      <c r="O14" s="776">
        <f t="shared" si="53"/>
        <v>0</v>
      </c>
      <c r="P14" s="178">
        <f t="shared" ref="P14:P20" si="73">M14*(1+$F14)</f>
        <v>0</v>
      </c>
      <c r="Q14" s="776">
        <f>$E$7*S14</f>
        <v>0</v>
      </c>
      <c r="R14" s="776">
        <f t="shared" si="54"/>
        <v>0</v>
      </c>
      <c r="S14" s="178">
        <f t="shared" ref="S14:S20" si="74">P14*(1+$F14)</f>
        <v>0</v>
      </c>
      <c r="T14" s="776">
        <f>$E$7*V14</f>
        <v>0</v>
      </c>
      <c r="U14" s="776">
        <f t="shared" si="55"/>
        <v>0</v>
      </c>
      <c r="V14" s="178">
        <f t="shared" ref="V14:V20" si="75">S14*(1+$F14)</f>
        <v>0</v>
      </c>
      <c r="W14" s="776">
        <f>$E$7*Y14</f>
        <v>0</v>
      </c>
      <c r="X14" s="776">
        <f t="shared" si="56"/>
        <v>0</v>
      </c>
      <c r="Y14" s="178">
        <f t="shared" ref="Y14:Y20" si="76">V14*(1+$F14)</f>
        <v>0</v>
      </c>
      <c r="Z14" s="776">
        <f>$E$7*AB14</f>
        <v>0</v>
      </c>
      <c r="AA14" s="776">
        <f t="shared" si="57"/>
        <v>0</v>
      </c>
      <c r="AB14" s="178">
        <f t="shared" ref="AB14:AB20" si="77">Y14*(1+$F14)</f>
        <v>0</v>
      </c>
      <c r="AC14" s="776">
        <f>$E$7*AE14</f>
        <v>0</v>
      </c>
      <c r="AD14" s="776">
        <f t="shared" si="58"/>
        <v>0</v>
      </c>
      <c r="AE14" s="178">
        <f t="shared" ref="AE14:AE20" si="78">AB14*(1+$F14)</f>
        <v>0</v>
      </c>
      <c r="AF14" s="776">
        <f>$E$7*AH14</f>
        <v>0</v>
      </c>
      <c r="AG14" s="776">
        <f t="shared" si="59"/>
        <v>0</v>
      </c>
      <c r="AH14" s="178">
        <f t="shared" ref="AH14:AH20" si="79">AE14*(1+$F14)</f>
        <v>0</v>
      </c>
      <c r="AI14" s="776">
        <f>$E$7*AK14</f>
        <v>0</v>
      </c>
      <c r="AJ14" s="776">
        <f t="shared" si="60"/>
        <v>0</v>
      </c>
      <c r="AK14" s="178">
        <f t="shared" ref="AK14:AK20" si="80">AH14*(1+$F14)</f>
        <v>0</v>
      </c>
      <c r="AL14" s="776">
        <f>$E$7*AN14</f>
        <v>0</v>
      </c>
      <c r="AM14" s="776">
        <f t="shared" si="61"/>
        <v>0</v>
      </c>
      <c r="AN14" s="178">
        <f t="shared" ref="AN14:AN20" si="81">AK14*(1+$F14)</f>
        <v>0</v>
      </c>
      <c r="AO14" s="776">
        <f>$E$7*AQ14</f>
        <v>0</v>
      </c>
      <c r="AP14" s="776">
        <f t="shared" si="62"/>
        <v>0</v>
      </c>
      <c r="AQ14" s="178">
        <f t="shared" ref="AQ14:AQ20" si="82">AN14*(1+$F14)</f>
        <v>0</v>
      </c>
      <c r="AR14" s="776">
        <f>$E$7*AT14</f>
        <v>0</v>
      </c>
      <c r="AS14" s="776">
        <f t="shared" si="63"/>
        <v>0</v>
      </c>
      <c r="AT14" s="178">
        <f t="shared" ref="AT14:AT20" si="83">AQ14*(1+$F14)</f>
        <v>0</v>
      </c>
      <c r="AU14" s="776">
        <f>$E$7*AW14</f>
        <v>0</v>
      </c>
      <c r="AV14" s="776">
        <f t="shared" si="64"/>
        <v>0</v>
      </c>
      <c r="AW14" s="178">
        <f t="shared" ref="AW14:AW20" si="84">AT14*(1+$F14)</f>
        <v>0</v>
      </c>
      <c r="AX14" s="776">
        <f>$E$7*AZ14</f>
        <v>0</v>
      </c>
      <c r="AY14" s="776">
        <f t="shared" si="65"/>
        <v>0</v>
      </c>
      <c r="AZ14" s="178">
        <f t="shared" ref="AZ14:AZ20" si="85">AW14*(1+$F14)</f>
        <v>0</v>
      </c>
      <c r="BA14" s="776">
        <f>$E$7*BC14</f>
        <v>0</v>
      </c>
      <c r="BB14" s="776">
        <f t="shared" si="66"/>
        <v>0</v>
      </c>
      <c r="BC14" s="178">
        <f t="shared" ref="BC14:BC20" si="86">AZ14*(1+$F14)</f>
        <v>0</v>
      </c>
      <c r="BD14" s="776">
        <f>$E$7*BF14</f>
        <v>0</v>
      </c>
      <c r="BE14" s="776">
        <f t="shared" si="67"/>
        <v>0</v>
      </c>
      <c r="BF14" s="178">
        <f t="shared" ref="BF14:BF20" si="87">BC14*(1+$F14)</f>
        <v>0</v>
      </c>
      <c r="BG14" s="776">
        <f>$E$7*BI14</f>
        <v>0</v>
      </c>
      <c r="BH14" s="776">
        <f t="shared" si="68"/>
        <v>0</v>
      </c>
      <c r="BI14" s="178">
        <f t="shared" ref="BI14:BI20" si="88">BF14*(1+$F14)</f>
        <v>0</v>
      </c>
      <c r="BJ14" s="776">
        <f>$E$7*BL14</f>
        <v>0</v>
      </c>
      <c r="BK14" s="776">
        <f t="shared" si="69"/>
        <v>0</v>
      </c>
      <c r="BL14" s="178">
        <f t="shared" ref="BL14:BL20" si="89">BI14*(1+$F14)</f>
        <v>0</v>
      </c>
      <c r="BM14" s="776">
        <f>$E$7*BO14</f>
        <v>0</v>
      </c>
      <c r="BN14" s="776">
        <f t="shared" si="70"/>
        <v>0</v>
      </c>
      <c r="BO14" s="178">
        <f t="shared" ref="BO14:BO20" si="90">BL14*(1+$F14)</f>
        <v>0</v>
      </c>
      <c r="BP14" s="5"/>
      <c r="BQ14" s="5"/>
      <c r="BR14" s="5"/>
      <c r="BS14" s="5"/>
      <c r="BT14" s="5"/>
      <c r="BU14" s="5"/>
      <c r="BV14" s="5"/>
    </row>
    <row r="15" spans="1:16384" ht="13.8">
      <c r="A15" s="761" t="s">
        <v>319</v>
      </c>
      <c r="B15" s="761" t="s">
        <v>610</v>
      </c>
      <c r="C15" s="144" t="str">
        <f>'6.1stYrOpBudget'!A15</f>
        <v>Miscellaneous Rent Income</v>
      </c>
      <c r="D15" s="124">
        <v>5190</v>
      </c>
      <c r="E15" s="1058">
        <f t="shared" si="71"/>
        <v>2.5000000000000001E-2</v>
      </c>
      <c r="F15" s="1056">
        <v>2.5000000000000001E-2</v>
      </c>
      <c r="G15" s="63"/>
      <c r="H15" s="776">
        <f>'6.1stYrOpBudget'!D15</f>
        <v>0</v>
      </c>
      <c r="I15" s="776">
        <f>'6.1stYrOpBudget'!E15</f>
        <v>0</v>
      </c>
      <c r="J15" s="178">
        <f>'6.1stYrOpBudget'!F15</f>
        <v>0</v>
      </c>
      <c r="K15" s="776">
        <f t="shared" ref="K15:K20" si="91">$E$7*M15</f>
        <v>0</v>
      </c>
      <c r="L15" s="776">
        <f t="shared" si="52"/>
        <v>0</v>
      </c>
      <c r="M15" s="178">
        <f t="shared" si="72"/>
        <v>0</v>
      </c>
      <c r="N15" s="776">
        <f t="shared" ref="N15:N20" si="92">$E$7*P15</f>
        <v>0</v>
      </c>
      <c r="O15" s="776">
        <f t="shared" si="53"/>
        <v>0</v>
      </c>
      <c r="P15" s="178">
        <f t="shared" si="73"/>
        <v>0</v>
      </c>
      <c r="Q15" s="776">
        <f t="shared" ref="Q15:Q20" si="93">$E$7*S15</f>
        <v>0</v>
      </c>
      <c r="R15" s="776">
        <f t="shared" si="54"/>
        <v>0</v>
      </c>
      <c r="S15" s="178">
        <f t="shared" si="74"/>
        <v>0</v>
      </c>
      <c r="T15" s="776">
        <f t="shared" ref="T15:T20" si="94">$E$7*V15</f>
        <v>0</v>
      </c>
      <c r="U15" s="776">
        <f t="shared" si="55"/>
        <v>0</v>
      </c>
      <c r="V15" s="178">
        <f t="shared" si="75"/>
        <v>0</v>
      </c>
      <c r="W15" s="776">
        <f t="shared" ref="W15:W20" si="95">$E$7*Y15</f>
        <v>0</v>
      </c>
      <c r="X15" s="776">
        <f t="shared" si="56"/>
        <v>0</v>
      </c>
      <c r="Y15" s="178">
        <f t="shared" si="76"/>
        <v>0</v>
      </c>
      <c r="Z15" s="776">
        <f t="shared" ref="Z15:Z20" si="96">$E$7*AB15</f>
        <v>0</v>
      </c>
      <c r="AA15" s="776">
        <f t="shared" si="57"/>
        <v>0</v>
      </c>
      <c r="AB15" s="178">
        <f t="shared" si="77"/>
        <v>0</v>
      </c>
      <c r="AC15" s="776">
        <f t="shared" ref="AC15:AC20" si="97">$E$7*AE15</f>
        <v>0</v>
      </c>
      <c r="AD15" s="776">
        <f t="shared" si="58"/>
        <v>0</v>
      </c>
      <c r="AE15" s="178">
        <f t="shared" si="78"/>
        <v>0</v>
      </c>
      <c r="AF15" s="776">
        <f t="shared" ref="AF15:AF20" si="98">$E$7*AH15</f>
        <v>0</v>
      </c>
      <c r="AG15" s="776">
        <f t="shared" si="59"/>
        <v>0</v>
      </c>
      <c r="AH15" s="178">
        <f t="shared" si="79"/>
        <v>0</v>
      </c>
      <c r="AI15" s="776">
        <f t="shared" ref="AI15:AI20" si="99">$E$7*AK15</f>
        <v>0</v>
      </c>
      <c r="AJ15" s="776">
        <f t="shared" si="60"/>
        <v>0</v>
      </c>
      <c r="AK15" s="178">
        <f t="shared" si="80"/>
        <v>0</v>
      </c>
      <c r="AL15" s="776">
        <f t="shared" ref="AL15:AL20" si="100">$E$7*AN15</f>
        <v>0</v>
      </c>
      <c r="AM15" s="776">
        <f t="shared" si="61"/>
        <v>0</v>
      </c>
      <c r="AN15" s="178">
        <f t="shared" si="81"/>
        <v>0</v>
      </c>
      <c r="AO15" s="776">
        <f t="shared" ref="AO15:AO20" si="101">$E$7*AQ15</f>
        <v>0</v>
      </c>
      <c r="AP15" s="776">
        <f t="shared" si="62"/>
        <v>0</v>
      </c>
      <c r="AQ15" s="178">
        <f t="shared" si="82"/>
        <v>0</v>
      </c>
      <c r="AR15" s="776">
        <f t="shared" ref="AR15:AR20" si="102">$E$7*AT15</f>
        <v>0</v>
      </c>
      <c r="AS15" s="776">
        <f t="shared" si="63"/>
        <v>0</v>
      </c>
      <c r="AT15" s="178">
        <f t="shared" si="83"/>
        <v>0</v>
      </c>
      <c r="AU15" s="776">
        <f t="shared" ref="AU15:AU20" si="103">$E$7*AW15</f>
        <v>0</v>
      </c>
      <c r="AV15" s="776">
        <f t="shared" si="64"/>
        <v>0</v>
      </c>
      <c r="AW15" s="178">
        <f t="shared" si="84"/>
        <v>0</v>
      </c>
      <c r="AX15" s="776">
        <f t="shared" ref="AX15:AX20" si="104">$E$7*AZ15</f>
        <v>0</v>
      </c>
      <c r="AY15" s="776">
        <f t="shared" si="65"/>
        <v>0</v>
      </c>
      <c r="AZ15" s="178">
        <f t="shared" si="85"/>
        <v>0</v>
      </c>
      <c r="BA15" s="776">
        <f t="shared" ref="BA15:BA20" si="105">$E$7*BC15</f>
        <v>0</v>
      </c>
      <c r="BB15" s="776">
        <f t="shared" si="66"/>
        <v>0</v>
      </c>
      <c r="BC15" s="178">
        <f t="shared" si="86"/>
        <v>0</v>
      </c>
      <c r="BD15" s="776">
        <f t="shared" ref="BD15:BD20" si="106">$E$7*BF15</f>
        <v>0</v>
      </c>
      <c r="BE15" s="776">
        <f t="shared" si="67"/>
        <v>0</v>
      </c>
      <c r="BF15" s="178">
        <f t="shared" si="87"/>
        <v>0</v>
      </c>
      <c r="BG15" s="776">
        <f t="shared" ref="BG15:BG20" si="107">$E$7*BI15</f>
        <v>0</v>
      </c>
      <c r="BH15" s="776">
        <f t="shared" si="68"/>
        <v>0</v>
      </c>
      <c r="BI15" s="178">
        <f t="shared" si="88"/>
        <v>0</v>
      </c>
      <c r="BJ15" s="776">
        <f t="shared" ref="BJ15:BJ20" si="108">$E$7*BL15</f>
        <v>0</v>
      </c>
      <c r="BK15" s="776">
        <f t="shared" si="69"/>
        <v>0</v>
      </c>
      <c r="BL15" s="178">
        <f t="shared" si="89"/>
        <v>0</v>
      </c>
      <c r="BM15" s="776">
        <f t="shared" ref="BM15:BM20" si="109">$E$7*BO15</f>
        <v>0</v>
      </c>
      <c r="BN15" s="776">
        <f t="shared" si="70"/>
        <v>0</v>
      </c>
      <c r="BO15" s="178">
        <f t="shared" si="90"/>
        <v>0</v>
      </c>
      <c r="BP15" s="5"/>
      <c r="BQ15" s="5"/>
      <c r="BR15" s="5"/>
      <c r="BS15" s="5"/>
      <c r="BT15" s="5"/>
      <c r="BU15" s="5"/>
      <c r="BV15" s="5"/>
    </row>
    <row r="16" spans="1:16384" ht="13.8">
      <c r="A16" s="729" t="str">
        <f>IF('6.1stYrOpBudget'!K16&lt;&gt;"",'6.1stYrOpBudget'!K16,"")</f>
        <v/>
      </c>
      <c r="B16" s="729" t="str">
        <f>'6.1stYrOpBudget'!L16</f>
        <v/>
      </c>
      <c r="C16" s="144" t="str">
        <f>'6.1stYrOpBudget'!A16</f>
        <v>Supportive Services Income</v>
      </c>
      <c r="D16" s="124">
        <v>5300</v>
      </c>
      <c r="E16" s="1058">
        <f t="shared" si="71"/>
        <v>2.5000000000000001E-2</v>
      </c>
      <c r="F16" s="1056">
        <v>2.5000000000000001E-2</v>
      </c>
      <c r="G16" s="63"/>
      <c r="H16" s="776">
        <f>'6.1stYrOpBudget'!D16</f>
        <v>0</v>
      </c>
      <c r="I16" s="776">
        <f>'6.1stYrOpBudget'!E16</f>
        <v>0</v>
      </c>
      <c r="J16" s="178">
        <f>'6.1stYrOpBudget'!F16</f>
        <v>0</v>
      </c>
      <c r="K16" s="776">
        <f>IF($A16&lt;&gt;"",$A16*M16,$E$7*M16)</f>
        <v>0</v>
      </c>
      <c r="L16" s="776">
        <f t="shared" si="52"/>
        <v>0</v>
      </c>
      <c r="M16" s="178">
        <f t="shared" si="72"/>
        <v>0</v>
      </c>
      <c r="N16" s="776">
        <f>IF($A16&lt;&gt;"",$A16*P16,$E$7*P16)</f>
        <v>0</v>
      </c>
      <c r="O16" s="776">
        <f t="shared" si="53"/>
        <v>0</v>
      </c>
      <c r="P16" s="178">
        <f t="shared" si="73"/>
        <v>0</v>
      </c>
      <c r="Q16" s="776">
        <f>IF($A16&lt;&gt;"",$A16*S16,$E$7*S16)</f>
        <v>0</v>
      </c>
      <c r="R16" s="776">
        <f t="shared" si="54"/>
        <v>0</v>
      </c>
      <c r="S16" s="178">
        <f t="shared" si="74"/>
        <v>0</v>
      </c>
      <c r="T16" s="776">
        <f>IF($A16&lt;&gt;"",$A16*V16,$E$7*V16)</f>
        <v>0</v>
      </c>
      <c r="U16" s="776">
        <f t="shared" si="55"/>
        <v>0</v>
      </c>
      <c r="V16" s="178">
        <f t="shared" si="75"/>
        <v>0</v>
      </c>
      <c r="W16" s="776">
        <f>IF($A16&lt;&gt;"",$A16*Y16,$E$7*Y16)</f>
        <v>0</v>
      </c>
      <c r="X16" s="776">
        <f t="shared" si="56"/>
        <v>0</v>
      </c>
      <c r="Y16" s="178">
        <f t="shared" si="76"/>
        <v>0</v>
      </c>
      <c r="Z16" s="776">
        <f>IF($A16&lt;&gt;"",$A16*AB16,$E$7*AB16)</f>
        <v>0</v>
      </c>
      <c r="AA16" s="776">
        <f t="shared" si="57"/>
        <v>0</v>
      </c>
      <c r="AB16" s="178">
        <f t="shared" si="77"/>
        <v>0</v>
      </c>
      <c r="AC16" s="776">
        <f>IF($A16&lt;&gt;"",$A16*AE16,$E$7*AE16)</f>
        <v>0</v>
      </c>
      <c r="AD16" s="776">
        <f t="shared" si="58"/>
        <v>0</v>
      </c>
      <c r="AE16" s="178">
        <f t="shared" si="78"/>
        <v>0</v>
      </c>
      <c r="AF16" s="776">
        <f>IF($A16&lt;&gt;"",$A16*AH16,$E$7*AH16)</f>
        <v>0</v>
      </c>
      <c r="AG16" s="776">
        <f t="shared" si="59"/>
        <v>0</v>
      </c>
      <c r="AH16" s="178">
        <f t="shared" si="79"/>
        <v>0</v>
      </c>
      <c r="AI16" s="776">
        <f>IF($A16&lt;&gt;"",$A16*AK16,$E$7*AK16)</f>
        <v>0</v>
      </c>
      <c r="AJ16" s="776">
        <f t="shared" si="60"/>
        <v>0</v>
      </c>
      <c r="AK16" s="178">
        <f t="shared" si="80"/>
        <v>0</v>
      </c>
      <c r="AL16" s="776">
        <f>IF($A16&lt;&gt;"",$A16*AN16,$E$7*AN16)</f>
        <v>0</v>
      </c>
      <c r="AM16" s="776">
        <f t="shared" si="61"/>
        <v>0</v>
      </c>
      <c r="AN16" s="178">
        <f t="shared" si="81"/>
        <v>0</v>
      </c>
      <c r="AO16" s="776">
        <f>IF($A16&lt;&gt;"",$A16*AQ16,$E$7*AQ16)</f>
        <v>0</v>
      </c>
      <c r="AP16" s="776">
        <f t="shared" si="62"/>
        <v>0</v>
      </c>
      <c r="AQ16" s="178">
        <f t="shared" si="82"/>
        <v>0</v>
      </c>
      <c r="AR16" s="776">
        <f>IF($A16&lt;&gt;"",$A16*AT16,$E$7*AT16)</f>
        <v>0</v>
      </c>
      <c r="AS16" s="776">
        <f t="shared" si="63"/>
        <v>0</v>
      </c>
      <c r="AT16" s="178">
        <f t="shared" si="83"/>
        <v>0</v>
      </c>
      <c r="AU16" s="776">
        <f>IF($A16&lt;&gt;"",$A16*AW16,$E$7*AW16)</f>
        <v>0</v>
      </c>
      <c r="AV16" s="776">
        <f t="shared" si="64"/>
        <v>0</v>
      </c>
      <c r="AW16" s="178">
        <f t="shared" si="84"/>
        <v>0</v>
      </c>
      <c r="AX16" s="776">
        <f>IF($A16&lt;&gt;"",$A16*AZ16,$E$7*AZ16)</f>
        <v>0</v>
      </c>
      <c r="AY16" s="776">
        <f t="shared" si="65"/>
        <v>0</v>
      </c>
      <c r="AZ16" s="178">
        <f t="shared" si="85"/>
        <v>0</v>
      </c>
      <c r="BA16" s="776">
        <f>IF($A16&lt;&gt;"",$A16*BC16,$E$7*BC16)</f>
        <v>0</v>
      </c>
      <c r="BB16" s="776">
        <f t="shared" si="66"/>
        <v>0</v>
      </c>
      <c r="BC16" s="178">
        <f t="shared" si="86"/>
        <v>0</v>
      </c>
      <c r="BD16" s="776">
        <f>IF($A16&lt;&gt;"",$A16*BF16,$E$7*BF16)</f>
        <v>0</v>
      </c>
      <c r="BE16" s="776">
        <f t="shared" si="67"/>
        <v>0</v>
      </c>
      <c r="BF16" s="178">
        <f t="shared" si="87"/>
        <v>0</v>
      </c>
      <c r="BG16" s="776">
        <f>IF($A16&lt;&gt;"",$A16*BI16,$E$7*BI16)</f>
        <v>0</v>
      </c>
      <c r="BH16" s="776">
        <f t="shared" si="68"/>
        <v>0</v>
      </c>
      <c r="BI16" s="178">
        <f t="shared" si="88"/>
        <v>0</v>
      </c>
      <c r="BJ16" s="776">
        <f>IF($A16&lt;&gt;"",$A16*BL16,$E$7*BL16)</f>
        <v>0</v>
      </c>
      <c r="BK16" s="776">
        <f t="shared" si="69"/>
        <v>0</v>
      </c>
      <c r="BL16" s="178">
        <f t="shared" si="89"/>
        <v>0</v>
      </c>
      <c r="BM16" s="776">
        <f>IF($A16&lt;&gt;"",$A16*BO16,$E$7*BO16)</f>
        <v>0</v>
      </c>
      <c r="BN16" s="776">
        <f t="shared" si="70"/>
        <v>0</v>
      </c>
      <c r="BO16" s="178">
        <f t="shared" si="90"/>
        <v>0</v>
      </c>
      <c r="BP16" s="5"/>
      <c r="BQ16" s="5"/>
      <c r="BR16" s="5"/>
      <c r="BS16" s="5"/>
      <c r="BT16" s="5"/>
      <c r="BU16" s="5"/>
      <c r="BV16" s="5"/>
    </row>
    <row r="17" spans="1:74" ht="13.8">
      <c r="C17" s="144" t="str">
        <f>'6.1stYrOpBudget'!A17</f>
        <v>Interest Income - Project Operations</v>
      </c>
      <c r="D17" s="124">
        <v>5400</v>
      </c>
      <c r="E17" s="1058">
        <f t="shared" si="71"/>
        <v>2.5000000000000001E-2</v>
      </c>
      <c r="F17" s="1056">
        <v>2.5000000000000001E-2</v>
      </c>
      <c r="G17" s="63"/>
      <c r="H17" s="776">
        <f>'6.1stYrOpBudget'!D17</f>
        <v>0</v>
      </c>
      <c r="I17" s="776">
        <f>'6.1stYrOpBudget'!E17</f>
        <v>0</v>
      </c>
      <c r="J17" s="178">
        <f>'6.1stYrOpBudget'!F17</f>
        <v>0</v>
      </c>
      <c r="K17" s="776">
        <f t="shared" si="91"/>
        <v>0</v>
      </c>
      <c r="L17" s="776">
        <f t="shared" si="52"/>
        <v>0</v>
      </c>
      <c r="M17" s="178">
        <f>J17*(1+$F17)</f>
        <v>0</v>
      </c>
      <c r="N17" s="776">
        <f t="shared" si="92"/>
        <v>0</v>
      </c>
      <c r="O17" s="776">
        <f t="shared" si="53"/>
        <v>0</v>
      </c>
      <c r="P17" s="178">
        <f t="shared" si="73"/>
        <v>0</v>
      </c>
      <c r="Q17" s="776">
        <f t="shared" si="93"/>
        <v>0</v>
      </c>
      <c r="R17" s="776">
        <f t="shared" si="54"/>
        <v>0</v>
      </c>
      <c r="S17" s="178">
        <f t="shared" si="74"/>
        <v>0</v>
      </c>
      <c r="T17" s="776">
        <f t="shared" si="94"/>
        <v>0</v>
      </c>
      <c r="U17" s="776">
        <f t="shared" si="55"/>
        <v>0</v>
      </c>
      <c r="V17" s="178">
        <f t="shared" si="75"/>
        <v>0</v>
      </c>
      <c r="W17" s="776">
        <f t="shared" si="95"/>
        <v>0</v>
      </c>
      <c r="X17" s="776">
        <f t="shared" si="56"/>
        <v>0</v>
      </c>
      <c r="Y17" s="178">
        <f t="shared" si="76"/>
        <v>0</v>
      </c>
      <c r="Z17" s="776">
        <f t="shared" si="96"/>
        <v>0</v>
      </c>
      <c r="AA17" s="776">
        <f t="shared" si="57"/>
        <v>0</v>
      </c>
      <c r="AB17" s="178">
        <f t="shared" si="77"/>
        <v>0</v>
      </c>
      <c r="AC17" s="776">
        <f t="shared" si="97"/>
        <v>0</v>
      </c>
      <c r="AD17" s="776">
        <f t="shared" si="58"/>
        <v>0</v>
      </c>
      <c r="AE17" s="178">
        <f t="shared" si="78"/>
        <v>0</v>
      </c>
      <c r="AF17" s="776">
        <f t="shared" si="98"/>
        <v>0</v>
      </c>
      <c r="AG17" s="776">
        <f t="shared" si="59"/>
        <v>0</v>
      </c>
      <c r="AH17" s="178">
        <f t="shared" si="79"/>
        <v>0</v>
      </c>
      <c r="AI17" s="776">
        <f t="shared" si="99"/>
        <v>0</v>
      </c>
      <c r="AJ17" s="776">
        <f t="shared" si="60"/>
        <v>0</v>
      </c>
      <c r="AK17" s="178">
        <f t="shared" si="80"/>
        <v>0</v>
      </c>
      <c r="AL17" s="776">
        <f t="shared" si="100"/>
        <v>0</v>
      </c>
      <c r="AM17" s="776">
        <f t="shared" si="61"/>
        <v>0</v>
      </c>
      <c r="AN17" s="178">
        <f t="shared" si="81"/>
        <v>0</v>
      </c>
      <c r="AO17" s="776">
        <f t="shared" si="101"/>
        <v>0</v>
      </c>
      <c r="AP17" s="776">
        <f t="shared" si="62"/>
        <v>0</v>
      </c>
      <c r="AQ17" s="178">
        <f t="shared" si="82"/>
        <v>0</v>
      </c>
      <c r="AR17" s="776">
        <f t="shared" si="102"/>
        <v>0</v>
      </c>
      <c r="AS17" s="776">
        <f t="shared" si="63"/>
        <v>0</v>
      </c>
      <c r="AT17" s="178">
        <f t="shared" si="83"/>
        <v>0</v>
      </c>
      <c r="AU17" s="776">
        <f t="shared" si="103"/>
        <v>0</v>
      </c>
      <c r="AV17" s="776">
        <f t="shared" si="64"/>
        <v>0</v>
      </c>
      <c r="AW17" s="178">
        <f t="shared" si="84"/>
        <v>0</v>
      </c>
      <c r="AX17" s="776">
        <f t="shared" si="104"/>
        <v>0</v>
      </c>
      <c r="AY17" s="776">
        <f t="shared" si="65"/>
        <v>0</v>
      </c>
      <c r="AZ17" s="178">
        <f t="shared" si="85"/>
        <v>0</v>
      </c>
      <c r="BA17" s="776">
        <f t="shared" si="105"/>
        <v>0</v>
      </c>
      <c r="BB17" s="776">
        <f t="shared" si="66"/>
        <v>0</v>
      </c>
      <c r="BC17" s="178">
        <f t="shared" si="86"/>
        <v>0</v>
      </c>
      <c r="BD17" s="776">
        <f t="shared" si="106"/>
        <v>0</v>
      </c>
      <c r="BE17" s="776">
        <f t="shared" si="67"/>
        <v>0</v>
      </c>
      <c r="BF17" s="178">
        <f t="shared" si="87"/>
        <v>0</v>
      </c>
      <c r="BG17" s="776">
        <f t="shared" si="107"/>
        <v>0</v>
      </c>
      <c r="BH17" s="776">
        <f t="shared" si="68"/>
        <v>0</v>
      </c>
      <c r="BI17" s="178">
        <f t="shared" si="88"/>
        <v>0</v>
      </c>
      <c r="BJ17" s="776">
        <f t="shared" si="108"/>
        <v>0</v>
      </c>
      <c r="BK17" s="776">
        <f t="shared" si="69"/>
        <v>0</v>
      </c>
      <c r="BL17" s="178">
        <f t="shared" si="89"/>
        <v>0</v>
      </c>
      <c r="BM17" s="776">
        <f t="shared" si="109"/>
        <v>0</v>
      </c>
      <c r="BN17" s="776">
        <f t="shared" si="70"/>
        <v>0</v>
      </c>
      <c r="BO17" s="178">
        <f t="shared" si="90"/>
        <v>0</v>
      </c>
      <c r="BP17" s="5"/>
      <c r="BQ17" s="5"/>
      <c r="BR17" s="5"/>
      <c r="BS17" s="5"/>
      <c r="BT17" s="5"/>
      <c r="BU17" s="5"/>
      <c r="BV17" s="5"/>
    </row>
    <row r="18" spans="1:74" ht="13.8">
      <c r="A18" s="761" t="s">
        <v>319</v>
      </c>
      <c r="B18" s="761" t="s">
        <v>610</v>
      </c>
      <c r="C18" s="144" t="str">
        <f>'6.1stYrOpBudget'!A18</f>
        <v>Laundry and Vending</v>
      </c>
      <c r="D18" s="124">
        <v>5910</v>
      </c>
      <c r="E18" s="1058">
        <f t="shared" si="71"/>
        <v>2.5000000000000001E-2</v>
      </c>
      <c r="F18" s="1056">
        <v>2.5000000000000001E-2</v>
      </c>
      <c r="G18" s="63"/>
      <c r="H18" s="776">
        <f>'6.1stYrOpBudget'!D18</f>
        <v>0</v>
      </c>
      <c r="I18" s="776">
        <f>'6.1stYrOpBudget'!E18</f>
        <v>0</v>
      </c>
      <c r="J18" s="178">
        <f>'6.1stYrOpBudget'!F18</f>
        <v>0</v>
      </c>
      <c r="K18" s="776">
        <f>$E$7*M18</f>
        <v>0</v>
      </c>
      <c r="L18" s="776">
        <f t="shared" si="52"/>
        <v>0</v>
      </c>
      <c r="M18" s="178">
        <f t="shared" si="72"/>
        <v>0</v>
      </c>
      <c r="N18" s="776">
        <f>$E$7*P18</f>
        <v>0</v>
      </c>
      <c r="O18" s="776">
        <f t="shared" si="53"/>
        <v>0</v>
      </c>
      <c r="P18" s="178">
        <f t="shared" si="73"/>
        <v>0</v>
      </c>
      <c r="Q18" s="776">
        <f>$E$7*S18</f>
        <v>0</v>
      </c>
      <c r="R18" s="776">
        <f t="shared" si="54"/>
        <v>0</v>
      </c>
      <c r="S18" s="178">
        <f t="shared" si="74"/>
        <v>0</v>
      </c>
      <c r="T18" s="776">
        <f>$E$7*V18</f>
        <v>0</v>
      </c>
      <c r="U18" s="776">
        <f t="shared" si="55"/>
        <v>0</v>
      </c>
      <c r="V18" s="178">
        <f t="shared" si="75"/>
        <v>0</v>
      </c>
      <c r="W18" s="776">
        <f>$E$7*Y18</f>
        <v>0</v>
      </c>
      <c r="X18" s="776">
        <f t="shared" si="56"/>
        <v>0</v>
      </c>
      <c r="Y18" s="178">
        <f t="shared" si="76"/>
        <v>0</v>
      </c>
      <c r="Z18" s="776">
        <f>$E$7*AB18</f>
        <v>0</v>
      </c>
      <c r="AA18" s="776">
        <f t="shared" si="57"/>
        <v>0</v>
      </c>
      <c r="AB18" s="178">
        <f t="shared" si="77"/>
        <v>0</v>
      </c>
      <c r="AC18" s="776">
        <f>$E$7*AE18</f>
        <v>0</v>
      </c>
      <c r="AD18" s="776">
        <f t="shared" si="58"/>
        <v>0</v>
      </c>
      <c r="AE18" s="178">
        <f t="shared" si="78"/>
        <v>0</v>
      </c>
      <c r="AF18" s="776">
        <f>$E$7*AH18</f>
        <v>0</v>
      </c>
      <c r="AG18" s="776">
        <f t="shared" si="59"/>
        <v>0</v>
      </c>
      <c r="AH18" s="178">
        <f t="shared" si="79"/>
        <v>0</v>
      </c>
      <c r="AI18" s="776">
        <f>$E$7*AK18</f>
        <v>0</v>
      </c>
      <c r="AJ18" s="776">
        <f t="shared" si="60"/>
        <v>0</v>
      </c>
      <c r="AK18" s="178">
        <f t="shared" si="80"/>
        <v>0</v>
      </c>
      <c r="AL18" s="776">
        <f>$E$7*AN18</f>
        <v>0</v>
      </c>
      <c r="AM18" s="776">
        <f t="shared" si="61"/>
        <v>0</v>
      </c>
      <c r="AN18" s="178">
        <f t="shared" si="81"/>
        <v>0</v>
      </c>
      <c r="AO18" s="776">
        <f>$E$7*AQ18</f>
        <v>0</v>
      </c>
      <c r="AP18" s="776">
        <f t="shared" si="62"/>
        <v>0</v>
      </c>
      <c r="AQ18" s="178">
        <f t="shared" si="82"/>
        <v>0</v>
      </c>
      <c r="AR18" s="776">
        <f>$E$7*AT18</f>
        <v>0</v>
      </c>
      <c r="AS18" s="776">
        <f t="shared" si="63"/>
        <v>0</v>
      </c>
      <c r="AT18" s="178">
        <f t="shared" si="83"/>
        <v>0</v>
      </c>
      <c r="AU18" s="776">
        <f>$E$7*AW18</f>
        <v>0</v>
      </c>
      <c r="AV18" s="776">
        <f t="shared" si="64"/>
        <v>0</v>
      </c>
      <c r="AW18" s="178">
        <f t="shared" si="84"/>
        <v>0</v>
      </c>
      <c r="AX18" s="776">
        <f>$E$7*AZ18</f>
        <v>0</v>
      </c>
      <c r="AY18" s="776">
        <f t="shared" si="65"/>
        <v>0</v>
      </c>
      <c r="AZ18" s="178">
        <f t="shared" si="85"/>
        <v>0</v>
      </c>
      <c r="BA18" s="776">
        <f>$E$7*BC18</f>
        <v>0</v>
      </c>
      <c r="BB18" s="776">
        <f t="shared" si="66"/>
        <v>0</v>
      </c>
      <c r="BC18" s="178">
        <f t="shared" si="86"/>
        <v>0</v>
      </c>
      <c r="BD18" s="776">
        <f>$E$7*BF18</f>
        <v>0</v>
      </c>
      <c r="BE18" s="776">
        <f t="shared" si="67"/>
        <v>0</v>
      </c>
      <c r="BF18" s="178">
        <f t="shared" si="87"/>
        <v>0</v>
      </c>
      <c r="BG18" s="776">
        <f>$E$7*BI18</f>
        <v>0</v>
      </c>
      <c r="BH18" s="776">
        <f t="shared" si="68"/>
        <v>0</v>
      </c>
      <c r="BI18" s="178">
        <f t="shared" si="88"/>
        <v>0</v>
      </c>
      <c r="BJ18" s="776">
        <f>$E$7*BL18</f>
        <v>0</v>
      </c>
      <c r="BK18" s="776">
        <f t="shared" si="69"/>
        <v>0</v>
      </c>
      <c r="BL18" s="178">
        <f t="shared" si="89"/>
        <v>0</v>
      </c>
      <c r="BM18" s="776">
        <f>$E$7*BO18</f>
        <v>0</v>
      </c>
      <c r="BN18" s="776">
        <f t="shared" si="70"/>
        <v>0</v>
      </c>
      <c r="BO18" s="178">
        <f t="shared" si="90"/>
        <v>0</v>
      </c>
      <c r="BP18" s="5"/>
      <c r="BQ18" s="5"/>
      <c r="BR18" s="5"/>
      <c r="BS18" s="5"/>
      <c r="BT18" s="5"/>
      <c r="BU18" s="5"/>
      <c r="BV18" s="5"/>
    </row>
    <row r="19" spans="1:74" ht="13.8">
      <c r="A19" s="732" t="str">
        <f>IF('6.1stYrOpBudget'!K19&lt;&gt;"",'6.1stYrOpBudget'!K19,"")</f>
        <v/>
      </c>
      <c r="B19" s="732" t="str">
        <f>'6.1stYrOpBudget'!L19</f>
        <v/>
      </c>
      <c r="C19" s="144" t="str">
        <f>'6.1stYrOpBudget'!A19</f>
        <v>Tenant Charges</v>
      </c>
      <c r="D19" s="1061">
        <v>5920</v>
      </c>
      <c r="E19" s="1058">
        <f t="shared" si="71"/>
        <v>2.5000000000000001E-2</v>
      </c>
      <c r="F19" s="1056">
        <v>2.5000000000000001E-2</v>
      </c>
      <c r="G19" s="63"/>
      <c r="H19" s="776">
        <f>'6.1stYrOpBudget'!D19</f>
        <v>0</v>
      </c>
      <c r="I19" s="776">
        <f>'6.1stYrOpBudget'!E19</f>
        <v>0</v>
      </c>
      <c r="J19" s="178">
        <f>'6.1stYrOpBudget'!F19</f>
        <v>0</v>
      </c>
      <c r="K19" s="800">
        <f>IF($A19&lt;&gt;"",$A19*M19,$E$7*M19)</f>
        <v>0</v>
      </c>
      <c r="L19" s="776">
        <f t="shared" si="52"/>
        <v>0</v>
      </c>
      <c r="M19" s="178">
        <f t="shared" si="72"/>
        <v>0</v>
      </c>
      <c r="N19" s="800">
        <f>IF($A19&lt;&gt;"",$A19*P19,$E$7*P19)</f>
        <v>0</v>
      </c>
      <c r="O19" s="776">
        <f t="shared" si="53"/>
        <v>0</v>
      </c>
      <c r="P19" s="178">
        <f t="shared" si="73"/>
        <v>0</v>
      </c>
      <c r="Q19" s="800">
        <f>IF($A19&lt;&gt;"",$A19*S19,$E$7*S19)</f>
        <v>0</v>
      </c>
      <c r="R19" s="776">
        <f t="shared" si="54"/>
        <v>0</v>
      </c>
      <c r="S19" s="178">
        <f t="shared" si="74"/>
        <v>0</v>
      </c>
      <c r="T19" s="800">
        <f>IF($A19&lt;&gt;"",$A19*V19,$E$7*V19)</f>
        <v>0</v>
      </c>
      <c r="U19" s="776">
        <f t="shared" si="55"/>
        <v>0</v>
      </c>
      <c r="V19" s="178">
        <f t="shared" si="75"/>
        <v>0</v>
      </c>
      <c r="W19" s="800">
        <f>IF($A19&lt;&gt;"",$A19*Y19,$E$7*Y19)</f>
        <v>0</v>
      </c>
      <c r="X19" s="776">
        <f t="shared" si="56"/>
        <v>0</v>
      </c>
      <c r="Y19" s="178">
        <f t="shared" si="76"/>
        <v>0</v>
      </c>
      <c r="Z19" s="800">
        <f>IF($A19&lt;&gt;"",$A19*AB19,$E$7*AB19)</f>
        <v>0</v>
      </c>
      <c r="AA19" s="776">
        <f t="shared" si="57"/>
        <v>0</v>
      </c>
      <c r="AB19" s="178">
        <f t="shared" si="77"/>
        <v>0</v>
      </c>
      <c r="AC19" s="800">
        <f>IF($A19&lt;&gt;"",$A19*AE19,$E$7*AE19)</f>
        <v>0</v>
      </c>
      <c r="AD19" s="776">
        <f t="shared" si="58"/>
        <v>0</v>
      </c>
      <c r="AE19" s="178">
        <f t="shared" si="78"/>
        <v>0</v>
      </c>
      <c r="AF19" s="800">
        <f>IF($A19&lt;&gt;"",$A19*AH19,$E$7*AH19)</f>
        <v>0</v>
      </c>
      <c r="AG19" s="776">
        <f t="shared" si="59"/>
        <v>0</v>
      </c>
      <c r="AH19" s="178">
        <f t="shared" si="79"/>
        <v>0</v>
      </c>
      <c r="AI19" s="800">
        <f>IF($A19&lt;&gt;"",$A19*AK19,$E$7*AK19)</f>
        <v>0</v>
      </c>
      <c r="AJ19" s="776">
        <f t="shared" si="60"/>
        <v>0</v>
      </c>
      <c r="AK19" s="178">
        <f t="shared" si="80"/>
        <v>0</v>
      </c>
      <c r="AL19" s="800">
        <f>IF($A19&lt;&gt;"",$A19*AN19,$E$7*AN19)</f>
        <v>0</v>
      </c>
      <c r="AM19" s="776">
        <f t="shared" si="61"/>
        <v>0</v>
      </c>
      <c r="AN19" s="178">
        <f t="shared" si="81"/>
        <v>0</v>
      </c>
      <c r="AO19" s="800">
        <f>IF($A19&lt;&gt;"",$A19*AQ19,$E$7*AQ19)</f>
        <v>0</v>
      </c>
      <c r="AP19" s="776">
        <f t="shared" si="62"/>
        <v>0</v>
      </c>
      <c r="AQ19" s="178">
        <f t="shared" si="82"/>
        <v>0</v>
      </c>
      <c r="AR19" s="800">
        <f>IF($A19&lt;&gt;"",$A19*AT19,$E$7*AT19)</f>
        <v>0</v>
      </c>
      <c r="AS19" s="776">
        <f t="shared" si="63"/>
        <v>0</v>
      </c>
      <c r="AT19" s="178">
        <f t="shared" si="83"/>
        <v>0</v>
      </c>
      <c r="AU19" s="800">
        <f>IF($A19&lt;&gt;"",$A19*AW19,$E$7*AW19)</f>
        <v>0</v>
      </c>
      <c r="AV19" s="776">
        <f t="shared" si="64"/>
        <v>0</v>
      </c>
      <c r="AW19" s="178">
        <f t="shared" si="84"/>
        <v>0</v>
      </c>
      <c r="AX19" s="800">
        <f>IF($A19&lt;&gt;"",$A19*AZ19,$E$7*AZ19)</f>
        <v>0</v>
      </c>
      <c r="AY19" s="776">
        <f t="shared" si="65"/>
        <v>0</v>
      </c>
      <c r="AZ19" s="178">
        <f t="shared" si="85"/>
        <v>0</v>
      </c>
      <c r="BA19" s="800">
        <f>IF($A19&lt;&gt;"",$A19*BC19,$E$7*BC19)</f>
        <v>0</v>
      </c>
      <c r="BB19" s="776">
        <f t="shared" si="66"/>
        <v>0</v>
      </c>
      <c r="BC19" s="178">
        <f t="shared" si="86"/>
        <v>0</v>
      </c>
      <c r="BD19" s="800">
        <f>IF($A19&lt;&gt;"",$A19*BF19,$E$7*BF19)</f>
        <v>0</v>
      </c>
      <c r="BE19" s="776">
        <f t="shared" si="67"/>
        <v>0</v>
      </c>
      <c r="BF19" s="178">
        <f t="shared" si="87"/>
        <v>0</v>
      </c>
      <c r="BG19" s="800">
        <f>IF($A19&lt;&gt;"",$A19*BI19,$E$7*BI19)</f>
        <v>0</v>
      </c>
      <c r="BH19" s="776">
        <f t="shared" si="68"/>
        <v>0</v>
      </c>
      <c r="BI19" s="178">
        <f t="shared" si="88"/>
        <v>0</v>
      </c>
      <c r="BJ19" s="800">
        <f>IF($A19&lt;&gt;"",$A19*BL19,$E$7*BL19)</f>
        <v>0</v>
      </c>
      <c r="BK19" s="776">
        <f t="shared" si="69"/>
        <v>0</v>
      </c>
      <c r="BL19" s="178">
        <f t="shared" si="89"/>
        <v>0</v>
      </c>
      <c r="BM19" s="800">
        <f>IF($A19&lt;&gt;"",$A19*BO19,$E$7*BO19)</f>
        <v>0</v>
      </c>
      <c r="BN19" s="776">
        <f t="shared" si="70"/>
        <v>0</v>
      </c>
      <c r="BO19" s="178">
        <f t="shared" si="90"/>
        <v>0</v>
      </c>
      <c r="BP19" s="5"/>
      <c r="BQ19" s="5"/>
      <c r="BR19" s="5"/>
      <c r="BS19" s="5"/>
      <c r="BT19" s="5"/>
      <c r="BU19" s="5"/>
      <c r="BV19" s="5"/>
    </row>
    <row r="20" spans="1:74" ht="13.8">
      <c r="C20" s="144" t="str">
        <f>'6.1stYrOpBudget'!A20</f>
        <v>Miscellaneous Residential Income</v>
      </c>
      <c r="D20" s="124">
        <v>5990</v>
      </c>
      <c r="E20" s="1058">
        <f t="shared" si="71"/>
        <v>2.5000000000000001E-2</v>
      </c>
      <c r="F20" s="1062">
        <v>2.5000000000000001E-2</v>
      </c>
      <c r="G20" s="69"/>
      <c r="H20" s="776">
        <f>'6.1stYrOpBudget'!D20</f>
        <v>0</v>
      </c>
      <c r="I20" s="776">
        <f>'6.1stYrOpBudget'!E20</f>
        <v>0</v>
      </c>
      <c r="J20" s="230">
        <f>'6.1stYrOpBudget'!F20</f>
        <v>0</v>
      </c>
      <c r="K20" s="792">
        <f t="shared" si="91"/>
        <v>0</v>
      </c>
      <c r="L20" s="792">
        <f t="shared" si="52"/>
        <v>0</v>
      </c>
      <c r="M20" s="230">
        <f t="shared" si="72"/>
        <v>0</v>
      </c>
      <c r="N20" s="792">
        <f t="shared" si="92"/>
        <v>0</v>
      </c>
      <c r="O20" s="792">
        <f t="shared" si="53"/>
        <v>0</v>
      </c>
      <c r="P20" s="230">
        <f t="shared" si="73"/>
        <v>0</v>
      </c>
      <c r="Q20" s="792">
        <f t="shared" si="93"/>
        <v>0</v>
      </c>
      <c r="R20" s="792">
        <f t="shared" si="54"/>
        <v>0</v>
      </c>
      <c r="S20" s="230">
        <f t="shared" si="74"/>
        <v>0</v>
      </c>
      <c r="T20" s="792">
        <f t="shared" si="94"/>
        <v>0</v>
      </c>
      <c r="U20" s="792">
        <f t="shared" si="55"/>
        <v>0</v>
      </c>
      <c r="V20" s="230">
        <f t="shared" si="75"/>
        <v>0</v>
      </c>
      <c r="W20" s="792">
        <f t="shared" si="95"/>
        <v>0</v>
      </c>
      <c r="X20" s="792">
        <f t="shared" si="56"/>
        <v>0</v>
      </c>
      <c r="Y20" s="230">
        <f t="shared" si="76"/>
        <v>0</v>
      </c>
      <c r="Z20" s="792">
        <f t="shared" si="96"/>
        <v>0</v>
      </c>
      <c r="AA20" s="792">
        <f t="shared" si="57"/>
        <v>0</v>
      </c>
      <c r="AB20" s="230">
        <f t="shared" si="77"/>
        <v>0</v>
      </c>
      <c r="AC20" s="792">
        <f t="shared" si="97"/>
        <v>0</v>
      </c>
      <c r="AD20" s="792">
        <f t="shared" si="58"/>
        <v>0</v>
      </c>
      <c r="AE20" s="230">
        <f t="shared" si="78"/>
        <v>0</v>
      </c>
      <c r="AF20" s="792">
        <f t="shared" si="98"/>
        <v>0</v>
      </c>
      <c r="AG20" s="792">
        <f t="shared" si="59"/>
        <v>0</v>
      </c>
      <c r="AH20" s="230">
        <f t="shared" si="79"/>
        <v>0</v>
      </c>
      <c r="AI20" s="792">
        <f t="shared" si="99"/>
        <v>0</v>
      </c>
      <c r="AJ20" s="792">
        <f t="shared" si="60"/>
        <v>0</v>
      </c>
      <c r="AK20" s="230">
        <f t="shared" si="80"/>
        <v>0</v>
      </c>
      <c r="AL20" s="792">
        <f t="shared" si="100"/>
        <v>0</v>
      </c>
      <c r="AM20" s="792">
        <f t="shared" si="61"/>
        <v>0</v>
      </c>
      <c r="AN20" s="230">
        <f t="shared" si="81"/>
        <v>0</v>
      </c>
      <c r="AO20" s="792">
        <f t="shared" si="101"/>
        <v>0</v>
      </c>
      <c r="AP20" s="792">
        <f t="shared" si="62"/>
        <v>0</v>
      </c>
      <c r="AQ20" s="230">
        <f t="shared" si="82"/>
        <v>0</v>
      </c>
      <c r="AR20" s="792">
        <f t="shared" si="102"/>
        <v>0</v>
      </c>
      <c r="AS20" s="792">
        <f t="shared" si="63"/>
        <v>0</v>
      </c>
      <c r="AT20" s="230">
        <f t="shared" si="83"/>
        <v>0</v>
      </c>
      <c r="AU20" s="792">
        <f t="shared" si="103"/>
        <v>0</v>
      </c>
      <c r="AV20" s="792">
        <f t="shared" si="64"/>
        <v>0</v>
      </c>
      <c r="AW20" s="230">
        <f t="shared" si="84"/>
        <v>0</v>
      </c>
      <c r="AX20" s="792">
        <f t="shared" si="104"/>
        <v>0</v>
      </c>
      <c r="AY20" s="792">
        <f t="shared" si="65"/>
        <v>0</v>
      </c>
      <c r="AZ20" s="230">
        <f t="shared" si="85"/>
        <v>0</v>
      </c>
      <c r="BA20" s="792">
        <f t="shared" si="105"/>
        <v>0</v>
      </c>
      <c r="BB20" s="792">
        <f t="shared" si="66"/>
        <v>0</v>
      </c>
      <c r="BC20" s="230">
        <f t="shared" si="86"/>
        <v>0</v>
      </c>
      <c r="BD20" s="792">
        <f t="shared" si="106"/>
        <v>0</v>
      </c>
      <c r="BE20" s="792">
        <f t="shared" si="67"/>
        <v>0</v>
      </c>
      <c r="BF20" s="230">
        <f t="shared" si="87"/>
        <v>0</v>
      </c>
      <c r="BG20" s="792">
        <f t="shared" si="107"/>
        <v>0</v>
      </c>
      <c r="BH20" s="792">
        <f t="shared" si="68"/>
        <v>0</v>
      </c>
      <c r="BI20" s="230">
        <f t="shared" si="88"/>
        <v>0</v>
      </c>
      <c r="BJ20" s="792">
        <f t="shared" si="108"/>
        <v>0</v>
      </c>
      <c r="BK20" s="792">
        <f t="shared" si="69"/>
        <v>0</v>
      </c>
      <c r="BL20" s="230">
        <f t="shared" si="89"/>
        <v>0</v>
      </c>
      <c r="BM20" s="792">
        <f t="shared" si="109"/>
        <v>0</v>
      </c>
      <c r="BN20" s="792">
        <f t="shared" si="70"/>
        <v>0</v>
      </c>
      <c r="BO20" s="230">
        <f t="shared" si="90"/>
        <v>0</v>
      </c>
      <c r="BP20" s="5"/>
      <c r="BQ20" s="5"/>
      <c r="BR20" s="5"/>
      <c r="BS20" s="5"/>
      <c r="BT20" s="5"/>
      <c r="BU20" s="5"/>
      <c r="BV20" s="5"/>
    </row>
    <row r="21" spans="1:74" ht="21">
      <c r="C21" s="144" t="str">
        <f>'6.1stYrOpBudget'!A21</f>
        <v>Other Commercial Income</v>
      </c>
      <c r="D21" s="124"/>
      <c r="E21" s="1058" t="s">
        <v>84</v>
      </c>
      <c r="F21" s="1060">
        <f>'5.CommOp.Budget'!C12</f>
        <v>2.5000000000000001E-2</v>
      </c>
      <c r="G21" s="1661" t="str">
        <f>"from 'Commercial Op. Budget' Worksheet; Commercial to Residential allocation: "&amp; '5.CommOp.Budget'!$C$2 *100 &amp;"%"</f>
        <v>from 'Commercial Op. Budget' Worksheet; Commercial to Residential allocation: 100%</v>
      </c>
      <c r="H21" s="777"/>
      <c r="I21" s="777"/>
      <c r="J21" s="227">
        <f>'5.CommOp.Budget'!E12*'5.CommOp.Budget'!$C$2</f>
        <v>0</v>
      </c>
      <c r="K21" s="777"/>
      <c r="L21" s="777"/>
      <c r="M21" s="227">
        <f>'5.CommOp.Budget'!F12*'5.CommOp.Budget'!$C$2</f>
        <v>0</v>
      </c>
      <c r="N21" s="777"/>
      <c r="O21" s="777"/>
      <c r="P21" s="227">
        <f>'5.CommOp.Budget'!G12*'5.CommOp.Budget'!$C$2</f>
        <v>0</v>
      </c>
      <c r="Q21" s="777"/>
      <c r="R21" s="777"/>
      <c r="S21" s="227">
        <f>'5.CommOp.Budget'!H12*'5.CommOp.Budget'!$C$2</f>
        <v>0</v>
      </c>
      <c r="T21" s="777"/>
      <c r="U21" s="777"/>
      <c r="V21" s="227">
        <f>'5.CommOp.Budget'!I12*'5.CommOp.Budget'!$C$2</f>
        <v>0</v>
      </c>
      <c r="W21" s="777"/>
      <c r="X21" s="777"/>
      <c r="Y21" s="227">
        <f>'5.CommOp.Budget'!J12*'5.CommOp.Budget'!$C$2</f>
        <v>0</v>
      </c>
      <c r="Z21" s="777"/>
      <c r="AA21" s="777"/>
      <c r="AB21" s="227">
        <f>'5.CommOp.Budget'!K12*'5.CommOp.Budget'!$C$2</f>
        <v>0</v>
      </c>
      <c r="AC21" s="777"/>
      <c r="AD21" s="777"/>
      <c r="AE21" s="227">
        <f>'5.CommOp.Budget'!L12*'5.CommOp.Budget'!$C$2</f>
        <v>0</v>
      </c>
      <c r="AF21" s="777"/>
      <c r="AG21" s="777"/>
      <c r="AH21" s="227">
        <f>'5.CommOp.Budget'!M12*'5.CommOp.Budget'!$C$2</f>
        <v>0</v>
      </c>
      <c r="AI21" s="777"/>
      <c r="AJ21" s="777"/>
      <c r="AK21" s="227">
        <f>'5.CommOp.Budget'!N12*'5.CommOp.Budget'!$C$2</f>
        <v>0</v>
      </c>
      <c r="AL21" s="777"/>
      <c r="AM21" s="777"/>
      <c r="AN21" s="227">
        <f>'5.CommOp.Budget'!O12*'5.CommOp.Budget'!$C$2</f>
        <v>0</v>
      </c>
      <c r="AO21" s="777"/>
      <c r="AP21" s="777"/>
      <c r="AQ21" s="227">
        <f>'5.CommOp.Budget'!P12*'5.CommOp.Budget'!$C$2</f>
        <v>0</v>
      </c>
      <c r="AR21" s="777"/>
      <c r="AS21" s="777"/>
      <c r="AT21" s="227">
        <f>'5.CommOp.Budget'!Q12*'5.CommOp.Budget'!$C$2</f>
        <v>0</v>
      </c>
      <c r="AU21" s="777"/>
      <c r="AV21" s="777"/>
      <c r="AW21" s="227">
        <f>'5.CommOp.Budget'!R12*'5.CommOp.Budget'!$C$2</f>
        <v>0</v>
      </c>
      <c r="AX21" s="777"/>
      <c r="AY21" s="777"/>
      <c r="AZ21" s="227">
        <f>'5.CommOp.Budget'!S12*'5.CommOp.Budget'!$C$2</f>
        <v>0</v>
      </c>
      <c r="BA21" s="777"/>
      <c r="BB21" s="777"/>
      <c r="BC21" s="227">
        <f>'5.CommOp.Budget'!T12*'5.CommOp.Budget'!$C$2</f>
        <v>0</v>
      </c>
      <c r="BD21" s="777"/>
      <c r="BE21" s="777"/>
      <c r="BF21" s="227">
        <f>'5.CommOp.Budget'!U12*'5.CommOp.Budget'!$C$2</f>
        <v>0</v>
      </c>
      <c r="BG21" s="777"/>
      <c r="BH21" s="777"/>
      <c r="BI21" s="227">
        <f>'5.CommOp.Budget'!V12*'5.CommOp.Budget'!$C$2</f>
        <v>0</v>
      </c>
      <c r="BJ21" s="777"/>
      <c r="BK21" s="777"/>
      <c r="BL21" s="227">
        <f>'5.CommOp.Budget'!W12*'5.CommOp.Budget'!$C$2</f>
        <v>0</v>
      </c>
      <c r="BM21" s="777"/>
      <c r="BN21" s="777"/>
      <c r="BO21" s="227">
        <f>'5.CommOp.Budget'!X12*'5.CommOp.Budget'!$C$2</f>
        <v>0</v>
      </c>
      <c r="BP21" s="5"/>
      <c r="BQ21" s="5"/>
      <c r="BR21" s="5"/>
      <c r="BS21" s="5"/>
      <c r="BT21" s="5"/>
      <c r="BU21" s="5"/>
      <c r="BV21" s="5"/>
    </row>
    <row r="22" spans="1:74" ht="23.4">
      <c r="A22" s="729" t="str">
        <f>IF('6.1stYrOpBudget'!K22&lt;&gt;"",'6.1stYrOpBudget'!K22,"")</f>
        <v/>
      </c>
      <c r="B22" s="729" t="str">
        <f>'6.1stYrOpBudget'!L22</f>
        <v/>
      </c>
      <c r="C22" s="144" t="str">
        <f>'6.1stYrOpBudget'!A22</f>
        <v>Withdrawal from Capitalized Reserve (deposit to operating account)</v>
      </c>
      <c r="D22" s="124"/>
      <c r="E22" s="1058" t="s">
        <v>84</v>
      </c>
      <c r="F22" s="1058" t="s">
        <v>84</v>
      </c>
      <c r="G22" s="87" t="s">
        <v>194</v>
      </c>
      <c r="H22" s="776">
        <f>'6.1stYrOpBudget'!D22</f>
        <v>0</v>
      </c>
      <c r="I22" s="776">
        <f>'6.1stYrOpBudget'!E22</f>
        <v>0</v>
      </c>
      <c r="J22" s="178">
        <f>'6.1stYrOpBudget'!F22</f>
        <v>0</v>
      </c>
      <c r="K22" s="776">
        <f>IF($A22&lt;&gt;"",$A22*M22,$E$7*M22)</f>
        <v>0</v>
      </c>
      <c r="L22" s="776">
        <f>M22-K22</f>
        <v>0</v>
      </c>
      <c r="M22" s="66"/>
      <c r="N22" s="776">
        <f>IF($A22&lt;&gt;"",$A22*P22,$E$7*P22)</f>
        <v>0</v>
      </c>
      <c r="O22" s="776">
        <f>P22-N22</f>
        <v>0</v>
      </c>
      <c r="P22" s="66"/>
      <c r="Q22" s="776">
        <f>IF($A22&lt;&gt;"",$A22*S22,$E$7*S22)</f>
        <v>0</v>
      </c>
      <c r="R22" s="776">
        <f>S22-Q22</f>
        <v>0</v>
      </c>
      <c r="S22" s="66"/>
      <c r="T22" s="776">
        <f>IF($A22&lt;&gt;"",$A22*V22,$E$7*V22)</f>
        <v>0</v>
      </c>
      <c r="U22" s="776">
        <f>V22-T22</f>
        <v>0</v>
      </c>
      <c r="V22" s="66"/>
      <c r="W22" s="776">
        <f>IF($A22&lt;&gt;"",$A22*Y22,$E$7*Y22)</f>
        <v>0</v>
      </c>
      <c r="X22" s="776">
        <f>Y22-W22</f>
        <v>0</v>
      </c>
      <c r="Y22" s="66"/>
      <c r="Z22" s="776">
        <f>IF($A22&lt;&gt;"",$A22*AB22,$E$7*AB22)</f>
        <v>0</v>
      </c>
      <c r="AA22" s="776">
        <f>AB22-Z22</f>
        <v>0</v>
      </c>
      <c r="AB22" s="66"/>
      <c r="AC22" s="776">
        <f>IF($A22&lt;&gt;"",$A22*AE22,$E$7*AE22)</f>
        <v>0</v>
      </c>
      <c r="AD22" s="776">
        <f>AE22-AC22</f>
        <v>0</v>
      </c>
      <c r="AE22" s="66"/>
      <c r="AF22" s="776">
        <f>IF($A22&lt;&gt;"",$A22*AH22,$E$7*AH22)</f>
        <v>0</v>
      </c>
      <c r="AG22" s="776">
        <f>AH22-AF22</f>
        <v>0</v>
      </c>
      <c r="AH22" s="66"/>
      <c r="AI22" s="776">
        <f>IF($A22&lt;&gt;"",$A22*AK22,$E$7*AK22)</f>
        <v>0</v>
      </c>
      <c r="AJ22" s="776">
        <f>AK22-AI22</f>
        <v>0</v>
      </c>
      <c r="AK22" s="66"/>
      <c r="AL22" s="776">
        <f>IF($A22&lt;&gt;"",$A22*AN22,$E$7*AN22)</f>
        <v>0</v>
      </c>
      <c r="AM22" s="776">
        <f>AN22-AL22</f>
        <v>0</v>
      </c>
      <c r="AN22" s="66"/>
      <c r="AO22" s="776">
        <f>IF($A22&lt;&gt;"",$A22*AQ22,$E$7*AQ22)</f>
        <v>0</v>
      </c>
      <c r="AP22" s="776">
        <f>AQ22-AO22</f>
        <v>0</v>
      </c>
      <c r="AQ22" s="66"/>
      <c r="AR22" s="776">
        <f>IF($A22&lt;&gt;"",$A22*AT22,$E$7*AT22)</f>
        <v>0</v>
      </c>
      <c r="AS22" s="776">
        <f>AT22-AR22</f>
        <v>0</v>
      </c>
      <c r="AT22" s="66"/>
      <c r="AU22" s="776">
        <f>IF($A22&lt;&gt;"",$A22*AW22,$E$7*AW22)</f>
        <v>0</v>
      </c>
      <c r="AV22" s="776">
        <f>AW22-AU22</f>
        <v>0</v>
      </c>
      <c r="AW22" s="66"/>
      <c r="AX22" s="776">
        <f>IF($A22&lt;&gt;"",$A22*AZ22,$E$7*AZ22)</f>
        <v>0</v>
      </c>
      <c r="AY22" s="776">
        <f>AZ22-AX22</f>
        <v>0</v>
      </c>
      <c r="AZ22" s="66"/>
      <c r="BA22" s="776">
        <f>IF($A22&lt;&gt;"",$A22*BC22,$E$7*BC22)</f>
        <v>0</v>
      </c>
      <c r="BB22" s="776">
        <f>BC22-BA22</f>
        <v>0</v>
      </c>
      <c r="BC22" s="66"/>
      <c r="BD22" s="776">
        <f>IF($A22&lt;&gt;"",$A22*BF22,$E$7*BF22)</f>
        <v>0</v>
      </c>
      <c r="BE22" s="776">
        <f>BF22-BD22</f>
        <v>0</v>
      </c>
      <c r="BF22" s="66"/>
      <c r="BG22" s="776">
        <f>IF($A22&lt;&gt;"",$A22*BI22,$E$7*BI22)</f>
        <v>0</v>
      </c>
      <c r="BH22" s="776">
        <f>BI22-BG22</f>
        <v>0</v>
      </c>
      <c r="BI22" s="66"/>
      <c r="BJ22" s="776">
        <f>IF($A22&lt;&gt;"",$A22*BL22,$E$7*BL22)</f>
        <v>0</v>
      </c>
      <c r="BK22" s="776">
        <f>BL22-BJ22</f>
        <v>0</v>
      </c>
      <c r="BL22" s="66"/>
      <c r="BM22" s="776">
        <f>IF($A22&lt;&gt;"",$A22*BO22,$E$7*BO22)</f>
        <v>0</v>
      </c>
      <c r="BN22" s="776">
        <f>BO22-BM22</f>
        <v>0</v>
      </c>
      <c r="BO22" s="66"/>
      <c r="BP22" s="5"/>
      <c r="BQ22" s="5"/>
      <c r="BR22" s="5"/>
      <c r="BS22" s="5"/>
      <c r="BT22" s="5"/>
      <c r="BU22" s="5"/>
      <c r="BV22" s="5"/>
    </row>
    <row r="23" spans="1:74" ht="13.8" hidden="1">
      <c r="C23" s="144" t="str">
        <f>'6.1stYrOpBudget'!A23</f>
        <v>Other Income</v>
      </c>
      <c r="D23" s="124"/>
      <c r="E23" s="124"/>
      <c r="F23" s="1063"/>
      <c r="G23" s="398"/>
      <c r="H23" s="778"/>
      <c r="I23" s="778"/>
      <c r="J23" s="399"/>
      <c r="K23" s="778"/>
      <c r="L23" s="778"/>
      <c r="M23" s="400"/>
      <c r="N23" s="778"/>
      <c r="O23" s="778"/>
      <c r="P23" s="400"/>
      <c r="Q23" s="778"/>
      <c r="R23" s="778"/>
      <c r="S23" s="400"/>
      <c r="T23" s="778"/>
      <c r="U23" s="778"/>
      <c r="V23" s="400"/>
      <c r="W23" s="778"/>
      <c r="X23" s="778"/>
      <c r="Y23" s="400"/>
      <c r="Z23" s="778"/>
      <c r="AA23" s="778"/>
      <c r="AB23" s="400"/>
      <c r="AC23" s="778"/>
      <c r="AD23" s="778"/>
      <c r="AE23" s="400"/>
      <c r="AF23" s="778"/>
      <c r="AG23" s="778"/>
      <c r="AH23" s="400"/>
      <c r="AI23" s="778"/>
      <c r="AJ23" s="778"/>
      <c r="AK23" s="400"/>
      <c r="AL23" s="778"/>
      <c r="AM23" s="778"/>
      <c r="AN23" s="400"/>
      <c r="AO23" s="778"/>
      <c r="AP23" s="778"/>
      <c r="AQ23" s="400"/>
      <c r="AR23" s="778"/>
      <c r="AS23" s="778"/>
      <c r="AT23" s="400"/>
      <c r="AU23" s="778"/>
      <c r="AV23" s="778"/>
      <c r="AW23" s="400"/>
      <c r="AX23" s="778"/>
      <c r="AY23" s="778"/>
      <c r="AZ23" s="400"/>
      <c r="BA23" s="778"/>
      <c r="BB23" s="778"/>
      <c r="BC23" s="400"/>
      <c r="BD23" s="778"/>
      <c r="BE23" s="778"/>
      <c r="BF23" s="400"/>
      <c r="BG23" s="778"/>
      <c r="BH23" s="778"/>
      <c r="BI23" s="400"/>
      <c r="BJ23" s="778"/>
      <c r="BK23" s="778"/>
      <c r="BL23" s="400"/>
      <c r="BM23" s="778"/>
      <c r="BN23" s="778"/>
      <c r="BO23" s="824"/>
      <c r="BP23" s="5"/>
      <c r="BQ23" s="5"/>
      <c r="BR23" s="5"/>
      <c r="BS23" s="5"/>
      <c r="BT23" s="5"/>
      <c r="BU23" s="5"/>
      <c r="BV23" s="5"/>
    </row>
    <row r="24" spans="1:74" ht="14.4">
      <c r="C24" s="1082" t="str">
        <f>'6.1stYrOpBudget'!B24</f>
        <v>Gross Potential Income</v>
      </c>
      <c r="D24" s="126"/>
      <c r="E24" s="126"/>
      <c r="F24" s="126"/>
      <c r="G24" s="231"/>
      <c r="H24" s="779">
        <f>'6.1stYrOpBudget'!D24</f>
        <v>0</v>
      </c>
      <c r="I24" s="779">
        <f>'6.1stYrOpBudget'!E24</f>
        <v>0</v>
      </c>
      <c r="J24" s="232">
        <f>'6.1stYrOpBudget'!F24</f>
        <v>0</v>
      </c>
      <c r="K24" s="779">
        <f>SUM(K9:K22)</f>
        <v>0</v>
      </c>
      <c r="L24" s="779">
        <f>SUM(L9:L22)</f>
        <v>0</v>
      </c>
      <c r="M24" s="175">
        <f>SUM(M9:M22)</f>
        <v>0</v>
      </c>
      <c r="N24" s="779">
        <f t="shared" ref="N24:BO24" si="110">SUM(N9:N22)</f>
        <v>0</v>
      </c>
      <c r="O24" s="779">
        <f t="shared" si="110"/>
        <v>0</v>
      </c>
      <c r="P24" s="175">
        <f t="shared" si="110"/>
        <v>0</v>
      </c>
      <c r="Q24" s="779">
        <f t="shared" si="110"/>
        <v>0</v>
      </c>
      <c r="R24" s="779">
        <f t="shared" si="110"/>
        <v>0</v>
      </c>
      <c r="S24" s="175">
        <f t="shared" si="110"/>
        <v>0</v>
      </c>
      <c r="T24" s="779">
        <f t="shared" si="110"/>
        <v>0</v>
      </c>
      <c r="U24" s="779">
        <f t="shared" si="110"/>
        <v>0</v>
      </c>
      <c r="V24" s="175">
        <f t="shared" si="110"/>
        <v>0</v>
      </c>
      <c r="W24" s="779">
        <f t="shared" si="110"/>
        <v>0</v>
      </c>
      <c r="X24" s="779">
        <f t="shared" si="110"/>
        <v>0</v>
      </c>
      <c r="Y24" s="175">
        <f t="shared" si="110"/>
        <v>0</v>
      </c>
      <c r="Z24" s="779">
        <f t="shared" si="110"/>
        <v>0</v>
      </c>
      <c r="AA24" s="779">
        <f t="shared" si="110"/>
        <v>0</v>
      </c>
      <c r="AB24" s="175">
        <f t="shared" si="110"/>
        <v>0</v>
      </c>
      <c r="AC24" s="779">
        <f t="shared" si="110"/>
        <v>0</v>
      </c>
      <c r="AD24" s="779">
        <f t="shared" si="110"/>
        <v>0</v>
      </c>
      <c r="AE24" s="175">
        <f t="shared" si="110"/>
        <v>0</v>
      </c>
      <c r="AF24" s="779">
        <f t="shared" si="110"/>
        <v>0</v>
      </c>
      <c r="AG24" s="779">
        <f t="shared" si="110"/>
        <v>0</v>
      </c>
      <c r="AH24" s="175">
        <f t="shared" si="110"/>
        <v>0</v>
      </c>
      <c r="AI24" s="779">
        <f t="shared" si="110"/>
        <v>0</v>
      </c>
      <c r="AJ24" s="779">
        <f t="shared" si="110"/>
        <v>0</v>
      </c>
      <c r="AK24" s="175">
        <f t="shared" si="110"/>
        <v>0</v>
      </c>
      <c r="AL24" s="779">
        <f t="shared" si="110"/>
        <v>0</v>
      </c>
      <c r="AM24" s="779">
        <f t="shared" si="110"/>
        <v>0</v>
      </c>
      <c r="AN24" s="175">
        <f t="shared" si="110"/>
        <v>0</v>
      </c>
      <c r="AO24" s="779">
        <f t="shared" si="110"/>
        <v>0</v>
      </c>
      <c r="AP24" s="779">
        <f t="shared" si="110"/>
        <v>0</v>
      </c>
      <c r="AQ24" s="175">
        <f t="shared" si="110"/>
        <v>0</v>
      </c>
      <c r="AR24" s="779">
        <f t="shared" si="110"/>
        <v>0</v>
      </c>
      <c r="AS24" s="779">
        <f t="shared" si="110"/>
        <v>0</v>
      </c>
      <c r="AT24" s="175">
        <f t="shared" si="110"/>
        <v>0</v>
      </c>
      <c r="AU24" s="779">
        <f t="shared" si="110"/>
        <v>0</v>
      </c>
      <c r="AV24" s="779">
        <f t="shared" si="110"/>
        <v>0</v>
      </c>
      <c r="AW24" s="175">
        <f t="shared" si="110"/>
        <v>0</v>
      </c>
      <c r="AX24" s="779">
        <f t="shared" si="110"/>
        <v>0</v>
      </c>
      <c r="AY24" s="779">
        <f t="shared" si="110"/>
        <v>0</v>
      </c>
      <c r="AZ24" s="175">
        <f t="shared" si="110"/>
        <v>0</v>
      </c>
      <c r="BA24" s="779">
        <f t="shared" si="110"/>
        <v>0</v>
      </c>
      <c r="BB24" s="779">
        <f t="shared" si="110"/>
        <v>0</v>
      </c>
      <c r="BC24" s="175">
        <f t="shared" si="110"/>
        <v>0</v>
      </c>
      <c r="BD24" s="779">
        <f t="shared" si="110"/>
        <v>0</v>
      </c>
      <c r="BE24" s="779">
        <f t="shared" si="110"/>
        <v>0</v>
      </c>
      <c r="BF24" s="175">
        <f t="shared" si="110"/>
        <v>0</v>
      </c>
      <c r="BG24" s="779">
        <f t="shared" si="110"/>
        <v>0</v>
      </c>
      <c r="BH24" s="779">
        <f t="shared" si="110"/>
        <v>0</v>
      </c>
      <c r="BI24" s="175">
        <f t="shared" si="110"/>
        <v>0</v>
      </c>
      <c r="BJ24" s="779">
        <f t="shared" si="110"/>
        <v>0</v>
      </c>
      <c r="BK24" s="779">
        <f t="shared" si="110"/>
        <v>0</v>
      </c>
      <c r="BL24" s="175">
        <f t="shared" si="110"/>
        <v>0</v>
      </c>
      <c r="BM24" s="779">
        <f t="shared" si="110"/>
        <v>0</v>
      </c>
      <c r="BN24" s="779">
        <f t="shared" si="110"/>
        <v>0</v>
      </c>
      <c r="BO24" s="1049">
        <f t="shared" si="110"/>
        <v>0</v>
      </c>
      <c r="BP24" s="5"/>
      <c r="BQ24" s="5"/>
      <c r="BR24" s="5"/>
      <c r="BS24" s="5"/>
      <c r="BT24" s="5"/>
      <c r="BU24" s="5"/>
      <c r="BV24" s="5"/>
    </row>
    <row r="25" spans="1:74" ht="13.8">
      <c r="C25" s="419" t="str">
        <f>'6.1stYrOpBudget'!A25</f>
        <v>Vacancy Loss - Residential - Tenant Rents</v>
      </c>
      <c r="D25" s="124"/>
      <c r="E25" s="1058" t="s">
        <v>84</v>
      </c>
      <c r="F25" s="1058" t="s">
        <v>84</v>
      </c>
      <c r="G25" s="2343" t="s">
        <v>212</v>
      </c>
      <c r="H25" s="776">
        <f>'6.1stYrOpBudget'!D25</f>
        <v>0</v>
      </c>
      <c r="I25" s="776">
        <f>'6.1stYrOpBudget'!E25</f>
        <v>0</v>
      </c>
      <c r="J25" s="178">
        <f>'6.1stYrOpBudget'!F25</f>
        <v>0</v>
      </c>
      <c r="K25" s="800">
        <f t="shared" ref="K25:AP25" si="111">-0.05*K9</f>
        <v>0</v>
      </c>
      <c r="L25" s="800">
        <f t="shared" si="111"/>
        <v>0</v>
      </c>
      <c r="M25" s="66">
        <f t="shared" si="111"/>
        <v>0</v>
      </c>
      <c r="N25" s="800">
        <f t="shared" si="111"/>
        <v>0</v>
      </c>
      <c r="O25" s="800">
        <f t="shared" si="111"/>
        <v>0</v>
      </c>
      <c r="P25" s="66">
        <f t="shared" si="111"/>
        <v>0</v>
      </c>
      <c r="Q25" s="800">
        <f t="shared" si="111"/>
        <v>0</v>
      </c>
      <c r="R25" s="800">
        <f t="shared" si="111"/>
        <v>0</v>
      </c>
      <c r="S25" s="66">
        <f t="shared" si="111"/>
        <v>0</v>
      </c>
      <c r="T25" s="800">
        <f t="shared" si="111"/>
        <v>0</v>
      </c>
      <c r="U25" s="800">
        <f t="shared" si="111"/>
        <v>0</v>
      </c>
      <c r="V25" s="66">
        <f t="shared" si="111"/>
        <v>0</v>
      </c>
      <c r="W25" s="800">
        <f t="shared" si="111"/>
        <v>0</v>
      </c>
      <c r="X25" s="800">
        <f t="shared" si="111"/>
        <v>0</v>
      </c>
      <c r="Y25" s="66">
        <f t="shared" si="111"/>
        <v>0</v>
      </c>
      <c r="Z25" s="800">
        <f t="shared" si="111"/>
        <v>0</v>
      </c>
      <c r="AA25" s="800">
        <f t="shared" si="111"/>
        <v>0</v>
      </c>
      <c r="AB25" s="66">
        <f t="shared" si="111"/>
        <v>0</v>
      </c>
      <c r="AC25" s="800">
        <f t="shared" si="111"/>
        <v>0</v>
      </c>
      <c r="AD25" s="800">
        <f t="shared" si="111"/>
        <v>0</v>
      </c>
      <c r="AE25" s="66">
        <f t="shared" si="111"/>
        <v>0</v>
      </c>
      <c r="AF25" s="800">
        <f t="shared" si="111"/>
        <v>0</v>
      </c>
      <c r="AG25" s="800">
        <f t="shared" si="111"/>
        <v>0</v>
      </c>
      <c r="AH25" s="66">
        <f t="shared" si="111"/>
        <v>0</v>
      </c>
      <c r="AI25" s="800">
        <f t="shared" si="111"/>
        <v>0</v>
      </c>
      <c r="AJ25" s="800">
        <f t="shared" si="111"/>
        <v>0</v>
      </c>
      <c r="AK25" s="66">
        <f t="shared" si="111"/>
        <v>0</v>
      </c>
      <c r="AL25" s="800">
        <f t="shared" si="111"/>
        <v>0</v>
      </c>
      <c r="AM25" s="800">
        <f t="shared" si="111"/>
        <v>0</v>
      </c>
      <c r="AN25" s="66">
        <f t="shared" si="111"/>
        <v>0</v>
      </c>
      <c r="AO25" s="800">
        <f t="shared" si="111"/>
        <v>0</v>
      </c>
      <c r="AP25" s="800">
        <f t="shared" si="111"/>
        <v>0</v>
      </c>
      <c r="AQ25" s="66">
        <f t="shared" ref="AQ25:BO25" si="112">-0.05*AQ9</f>
        <v>0</v>
      </c>
      <c r="AR25" s="800">
        <f t="shared" si="112"/>
        <v>0</v>
      </c>
      <c r="AS25" s="800">
        <f t="shared" si="112"/>
        <v>0</v>
      </c>
      <c r="AT25" s="66">
        <f t="shared" si="112"/>
        <v>0</v>
      </c>
      <c r="AU25" s="800">
        <f t="shared" si="112"/>
        <v>0</v>
      </c>
      <c r="AV25" s="800">
        <f t="shared" si="112"/>
        <v>0</v>
      </c>
      <c r="AW25" s="66">
        <f t="shared" si="112"/>
        <v>0</v>
      </c>
      <c r="AX25" s="800">
        <f t="shared" si="112"/>
        <v>0</v>
      </c>
      <c r="AY25" s="800">
        <f t="shared" si="112"/>
        <v>0</v>
      </c>
      <c r="AZ25" s="66">
        <f t="shared" si="112"/>
        <v>0</v>
      </c>
      <c r="BA25" s="800">
        <f t="shared" si="112"/>
        <v>0</v>
      </c>
      <c r="BB25" s="800">
        <f t="shared" si="112"/>
        <v>0</v>
      </c>
      <c r="BC25" s="66">
        <f t="shared" si="112"/>
        <v>0</v>
      </c>
      <c r="BD25" s="800">
        <f t="shared" si="112"/>
        <v>0</v>
      </c>
      <c r="BE25" s="800">
        <f t="shared" si="112"/>
        <v>0</v>
      </c>
      <c r="BF25" s="66">
        <f t="shared" si="112"/>
        <v>0</v>
      </c>
      <c r="BG25" s="800">
        <f t="shared" si="112"/>
        <v>0</v>
      </c>
      <c r="BH25" s="800">
        <f t="shared" si="112"/>
        <v>0</v>
      </c>
      <c r="BI25" s="66">
        <f t="shared" si="112"/>
        <v>0</v>
      </c>
      <c r="BJ25" s="800">
        <f t="shared" si="112"/>
        <v>0</v>
      </c>
      <c r="BK25" s="800">
        <f t="shared" si="112"/>
        <v>0</v>
      </c>
      <c r="BL25" s="66">
        <f t="shared" si="112"/>
        <v>0</v>
      </c>
      <c r="BM25" s="800">
        <f t="shared" si="112"/>
        <v>0</v>
      </c>
      <c r="BN25" s="800">
        <f t="shared" si="112"/>
        <v>0</v>
      </c>
      <c r="BO25" s="66">
        <f t="shared" si="112"/>
        <v>0</v>
      </c>
      <c r="BP25" s="5"/>
      <c r="BQ25" s="5"/>
      <c r="BR25" s="5"/>
      <c r="BS25" s="5"/>
      <c r="BT25" s="5"/>
      <c r="BU25" s="5"/>
      <c r="BV25" s="5"/>
    </row>
    <row r="26" spans="1:74" ht="13.8">
      <c r="C26" s="419" t="str">
        <f>'6.1stYrOpBudget'!A26</f>
        <v>Vacancy Loss - Residential - Tenant Assistance Payments</v>
      </c>
      <c r="D26" s="124"/>
      <c r="E26" s="1060" t="s">
        <v>84</v>
      </c>
      <c r="F26" s="1058" t="s">
        <v>84</v>
      </c>
      <c r="G26" s="2344"/>
      <c r="H26" s="776">
        <f>'6.1stYrOpBudget'!D26</f>
        <v>0</v>
      </c>
      <c r="I26" s="776">
        <f>'6.1stYrOpBudget'!E26</f>
        <v>0</v>
      </c>
      <c r="J26" s="178">
        <f>'6.1stYrOpBudget'!F26</f>
        <v>0</v>
      </c>
      <c r="K26" s="800">
        <f t="shared" ref="K26:AP26" si="113">-0.05*K11</f>
        <v>0</v>
      </c>
      <c r="L26" s="800">
        <f t="shared" si="113"/>
        <v>0</v>
      </c>
      <c r="M26" s="66">
        <f t="shared" si="113"/>
        <v>0</v>
      </c>
      <c r="N26" s="800">
        <f t="shared" si="113"/>
        <v>0</v>
      </c>
      <c r="O26" s="800">
        <f t="shared" si="113"/>
        <v>0</v>
      </c>
      <c r="P26" s="66">
        <f t="shared" si="113"/>
        <v>0</v>
      </c>
      <c r="Q26" s="800">
        <f t="shared" si="113"/>
        <v>0</v>
      </c>
      <c r="R26" s="800">
        <f t="shared" si="113"/>
        <v>0</v>
      </c>
      <c r="S26" s="66">
        <f t="shared" si="113"/>
        <v>0</v>
      </c>
      <c r="T26" s="800">
        <f t="shared" si="113"/>
        <v>0</v>
      </c>
      <c r="U26" s="800">
        <f t="shared" si="113"/>
        <v>0</v>
      </c>
      <c r="V26" s="66">
        <f t="shared" si="113"/>
        <v>0</v>
      </c>
      <c r="W26" s="800">
        <f t="shared" si="113"/>
        <v>0</v>
      </c>
      <c r="X26" s="800">
        <f t="shared" si="113"/>
        <v>0</v>
      </c>
      <c r="Y26" s="66">
        <f t="shared" si="113"/>
        <v>0</v>
      </c>
      <c r="Z26" s="800">
        <f t="shared" si="113"/>
        <v>0</v>
      </c>
      <c r="AA26" s="800">
        <f t="shared" si="113"/>
        <v>0</v>
      </c>
      <c r="AB26" s="66">
        <f t="shared" si="113"/>
        <v>0</v>
      </c>
      <c r="AC26" s="800">
        <f t="shared" si="113"/>
        <v>0</v>
      </c>
      <c r="AD26" s="800">
        <f t="shared" si="113"/>
        <v>0</v>
      </c>
      <c r="AE26" s="66">
        <f t="shared" si="113"/>
        <v>0</v>
      </c>
      <c r="AF26" s="800">
        <f t="shared" si="113"/>
        <v>0</v>
      </c>
      <c r="AG26" s="800">
        <f t="shared" si="113"/>
        <v>0</v>
      </c>
      <c r="AH26" s="66">
        <f t="shared" si="113"/>
        <v>0</v>
      </c>
      <c r="AI26" s="800">
        <f t="shared" si="113"/>
        <v>0</v>
      </c>
      <c r="AJ26" s="800">
        <f t="shared" si="113"/>
        <v>0</v>
      </c>
      <c r="AK26" s="66">
        <f t="shared" si="113"/>
        <v>0</v>
      </c>
      <c r="AL26" s="800">
        <f t="shared" si="113"/>
        <v>0</v>
      </c>
      <c r="AM26" s="800">
        <f t="shared" si="113"/>
        <v>0</v>
      </c>
      <c r="AN26" s="66">
        <f t="shared" si="113"/>
        <v>0</v>
      </c>
      <c r="AO26" s="800">
        <f t="shared" si="113"/>
        <v>0</v>
      </c>
      <c r="AP26" s="800">
        <f t="shared" si="113"/>
        <v>0</v>
      </c>
      <c r="AQ26" s="66">
        <f t="shared" ref="AQ26:BO26" si="114">-0.05*AQ11</f>
        <v>0</v>
      </c>
      <c r="AR26" s="800">
        <f t="shared" si="114"/>
        <v>0</v>
      </c>
      <c r="AS26" s="800">
        <f t="shared" si="114"/>
        <v>0</v>
      </c>
      <c r="AT26" s="66">
        <f t="shared" si="114"/>
        <v>0</v>
      </c>
      <c r="AU26" s="800">
        <f t="shared" si="114"/>
        <v>0</v>
      </c>
      <c r="AV26" s="800">
        <f t="shared" si="114"/>
        <v>0</v>
      </c>
      <c r="AW26" s="66">
        <f t="shared" si="114"/>
        <v>0</v>
      </c>
      <c r="AX26" s="800">
        <f t="shared" si="114"/>
        <v>0</v>
      </c>
      <c r="AY26" s="800">
        <f t="shared" si="114"/>
        <v>0</v>
      </c>
      <c r="AZ26" s="66">
        <f t="shared" si="114"/>
        <v>0</v>
      </c>
      <c r="BA26" s="800">
        <f t="shared" si="114"/>
        <v>0</v>
      </c>
      <c r="BB26" s="800">
        <f t="shared" si="114"/>
        <v>0</v>
      </c>
      <c r="BC26" s="66">
        <f t="shared" si="114"/>
        <v>0</v>
      </c>
      <c r="BD26" s="800">
        <f t="shared" si="114"/>
        <v>0</v>
      </c>
      <c r="BE26" s="800">
        <f t="shared" si="114"/>
        <v>0</v>
      </c>
      <c r="BF26" s="66">
        <f t="shared" si="114"/>
        <v>0</v>
      </c>
      <c r="BG26" s="800">
        <f t="shared" si="114"/>
        <v>0</v>
      </c>
      <c r="BH26" s="800">
        <f t="shared" si="114"/>
        <v>0</v>
      </c>
      <c r="BI26" s="66">
        <f t="shared" si="114"/>
        <v>0</v>
      </c>
      <c r="BJ26" s="800">
        <f t="shared" si="114"/>
        <v>0</v>
      </c>
      <c r="BK26" s="800">
        <f t="shared" si="114"/>
        <v>0</v>
      </c>
      <c r="BL26" s="66">
        <f t="shared" si="114"/>
        <v>0</v>
      </c>
      <c r="BM26" s="800">
        <f t="shared" si="114"/>
        <v>0</v>
      </c>
      <c r="BN26" s="800">
        <f t="shared" si="114"/>
        <v>0</v>
      </c>
      <c r="BO26" s="66">
        <f t="shared" si="114"/>
        <v>0</v>
      </c>
      <c r="BP26" s="5"/>
      <c r="BQ26" s="5"/>
      <c r="BR26" s="5"/>
      <c r="BS26" s="5"/>
      <c r="BT26" s="5"/>
      <c r="BU26" s="5"/>
      <c r="BV26" s="5"/>
    </row>
    <row r="27" spans="1:74" ht="11.25" customHeight="1">
      <c r="C27" s="419" t="str">
        <f>'6.1stYrOpBudget'!A27</f>
        <v>Vacancy Loss - Commercial</v>
      </c>
      <c r="D27" s="124"/>
      <c r="E27" s="1060" t="s">
        <v>84</v>
      </c>
      <c r="F27" s="1058" t="s">
        <v>84</v>
      </c>
      <c r="G27" s="2345"/>
      <c r="H27" s="777"/>
      <c r="I27" s="777"/>
      <c r="J27" s="227">
        <f>'5.CommOp.Budget'!E15*'5.CommOp.Budget'!$C$2</f>
        <v>0</v>
      </c>
      <c r="K27" s="777"/>
      <c r="L27" s="777"/>
      <c r="M27" s="227">
        <f>'5.CommOp.Budget'!F15*'5.CommOp.Budget'!$C$2</f>
        <v>0</v>
      </c>
      <c r="N27" s="777"/>
      <c r="O27" s="777"/>
      <c r="P27" s="227">
        <f>'5.CommOp.Budget'!G15*'5.CommOp.Budget'!$C$2</f>
        <v>0</v>
      </c>
      <c r="Q27" s="777"/>
      <c r="R27" s="777"/>
      <c r="S27" s="227">
        <f>'5.CommOp.Budget'!H15*'5.CommOp.Budget'!$C$2</f>
        <v>0</v>
      </c>
      <c r="T27" s="777"/>
      <c r="U27" s="777"/>
      <c r="V27" s="227">
        <f>'5.CommOp.Budget'!I15*'5.CommOp.Budget'!$C$2</f>
        <v>0</v>
      </c>
      <c r="W27" s="777"/>
      <c r="X27" s="777"/>
      <c r="Y27" s="227">
        <f>'5.CommOp.Budget'!J15*'5.CommOp.Budget'!$C$2</f>
        <v>0</v>
      </c>
      <c r="Z27" s="777"/>
      <c r="AA27" s="777"/>
      <c r="AB27" s="227">
        <f>'5.CommOp.Budget'!K15*'5.CommOp.Budget'!$C$2</f>
        <v>0</v>
      </c>
      <c r="AC27" s="777"/>
      <c r="AD27" s="777"/>
      <c r="AE27" s="227">
        <f>'5.CommOp.Budget'!L15*'5.CommOp.Budget'!$C$2</f>
        <v>0</v>
      </c>
      <c r="AF27" s="777"/>
      <c r="AG27" s="777"/>
      <c r="AH27" s="227">
        <f>'5.CommOp.Budget'!M15*'5.CommOp.Budget'!$C$2</f>
        <v>0</v>
      </c>
      <c r="AI27" s="777"/>
      <c r="AJ27" s="777"/>
      <c r="AK27" s="227">
        <f>'5.CommOp.Budget'!N15*'5.CommOp.Budget'!$C$2</f>
        <v>0</v>
      </c>
      <c r="AL27" s="777"/>
      <c r="AM27" s="777"/>
      <c r="AN27" s="227">
        <f>'5.CommOp.Budget'!O15*'5.CommOp.Budget'!$C$2</f>
        <v>0</v>
      </c>
      <c r="AO27" s="777"/>
      <c r="AP27" s="777"/>
      <c r="AQ27" s="227">
        <f>'5.CommOp.Budget'!P15*'5.CommOp.Budget'!$C$2</f>
        <v>0</v>
      </c>
      <c r="AR27" s="777"/>
      <c r="AS27" s="777"/>
      <c r="AT27" s="227">
        <f>'5.CommOp.Budget'!Q15*'5.CommOp.Budget'!$C$2</f>
        <v>0</v>
      </c>
      <c r="AU27" s="777"/>
      <c r="AV27" s="777"/>
      <c r="AW27" s="227">
        <f>'5.CommOp.Budget'!R15*'5.CommOp.Budget'!$C$2</f>
        <v>0</v>
      </c>
      <c r="AX27" s="777"/>
      <c r="AY27" s="777"/>
      <c r="AZ27" s="227">
        <f>'5.CommOp.Budget'!S15*'5.CommOp.Budget'!$C$2</f>
        <v>0</v>
      </c>
      <c r="BA27" s="777"/>
      <c r="BB27" s="777"/>
      <c r="BC27" s="227">
        <f>'5.CommOp.Budget'!T15*'5.CommOp.Budget'!$C$2</f>
        <v>0</v>
      </c>
      <c r="BD27" s="777"/>
      <c r="BE27" s="777"/>
      <c r="BF27" s="227">
        <f>'5.CommOp.Budget'!U15*'5.CommOp.Budget'!$C$2</f>
        <v>0</v>
      </c>
      <c r="BG27" s="777"/>
      <c r="BH27" s="777"/>
      <c r="BI27" s="227">
        <f>'5.CommOp.Budget'!V15*'5.CommOp.Budget'!$C$2</f>
        <v>0</v>
      </c>
      <c r="BJ27" s="777"/>
      <c r="BK27" s="777"/>
      <c r="BL27" s="227">
        <f>'5.CommOp.Budget'!W15*'5.CommOp.Budget'!$C$2</f>
        <v>0</v>
      </c>
      <c r="BM27" s="777"/>
      <c r="BN27" s="777"/>
      <c r="BO27" s="227">
        <f>'5.CommOp.Budget'!X15*'5.CommOp.Budget'!$C$2</f>
        <v>0</v>
      </c>
      <c r="BP27" s="5"/>
      <c r="BQ27" s="5"/>
      <c r="BR27" s="5"/>
      <c r="BS27" s="5"/>
      <c r="BT27" s="5"/>
      <c r="BU27" s="5"/>
      <c r="BV27" s="5"/>
    </row>
    <row r="28" spans="1:74" ht="14.4">
      <c r="C28" s="1082" t="str">
        <f>'6.1stYrOpBudget'!B28</f>
        <v>EFFECTIVE GROSS INCOME</v>
      </c>
      <c r="D28" s="126"/>
      <c r="E28" s="126"/>
      <c r="F28" s="126"/>
      <c r="G28" s="21"/>
      <c r="H28" s="235">
        <f>'6.1stYrOpBudget'!D28</f>
        <v>0</v>
      </c>
      <c r="I28" s="235">
        <f>'6.1stYrOpBudget'!E28</f>
        <v>0</v>
      </c>
      <c r="J28" s="175">
        <f>'6.1stYrOpBudget'!F28</f>
        <v>0</v>
      </c>
      <c r="K28" s="235">
        <f>K24+K25+K26+K27</f>
        <v>0</v>
      </c>
      <c r="L28" s="235">
        <f>L24+L25+L26+L27</f>
        <v>0</v>
      </c>
      <c r="M28" s="175">
        <f>M24+M25+M26+M27</f>
        <v>0</v>
      </c>
      <c r="N28" s="235">
        <f t="shared" ref="N28:BO28" si="115">N24+N25+N26+N27</f>
        <v>0</v>
      </c>
      <c r="O28" s="235">
        <f t="shared" si="115"/>
        <v>0</v>
      </c>
      <c r="P28" s="175">
        <f t="shared" si="115"/>
        <v>0</v>
      </c>
      <c r="Q28" s="235">
        <f t="shared" si="115"/>
        <v>0</v>
      </c>
      <c r="R28" s="235">
        <f t="shared" si="115"/>
        <v>0</v>
      </c>
      <c r="S28" s="175">
        <f t="shared" si="115"/>
        <v>0</v>
      </c>
      <c r="T28" s="235">
        <f t="shared" si="115"/>
        <v>0</v>
      </c>
      <c r="U28" s="235">
        <f t="shared" si="115"/>
        <v>0</v>
      </c>
      <c r="V28" s="175">
        <f t="shared" si="115"/>
        <v>0</v>
      </c>
      <c r="W28" s="235">
        <f t="shared" si="115"/>
        <v>0</v>
      </c>
      <c r="X28" s="235">
        <f t="shared" si="115"/>
        <v>0</v>
      </c>
      <c r="Y28" s="175">
        <f t="shared" si="115"/>
        <v>0</v>
      </c>
      <c r="Z28" s="235">
        <f t="shared" si="115"/>
        <v>0</v>
      </c>
      <c r="AA28" s="235">
        <f t="shared" si="115"/>
        <v>0</v>
      </c>
      <c r="AB28" s="175">
        <f t="shared" si="115"/>
        <v>0</v>
      </c>
      <c r="AC28" s="235">
        <f t="shared" si="115"/>
        <v>0</v>
      </c>
      <c r="AD28" s="235">
        <f t="shared" si="115"/>
        <v>0</v>
      </c>
      <c r="AE28" s="175">
        <f t="shared" si="115"/>
        <v>0</v>
      </c>
      <c r="AF28" s="235">
        <f t="shared" si="115"/>
        <v>0</v>
      </c>
      <c r="AG28" s="235">
        <f t="shared" si="115"/>
        <v>0</v>
      </c>
      <c r="AH28" s="175">
        <f t="shared" si="115"/>
        <v>0</v>
      </c>
      <c r="AI28" s="235">
        <f t="shared" si="115"/>
        <v>0</v>
      </c>
      <c r="AJ28" s="235">
        <f t="shared" si="115"/>
        <v>0</v>
      </c>
      <c r="AK28" s="175">
        <f t="shared" si="115"/>
        <v>0</v>
      </c>
      <c r="AL28" s="235">
        <f t="shared" si="115"/>
        <v>0</v>
      </c>
      <c r="AM28" s="235">
        <f t="shared" si="115"/>
        <v>0</v>
      </c>
      <c r="AN28" s="175">
        <f t="shared" si="115"/>
        <v>0</v>
      </c>
      <c r="AO28" s="235">
        <f t="shared" si="115"/>
        <v>0</v>
      </c>
      <c r="AP28" s="235">
        <f t="shared" si="115"/>
        <v>0</v>
      </c>
      <c r="AQ28" s="175">
        <f t="shared" si="115"/>
        <v>0</v>
      </c>
      <c r="AR28" s="235">
        <f t="shared" si="115"/>
        <v>0</v>
      </c>
      <c r="AS28" s="235">
        <f t="shared" si="115"/>
        <v>0</v>
      </c>
      <c r="AT28" s="175">
        <f t="shared" si="115"/>
        <v>0</v>
      </c>
      <c r="AU28" s="235">
        <f t="shared" si="115"/>
        <v>0</v>
      </c>
      <c r="AV28" s="235">
        <f t="shared" si="115"/>
        <v>0</v>
      </c>
      <c r="AW28" s="175">
        <f t="shared" si="115"/>
        <v>0</v>
      </c>
      <c r="AX28" s="235">
        <f t="shared" si="115"/>
        <v>0</v>
      </c>
      <c r="AY28" s="235">
        <f t="shared" si="115"/>
        <v>0</v>
      </c>
      <c r="AZ28" s="175">
        <f t="shared" si="115"/>
        <v>0</v>
      </c>
      <c r="BA28" s="235">
        <f t="shared" si="115"/>
        <v>0</v>
      </c>
      <c r="BB28" s="235">
        <f t="shared" si="115"/>
        <v>0</v>
      </c>
      <c r="BC28" s="175">
        <f t="shared" si="115"/>
        <v>0</v>
      </c>
      <c r="BD28" s="235">
        <f t="shared" si="115"/>
        <v>0</v>
      </c>
      <c r="BE28" s="235">
        <f t="shared" si="115"/>
        <v>0</v>
      </c>
      <c r="BF28" s="175">
        <f t="shared" si="115"/>
        <v>0</v>
      </c>
      <c r="BG28" s="235">
        <f t="shared" si="115"/>
        <v>0</v>
      </c>
      <c r="BH28" s="235">
        <f t="shared" si="115"/>
        <v>0</v>
      </c>
      <c r="BI28" s="175">
        <f t="shared" si="115"/>
        <v>0</v>
      </c>
      <c r="BJ28" s="235">
        <f t="shared" si="115"/>
        <v>0</v>
      </c>
      <c r="BK28" s="235">
        <f t="shared" si="115"/>
        <v>0</v>
      </c>
      <c r="BL28" s="175">
        <f t="shared" si="115"/>
        <v>0</v>
      </c>
      <c r="BM28" s="235">
        <f t="shared" si="115"/>
        <v>0</v>
      </c>
      <c r="BN28" s="235">
        <f t="shared" si="115"/>
        <v>0</v>
      </c>
      <c r="BO28" s="175">
        <f t="shared" si="115"/>
        <v>0</v>
      </c>
      <c r="BP28" s="5"/>
      <c r="BQ28" s="5"/>
      <c r="BR28" s="5"/>
      <c r="BS28" s="5"/>
      <c r="BT28" s="5"/>
      <c r="BU28" s="5"/>
      <c r="BV28" s="5"/>
    </row>
    <row r="29" spans="1:74" ht="3" customHeight="1">
      <c r="C29" s="128"/>
      <c r="D29" s="124"/>
      <c r="E29" s="124"/>
      <c r="F29" s="124"/>
      <c r="G29" s="21"/>
      <c r="H29" s="236"/>
      <c r="I29" s="236"/>
      <c r="J29" s="125"/>
      <c r="K29" s="236"/>
      <c r="L29" s="236"/>
      <c r="M29" s="125"/>
      <c r="N29" s="236"/>
      <c r="O29" s="236"/>
      <c r="P29" s="125"/>
      <c r="Q29" s="236"/>
      <c r="R29" s="236"/>
      <c r="S29" s="125"/>
      <c r="T29" s="236"/>
      <c r="U29" s="236"/>
      <c r="V29" s="125"/>
      <c r="W29" s="236"/>
      <c r="X29" s="236"/>
      <c r="Y29" s="125"/>
      <c r="Z29" s="236"/>
      <c r="AA29" s="236"/>
      <c r="AB29" s="125"/>
      <c r="AC29" s="236"/>
      <c r="AD29" s="236"/>
      <c r="AE29" s="125"/>
      <c r="AF29" s="236"/>
      <c r="AG29" s="236"/>
      <c r="AH29" s="125"/>
      <c r="AI29" s="236"/>
      <c r="AJ29" s="236"/>
      <c r="AK29" s="125"/>
      <c r="AL29" s="236"/>
      <c r="AM29" s="236"/>
      <c r="AN29" s="125"/>
      <c r="AO29" s="236"/>
      <c r="AP29" s="236"/>
      <c r="AQ29" s="125"/>
      <c r="AR29" s="236"/>
      <c r="AS29" s="236"/>
      <c r="AT29" s="125"/>
      <c r="AU29" s="236"/>
      <c r="AV29" s="236"/>
      <c r="AW29" s="125"/>
      <c r="AX29" s="236"/>
      <c r="AY29" s="236"/>
      <c r="AZ29" s="125"/>
      <c r="BA29" s="236"/>
      <c r="BB29" s="236"/>
      <c r="BC29" s="125"/>
      <c r="BD29" s="236"/>
      <c r="BE29" s="236"/>
      <c r="BF29" s="125"/>
      <c r="BG29" s="236"/>
      <c r="BH29" s="236"/>
      <c r="BI29" s="125"/>
      <c r="BJ29" s="236"/>
      <c r="BK29" s="236"/>
      <c r="BL29" s="125"/>
      <c r="BM29" s="236"/>
      <c r="BN29" s="236"/>
      <c r="BO29" s="125"/>
      <c r="BP29" s="5"/>
      <c r="BQ29" s="5"/>
      <c r="BR29" s="5"/>
      <c r="BS29" s="5"/>
      <c r="BT29" s="5"/>
      <c r="BU29" s="5"/>
      <c r="BV29" s="5"/>
    </row>
    <row r="30" spans="1:74" ht="13.8">
      <c r="A30" s="820" t="s">
        <v>695</v>
      </c>
      <c r="B30" s="820"/>
      <c r="C30" s="319" t="str">
        <f>'6.1stYrOpBudget'!A30</f>
        <v>OPERATING EXPENSES</v>
      </c>
      <c r="D30" s="120"/>
      <c r="E30" s="120"/>
      <c r="F30" s="120"/>
      <c r="G30" s="21"/>
      <c r="H30" s="236"/>
      <c r="I30" s="236"/>
      <c r="J30" s="125"/>
      <c r="K30" s="236"/>
      <c r="L30" s="236"/>
      <c r="M30" s="125"/>
      <c r="N30" s="236"/>
      <c r="O30" s="236"/>
      <c r="P30" s="125"/>
      <c r="Q30" s="236"/>
      <c r="R30" s="236"/>
      <c r="S30" s="125"/>
      <c r="T30" s="236"/>
      <c r="U30" s="236"/>
      <c r="V30" s="125"/>
      <c r="W30" s="236"/>
      <c r="X30" s="236"/>
      <c r="Y30" s="125"/>
      <c r="Z30" s="236"/>
      <c r="AA30" s="236"/>
      <c r="AB30" s="125"/>
      <c r="AC30" s="236"/>
      <c r="AD30" s="236"/>
      <c r="AE30" s="125"/>
      <c r="AF30" s="236"/>
      <c r="AG30" s="236"/>
      <c r="AH30" s="125"/>
      <c r="AI30" s="236"/>
      <c r="AJ30" s="236"/>
      <c r="AK30" s="125"/>
      <c r="AL30" s="236"/>
      <c r="AM30" s="236"/>
      <c r="AN30" s="125"/>
      <c r="AO30" s="236"/>
      <c r="AP30" s="236"/>
      <c r="AQ30" s="125"/>
      <c r="AR30" s="236"/>
      <c r="AS30" s="236"/>
      <c r="AT30" s="125"/>
      <c r="AU30" s="236"/>
      <c r="AV30" s="236"/>
      <c r="AW30" s="125"/>
      <c r="AX30" s="236"/>
      <c r="AY30" s="236"/>
      <c r="AZ30" s="125"/>
      <c r="BA30" s="236"/>
      <c r="BB30" s="236"/>
      <c r="BC30" s="125"/>
      <c r="BD30" s="236"/>
      <c r="BE30" s="236"/>
      <c r="BF30" s="125"/>
      <c r="BG30" s="236"/>
      <c r="BH30" s="236"/>
      <c r="BI30" s="125"/>
      <c r="BJ30" s="236"/>
      <c r="BK30" s="236"/>
      <c r="BL30" s="125"/>
      <c r="BM30" s="236"/>
      <c r="BN30" s="236"/>
      <c r="BO30" s="125"/>
      <c r="BP30" s="5"/>
      <c r="BQ30" s="5"/>
      <c r="BR30" s="5"/>
      <c r="BS30" s="5"/>
      <c r="BT30" s="5"/>
      <c r="BU30" s="5"/>
      <c r="BV30" s="5"/>
    </row>
    <row r="31" spans="1:74" ht="13.8">
      <c r="A31" s="761" t="s">
        <v>319</v>
      </c>
      <c r="B31" s="761" t="s">
        <v>610</v>
      </c>
      <c r="C31" s="319" t="str">
        <f>'6.1stYrOpBudget'!A31</f>
        <v>Management</v>
      </c>
      <c r="D31" s="133"/>
      <c r="E31" s="133"/>
      <c r="F31" s="133"/>
      <c r="G31" s="21"/>
      <c r="H31" s="236"/>
      <c r="I31" s="236"/>
      <c r="J31" s="125"/>
      <c r="K31" s="236"/>
      <c r="L31" s="236"/>
      <c r="M31" s="125"/>
      <c r="N31" s="236"/>
      <c r="O31" s="236"/>
      <c r="P31" s="125"/>
      <c r="Q31" s="236"/>
      <c r="R31" s="236"/>
      <c r="S31" s="125"/>
      <c r="T31" s="236"/>
      <c r="U31" s="236"/>
      <c r="V31" s="125"/>
      <c r="W31" s="236"/>
      <c r="X31" s="236"/>
      <c r="Y31" s="125"/>
      <c r="Z31" s="236"/>
      <c r="AA31" s="236"/>
      <c r="AB31" s="125"/>
      <c r="AC31" s="236"/>
      <c r="AD31" s="236"/>
      <c r="AE31" s="125"/>
      <c r="AF31" s="236"/>
      <c r="AG31" s="236"/>
      <c r="AH31" s="125"/>
      <c r="AI31" s="236"/>
      <c r="AJ31" s="236"/>
      <c r="AK31" s="125"/>
      <c r="AL31" s="236"/>
      <c r="AM31" s="236"/>
      <c r="AN31" s="125"/>
      <c r="AO31" s="236"/>
      <c r="AP31" s="236"/>
      <c r="AQ31" s="125"/>
      <c r="AR31" s="236"/>
      <c r="AS31" s="236"/>
      <c r="AT31" s="125"/>
      <c r="AU31" s="236"/>
      <c r="AV31" s="236"/>
      <c r="AW31" s="125"/>
      <c r="AX31" s="236"/>
      <c r="AY31" s="236"/>
      <c r="AZ31" s="125"/>
      <c r="BA31" s="236"/>
      <c r="BB31" s="236"/>
      <c r="BC31" s="125"/>
      <c r="BD31" s="236"/>
      <c r="BE31" s="236"/>
      <c r="BF31" s="125"/>
      <c r="BG31" s="236"/>
      <c r="BH31" s="236"/>
      <c r="BI31" s="125"/>
      <c r="BJ31" s="236"/>
      <c r="BK31" s="236"/>
      <c r="BL31" s="125"/>
      <c r="BM31" s="236"/>
      <c r="BN31" s="236"/>
      <c r="BO31" s="125"/>
      <c r="BP31" s="5"/>
      <c r="BQ31" s="5"/>
      <c r="BR31" s="5"/>
      <c r="BS31" s="5"/>
      <c r="BT31" s="5"/>
      <c r="BU31" s="5"/>
      <c r="BV31" s="5"/>
    </row>
    <row r="32" spans="1:74" ht="23.4">
      <c r="A32" s="729" t="str">
        <f>IF('6.1stYrOpBudget'!K32&lt;&gt;"",'6.1stYrOpBudget'!K32,"")</f>
        <v/>
      </c>
      <c r="B32" s="729" t="str">
        <f>'6.1stYrOpBudget'!L32</f>
        <v/>
      </c>
      <c r="C32" s="144" t="str">
        <f>'6.1stYrOpBudget'!A32</f>
        <v>Management Fee</v>
      </c>
      <c r="D32" s="1064">
        <v>6320</v>
      </c>
      <c r="E32" s="1058">
        <f>F32</f>
        <v>3.5000000000000003E-2</v>
      </c>
      <c r="F32" s="1056">
        <v>3.5000000000000003E-2</v>
      </c>
      <c r="G32" s="64" t="s">
        <v>729</v>
      </c>
      <c r="H32" s="776">
        <f>'6.1stYrOpBudget'!D32</f>
        <v>0</v>
      </c>
      <c r="I32" s="776">
        <f>'6.1stYrOpBudget'!E32</f>
        <v>0</v>
      </c>
      <c r="J32" s="178">
        <f>'6.1stYrOpBudget'!F32</f>
        <v>0</v>
      </c>
      <c r="K32" s="793">
        <f>IF($A32&lt;&gt;"",$A32*M32,$E$7*M32)</f>
        <v>0</v>
      </c>
      <c r="L32" s="776">
        <f>M32-K32</f>
        <v>0</v>
      </c>
      <c r="M32" s="178">
        <f>J32*(1+$F32)</f>
        <v>0</v>
      </c>
      <c r="N32" s="793">
        <f>IF($A32&lt;&gt;"",$A32*P32,$E$7*P32)</f>
        <v>0</v>
      </c>
      <c r="O32" s="776">
        <f>P32-N32</f>
        <v>0</v>
      </c>
      <c r="P32" s="178">
        <f>M32*(1+$F32)</f>
        <v>0</v>
      </c>
      <c r="Q32" s="793">
        <f>IF($A32&lt;&gt;"",$A32*S32,$E$7*S32)</f>
        <v>0</v>
      </c>
      <c r="R32" s="776">
        <f>S32-Q32</f>
        <v>0</v>
      </c>
      <c r="S32" s="178">
        <f>P32*(1+$F32)</f>
        <v>0</v>
      </c>
      <c r="T32" s="793">
        <f>IF($A32&lt;&gt;"",$A32*V32,$E$7*V32)</f>
        <v>0</v>
      </c>
      <c r="U32" s="776">
        <f>V32-T32</f>
        <v>0</v>
      </c>
      <c r="V32" s="178">
        <f>S32*(1+$F32)</f>
        <v>0</v>
      </c>
      <c r="W32" s="793">
        <f>IF($A32&lt;&gt;"",$A32*Y32,$E$7*Y32)</f>
        <v>0</v>
      </c>
      <c r="X32" s="776">
        <f>Y32-W32</f>
        <v>0</v>
      </c>
      <c r="Y32" s="178">
        <f>V32*(1+$F32)</f>
        <v>0</v>
      </c>
      <c r="Z32" s="793">
        <f>IF($A32&lt;&gt;"",$A32*AB32,$E$7*AB32)</f>
        <v>0</v>
      </c>
      <c r="AA32" s="776">
        <f>AB32-Z32</f>
        <v>0</v>
      </c>
      <c r="AB32" s="178">
        <f>Y32*(1+$F32)</f>
        <v>0</v>
      </c>
      <c r="AC32" s="793">
        <f>IF($A32&lt;&gt;"",$A32*AE32,$E$7*AE32)</f>
        <v>0</v>
      </c>
      <c r="AD32" s="776">
        <f>AE32-AC32</f>
        <v>0</v>
      </c>
      <c r="AE32" s="178">
        <f>AB32*(1+$F32)</f>
        <v>0</v>
      </c>
      <c r="AF32" s="793">
        <f>IF($A32&lt;&gt;"",$A32*AH32,$E$7*AH32)</f>
        <v>0</v>
      </c>
      <c r="AG32" s="776">
        <f>AH32-AF32</f>
        <v>0</v>
      </c>
      <c r="AH32" s="178">
        <f>AE32*(1+$F32)</f>
        <v>0</v>
      </c>
      <c r="AI32" s="793">
        <f>IF($A32&lt;&gt;"",$A32*AK32,$E$7*AK32)</f>
        <v>0</v>
      </c>
      <c r="AJ32" s="776">
        <f>AK32-AI32</f>
        <v>0</v>
      </c>
      <c r="AK32" s="178">
        <f>AH32*(1+$F32)</f>
        <v>0</v>
      </c>
      <c r="AL32" s="793">
        <f>IF($A32&lt;&gt;"",$A32*AN32,$E$7*AN32)</f>
        <v>0</v>
      </c>
      <c r="AM32" s="776">
        <f>AN32-AL32</f>
        <v>0</v>
      </c>
      <c r="AN32" s="178">
        <f>AK32*(1+$F32)</f>
        <v>0</v>
      </c>
      <c r="AO32" s="793">
        <f>IF($A32&lt;&gt;"",$A32*AQ32,$E$7*AQ32)</f>
        <v>0</v>
      </c>
      <c r="AP32" s="776">
        <f>AQ32-AO32</f>
        <v>0</v>
      </c>
      <c r="AQ32" s="178">
        <f>AN32*(1+$F32)</f>
        <v>0</v>
      </c>
      <c r="AR32" s="793">
        <f>IF($A32&lt;&gt;"",$A32*AT32,$E$7*AT32)</f>
        <v>0</v>
      </c>
      <c r="AS32" s="776">
        <f>AT32-AR32</f>
        <v>0</v>
      </c>
      <c r="AT32" s="178">
        <f>AQ32*(1+$F32)</f>
        <v>0</v>
      </c>
      <c r="AU32" s="793">
        <f>IF($A32&lt;&gt;"",$A32*AW32,$E$7*AW32)</f>
        <v>0</v>
      </c>
      <c r="AV32" s="776">
        <f>AW32-AU32</f>
        <v>0</v>
      </c>
      <c r="AW32" s="178">
        <f>AT32*(1+$F32)</f>
        <v>0</v>
      </c>
      <c r="AX32" s="793">
        <f>IF($A32&lt;&gt;"",$A32*AZ32,$E$7*AZ32)</f>
        <v>0</v>
      </c>
      <c r="AY32" s="776">
        <f>AZ32-AX32</f>
        <v>0</v>
      </c>
      <c r="AZ32" s="178">
        <f>AW32*(1+$F32)</f>
        <v>0</v>
      </c>
      <c r="BA32" s="793">
        <f>IF($A32&lt;&gt;"",$A32*BC32,$E$7*BC32)</f>
        <v>0</v>
      </c>
      <c r="BB32" s="776">
        <f>BC32-BA32</f>
        <v>0</v>
      </c>
      <c r="BC32" s="178">
        <f>AZ32*(1+$F32)</f>
        <v>0</v>
      </c>
      <c r="BD32" s="793">
        <f>IF($A32&lt;&gt;"",$A32*BF32,$E$7*BF32)</f>
        <v>0</v>
      </c>
      <c r="BE32" s="776">
        <f>BF32-BD32</f>
        <v>0</v>
      </c>
      <c r="BF32" s="178">
        <f>BC32*(1+$F32)</f>
        <v>0</v>
      </c>
      <c r="BG32" s="793">
        <f>IF($A32&lt;&gt;"",$A32*BI32,$E$7*BI32)</f>
        <v>0</v>
      </c>
      <c r="BH32" s="776">
        <f>BI32-BG32</f>
        <v>0</v>
      </c>
      <c r="BI32" s="178">
        <f>BF32*(1+$F32)</f>
        <v>0</v>
      </c>
      <c r="BJ32" s="793">
        <f>IF($A32&lt;&gt;"",$A32*BL32,$E$7*BL32)</f>
        <v>0</v>
      </c>
      <c r="BK32" s="776">
        <f>BL32-BJ32</f>
        <v>0</v>
      </c>
      <c r="BL32" s="178">
        <f>BI32*(1+$F32)</f>
        <v>0</v>
      </c>
      <c r="BM32" s="793">
        <f>IF($A32&lt;&gt;"",$A32*BO32,$E$7*BO32)</f>
        <v>0</v>
      </c>
      <c r="BN32" s="776">
        <f>BO32-BM32</f>
        <v>0</v>
      </c>
      <c r="BO32" s="178">
        <f>BL32*(1+$F32)</f>
        <v>0</v>
      </c>
      <c r="BP32" s="343"/>
      <c r="BQ32" s="212"/>
      <c r="BR32" s="5"/>
      <c r="BS32" s="5"/>
      <c r="BT32" s="5"/>
      <c r="BU32" s="5"/>
      <c r="BV32" s="5"/>
    </row>
    <row r="33" spans="1:74" ht="13.8">
      <c r="A33" s="729" t="str">
        <f>IF('6.1stYrOpBudget'!K33&lt;&gt;"",'6.1stYrOpBudget'!K33,"")</f>
        <v/>
      </c>
      <c r="B33" s="729" t="str">
        <f>'6.1stYrOpBudget'!L33</f>
        <v/>
      </c>
      <c r="C33" s="144" t="str">
        <f>'6.1stYrOpBudget'!A33</f>
        <v>Asset Management Fee</v>
      </c>
      <c r="D33" s="1064"/>
      <c r="E33" s="1058">
        <f>F33</f>
        <v>3.5000000000000003E-2</v>
      </c>
      <c r="F33" s="1056">
        <v>3.5000000000000003E-2</v>
      </c>
      <c r="G33" s="106" t="s">
        <v>196</v>
      </c>
      <c r="H33" s="776">
        <f>'6.1stYrOpBudget'!D33</f>
        <v>0</v>
      </c>
      <c r="I33" s="776">
        <f>'6.1stYrOpBudget'!E33</f>
        <v>0</v>
      </c>
      <c r="J33" s="178">
        <f>'6.1stYrOpBudget'!F33</f>
        <v>0</v>
      </c>
      <c r="K33" s="793">
        <f>IF($A33&lt;&gt;"",$A33*M33,$E$7*M33)</f>
        <v>0</v>
      </c>
      <c r="L33" s="776">
        <f>M33-K33</f>
        <v>0</v>
      </c>
      <c r="M33" s="178">
        <f>J33*(1+$F33)</f>
        <v>0</v>
      </c>
      <c r="N33" s="793">
        <f>IF($A33&lt;&gt;"",$A33*P33,$E$7*P33)</f>
        <v>0</v>
      </c>
      <c r="O33" s="776">
        <f>P33-N33</f>
        <v>0</v>
      </c>
      <c r="P33" s="178">
        <f>M33*(1+$F33)</f>
        <v>0</v>
      </c>
      <c r="Q33" s="793">
        <f>IF($A33&lt;&gt;"",$A33*S33,$E$7*S33)</f>
        <v>0</v>
      </c>
      <c r="R33" s="776">
        <f>S33-Q33</f>
        <v>0</v>
      </c>
      <c r="S33" s="178">
        <f>P33*(1+$F33)</f>
        <v>0</v>
      </c>
      <c r="T33" s="793">
        <f>IF($A33&lt;&gt;"",$A33*V33,$E$7*V33)</f>
        <v>0</v>
      </c>
      <c r="U33" s="776">
        <f>V33-T33</f>
        <v>0</v>
      </c>
      <c r="V33" s="178">
        <f>S33*(1+$F33)</f>
        <v>0</v>
      </c>
      <c r="W33" s="793">
        <f>IF($A33&lt;&gt;"",$A33*Y33,$E$7*Y33)</f>
        <v>0</v>
      </c>
      <c r="X33" s="776">
        <f>Y33-W33</f>
        <v>0</v>
      </c>
      <c r="Y33" s="178">
        <f>V33*(1+$F33)</f>
        <v>0</v>
      </c>
      <c r="Z33" s="793">
        <f>IF($A33&lt;&gt;"",$A33*AB33,$E$7*AB33)</f>
        <v>0</v>
      </c>
      <c r="AA33" s="776">
        <f>AB33-Z33</f>
        <v>0</v>
      </c>
      <c r="AB33" s="178">
        <f>Y33*(1+$F33)</f>
        <v>0</v>
      </c>
      <c r="AC33" s="793">
        <f>IF($A33&lt;&gt;"",$A33*AE33,$E$7*AE33)</f>
        <v>0</v>
      </c>
      <c r="AD33" s="776">
        <f>AE33-AC33</f>
        <v>0</v>
      </c>
      <c r="AE33" s="178">
        <f>AB33*(1+$F33)</f>
        <v>0</v>
      </c>
      <c r="AF33" s="793">
        <f>IF($A33&lt;&gt;"",$A33*AH33,$E$7*AH33)</f>
        <v>0</v>
      </c>
      <c r="AG33" s="776">
        <f>AH33-AF33</f>
        <v>0</v>
      </c>
      <c r="AH33" s="178">
        <f>AE33*(1+$F33)</f>
        <v>0</v>
      </c>
      <c r="AI33" s="793">
        <f>IF($A33&lt;&gt;"",$A33*AK33,$E$7*AK33)</f>
        <v>0</v>
      </c>
      <c r="AJ33" s="776">
        <f>AK33-AI33</f>
        <v>0</v>
      </c>
      <c r="AK33" s="178">
        <f>AH33*(1+$F33)</f>
        <v>0</v>
      </c>
      <c r="AL33" s="793">
        <f>IF($A33&lt;&gt;"",$A33*AN33,$E$7*AN33)</f>
        <v>0</v>
      </c>
      <c r="AM33" s="776">
        <f>AN33-AL33</f>
        <v>0</v>
      </c>
      <c r="AN33" s="178">
        <f>AK33*(1+$F33)</f>
        <v>0</v>
      </c>
      <c r="AO33" s="793">
        <f>IF($A33&lt;&gt;"",$A33*AQ33,$E$7*AQ33)</f>
        <v>0</v>
      </c>
      <c r="AP33" s="776">
        <f>AQ33-AO33</f>
        <v>0</v>
      </c>
      <c r="AQ33" s="178">
        <f>AN33*(1+$F33)</f>
        <v>0</v>
      </c>
      <c r="AR33" s="793">
        <f>IF($A33&lt;&gt;"",$A33*AT33,$E$7*AT33)</f>
        <v>0</v>
      </c>
      <c r="AS33" s="776">
        <f>AT33-AR33</f>
        <v>0</v>
      </c>
      <c r="AT33" s="178">
        <f>AQ33*(1+$F33)</f>
        <v>0</v>
      </c>
      <c r="AU33" s="793">
        <f>IF($A33&lt;&gt;"",$A33*AW33,$E$7*AW33)</f>
        <v>0</v>
      </c>
      <c r="AV33" s="776">
        <f>AW33-AU33</f>
        <v>0</v>
      </c>
      <c r="AW33" s="178">
        <f>AT33*(1+$F33)</f>
        <v>0</v>
      </c>
      <c r="AX33" s="793">
        <f>IF($A33&lt;&gt;"",$A33*AZ33,$E$7*AZ33)</f>
        <v>0</v>
      </c>
      <c r="AY33" s="776">
        <f>AZ33-AX33</f>
        <v>0</v>
      </c>
      <c r="AZ33" s="178">
        <f>AW33*(1+$F33)</f>
        <v>0</v>
      </c>
      <c r="BA33" s="793">
        <f>IF($A33&lt;&gt;"",$A33*BC33,$E$7*BC33)</f>
        <v>0</v>
      </c>
      <c r="BB33" s="776">
        <f>BC33-BA33</f>
        <v>0</v>
      </c>
      <c r="BC33" s="178">
        <f>AZ33*(1+$F33)</f>
        <v>0</v>
      </c>
      <c r="BD33" s="793">
        <f>IF($A33&lt;&gt;"",$A33*BF33,$E$7*BF33)</f>
        <v>0</v>
      </c>
      <c r="BE33" s="776">
        <f>BF33-BD33</f>
        <v>0</v>
      </c>
      <c r="BF33" s="178">
        <f>BC33*(1+$F33)</f>
        <v>0</v>
      </c>
      <c r="BG33" s="793">
        <f>IF($A33&lt;&gt;"",$A33*BI33,$E$7*BI33)</f>
        <v>0</v>
      </c>
      <c r="BH33" s="776">
        <f>BI33-BG33</f>
        <v>0</v>
      </c>
      <c r="BI33" s="178">
        <f>BF33*(1+$F33)</f>
        <v>0</v>
      </c>
      <c r="BJ33" s="793">
        <f>IF($A33&lt;&gt;"",$A33*BL33,$E$7*BL33)</f>
        <v>0</v>
      </c>
      <c r="BK33" s="776">
        <f>BL33-BJ33</f>
        <v>0</v>
      </c>
      <c r="BL33" s="178">
        <f>BI33*(1+$F33)</f>
        <v>0</v>
      </c>
      <c r="BM33" s="793">
        <f>IF($A33&lt;&gt;"",$A33*BO33,$E$7*BO33)</f>
        <v>0</v>
      </c>
      <c r="BN33" s="776">
        <f>BO33-BM33</f>
        <v>0</v>
      </c>
      <c r="BO33" s="178">
        <f>BL33*(1+$F33)</f>
        <v>0</v>
      </c>
      <c r="BP33" s="5"/>
      <c r="BQ33" s="5"/>
      <c r="BR33" s="5"/>
      <c r="BS33" s="5"/>
      <c r="BT33" s="5"/>
      <c r="BU33" s="5"/>
      <c r="BV33" s="5"/>
    </row>
    <row r="34" spans="1:74" ht="14.4">
      <c r="C34" s="1082" t="str">
        <f>'6.1stYrOpBudget'!B34</f>
        <v>Sub-total Management Expenses</v>
      </c>
      <c r="D34" s="126"/>
      <c r="E34" s="126"/>
      <c r="F34" s="126"/>
      <c r="G34" s="21"/>
      <c r="H34" s="235">
        <f>'6.1stYrOpBudget'!D34</f>
        <v>0</v>
      </c>
      <c r="I34" s="235">
        <f>'6.1stYrOpBudget'!E34</f>
        <v>0</v>
      </c>
      <c r="J34" s="175">
        <f>'6.1stYrOpBudget'!F34</f>
        <v>0</v>
      </c>
      <c r="K34" s="235">
        <f t="shared" ref="K34:AP34" si="116">SUM(K32:K33)</f>
        <v>0</v>
      </c>
      <c r="L34" s="235">
        <f t="shared" si="116"/>
        <v>0</v>
      </c>
      <c r="M34" s="175">
        <f t="shared" si="116"/>
        <v>0</v>
      </c>
      <c r="N34" s="235">
        <f>SUM(N32:N33)</f>
        <v>0</v>
      </c>
      <c r="O34" s="235">
        <f t="shared" si="116"/>
        <v>0</v>
      </c>
      <c r="P34" s="175">
        <f t="shared" si="116"/>
        <v>0</v>
      </c>
      <c r="Q34" s="235">
        <f t="shared" si="116"/>
        <v>0</v>
      </c>
      <c r="R34" s="235">
        <f t="shared" si="116"/>
        <v>0</v>
      </c>
      <c r="S34" s="175">
        <f t="shared" si="116"/>
        <v>0</v>
      </c>
      <c r="T34" s="235">
        <f t="shared" si="116"/>
        <v>0</v>
      </c>
      <c r="U34" s="235">
        <f t="shared" si="116"/>
        <v>0</v>
      </c>
      <c r="V34" s="175">
        <f t="shared" si="116"/>
        <v>0</v>
      </c>
      <c r="W34" s="235">
        <f t="shared" si="116"/>
        <v>0</v>
      </c>
      <c r="X34" s="235">
        <f t="shared" si="116"/>
        <v>0</v>
      </c>
      <c r="Y34" s="175">
        <f t="shared" si="116"/>
        <v>0</v>
      </c>
      <c r="Z34" s="235">
        <f t="shared" si="116"/>
        <v>0</v>
      </c>
      <c r="AA34" s="235">
        <f t="shared" si="116"/>
        <v>0</v>
      </c>
      <c r="AB34" s="175">
        <f t="shared" si="116"/>
        <v>0</v>
      </c>
      <c r="AC34" s="235">
        <f t="shared" si="116"/>
        <v>0</v>
      </c>
      <c r="AD34" s="235">
        <f t="shared" si="116"/>
        <v>0</v>
      </c>
      <c r="AE34" s="175">
        <f t="shared" si="116"/>
        <v>0</v>
      </c>
      <c r="AF34" s="235">
        <f t="shared" si="116"/>
        <v>0</v>
      </c>
      <c r="AG34" s="235">
        <f t="shared" si="116"/>
        <v>0</v>
      </c>
      <c r="AH34" s="175">
        <f t="shared" si="116"/>
        <v>0</v>
      </c>
      <c r="AI34" s="235">
        <f t="shared" si="116"/>
        <v>0</v>
      </c>
      <c r="AJ34" s="235">
        <f t="shared" si="116"/>
        <v>0</v>
      </c>
      <c r="AK34" s="175">
        <f t="shared" si="116"/>
        <v>0</v>
      </c>
      <c r="AL34" s="235">
        <f t="shared" si="116"/>
        <v>0</v>
      </c>
      <c r="AM34" s="235">
        <f t="shared" si="116"/>
        <v>0</v>
      </c>
      <c r="AN34" s="175">
        <f t="shared" si="116"/>
        <v>0</v>
      </c>
      <c r="AO34" s="235">
        <f t="shared" si="116"/>
        <v>0</v>
      </c>
      <c r="AP34" s="235">
        <f t="shared" si="116"/>
        <v>0</v>
      </c>
      <c r="AQ34" s="175">
        <f t="shared" ref="AQ34:BO34" si="117">SUM(AQ32:AQ33)</f>
        <v>0</v>
      </c>
      <c r="AR34" s="235">
        <f>SUM(AR32:AR33)</f>
        <v>0</v>
      </c>
      <c r="AS34" s="235">
        <f t="shared" si="117"/>
        <v>0</v>
      </c>
      <c r="AT34" s="175">
        <f t="shared" si="117"/>
        <v>0</v>
      </c>
      <c r="AU34" s="235">
        <f>SUM(AU32:AU33)</f>
        <v>0</v>
      </c>
      <c r="AV34" s="235">
        <f t="shared" si="117"/>
        <v>0</v>
      </c>
      <c r="AW34" s="175">
        <f t="shared" si="117"/>
        <v>0</v>
      </c>
      <c r="AX34" s="235">
        <f>SUM(AX32:AX33)</f>
        <v>0</v>
      </c>
      <c r="AY34" s="235">
        <f t="shared" si="117"/>
        <v>0</v>
      </c>
      <c r="AZ34" s="175">
        <f t="shared" si="117"/>
        <v>0</v>
      </c>
      <c r="BA34" s="235">
        <f>SUM(BA32:BA33)</f>
        <v>0</v>
      </c>
      <c r="BB34" s="235">
        <f t="shared" si="117"/>
        <v>0</v>
      </c>
      <c r="BC34" s="175">
        <f t="shared" si="117"/>
        <v>0</v>
      </c>
      <c r="BD34" s="235">
        <f>SUM(BD32:BD33)</f>
        <v>0</v>
      </c>
      <c r="BE34" s="235">
        <f t="shared" si="117"/>
        <v>0</v>
      </c>
      <c r="BF34" s="175">
        <f t="shared" si="117"/>
        <v>0</v>
      </c>
      <c r="BG34" s="235">
        <f>SUM(BG32:BG33)</f>
        <v>0</v>
      </c>
      <c r="BH34" s="235">
        <f t="shared" si="117"/>
        <v>0</v>
      </c>
      <c r="BI34" s="175">
        <f t="shared" si="117"/>
        <v>0</v>
      </c>
      <c r="BJ34" s="235">
        <f>SUM(BJ32:BJ33)</f>
        <v>0</v>
      </c>
      <c r="BK34" s="235">
        <f t="shared" si="117"/>
        <v>0</v>
      </c>
      <c r="BL34" s="175">
        <f t="shared" si="117"/>
        <v>0</v>
      </c>
      <c r="BM34" s="235">
        <f>SUM(BM32:BM33)</f>
        <v>0</v>
      </c>
      <c r="BN34" s="235">
        <f t="shared" si="117"/>
        <v>0</v>
      </c>
      <c r="BO34" s="175">
        <f t="shared" si="117"/>
        <v>0</v>
      </c>
      <c r="BP34" s="5"/>
      <c r="BQ34" s="5"/>
      <c r="BR34" s="5"/>
      <c r="BS34" s="5"/>
      <c r="BT34" s="5"/>
      <c r="BU34" s="5"/>
      <c r="BV34" s="5"/>
    </row>
    <row r="35" spans="1:74" ht="13.8">
      <c r="C35" s="319" t="str">
        <f>'6.1stYrOpBudget'!A35</f>
        <v>Salaries/Benefits</v>
      </c>
      <c r="D35" s="133"/>
      <c r="E35" s="133"/>
      <c r="F35" s="133"/>
      <c r="G35" s="21"/>
      <c r="H35" s="236"/>
      <c r="I35" s="236"/>
      <c r="J35" s="125"/>
      <c r="K35" s="236"/>
      <c r="L35" s="236"/>
      <c r="M35" s="125"/>
      <c r="N35" s="236"/>
      <c r="O35" s="236"/>
      <c r="P35" s="125"/>
      <c r="Q35" s="236"/>
      <c r="R35" s="236"/>
      <c r="S35" s="125"/>
      <c r="T35" s="236"/>
      <c r="U35" s="236"/>
      <c r="V35" s="125"/>
      <c r="W35" s="236"/>
      <c r="X35" s="236"/>
      <c r="Y35" s="125"/>
      <c r="Z35" s="236"/>
      <c r="AA35" s="236"/>
      <c r="AB35" s="125"/>
      <c r="AC35" s="236"/>
      <c r="AD35" s="236"/>
      <c r="AE35" s="125"/>
      <c r="AF35" s="236"/>
      <c r="AG35" s="236"/>
      <c r="AH35" s="125"/>
      <c r="AI35" s="236"/>
      <c r="AJ35" s="236"/>
      <c r="AK35" s="125"/>
      <c r="AL35" s="236"/>
      <c r="AM35" s="236"/>
      <c r="AN35" s="125"/>
      <c r="AO35" s="236"/>
      <c r="AP35" s="236"/>
      <c r="AQ35" s="125"/>
      <c r="AR35" s="236"/>
      <c r="AS35" s="236"/>
      <c r="AT35" s="125"/>
      <c r="AU35" s="236"/>
      <c r="AV35" s="236"/>
      <c r="AW35" s="125"/>
      <c r="AX35" s="236"/>
      <c r="AY35" s="236"/>
      <c r="AZ35" s="125"/>
      <c r="BA35" s="236"/>
      <c r="BB35" s="236"/>
      <c r="BC35" s="125"/>
      <c r="BD35" s="236"/>
      <c r="BE35" s="236"/>
      <c r="BF35" s="125"/>
      <c r="BG35" s="236"/>
      <c r="BH35" s="236"/>
      <c r="BI35" s="125"/>
      <c r="BJ35" s="236"/>
      <c r="BK35" s="236"/>
      <c r="BL35" s="125"/>
      <c r="BM35" s="236"/>
      <c r="BN35" s="236"/>
      <c r="BO35" s="125"/>
      <c r="BP35" s="5"/>
      <c r="BQ35" s="5"/>
      <c r="BR35" s="5"/>
      <c r="BS35" s="5"/>
      <c r="BT35" s="5"/>
      <c r="BU35" s="5"/>
      <c r="BV35" s="5"/>
    </row>
    <row r="36" spans="1:74" ht="13.8">
      <c r="A36" s="729" t="str">
        <f>IF('6.1stYrOpBudget'!K36&lt;&gt;"",'6.1stYrOpBudget'!K36,"")</f>
        <v/>
      </c>
      <c r="B36" s="729" t="str">
        <f>'6.1stYrOpBudget'!L36</f>
        <v/>
      </c>
      <c r="C36" s="144" t="str">
        <f>'6.1stYrOpBudget'!A36</f>
        <v>Office Salaries</v>
      </c>
      <c r="D36" s="1064">
        <v>6310</v>
      </c>
      <c r="E36" s="1058">
        <f>F36</f>
        <v>3.5000000000000003E-2</v>
      </c>
      <c r="F36" s="1056">
        <v>3.5000000000000003E-2</v>
      </c>
      <c r="G36" s="64"/>
      <c r="H36" s="776">
        <f>'6.1stYrOpBudget'!D36</f>
        <v>0</v>
      </c>
      <c r="I36" s="776">
        <f>'6.1stYrOpBudget'!E36</f>
        <v>0</v>
      </c>
      <c r="J36" s="178">
        <f>'6.1stYrOpBudget'!F36</f>
        <v>0</v>
      </c>
      <c r="K36" s="793">
        <f>IF($A36&lt;&gt;"",$A36*M36,$E$7*M36)</f>
        <v>0</v>
      </c>
      <c r="L36" s="776">
        <f>M36-K36</f>
        <v>0</v>
      </c>
      <c r="M36" s="178">
        <f>J36*(1+$F36)</f>
        <v>0</v>
      </c>
      <c r="N36" s="793">
        <f>IF($A36&lt;&gt;"",$A36*P36,$E$7*P36)</f>
        <v>0</v>
      </c>
      <c r="O36" s="776">
        <f>P36-N36</f>
        <v>0</v>
      </c>
      <c r="P36" s="178">
        <f>M36*(1+$F36)</f>
        <v>0</v>
      </c>
      <c r="Q36" s="793">
        <f>IF($A36&lt;&gt;"",$A36*S36,$E$7*S36)</f>
        <v>0</v>
      </c>
      <c r="R36" s="776">
        <f>S36-Q36</f>
        <v>0</v>
      </c>
      <c r="S36" s="178">
        <f>P36*(1+$F36)</f>
        <v>0</v>
      </c>
      <c r="T36" s="793">
        <f>IF($A36&lt;&gt;"",$A36*V36,$E$7*V36)</f>
        <v>0</v>
      </c>
      <c r="U36" s="776">
        <f>V36-T36</f>
        <v>0</v>
      </c>
      <c r="V36" s="178">
        <f>S36*(1+$F36)</f>
        <v>0</v>
      </c>
      <c r="W36" s="793">
        <f>IF($A36&lt;&gt;"",$A36*Y36,$E$7*Y36)</f>
        <v>0</v>
      </c>
      <c r="X36" s="776">
        <f>Y36-W36</f>
        <v>0</v>
      </c>
      <c r="Y36" s="178">
        <f>V36*(1+$F36)</f>
        <v>0</v>
      </c>
      <c r="Z36" s="793">
        <f>IF($A36&lt;&gt;"",$A36*AB36,$E$7*AB36)</f>
        <v>0</v>
      </c>
      <c r="AA36" s="776">
        <f>AB36-Z36</f>
        <v>0</v>
      </c>
      <c r="AB36" s="178">
        <f>Y36*(1+$F36)</f>
        <v>0</v>
      </c>
      <c r="AC36" s="793">
        <f>IF($A36&lt;&gt;"",$A36*AE36,$E$7*AE36)</f>
        <v>0</v>
      </c>
      <c r="AD36" s="776">
        <f>AE36-AC36</f>
        <v>0</v>
      </c>
      <c r="AE36" s="178">
        <f>AB36*(1+$F36)</f>
        <v>0</v>
      </c>
      <c r="AF36" s="793">
        <f>IF($A36&lt;&gt;"",$A36*AH36,$E$7*AH36)</f>
        <v>0</v>
      </c>
      <c r="AG36" s="776">
        <f>AH36-AF36</f>
        <v>0</v>
      </c>
      <c r="AH36" s="178">
        <f>AE36*(1+$F36)</f>
        <v>0</v>
      </c>
      <c r="AI36" s="793">
        <f>IF($A36&lt;&gt;"",$A36*AK36,$E$7*AK36)</f>
        <v>0</v>
      </c>
      <c r="AJ36" s="776">
        <f>AK36-AI36</f>
        <v>0</v>
      </c>
      <c r="AK36" s="178">
        <f>AH36*(1+$F36)</f>
        <v>0</v>
      </c>
      <c r="AL36" s="793">
        <f>IF($A36&lt;&gt;"",$A36*AN36,$E$7*AN36)</f>
        <v>0</v>
      </c>
      <c r="AM36" s="776">
        <f>AN36-AL36</f>
        <v>0</v>
      </c>
      <c r="AN36" s="178">
        <f>AK36*(1+$F36)</f>
        <v>0</v>
      </c>
      <c r="AO36" s="793">
        <f>IF($A36&lt;&gt;"",$A36*AQ36,$E$7*AQ36)</f>
        <v>0</v>
      </c>
      <c r="AP36" s="776">
        <f>AQ36-AO36</f>
        <v>0</v>
      </c>
      <c r="AQ36" s="178">
        <f>AN36*(1+$F36)</f>
        <v>0</v>
      </c>
      <c r="AR36" s="793">
        <f>IF($A36&lt;&gt;"",$A36*AT36,$E$7*AT36)</f>
        <v>0</v>
      </c>
      <c r="AS36" s="776">
        <f>AT36-AR36</f>
        <v>0</v>
      </c>
      <c r="AT36" s="178">
        <f>AQ36*(1+$F36)</f>
        <v>0</v>
      </c>
      <c r="AU36" s="793">
        <f>IF($A36&lt;&gt;"",$A36*AW36,$E$7*AW36)</f>
        <v>0</v>
      </c>
      <c r="AV36" s="776">
        <f>AW36-AU36</f>
        <v>0</v>
      </c>
      <c r="AW36" s="178">
        <f>AT36*(1+$F36)</f>
        <v>0</v>
      </c>
      <c r="AX36" s="793">
        <f>IF($A36&lt;&gt;"",$A36*AZ36,$E$7*AZ36)</f>
        <v>0</v>
      </c>
      <c r="AY36" s="776">
        <f>AZ36-AX36</f>
        <v>0</v>
      </c>
      <c r="AZ36" s="178">
        <f>AW36*(1+$F36)</f>
        <v>0</v>
      </c>
      <c r="BA36" s="793">
        <f>IF($A36&lt;&gt;"",$A36*BC36,$E$7*BC36)</f>
        <v>0</v>
      </c>
      <c r="BB36" s="776">
        <f>BC36-BA36</f>
        <v>0</v>
      </c>
      <c r="BC36" s="178">
        <f>AZ36*(1+$F36)</f>
        <v>0</v>
      </c>
      <c r="BD36" s="793">
        <f>IF($A36&lt;&gt;"",$A36*BF36,$E$7*BF36)</f>
        <v>0</v>
      </c>
      <c r="BE36" s="776">
        <f>BF36-BD36</f>
        <v>0</v>
      </c>
      <c r="BF36" s="178">
        <f>BC36*(1+$F36)</f>
        <v>0</v>
      </c>
      <c r="BG36" s="793">
        <f>IF($A36&lt;&gt;"",$A36*BI36,$E$7*BI36)</f>
        <v>0</v>
      </c>
      <c r="BH36" s="776">
        <f>BI36-BG36</f>
        <v>0</v>
      </c>
      <c r="BI36" s="178">
        <f>BF36*(1+$F36)</f>
        <v>0</v>
      </c>
      <c r="BJ36" s="793">
        <f>IF($A36&lt;&gt;"",$A36*BL36,$E$7*BL36)</f>
        <v>0</v>
      </c>
      <c r="BK36" s="776">
        <f>BL36-BJ36</f>
        <v>0</v>
      </c>
      <c r="BL36" s="178">
        <f>BI36*(1+$F36)</f>
        <v>0</v>
      </c>
      <c r="BM36" s="793">
        <f>IF($A36&lt;&gt;"",$A36*BO36,$E$7*BO36)</f>
        <v>0</v>
      </c>
      <c r="BN36" s="776">
        <f>BO36-BM36</f>
        <v>0</v>
      </c>
      <c r="BO36" s="178">
        <f>BL36*(1+$F36)</f>
        <v>0</v>
      </c>
      <c r="BP36" s="5"/>
      <c r="BQ36" s="5"/>
      <c r="BR36" s="5"/>
      <c r="BS36" s="5"/>
      <c r="BT36" s="5"/>
      <c r="BU36" s="5"/>
      <c r="BV36" s="5"/>
    </row>
    <row r="37" spans="1:74" ht="13.8">
      <c r="A37" s="729" t="str">
        <f>IF('6.1stYrOpBudget'!K37&lt;&gt;"",'6.1stYrOpBudget'!K37,"")</f>
        <v/>
      </c>
      <c r="B37" s="729" t="str">
        <f>'6.1stYrOpBudget'!L37</f>
        <v/>
      </c>
      <c r="C37" s="144" t="str">
        <f>'6.1stYrOpBudget'!A37</f>
        <v>Manager's Salary</v>
      </c>
      <c r="D37" s="1064">
        <v>6330</v>
      </c>
      <c r="E37" s="1058">
        <f>F37</f>
        <v>3.5000000000000003E-2</v>
      </c>
      <c r="F37" s="1056">
        <v>3.5000000000000003E-2</v>
      </c>
      <c r="G37" s="64"/>
      <c r="H37" s="776">
        <f>'6.1stYrOpBudget'!D37</f>
        <v>0</v>
      </c>
      <c r="I37" s="776">
        <f>'6.1stYrOpBudget'!E37</f>
        <v>0</v>
      </c>
      <c r="J37" s="178">
        <f>'6.1stYrOpBudget'!F37</f>
        <v>0</v>
      </c>
      <c r="K37" s="793">
        <f>IF($A37&lt;&gt;"",$A37*M37,$E$7*M37)</f>
        <v>0</v>
      </c>
      <c r="L37" s="776">
        <f>M37-K37</f>
        <v>0</v>
      </c>
      <c r="M37" s="178">
        <f>J37*(1+$F37)</f>
        <v>0</v>
      </c>
      <c r="N37" s="793">
        <f>IF($A37&lt;&gt;"",$A37*P37,$E$7*P37)</f>
        <v>0</v>
      </c>
      <c r="O37" s="776">
        <f>P37-N37</f>
        <v>0</v>
      </c>
      <c r="P37" s="178">
        <f>M37*(1+$F37)</f>
        <v>0</v>
      </c>
      <c r="Q37" s="793">
        <f>IF($A37&lt;&gt;"",$A37*S37,$E$7*S37)</f>
        <v>0</v>
      </c>
      <c r="R37" s="776">
        <f>S37-Q37</f>
        <v>0</v>
      </c>
      <c r="S37" s="178">
        <f>P37*(1+$F37)</f>
        <v>0</v>
      </c>
      <c r="T37" s="793">
        <f>IF($A37&lt;&gt;"",$A37*V37,$E$7*V37)</f>
        <v>0</v>
      </c>
      <c r="U37" s="776">
        <f>V37-T37</f>
        <v>0</v>
      </c>
      <c r="V37" s="178">
        <f>S37*(1+$F37)</f>
        <v>0</v>
      </c>
      <c r="W37" s="793">
        <f>IF($A37&lt;&gt;"",$A37*Y37,$E$7*Y37)</f>
        <v>0</v>
      </c>
      <c r="X37" s="776">
        <f>Y37-W37</f>
        <v>0</v>
      </c>
      <c r="Y37" s="178">
        <f>V37*(1+$F37)</f>
        <v>0</v>
      </c>
      <c r="Z37" s="793">
        <f>IF($A37&lt;&gt;"",$A37*AB37,$E$7*AB37)</f>
        <v>0</v>
      </c>
      <c r="AA37" s="776">
        <f>AB37-Z37</f>
        <v>0</v>
      </c>
      <c r="AB37" s="178">
        <f>Y37*(1+$F37)</f>
        <v>0</v>
      </c>
      <c r="AC37" s="793">
        <f>IF($A37&lt;&gt;"",$A37*AE37,$E$7*AE37)</f>
        <v>0</v>
      </c>
      <c r="AD37" s="776">
        <f>AE37-AC37</f>
        <v>0</v>
      </c>
      <c r="AE37" s="178">
        <f>AB37*(1+$F37)</f>
        <v>0</v>
      </c>
      <c r="AF37" s="793">
        <f>IF($A37&lt;&gt;"",$A37*AH37,$E$7*AH37)</f>
        <v>0</v>
      </c>
      <c r="AG37" s="776">
        <f>AH37-AF37</f>
        <v>0</v>
      </c>
      <c r="AH37" s="178">
        <f>AE37*(1+$F37)</f>
        <v>0</v>
      </c>
      <c r="AI37" s="793">
        <f>IF($A37&lt;&gt;"",$A37*AK37,$E$7*AK37)</f>
        <v>0</v>
      </c>
      <c r="AJ37" s="776">
        <f>AK37-AI37</f>
        <v>0</v>
      </c>
      <c r="AK37" s="178">
        <f>AH37*(1+$F37)</f>
        <v>0</v>
      </c>
      <c r="AL37" s="793">
        <f>IF($A37&lt;&gt;"",$A37*AN37,$E$7*AN37)</f>
        <v>0</v>
      </c>
      <c r="AM37" s="776">
        <f>AN37-AL37</f>
        <v>0</v>
      </c>
      <c r="AN37" s="178">
        <f>AK37*(1+$F37)</f>
        <v>0</v>
      </c>
      <c r="AO37" s="793">
        <f>IF($A37&lt;&gt;"",$A37*AQ37,$E$7*AQ37)</f>
        <v>0</v>
      </c>
      <c r="AP37" s="776">
        <f>AQ37-AO37</f>
        <v>0</v>
      </c>
      <c r="AQ37" s="178">
        <f>AN37*(1+$F37)</f>
        <v>0</v>
      </c>
      <c r="AR37" s="793">
        <f>IF($A37&lt;&gt;"",$A37*AT37,$E$7*AT37)</f>
        <v>0</v>
      </c>
      <c r="AS37" s="776">
        <f>AT37-AR37</f>
        <v>0</v>
      </c>
      <c r="AT37" s="178">
        <f>AQ37*(1+$F37)</f>
        <v>0</v>
      </c>
      <c r="AU37" s="793">
        <f>IF($A37&lt;&gt;"",$A37*AW37,$E$7*AW37)</f>
        <v>0</v>
      </c>
      <c r="AV37" s="776">
        <f>AW37-AU37</f>
        <v>0</v>
      </c>
      <c r="AW37" s="178">
        <f>AT37*(1+$F37)</f>
        <v>0</v>
      </c>
      <c r="AX37" s="793">
        <f>IF($A37&lt;&gt;"",$A37*AZ37,$E$7*AZ37)</f>
        <v>0</v>
      </c>
      <c r="AY37" s="776">
        <f>AZ37-AX37</f>
        <v>0</v>
      </c>
      <c r="AZ37" s="178">
        <f>AW37*(1+$F37)</f>
        <v>0</v>
      </c>
      <c r="BA37" s="793">
        <f>IF($A37&lt;&gt;"",$A37*BC37,$E$7*BC37)</f>
        <v>0</v>
      </c>
      <c r="BB37" s="776">
        <f>BC37-BA37</f>
        <v>0</v>
      </c>
      <c r="BC37" s="178">
        <f>AZ37*(1+$F37)</f>
        <v>0</v>
      </c>
      <c r="BD37" s="793">
        <f>IF($A37&lt;&gt;"",$A37*BF37,$E$7*BF37)</f>
        <v>0</v>
      </c>
      <c r="BE37" s="776">
        <f>BF37-BD37</f>
        <v>0</v>
      </c>
      <c r="BF37" s="178">
        <f>BC37*(1+$F37)</f>
        <v>0</v>
      </c>
      <c r="BG37" s="793">
        <f>IF($A37&lt;&gt;"",$A37*BI37,$E$7*BI37)</f>
        <v>0</v>
      </c>
      <c r="BH37" s="776">
        <f>BI37-BG37</f>
        <v>0</v>
      </c>
      <c r="BI37" s="178">
        <f>BF37*(1+$F37)</f>
        <v>0</v>
      </c>
      <c r="BJ37" s="793">
        <f>IF($A37&lt;&gt;"",$A37*BL37,$E$7*BL37)</f>
        <v>0</v>
      </c>
      <c r="BK37" s="776">
        <f>BL37-BJ37</f>
        <v>0</v>
      </c>
      <c r="BL37" s="178">
        <f>BI37*(1+$F37)</f>
        <v>0</v>
      </c>
      <c r="BM37" s="793">
        <f>IF($A37&lt;&gt;"",$A37*BO37,$E$7*BO37)</f>
        <v>0</v>
      </c>
      <c r="BN37" s="776">
        <f>BO37-BM37</f>
        <v>0</v>
      </c>
      <c r="BO37" s="178">
        <f>BL37*(1+$F37)</f>
        <v>0</v>
      </c>
      <c r="BP37" s="5"/>
      <c r="BQ37" s="5"/>
      <c r="BR37" s="5"/>
      <c r="BS37" s="5"/>
      <c r="BT37" s="5"/>
      <c r="BU37" s="5"/>
      <c r="BV37" s="5"/>
    </row>
    <row r="38" spans="1:74" ht="13.8">
      <c r="A38" s="729" t="str">
        <f>IF('6.1stYrOpBudget'!K38&lt;&gt;"",'6.1stYrOpBudget'!K38,"")</f>
        <v/>
      </c>
      <c r="B38" s="729" t="str">
        <f>'6.1stYrOpBudget'!L38</f>
        <v/>
      </c>
      <c r="C38" s="144" t="str">
        <f>'6.1stYrOpBudget'!A38</f>
        <v>Health Insurance and Other Benefits</v>
      </c>
      <c r="D38" s="1064">
        <v>6723</v>
      </c>
      <c r="E38" s="1058">
        <f>F38</f>
        <v>3.5000000000000003E-2</v>
      </c>
      <c r="F38" s="1056">
        <v>3.5000000000000003E-2</v>
      </c>
      <c r="G38" s="64"/>
      <c r="H38" s="776">
        <f>'6.1stYrOpBudget'!D38</f>
        <v>0</v>
      </c>
      <c r="I38" s="776">
        <f>'6.1stYrOpBudget'!E38</f>
        <v>0</v>
      </c>
      <c r="J38" s="178">
        <f>'6.1stYrOpBudget'!F38</f>
        <v>0</v>
      </c>
      <c r="K38" s="793">
        <f>IF($A38&lt;&gt;"",$A38*M38,$E$7*M38)</f>
        <v>0</v>
      </c>
      <c r="L38" s="776">
        <f>M38-K38</f>
        <v>0</v>
      </c>
      <c r="M38" s="178">
        <f>J38*(1+$F38)</f>
        <v>0</v>
      </c>
      <c r="N38" s="793">
        <f>IF($A38&lt;&gt;"",$A38*P38,$E$7*P38)</f>
        <v>0</v>
      </c>
      <c r="O38" s="776">
        <f>P38-N38</f>
        <v>0</v>
      </c>
      <c r="P38" s="178">
        <f>M38*(1+$F38)</f>
        <v>0</v>
      </c>
      <c r="Q38" s="793">
        <f>IF($A38&lt;&gt;"",$A38*S38,$E$7*S38)</f>
        <v>0</v>
      </c>
      <c r="R38" s="776">
        <f>S38-Q38</f>
        <v>0</v>
      </c>
      <c r="S38" s="178">
        <f>P38*(1+$F38)</f>
        <v>0</v>
      </c>
      <c r="T38" s="793">
        <f>IF($A38&lt;&gt;"",$A38*V38,$E$7*V38)</f>
        <v>0</v>
      </c>
      <c r="U38" s="776">
        <f>V38-T38</f>
        <v>0</v>
      </c>
      <c r="V38" s="178">
        <f>S38*(1+$F38)</f>
        <v>0</v>
      </c>
      <c r="W38" s="793">
        <f>IF($A38&lt;&gt;"",$A38*Y38,$E$7*Y38)</f>
        <v>0</v>
      </c>
      <c r="X38" s="776">
        <f>Y38-W38</f>
        <v>0</v>
      </c>
      <c r="Y38" s="178">
        <f>V38*(1+$F38)</f>
        <v>0</v>
      </c>
      <c r="Z38" s="793">
        <f>IF($A38&lt;&gt;"",$A38*AB38,$E$7*AB38)</f>
        <v>0</v>
      </c>
      <c r="AA38" s="776">
        <f>AB38-Z38</f>
        <v>0</v>
      </c>
      <c r="AB38" s="178">
        <f>Y38*(1+$F38)</f>
        <v>0</v>
      </c>
      <c r="AC38" s="793">
        <f>IF($A38&lt;&gt;"",$A38*AE38,$E$7*AE38)</f>
        <v>0</v>
      </c>
      <c r="AD38" s="776">
        <f>AE38-AC38</f>
        <v>0</v>
      </c>
      <c r="AE38" s="178">
        <f>AB38*(1+$F38)</f>
        <v>0</v>
      </c>
      <c r="AF38" s="793">
        <f>IF($A38&lt;&gt;"",$A38*AH38,$E$7*AH38)</f>
        <v>0</v>
      </c>
      <c r="AG38" s="776">
        <f>AH38-AF38</f>
        <v>0</v>
      </c>
      <c r="AH38" s="178">
        <f>AE38*(1+$F38)</f>
        <v>0</v>
      </c>
      <c r="AI38" s="793">
        <f>IF($A38&lt;&gt;"",$A38*AK38,$E$7*AK38)</f>
        <v>0</v>
      </c>
      <c r="AJ38" s="776">
        <f>AK38-AI38</f>
        <v>0</v>
      </c>
      <c r="AK38" s="178">
        <f>AH38*(1+$F38)</f>
        <v>0</v>
      </c>
      <c r="AL38" s="793">
        <f>IF($A38&lt;&gt;"",$A38*AN38,$E$7*AN38)</f>
        <v>0</v>
      </c>
      <c r="AM38" s="776">
        <f>AN38-AL38</f>
        <v>0</v>
      </c>
      <c r="AN38" s="178">
        <f>AK38*(1+$F38)</f>
        <v>0</v>
      </c>
      <c r="AO38" s="793">
        <f>IF($A38&lt;&gt;"",$A38*AQ38,$E$7*AQ38)</f>
        <v>0</v>
      </c>
      <c r="AP38" s="776">
        <f>AQ38-AO38</f>
        <v>0</v>
      </c>
      <c r="AQ38" s="178">
        <f>AN38*(1+$F38)</f>
        <v>0</v>
      </c>
      <c r="AR38" s="793">
        <f>IF($A38&lt;&gt;"",$A38*AT38,$E$7*AT38)</f>
        <v>0</v>
      </c>
      <c r="AS38" s="776">
        <f>AT38-AR38</f>
        <v>0</v>
      </c>
      <c r="AT38" s="178">
        <f>AQ38*(1+$F38)</f>
        <v>0</v>
      </c>
      <c r="AU38" s="793">
        <f>IF($A38&lt;&gt;"",$A38*AW38,$E$7*AW38)</f>
        <v>0</v>
      </c>
      <c r="AV38" s="776">
        <f>AW38-AU38</f>
        <v>0</v>
      </c>
      <c r="AW38" s="178">
        <f>AT38*(1+$F38)</f>
        <v>0</v>
      </c>
      <c r="AX38" s="793">
        <f>IF($A38&lt;&gt;"",$A38*AZ38,$E$7*AZ38)</f>
        <v>0</v>
      </c>
      <c r="AY38" s="776">
        <f>AZ38-AX38</f>
        <v>0</v>
      </c>
      <c r="AZ38" s="178">
        <f>AW38*(1+$F38)</f>
        <v>0</v>
      </c>
      <c r="BA38" s="793">
        <f>IF($A38&lt;&gt;"",$A38*BC38,$E$7*BC38)</f>
        <v>0</v>
      </c>
      <c r="BB38" s="776">
        <f>BC38-BA38</f>
        <v>0</v>
      </c>
      <c r="BC38" s="178">
        <f>AZ38*(1+$F38)</f>
        <v>0</v>
      </c>
      <c r="BD38" s="793">
        <f>IF($A38&lt;&gt;"",$A38*BF38,$E$7*BF38)</f>
        <v>0</v>
      </c>
      <c r="BE38" s="776">
        <f>BF38-BD38</f>
        <v>0</v>
      </c>
      <c r="BF38" s="178">
        <f>BC38*(1+$F38)</f>
        <v>0</v>
      </c>
      <c r="BG38" s="793">
        <f>IF($A38&lt;&gt;"",$A38*BI38,$E$7*BI38)</f>
        <v>0</v>
      </c>
      <c r="BH38" s="776">
        <f>BI38-BG38</f>
        <v>0</v>
      </c>
      <c r="BI38" s="178">
        <f>BF38*(1+$F38)</f>
        <v>0</v>
      </c>
      <c r="BJ38" s="793">
        <f>IF($A38&lt;&gt;"",$A38*BL38,$E$7*BL38)</f>
        <v>0</v>
      </c>
      <c r="BK38" s="776">
        <f>BL38-BJ38</f>
        <v>0</v>
      </c>
      <c r="BL38" s="178">
        <f>BI38*(1+$F38)</f>
        <v>0</v>
      </c>
      <c r="BM38" s="793">
        <f>IF($A38&lt;&gt;"",$A38*BO38,$E$7*BO38)</f>
        <v>0</v>
      </c>
      <c r="BN38" s="776">
        <f>BO38-BM38</f>
        <v>0</v>
      </c>
      <c r="BO38" s="178">
        <f>BL38*(1+$F38)</f>
        <v>0</v>
      </c>
      <c r="BP38" s="5"/>
      <c r="BQ38" s="5"/>
      <c r="BR38" s="5"/>
      <c r="BS38" s="5"/>
      <c r="BT38" s="5"/>
      <c r="BU38" s="5"/>
      <c r="BV38" s="5"/>
    </row>
    <row r="39" spans="1:74" ht="13.8">
      <c r="A39" s="729" t="str">
        <f>IF('6.1stYrOpBudget'!K39&lt;&gt;"",'6.1stYrOpBudget'!K39,"")</f>
        <v/>
      </c>
      <c r="B39" s="729" t="str">
        <f>'6.1stYrOpBudget'!L39</f>
        <v/>
      </c>
      <c r="C39" s="144" t="str">
        <f>'6.1stYrOpBudget'!A39</f>
        <v>Other Salaries/Benefits</v>
      </c>
      <c r="D39" s="1065"/>
      <c r="E39" s="1058">
        <f>F39</f>
        <v>3.5000000000000003E-2</v>
      </c>
      <c r="F39" s="1056">
        <v>3.5000000000000003E-2</v>
      </c>
      <c r="G39" s="64"/>
      <c r="H39" s="776">
        <f>'6.1stYrOpBudget'!D39</f>
        <v>0</v>
      </c>
      <c r="I39" s="776">
        <f>'6.1stYrOpBudget'!E39</f>
        <v>0</v>
      </c>
      <c r="J39" s="178">
        <f>'6.1stYrOpBudget'!F39</f>
        <v>0</v>
      </c>
      <c r="K39" s="793">
        <f>IF($A39&lt;&gt;"",$A39*M39,$E$7*M39)</f>
        <v>0</v>
      </c>
      <c r="L39" s="776">
        <f>M39-K39</f>
        <v>0</v>
      </c>
      <c r="M39" s="178">
        <f>J39*(1+$F39)</f>
        <v>0</v>
      </c>
      <c r="N39" s="793">
        <f>IF($A39&lt;&gt;"",$A39*P39,$E$7*P39)</f>
        <v>0</v>
      </c>
      <c r="O39" s="776">
        <f>P39-N39</f>
        <v>0</v>
      </c>
      <c r="P39" s="178">
        <f>M39*(1+$F39)</f>
        <v>0</v>
      </c>
      <c r="Q39" s="793">
        <f>IF($A39&lt;&gt;"",$A39*S39,$E$7*S39)</f>
        <v>0</v>
      </c>
      <c r="R39" s="776">
        <f>S39-Q39</f>
        <v>0</v>
      </c>
      <c r="S39" s="178">
        <f>P39*(1+$F39)</f>
        <v>0</v>
      </c>
      <c r="T39" s="793">
        <f>IF($A39&lt;&gt;"",$A39*V39,$E$7*V39)</f>
        <v>0</v>
      </c>
      <c r="U39" s="776">
        <f>V39-T39</f>
        <v>0</v>
      </c>
      <c r="V39" s="178">
        <f>S39*(1+$F39)</f>
        <v>0</v>
      </c>
      <c r="W39" s="793">
        <f>IF($A39&lt;&gt;"",$A39*Y39,$E$7*Y39)</f>
        <v>0</v>
      </c>
      <c r="X39" s="776">
        <f>Y39-W39</f>
        <v>0</v>
      </c>
      <c r="Y39" s="178">
        <f>V39*(1+$F39)</f>
        <v>0</v>
      </c>
      <c r="Z39" s="793">
        <f>IF($A39&lt;&gt;"",$A39*AB39,$E$7*AB39)</f>
        <v>0</v>
      </c>
      <c r="AA39" s="776">
        <f>AB39-Z39</f>
        <v>0</v>
      </c>
      <c r="AB39" s="178">
        <f>Y39*(1+$F39)</f>
        <v>0</v>
      </c>
      <c r="AC39" s="793">
        <f>IF($A39&lt;&gt;"",$A39*AE39,$E$7*AE39)</f>
        <v>0</v>
      </c>
      <c r="AD39" s="776">
        <f>AE39-AC39</f>
        <v>0</v>
      </c>
      <c r="AE39" s="178">
        <f>AB39*(1+$F39)</f>
        <v>0</v>
      </c>
      <c r="AF39" s="793">
        <f>IF($A39&lt;&gt;"",$A39*AH39,$E$7*AH39)</f>
        <v>0</v>
      </c>
      <c r="AG39" s="776">
        <f>AH39-AF39</f>
        <v>0</v>
      </c>
      <c r="AH39" s="178">
        <f>AE39*(1+$F39)</f>
        <v>0</v>
      </c>
      <c r="AI39" s="793">
        <f>IF($A39&lt;&gt;"",$A39*AK39,$E$7*AK39)</f>
        <v>0</v>
      </c>
      <c r="AJ39" s="776">
        <f>AK39-AI39</f>
        <v>0</v>
      </c>
      <c r="AK39" s="178">
        <f>AH39*(1+$F39)</f>
        <v>0</v>
      </c>
      <c r="AL39" s="793">
        <f>IF($A39&lt;&gt;"",$A39*AN39,$E$7*AN39)</f>
        <v>0</v>
      </c>
      <c r="AM39" s="776">
        <f>AN39-AL39</f>
        <v>0</v>
      </c>
      <c r="AN39" s="178">
        <f>AK39*(1+$F39)</f>
        <v>0</v>
      </c>
      <c r="AO39" s="793">
        <f>IF($A39&lt;&gt;"",$A39*AQ39,$E$7*AQ39)</f>
        <v>0</v>
      </c>
      <c r="AP39" s="776">
        <f>AQ39-AO39</f>
        <v>0</v>
      </c>
      <c r="AQ39" s="178">
        <f>AN39*(1+$F39)</f>
        <v>0</v>
      </c>
      <c r="AR39" s="793">
        <f>IF($A39&lt;&gt;"",$A39*AT39,$E$7*AT39)</f>
        <v>0</v>
      </c>
      <c r="AS39" s="776">
        <f>AT39-AR39</f>
        <v>0</v>
      </c>
      <c r="AT39" s="178">
        <f>AQ39*(1+$F39)</f>
        <v>0</v>
      </c>
      <c r="AU39" s="793">
        <f>IF($A39&lt;&gt;"",$A39*AW39,$E$7*AW39)</f>
        <v>0</v>
      </c>
      <c r="AV39" s="776">
        <f>AW39-AU39</f>
        <v>0</v>
      </c>
      <c r="AW39" s="178">
        <f>AT39*(1+$F39)</f>
        <v>0</v>
      </c>
      <c r="AX39" s="793">
        <f>IF($A39&lt;&gt;"",$A39*AZ39,$E$7*AZ39)</f>
        <v>0</v>
      </c>
      <c r="AY39" s="776">
        <f>AZ39-AX39</f>
        <v>0</v>
      </c>
      <c r="AZ39" s="178">
        <f>AW39*(1+$F39)</f>
        <v>0</v>
      </c>
      <c r="BA39" s="793">
        <f>IF($A39&lt;&gt;"",$A39*BC39,$E$7*BC39)</f>
        <v>0</v>
      </c>
      <c r="BB39" s="776">
        <f>BC39-BA39</f>
        <v>0</v>
      </c>
      <c r="BC39" s="178">
        <f>AZ39*(1+$F39)</f>
        <v>0</v>
      </c>
      <c r="BD39" s="793">
        <f>IF($A39&lt;&gt;"",$A39*BF39,$E$7*BF39)</f>
        <v>0</v>
      </c>
      <c r="BE39" s="776">
        <f>BF39-BD39</f>
        <v>0</v>
      </c>
      <c r="BF39" s="178">
        <f>BC39*(1+$F39)</f>
        <v>0</v>
      </c>
      <c r="BG39" s="793">
        <f>IF($A39&lt;&gt;"",$A39*BI39,$E$7*BI39)</f>
        <v>0</v>
      </c>
      <c r="BH39" s="776">
        <f>BI39-BG39</f>
        <v>0</v>
      </c>
      <c r="BI39" s="178">
        <f>BF39*(1+$F39)</f>
        <v>0</v>
      </c>
      <c r="BJ39" s="793">
        <f>IF($A39&lt;&gt;"",$A39*BL39,$E$7*BL39)</f>
        <v>0</v>
      </c>
      <c r="BK39" s="776">
        <f>BL39-BJ39</f>
        <v>0</v>
      </c>
      <c r="BL39" s="178">
        <f>BI39*(1+$F39)</f>
        <v>0</v>
      </c>
      <c r="BM39" s="793">
        <f>IF($A39&lt;&gt;"",$A39*BO39,$E$7*BO39)</f>
        <v>0</v>
      </c>
      <c r="BN39" s="776">
        <f>BO39-BM39</f>
        <v>0</v>
      </c>
      <c r="BO39" s="178">
        <f>BL39*(1+$F39)</f>
        <v>0</v>
      </c>
      <c r="BP39" s="5"/>
      <c r="BQ39" s="5"/>
      <c r="BR39" s="5"/>
      <c r="BS39" s="5"/>
      <c r="BT39" s="5"/>
      <c r="BU39" s="5"/>
      <c r="BV39" s="5"/>
    </row>
    <row r="40" spans="1:74" ht="13.8">
      <c r="A40" s="729" t="str">
        <f>IF('6.1stYrOpBudget'!K40&lt;&gt;"",'6.1stYrOpBudget'!K40,"")</f>
        <v/>
      </c>
      <c r="B40" s="729" t="str">
        <f>'6.1stYrOpBudget'!L40</f>
        <v/>
      </c>
      <c r="C40" s="144" t="str">
        <f>'6.1stYrOpBudget'!A40</f>
        <v>Administrative Rent-Free Unit</v>
      </c>
      <c r="D40" s="1064">
        <v>6331</v>
      </c>
      <c r="E40" s="1058">
        <f>F40</f>
        <v>3.5000000000000003E-2</v>
      </c>
      <c r="F40" s="1056">
        <v>3.5000000000000003E-2</v>
      </c>
      <c r="G40" s="64"/>
      <c r="H40" s="776">
        <f>'6.1stYrOpBudget'!D40</f>
        <v>0</v>
      </c>
      <c r="I40" s="776">
        <f>'6.1stYrOpBudget'!E40</f>
        <v>0</v>
      </c>
      <c r="J40" s="178">
        <f>'6.1stYrOpBudget'!F40</f>
        <v>0</v>
      </c>
      <c r="K40" s="793">
        <f>IF($A40&lt;&gt;"",$A40*M40,$E$7*M40)</f>
        <v>0</v>
      </c>
      <c r="L40" s="776">
        <f>M40-K40</f>
        <v>0</v>
      </c>
      <c r="M40" s="178">
        <f>J40*(1+$F40)</f>
        <v>0</v>
      </c>
      <c r="N40" s="793">
        <f>IF($A40&lt;&gt;"",$A40*P40,$E$7*P40)</f>
        <v>0</v>
      </c>
      <c r="O40" s="776">
        <f>P40-N40</f>
        <v>0</v>
      </c>
      <c r="P40" s="178">
        <f>M40*(1+$F40)</f>
        <v>0</v>
      </c>
      <c r="Q40" s="793">
        <f>IF($A40&lt;&gt;"",$A40*S40,$E$7*S40)</f>
        <v>0</v>
      </c>
      <c r="R40" s="776">
        <f>S40-Q40</f>
        <v>0</v>
      </c>
      <c r="S40" s="178">
        <f>P40*(1+$F40)</f>
        <v>0</v>
      </c>
      <c r="T40" s="793">
        <f>IF($A40&lt;&gt;"",$A40*V40,$E$7*V40)</f>
        <v>0</v>
      </c>
      <c r="U40" s="776">
        <f>V40-T40</f>
        <v>0</v>
      </c>
      <c r="V40" s="178">
        <f>S40*(1+$F40)</f>
        <v>0</v>
      </c>
      <c r="W40" s="793">
        <f>IF($A40&lt;&gt;"",$A40*Y40,$E$7*Y40)</f>
        <v>0</v>
      </c>
      <c r="X40" s="776">
        <f>Y40-W40</f>
        <v>0</v>
      </c>
      <c r="Y40" s="178">
        <f>V40*(1+$F40)</f>
        <v>0</v>
      </c>
      <c r="Z40" s="793">
        <f>IF($A40&lt;&gt;"",$A40*AB40,$E$7*AB40)</f>
        <v>0</v>
      </c>
      <c r="AA40" s="776">
        <f>AB40-Z40</f>
        <v>0</v>
      </c>
      <c r="AB40" s="178">
        <f>Y40*(1+$F40)</f>
        <v>0</v>
      </c>
      <c r="AC40" s="793">
        <f>IF($A40&lt;&gt;"",$A40*AE40,$E$7*AE40)</f>
        <v>0</v>
      </c>
      <c r="AD40" s="776">
        <f>AE40-AC40</f>
        <v>0</v>
      </c>
      <c r="AE40" s="178">
        <f>AB40*(1+$F40)</f>
        <v>0</v>
      </c>
      <c r="AF40" s="793">
        <f>IF($A40&lt;&gt;"",$A40*AH40,$E$7*AH40)</f>
        <v>0</v>
      </c>
      <c r="AG40" s="776">
        <f>AH40-AF40</f>
        <v>0</v>
      </c>
      <c r="AH40" s="178">
        <f>AE40*(1+$F40)</f>
        <v>0</v>
      </c>
      <c r="AI40" s="793">
        <f>IF($A40&lt;&gt;"",$A40*AK40,$E$7*AK40)</f>
        <v>0</v>
      </c>
      <c r="AJ40" s="776">
        <f>AK40-AI40</f>
        <v>0</v>
      </c>
      <c r="AK40" s="178">
        <f>AH40*(1+$F40)</f>
        <v>0</v>
      </c>
      <c r="AL40" s="793">
        <f>IF($A40&lt;&gt;"",$A40*AN40,$E$7*AN40)</f>
        <v>0</v>
      </c>
      <c r="AM40" s="776">
        <f>AN40-AL40</f>
        <v>0</v>
      </c>
      <c r="AN40" s="178">
        <f>AK40*(1+$F40)</f>
        <v>0</v>
      </c>
      <c r="AO40" s="793">
        <f>IF($A40&lt;&gt;"",$A40*AQ40,$E$7*AQ40)</f>
        <v>0</v>
      </c>
      <c r="AP40" s="776">
        <f>AQ40-AO40</f>
        <v>0</v>
      </c>
      <c r="AQ40" s="178">
        <f>AN40*(1+$F40)</f>
        <v>0</v>
      </c>
      <c r="AR40" s="793">
        <f>IF($A40&lt;&gt;"",$A40*AT40,$E$7*AT40)</f>
        <v>0</v>
      </c>
      <c r="AS40" s="776">
        <f>AT40-AR40</f>
        <v>0</v>
      </c>
      <c r="AT40" s="178">
        <f>AQ40*(1+$F40)</f>
        <v>0</v>
      </c>
      <c r="AU40" s="793">
        <f>IF($A40&lt;&gt;"",$A40*AW40,$E$7*AW40)</f>
        <v>0</v>
      </c>
      <c r="AV40" s="776">
        <f>AW40-AU40</f>
        <v>0</v>
      </c>
      <c r="AW40" s="178">
        <f>AT40*(1+$F40)</f>
        <v>0</v>
      </c>
      <c r="AX40" s="793">
        <f>IF($A40&lt;&gt;"",$A40*AZ40,$E$7*AZ40)</f>
        <v>0</v>
      </c>
      <c r="AY40" s="776">
        <f>AZ40-AX40</f>
        <v>0</v>
      </c>
      <c r="AZ40" s="178">
        <f>AW40*(1+$F40)</f>
        <v>0</v>
      </c>
      <c r="BA40" s="793">
        <f>IF($A40&lt;&gt;"",$A40*BC40,$E$7*BC40)</f>
        <v>0</v>
      </c>
      <c r="BB40" s="776">
        <f>BC40-BA40</f>
        <v>0</v>
      </c>
      <c r="BC40" s="178">
        <f>AZ40*(1+$F40)</f>
        <v>0</v>
      </c>
      <c r="BD40" s="793">
        <f>IF($A40&lt;&gt;"",$A40*BF40,$E$7*BF40)</f>
        <v>0</v>
      </c>
      <c r="BE40" s="776">
        <f>BF40-BD40</f>
        <v>0</v>
      </c>
      <c r="BF40" s="178">
        <f>BC40*(1+$F40)</f>
        <v>0</v>
      </c>
      <c r="BG40" s="793">
        <f>IF($A40&lt;&gt;"",$A40*BI40,$E$7*BI40)</f>
        <v>0</v>
      </c>
      <c r="BH40" s="776">
        <f>BI40-BG40</f>
        <v>0</v>
      </c>
      <c r="BI40" s="178">
        <f>BF40*(1+$F40)</f>
        <v>0</v>
      </c>
      <c r="BJ40" s="793">
        <f>IF($A40&lt;&gt;"",$A40*BL40,$E$7*BL40)</f>
        <v>0</v>
      </c>
      <c r="BK40" s="776">
        <f>BL40-BJ40</f>
        <v>0</v>
      </c>
      <c r="BL40" s="178">
        <f>BI40*(1+$F40)</f>
        <v>0</v>
      </c>
      <c r="BM40" s="793">
        <f>IF($A40&lt;&gt;"",$A40*BO40,$E$7*BO40)</f>
        <v>0</v>
      </c>
      <c r="BN40" s="776">
        <f>BO40-BM40</f>
        <v>0</v>
      </c>
      <c r="BO40" s="178">
        <f>BL40*(1+$F40)</f>
        <v>0</v>
      </c>
      <c r="BP40" s="5"/>
      <c r="BQ40" s="5"/>
      <c r="BR40" s="5"/>
      <c r="BS40" s="5"/>
      <c r="BT40" s="5"/>
      <c r="BU40" s="5"/>
      <c r="BV40" s="5"/>
    </row>
    <row r="41" spans="1:74" ht="14.4">
      <c r="C41" s="1082" t="str">
        <f>'6.1stYrOpBudget'!B41</f>
        <v>Sub-total Salaries/Benefits</v>
      </c>
      <c r="D41" s="126"/>
      <c r="E41" s="126"/>
      <c r="F41" s="126"/>
      <c r="G41" s="21"/>
      <c r="H41" s="235">
        <f>'6.1stYrOpBudget'!D41</f>
        <v>0</v>
      </c>
      <c r="I41" s="235">
        <f>'6.1stYrOpBudget'!E41</f>
        <v>0</v>
      </c>
      <c r="J41" s="175">
        <f>'6.1stYrOpBudget'!F41</f>
        <v>0</v>
      </c>
      <c r="K41" s="235">
        <f t="shared" ref="K41:AP41" si="118">SUM(K36:K40)</f>
        <v>0</v>
      </c>
      <c r="L41" s="235">
        <f t="shared" si="118"/>
        <v>0</v>
      </c>
      <c r="M41" s="175">
        <f t="shared" si="118"/>
        <v>0</v>
      </c>
      <c r="N41" s="235">
        <f t="shared" si="118"/>
        <v>0</v>
      </c>
      <c r="O41" s="235">
        <f t="shared" si="118"/>
        <v>0</v>
      </c>
      <c r="P41" s="175">
        <f t="shared" si="118"/>
        <v>0</v>
      </c>
      <c r="Q41" s="235">
        <f t="shared" si="118"/>
        <v>0</v>
      </c>
      <c r="R41" s="235">
        <f t="shared" si="118"/>
        <v>0</v>
      </c>
      <c r="S41" s="175">
        <f t="shared" si="118"/>
        <v>0</v>
      </c>
      <c r="T41" s="235">
        <f t="shared" si="118"/>
        <v>0</v>
      </c>
      <c r="U41" s="235">
        <f t="shared" si="118"/>
        <v>0</v>
      </c>
      <c r="V41" s="175">
        <f t="shared" si="118"/>
        <v>0</v>
      </c>
      <c r="W41" s="235">
        <f t="shared" si="118"/>
        <v>0</v>
      </c>
      <c r="X41" s="235">
        <f t="shared" si="118"/>
        <v>0</v>
      </c>
      <c r="Y41" s="175">
        <f t="shared" si="118"/>
        <v>0</v>
      </c>
      <c r="Z41" s="235">
        <f t="shared" si="118"/>
        <v>0</v>
      </c>
      <c r="AA41" s="235">
        <f t="shared" si="118"/>
        <v>0</v>
      </c>
      <c r="AB41" s="175">
        <f t="shared" si="118"/>
        <v>0</v>
      </c>
      <c r="AC41" s="235">
        <f t="shared" si="118"/>
        <v>0</v>
      </c>
      <c r="AD41" s="235">
        <f t="shared" si="118"/>
        <v>0</v>
      </c>
      <c r="AE41" s="175">
        <f t="shared" si="118"/>
        <v>0</v>
      </c>
      <c r="AF41" s="235">
        <f t="shared" si="118"/>
        <v>0</v>
      </c>
      <c r="AG41" s="235">
        <f t="shared" si="118"/>
        <v>0</v>
      </c>
      <c r="AH41" s="175">
        <f t="shared" si="118"/>
        <v>0</v>
      </c>
      <c r="AI41" s="235">
        <f t="shared" si="118"/>
        <v>0</v>
      </c>
      <c r="AJ41" s="235">
        <f t="shared" si="118"/>
        <v>0</v>
      </c>
      <c r="AK41" s="175">
        <f t="shared" si="118"/>
        <v>0</v>
      </c>
      <c r="AL41" s="235">
        <f t="shared" si="118"/>
        <v>0</v>
      </c>
      <c r="AM41" s="235">
        <f t="shared" si="118"/>
        <v>0</v>
      </c>
      <c r="AN41" s="175">
        <f t="shared" si="118"/>
        <v>0</v>
      </c>
      <c r="AO41" s="235">
        <f t="shared" si="118"/>
        <v>0</v>
      </c>
      <c r="AP41" s="235">
        <f t="shared" si="118"/>
        <v>0</v>
      </c>
      <c r="AQ41" s="175">
        <f t="shared" ref="AQ41:BO41" si="119">SUM(AQ36:AQ40)</f>
        <v>0</v>
      </c>
      <c r="AR41" s="235">
        <f t="shared" si="119"/>
        <v>0</v>
      </c>
      <c r="AS41" s="235">
        <f t="shared" si="119"/>
        <v>0</v>
      </c>
      <c r="AT41" s="175">
        <f t="shared" si="119"/>
        <v>0</v>
      </c>
      <c r="AU41" s="235">
        <f t="shared" si="119"/>
        <v>0</v>
      </c>
      <c r="AV41" s="235">
        <f t="shared" si="119"/>
        <v>0</v>
      </c>
      <c r="AW41" s="175">
        <f t="shared" si="119"/>
        <v>0</v>
      </c>
      <c r="AX41" s="235">
        <f t="shared" si="119"/>
        <v>0</v>
      </c>
      <c r="AY41" s="235">
        <f t="shared" si="119"/>
        <v>0</v>
      </c>
      <c r="AZ41" s="175">
        <f t="shared" si="119"/>
        <v>0</v>
      </c>
      <c r="BA41" s="235">
        <f t="shared" si="119"/>
        <v>0</v>
      </c>
      <c r="BB41" s="235">
        <f t="shared" si="119"/>
        <v>0</v>
      </c>
      <c r="BC41" s="175">
        <f t="shared" si="119"/>
        <v>0</v>
      </c>
      <c r="BD41" s="235">
        <f t="shared" si="119"/>
        <v>0</v>
      </c>
      <c r="BE41" s="235">
        <f t="shared" si="119"/>
        <v>0</v>
      </c>
      <c r="BF41" s="175">
        <f t="shared" si="119"/>
        <v>0</v>
      </c>
      <c r="BG41" s="235">
        <f t="shared" si="119"/>
        <v>0</v>
      </c>
      <c r="BH41" s="235">
        <f t="shared" si="119"/>
        <v>0</v>
      </c>
      <c r="BI41" s="175">
        <f t="shared" si="119"/>
        <v>0</v>
      </c>
      <c r="BJ41" s="235">
        <f t="shared" si="119"/>
        <v>0</v>
      </c>
      <c r="BK41" s="235">
        <f t="shared" si="119"/>
        <v>0</v>
      </c>
      <c r="BL41" s="175">
        <f t="shared" si="119"/>
        <v>0</v>
      </c>
      <c r="BM41" s="235">
        <f t="shared" si="119"/>
        <v>0</v>
      </c>
      <c r="BN41" s="235">
        <f t="shared" si="119"/>
        <v>0</v>
      </c>
      <c r="BO41" s="175">
        <f t="shared" si="119"/>
        <v>0</v>
      </c>
      <c r="BP41" s="5"/>
      <c r="BQ41" s="5"/>
      <c r="BR41" s="5"/>
      <c r="BS41" s="5"/>
      <c r="BT41" s="5"/>
      <c r="BU41" s="5"/>
      <c r="BV41" s="5"/>
    </row>
    <row r="42" spans="1:74" ht="13.8">
      <c r="C42" s="319" t="str">
        <f>'6.1stYrOpBudget'!A42</f>
        <v>Administration</v>
      </c>
      <c r="D42" s="133"/>
      <c r="E42" s="133"/>
      <c r="F42" s="133"/>
      <c r="G42" s="21"/>
      <c r="H42" s="236"/>
      <c r="I42" s="236"/>
      <c r="J42" s="125"/>
      <c r="K42" s="236"/>
      <c r="L42" s="236"/>
      <c r="M42" s="125"/>
      <c r="N42" s="236"/>
      <c r="O42" s="236"/>
      <c r="P42" s="125"/>
      <c r="Q42" s="236"/>
      <c r="R42" s="236"/>
      <c r="S42" s="125"/>
      <c r="T42" s="236"/>
      <c r="U42" s="236"/>
      <c r="V42" s="125"/>
      <c r="W42" s="236"/>
      <c r="X42" s="236"/>
      <c r="Y42" s="125"/>
      <c r="Z42" s="236"/>
      <c r="AA42" s="236"/>
      <c r="AB42" s="125"/>
      <c r="AC42" s="236"/>
      <c r="AD42" s="236"/>
      <c r="AE42" s="125"/>
      <c r="AF42" s="236"/>
      <c r="AG42" s="236"/>
      <c r="AH42" s="125"/>
      <c r="AI42" s="236"/>
      <c r="AJ42" s="236"/>
      <c r="AK42" s="125"/>
      <c r="AL42" s="236"/>
      <c r="AM42" s="236"/>
      <c r="AN42" s="125"/>
      <c r="AO42" s="236"/>
      <c r="AP42" s="236"/>
      <c r="AQ42" s="125"/>
      <c r="AR42" s="236"/>
      <c r="AS42" s="236"/>
      <c r="AT42" s="125"/>
      <c r="AU42" s="236"/>
      <c r="AV42" s="236"/>
      <c r="AW42" s="125"/>
      <c r="AX42" s="236"/>
      <c r="AY42" s="236"/>
      <c r="AZ42" s="125"/>
      <c r="BA42" s="236"/>
      <c r="BB42" s="236"/>
      <c r="BC42" s="125"/>
      <c r="BD42" s="236"/>
      <c r="BE42" s="236"/>
      <c r="BF42" s="125"/>
      <c r="BG42" s="236"/>
      <c r="BH42" s="236"/>
      <c r="BI42" s="125"/>
      <c r="BJ42" s="236"/>
      <c r="BK42" s="236"/>
      <c r="BL42" s="125"/>
      <c r="BM42" s="236"/>
      <c r="BN42" s="236"/>
      <c r="BO42" s="125"/>
      <c r="BP42" s="5"/>
      <c r="BQ42" s="5"/>
      <c r="BR42" s="5"/>
      <c r="BS42" s="5"/>
      <c r="BT42" s="5"/>
      <c r="BU42" s="5"/>
      <c r="BV42" s="5"/>
    </row>
    <row r="43" spans="1:74" ht="13.8">
      <c r="C43" s="144" t="str">
        <f>'6.1stYrOpBudget'!A43</f>
        <v>Advertising and Marketing</v>
      </c>
      <c r="D43" s="1066">
        <v>6210</v>
      </c>
      <c r="E43" s="1058">
        <f t="shared" ref="E43:E50" si="120">F43</f>
        <v>3.5000000000000003E-2</v>
      </c>
      <c r="F43" s="1056">
        <v>3.5000000000000003E-2</v>
      </c>
      <c r="G43" s="64"/>
      <c r="H43" s="776">
        <f>'6.1stYrOpBudget'!D43</f>
        <v>0</v>
      </c>
      <c r="I43" s="776">
        <f>'6.1stYrOpBudget'!E43</f>
        <v>0</v>
      </c>
      <c r="J43" s="178">
        <f>'6.1stYrOpBudget'!F43</f>
        <v>0</v>
      </c>
      <c r="K43" s="776">
        <f>$E$7*M43</f>
        <v>0</v>
      </c>
      <c r="L43" s="776">
        <f t="shared" ref="L43:L50" si="121">M43-K43</f>
        <v>0</v>
      </c>
      <c r="M43" s="178">
        <f t="shared" ref="M43:M50" si="122">J43*(1+$F43)</f>
        <v>0</v>
      </c>
      <c r="N43" s="776">
        <f>$E$7*P43</f>
        <v>0</v>
      </c>
      <c r="O43" s="776">
        <f t="shared" ref="O43:O50" si="123">P43-N43</f>
        <v>0</v>
      </c>
      <c r="P43" s="178">
        <f t="shared" ref="P43:P50" si="124">M43*(1+$F43)</f>
        <v>0</v>
      </c>
      <c r="Q43" s="776">
        <f>$E$7*S43</f>
        <v>0</v>
      </c>
      <c r="R43" s="776">
        <f t="shared" ref="R43:R50" si="125">S43-Q43</f>
        <v>0</v>
      </c>
      <c r="S43" s="178">
        <f t="shared" ref="S43:S50" si="126">P43*(1+$F43)</f>
        <v>0</v>
      </c>
      <c r="T43" s="776">
        <f>$E$7*V43</f>
        <v>0</v>
      </c>
      <c r="U43" s="776">
        <f t="shared" ref="U43:U50" si="127">V43-T43</f>
        <v>0</v>
      </c>
      <c r="V43" s="178">
        <f t="shared" ref="V43:V50" si="128">S43*(1+$F43)</f>
        <v>0</v>
      </c>
      <c r="W43" s="776">
        <f>$E$7*Y43</f>
        <v>0</v>
      </c>
      <c r="X43" s="776">
        <f t="shared" ref="X43:X50" si="129">Y43-W43</f>
        <v>0</v>
      </c>
      <c r="Y43" s="178">
        <f t="shared" ref="Y43:Y50" si="130">V43*(1+$F43)</f>
        <v>0</v>
      </c>
      <c r="Z43" s="776">
        <f>$E$7*AB43</f>
        <v>0</v>
      </c>
      <c r="AA43" s="776">
        <f t="shared" ref="AA43:AA50" si="131">AB43-Z43</f>
        <v>0</v>
      </c>
      <c r="AB43" s="178">
        <f t="shared" ref="AB43:AB50" si="132">Y43*(1+$F43)</f>
        <v>0</v>
      </c>
      <c r="AC43" s="776">
        <f>$E$7*AE43</f>
        <v>0</v>
      </c>
      <c r="AD43" s="776">
        <f t="shared" ref="AD43:AD50" si="133">AE43-AC43</f>
        <v>0</v>
      </c>
      <c r="AE43" s="178">
        <f t="shared" ref="AE43:AE50" si="134">AB43*(1+$F43)</f>
        <v>0</v>
      </c>
      <c r="AF43" s="776">
        <f>$E$7*AH43</f>
        <v>0</v>
      </c>
      <c r="AG43" s="776">
        <f t="shared" ref="AG43:AG50" si="135">AH43-AF43</f>
        <v>0</v>
      </c>
      <c r="AH43" s="178">
        <f t="shared" ref="AH43:AH50" si="136">AE43*(1+$F43)</f>
        <v>0</v>
      </c>
      <c r="AI43" s="776">
        <f>$E$7*AK43</f>
        <v>0</v>
      </c>
      <c r="AJ43" s="776">
        <f t="shared" ref="AJ43:AJ50" si="137">AK43-AI43</f>
        <v>0</v>
      </c>
      <c r="AK43" s="178">
        <f t="shared" ref="AK43:AK50" si="138">AH43*(1+$F43)</f>
        <v>0</v>
      </c>
      <c r="AL43" s="776">
        <f>$E$7*AN43</f>
        <v>0</v>
      </c>
      <c r="AM43" s="776">
        <f t="shared" ref="AM43:AM50" si="139">AN43-AL43</f>
        <v>0</v>
      </c>
      <c r="AN43" s="178">
        <f t="shared" ref="AN43:AN50" si="140">AK43*(1+$F43)</f>
        <v>0</v>
      </c>
      <c r="AO43" s="776">
        <f>$E$7*AQ43</f>
        <v>0</v>
      </c>
      <c r="AP43" s="776">
        <f t="shared" ref="AP43:AP50" si="141">AQ43-AO43</f>
        <v>0</v>
      </c>
      <c r="AQ43" s="178">
        <f t="shared" ref="AQ43:AQ50" si="142">AN43*(1+$F43)</f>
        <v>0</v>
      </c>
      <c r="AR43" s="776">
        <f>$E$7*AT43</f>
        <v>0</v>
      </c>
      <c r="AS43" s="776">
        <f t="shared" ref="AS43:AS50" si="143">AT43-AR43</f>
        <v>0</v>
      </c>
      <c r="AT43" s="178">
        <f t="shared" ref="AT43:AT50" si="144">AQ43*(1+$F43)</f>
        <v>0</v>
      </c>
      <c r="AU43" s="776">
        <f>$E$7*AW43</f>
        <v>0</v>
      </c>
      <c r="AV43" s="776">
        <f t="shared" ref="AV43:AV50" si="145">AW43-AU43</f>
        <v>0</v>
      </c>
      <c r="AW43" s="178">
        <f t="shared" ref="AW43:AW50" si="146">AT43*(1+$F43)</f>
        <v>0</v>
      </c>
      <c r="AX43" s="776">
        <f>$E$7*AZ43</f>
        <v>0</v>
      </c>
      <c r="AY43" s="776">
        <f t="shared" ref="AY43:AY50" si="147">AZ43-AX43</f>
        <v>0</v>
      </c>
      <c r="AZ43" s="178">
        <f t="shared" ref="AZ43:AZ50" si="148">AW43*(1+$F43)</f>
        <v>0</v>
      </c>
      <c r="BA43" s="776">
        <f>$E$7*BC43</f>
        <v>0</v>
      </c>
      <c r="BB43" s="776">
        <f t="shared" ref="BB43:BB50" si="149">BC43-BA43</f>
        <v>0</v>
      </c>
      <c r="BC43" s="178">
        <f t="shared" ref="BC43:BC50" si="150">AZ43*(1+$F43)</f>
        <v>0</v>
      </c>
      <c r="BD43" s="776">
        <f>$E$7*BF43</f>
        <v>0</v>
      </c>
      <c r="BE43" s="776">
        <f t="shared" ref="BE43:BE50" si="151">BF43-BD43</f>
        <v>0</v>
      </c>
      <c r="BF43" s="178">
        <f t="shared" ref="BF43:BF50" si="152">BC43*(1+$F43)</f>
        <v>0</v>
      </c>
      <c r="BG43" s="776">
        <f>$E$7*BI43</f>
        <v>0</v>
      </c>
      <c r="BH43" s="776">
        <f t="shared" ref="BH43:BH50" si="153">BI43-BG43</f>
        <v>0</v>
      </c>
      <c r="BI43" s="178">
        <f t="shared" ref="BI43:BI50" si="154">BF43*(1+$F43)</f>
        <v>0</v>
      </c>
      <c r="BJ43" s="776">
        <f>$E$7*BL43</f>
        <v>0</v>
      </c>
      <c r="BK43" s="776">
        <f t="shared" ref="BK43:BK50" si="155">BL43-BJ43</f>
        <v>0</v>
      </c>
      <c r="BL43" s="178">
        <f t="shared" ref="BL43:BL50" si="156">BI43*(1+$F43)</f>
        <v>0</v>
      </c>
      <c r="BM43" s="776">
        <f>$E$7*BO43</f>
        <v>0</v>
      </c>
      <c r="BN43" s="776">
        <f t="shared" ref="BN43:BN50" si="157">BO43-BM43</f>
        <v>0</v>
      </c>
      <c r="BO43" s="178">
        <f t="shared" ref="BO43:BO50" si="158">BL43*(1+$F43)</f>
        <v>0</v>
      </c>
      <c r="BP43" s="5"/>
      <c r="BQ43" s="5"/>
      <c r="BR43" s="5"/>
      <c r="BS43" s="5"/>
      <c r="BT43" s="5"/>
      <c r="BU43" s="5"/>
      <c r="BV43" s="5"/>
    </row>
    <row r="44" spans="1:74" ht="13.8">
      <c r="C44" s="144" t="str">
        <f>'6.1stYrOpBudget'!A44</f>
        <v>Office Expenses</v>
      </c>
      <c r="D44" s="1066">
        <v>6311</v>
      </c>
      <c r="E44" s="1058">
        <f t="shared" si="120"/>
        <v>3.5000000000000003E-2</v>
      </c>
      <c r="F44" s="1056">
        <v>3.5000000000000003E-2</v>
      </c>
      <c r="G44" s="64"/>
      <c r="H44" s="776">
        <f>'6.1stYrOpBudget'!D44</f>
        <v>0</v>
      </c>
      <c r="I44" s="776">
        <f>'6.1stYrOpBudget'!E44</f>
        <v>0</v>
      </c>
      <c r="J44" s="178">
        <f>'6.1stYrOpBudget'!F44</f>
        <v>0</v>
      </c>
      <c r="K44" s="776">
        <f>$E$7*M44</f>
        <v>0</v>
      </c>
      <c r="L44" s="776">
        <f t="shared" si="121"/>
        <v>0</v>
      </c>
      <c r="M44" s="178">
        <f t="shared" si="122"/>
        <v>0</v>
      </c>
      <c r="N44" s="776">
        <f>$E$7*P44</f>
        <v>0</v>
      </c>
      <c r="O44" s="776">
        <f t="shared" si="123"/>
        <v>0</v>
      </c>
      <c r="P44" s="178">
        <f t="shared" si="124"/>
        <v>0</v>
      </c>
      <c r="Q44" s="776">
        <f>$E$7*S44</f>
        <v>0</v>
      </c>
      <c r="R44" s="776">
        <f t="shared" si="125"/>
        <v>0</v>
      </c>
      <c r="S44" s="178">
        <f t="shared" si="126"/>
        <v>0</v>
      </c>
      <c r="T44" s="776">
        <f>$E$7*V44</f>
        <v>0</v>
      </c>
      <c r="U44" s="776">
        <f t="shared" si="127"/>
        <v>0</v>
      </c>
      <c r="V44" s="178">
        <f t="shared" si="128"/>
        <v>0</v>
      </c>
      <c r="W44" s="776">
        <f>$E$7*Y44</f>
        <v>0</v>
      </c>
      <c r="X44" s="776">
        <f t="shared" si="129"/>
        <v>0</v>
      </c>
      <c r="Y44" s="178">
        <f t="shared" si="130"/>
        <v>0</v>
      </c>
      <c r="Z44" s="776">
        <f>$E$7*AB44</f>
        <v>0</v>
      </c>
      <c r="AA44" s="776">
        <f t="shared" si="131"/>
        <v>0</v>
      </c>
      <c r="AB44" s="178">
        <f t="shared" si="132"/>
        <v>0</v>
      </c>
      <c r="AC44" s="776">
        <f>$E$7*AE44</f>
        <v>0</v>
      </c>
      <c r="AD44" s="776">
        <f t="shared" si="133"/>
        <v>0</v>
      </c>
      <c r="AE44" s="178">
        <f t="shared" si="134"/>
        <v>0</v>
      </c>
      <c r="AF44" s="776">
        <f>$E$7*AH44</f>
        <v>0</v>
      </c>
      <c r="AG44" s="776">
        <f t="shared" si="135"/>
        <v>0</v>
      </c>
      <c r="AH44" s="178">
        <f t="shared" si="136"/>
        <v>0</v>
      </c>
      <c r="AI44" s="776">
        <f>$E$7*AK44</f>
        <v>0</v>
      </c>
      <c r="AJ44" s="776">
        <f t="shared" si="137"/>
        <v>0</v>
      </c>
      <c r="AK44" s="178">
        <f t="shared" si="138"/>
        <v>0</v>
      </c>
      <c r="AL44" s="776">
        <f>$E$7*AN44</f>
        <v>0</v>
      </c>
      <c r="AM44" s="776">
        <f t="shared" si="139"/>
        <v>0</v>
      </c>
      <c r="AN44" s="178">
        <f t="shared" si="140"/>
        <v>0</v>
      </c>
      <c r="AO44" s="776">
        <f>$E$7*AQ44</f>
        <v>0</v>
      </c>
      <c r="AP44" s="776">
        <f t="shared" si="141"/>
        <v>0</v>
      </c>
      <c r="AQ44" s="178">
        <f t="shared" si="142"/>
        <v>0</v>
      </c>
      <c r="AR44" s="776">
        <f>$E$7*AT44</f>
        <v>0</v>
      </c>
      <c r="AS44" s="776">
        <f t="shared" si="143"/>
        <v>0</v>
      </c>
      <c r="AT44" s="178">
        <f t="shared" si="144"/>
        <v>0</v>
      </c>
      <c r="AU44" s="776">
        <f>$E$7*AW44</f>
        <v>0</v>
      </c>
      <c r="AV44" s="776">
        <f t="shared" si="145"/>
        <v>0</v>
      </c>
      <c r="AW44" s="178">
        <f t="shared" si="146"/>
        <v>0</v>
      </c>
      <c r="AX44" s="776">
        <f>$E$7*AZ44</f>
        <v>0</v>
      </c>
      <c r="AY44" s="776">
        <f t="shared" si="147"/>
        <v>0</v>
      </c>
      <c r="AZ44" s="178">
        <f t="shared" si="148"/>
        <v>0</v>
      </c>
      <c r="BA44" s="776">
        <f>$E$7*BC44</f>
        <v>0</v>
      </c>
      <c r="BB44" s="776">
        <f t="shared" si="149"/>
        <v>0</v>
      </c>
      <c r="BC44" s="178">
        <f t="shared" si="150"/>
        <v>0</v>
      </c>
      <c r="BD44" s="776">
        <f>$E$7*BF44</f>
        <v>0</v>
      </c>
      <c r="BE44" s="776">
        <f t="shared" si="151"/>
        <v>0</v>
      </c>
      <c r="BF44" s="178">
        <f t="shared" si="152"/>
        <v>0</v>
      </c>
      <c r="BG44" s="776">
        <f>$E$7*BI44</f>
        <v>0</v>
      </c>
      <c r="BH44" s="776">
        <f t="shared" si="153"/>
        <v>0</v>
      </c>
      <c r="BI44" s="178">
        <f t="shared" si="154"/>
        <v>0</v>
      </c>
      <c r="BJ44" s="776">
        <f>$E$7*BL44</f>
        <v>0</v>
      </c>
      <c r="BK44" s="776">
        <f t="shared" si="155"/>
        <v>0</v>
      </c>
      <c r="BL44" s="178">
        <f t="shared" si="156"/>
        <v>0</v>
      </c>
      <c r="BM44" s="776">
        <f>$E$7*BO44</f>
        <v>0</v>
      </c>
      <c r="BN44" s="776">
        <f t="shared" si="157"/>
        <v>0</v>
      </c>
      <c r="BO44" s="178">
        <f t="shared" si="158"/>
        <v>0</v>
      </c>
      <c r="BP44" s="5"/>
      <c r="BQ44" s="5"/>
      <c r="BR44" s="5"/>
      <c r="BS44" s="5"/>
      <c r="BT44" s="5"/>
      <c r="BU44" s="5"/>
      <c r="BV44" s="5"/>
    </row>
    <row r="45" spans="1:74" ht="13.8">
      <c r="C45" s="144" t="str">
        <f>'6.1stYrOpBudget'!A45</f>
        <v>Office Rent</v>
      </c>
      <c r="D45" s="1066">
        <v>6312</v>
      </c>
      <c r="E45" s="1058">
        <f t="shared" si="120"/>
        <v>3.5000000000000003E-2</v>
      </c>
      <c r="F45" s="1056">
        <v>3.5000000000000003E-2</v>
      </c>
      <c r="G45" s="64"/>
      <c r="H45" s="776">
        <f>'6.1stYrOpBudget'!D45</f>
        <v>0</v>
      </c>
      <c r="I45" s="776">
        <f>'6.1stYrOpBudget'!E45</f>
        <v>0</v>
      </c>
      <c r="J45" s="178">
        <f>'6.1stYrOpBudget'!F45</f>
        <v>0</v>
      </c>
      <c r="K45" s="776">
        <f>$E$7*M45</f>
        <v>0</v>
      </c>
      <c r="L45" s="776">
        <f t="shared" si="121"/>
        <v>0</v>
      </c>
      <c r="M45" s="178">
        <f t="shared" si="122"/>
        <v>0</v>
      </c>
      <c r="N45" s="776">
        <f>$E$7*P45</f>
        <v>0</v>
      </c>
      <c r="O45" s="776">
        <f t="shared" si="123"/>
        <v>0</v>
      </c>
      <c r="P45" s="178">
        <f t="shared" si="124"/>
        <v>0</v>
      </c>
      <c r="Q45" s="776">
        <f>$E$7*S45</f>
        <v>0</v>
      </c>
      <c r="R45" s="776">
        <f t="shared" si="125"/>
        <v>0</v>
      </c>
      <c r="S45" s="178">
        <f t="shared" si="126"/>
        <v>0</v>
      </c>
      <c r="T45" s="776">
        <f>$E$7*V45</f>
        <v>0</v>
      </c>
      <c r="U45" s="776">
        <f t="shared" si="127"/>
        <v>0</v>
      </c>
      <c r="V45" s="178">
        <f t="shared" si="128"/>
        <v>0</v>
      </c>
      <c r="W45" s="776">
        <f>$E$7*Y45</f>
        <v>0</v>
      </c>
      <c r="X45" s="776">
        <f t="shared" si="129"/>
        <v>0</v>
      </c>
      <c r="Y45" s="178">
        <f t="shared" si="130"/>
        <v>0</v>
      </c>
      <c r="Z45" s="776">
        <f>$E$7*AB45</f>
        <v>0</v>
      </c>
      <c r="AA45" s="776">
        <f t="shared" si="131"/>
        <v>0</v>
      </c>
      <c r="AB45" s="178">
        <f t="shared" si="132"/>
        <v>0</v>
      </c>
      <c r="AC45" s="776">
        <f>$E$7*AE45</f>
        <v>0</v>
      </c>
      <c r="AD45" s="776">
        <f t="shared" si="133"/>
        <v>0</v>
      </c>
      <c r="AE45" s="178">
        <f t="shared" si="134"/>
        <v>0</v>
      </c>
      <c r="AF45" s="776">
        <f>$E$7*AH45</f>
        <v>0</v>
      </c>
      <c r="AG45" s="776">
        <f t="shared" si="135"/>
        <v>0</v>
      </c>
      <c r="AH45" s="178">
        <f t="shared" si="136"/>
        <v>0</v>
      </c>
      <c r="AI45" s="776">
        <f>$E$7*AK45</f>
        <v>0</v>
      </c>
      <c r="AJ45" s="776">
        <f t="shared" si="137"/>
        <v>0</v>
      </c>
      <c r="AK45" s="178">
        <f t="shared" si="138"/>
        <v>0</v>
      </c>
      <c r="AL45" s="776">
        <f>$E$7*AN45</f>
        <v>0</v>
      </c>
      <c r="AM45" s="776">
        <f t="shared" si="139"/>
        <v>0</v>
      </c>
      <c r="AN45" s="178">
        <f t="shared" si="140"/>
        <v>0</v>
      </c>
      <c r="AO45" s="776">
        <f>$E$7*AQ45</f>
        <v>0</v>
      </c>
      <c r="AP45" s="776">
        <f t="shared" si="141"/>
        <v>0</v>
      </c>
      <c r="AQ45" s="178">
        <f t="shared" si="142"/>
        <v>0</v>
      </c>
      <c r="AR45" s="776">
        <f>$E$7*AT45</f>
        <v>0</v>
      </c>
      <c r="AS45" s="776">
        <f t="shared" si="143"/>
        <v>0</v>
      </c>
      <c r="AT45" s="178">
        <f t="shared" si="144"/>
        <v>0</v>
      </c>
      <c r="AU45" s="776">
        <f>$E$7*AW45</f>
        <v>0</v>
      </c>
      <c r="AV45" s="776">
        <f t="shared" si="145"/>
        <v>0</v>
      </c>
      <c r="AW45" s="178">
        <f t="shared" si="146"/>
        <v>0</v>
      </c>
      <c r="AX45" s="776">
        <f>$E$7*AZ45</f>
        <v>0</v>
      </c>
      <c r="AY45" s="776">
        <f t="shared" si="147"/>
        <v>0</v>
      </c>
      <c r="AZ45" s="178">
        <f t="shared" si="148"/>
        <v>0</v>
      </c>
      <c r="BA45" s="776">
        <f>$E$7*BC45</f>
        <v>0</v>
      </c>
      <c r="BB45" s="776">
        <f t="shared" si="149"/>
        <v>0</v>
      </c>
      <c r="BC45" s="178">
        <f t="shared" si="150"/>
        <v>0</v>
      </c>
      <c r="BD45" s="776">
        <f>$E$7*BF45</f>
        <v>0</v>
      </c>
      <c r="BE45" s="776">
        <f t="shared" si="151"/>
        <v>0</v>
      </c>
      <c r="BF45" s="178">
        <f t="shared" si="152"/>
        <v>0</v>
      </c>
      <c r="BG45" s="776">
        <f>$E$7*BI45</f>
        <v>0</v>
      </c>
      <c r="BH45" s="776">
        <f t="shared" si="153"/>
        <v>0</v>
      </c>
      <c r="BI45" s="178">
        <f t="shared" si="154"/>
        <v>0</v>
      </c>
      <c r="BJ45" s="776">
        <f>$E$7*BL45</f>
        <v>0</v>
      </c>
      <c r="BK45" s="776">
        <f t="shared" si="155"/>
        <v>0</v>
      </c>
      <c r="BL45" s="178">
        <f t="shared" si="156"/>
        <v>0</v>
      </c>
      <c r="BM45" s="776">
        <f>$E$7*BO45</f>
        <v>0</v>
      </c>
      <c r="BN45" s="776">
        <f t="shared" si="157"/>
        <v>0</v>
      </c>
      <c r="BO45" s="178">
        <f t="shared" si="158"/>
        <v>0</v>
      </c>
      <c r="BP45" s="5"/>
      <c r="BQ45" s="5"/>
      <c r="BR45" s="5"/>
      <c r="BS45" s="5"/>
      <c r="BT45" s="5"/>
      <c r="BU45" s="5"/>
      <c r="BV45" s="5"/>
    </row>
    <row r="46" spans="1:74" ht="13.8">
      <c r="A46" s="732" t="str">
        <f>IF('6.1stYrOpBudget'!K46&lt;&gt;"",'6.1stYrOpBudget'!K46,"")</f>
        <v/>
      </c>
      <c r="B46" s="732" t="str">
        <f>'6.1stYrOpBudget'!L46</f>
        <v/>
      </c>
      <c r="C46" s="144" t="str">
        <f>'6.1stYrOpBudget'!A46</f>
        <v>Legal Expense - Property</v>
      </c>
      <c r="D46" s="1067">
        <v>6340</v>
      </c>
      <c r="E46" s="1058">
        <f t="shared" si="120"/>
        <v>3.5000000000000003E-2</v>
      </c>
      <c r="F46" s="1056">
        <v>3.5000000000000003E-2</v>
      </c>
      <c r="G46" s="64"/>
      <c r="H46" s="776">
        <f>'6.1stYrOpBudget'!D46</f>
        <v>0</v>
      </c>
      <c r="I46" s="776">
        <f>'6.1stYrOpBudget'!E46</f>
        <v>0</v>
      </c>
      <c r="J46" s="178">
        <f>'6.1stYrOpBudget'!F46</f>
        <v>0</v>
      </c>
      <c r="K46" s="800">
        <f>IF($A46&lt;&gt;"",$A46*M46,$E$7*M46)</f>
        <v>0</v>
      </c>
      <c r="L46" s="776">
        <f t="shared" si="121"/>
        <v>0</v>
      </c>
      <c r="M46" s="178">
        <f t="shared" si="122"/>
        <v>0</v>
      </c>
      <c r="N46" s="800">
        <f>IF($A46&lt;&gt;"",$A46*P46,$E$7*P46)</f>
        <v>0</v>
      </c>
      <c r="O46" s="776">
        <f t="shared" si="123"/>
        <v>0</v>
      </c>
      <c r="P46" s="178">
        <f t="shared" si="124"/>
        <v>0</v>
      </c>
      <c r="Q46" s="800">
        <f>IF($A46&lt;&gt;"",$A46*S46,$E$7*S46)</f>
        <v>0</v>
      </c>
      <c r="R46" s="776">
        <f t="shared" si="125"/>
        <v>0</v>
      </c>
      <c r="S46" s="178">
        <f t="shared" si="126"/>
        <v>0</v>
      </c>
      <c r="T46" s="800">
        <f>IF($A46&lt;&gt;"",$A46*V46,$E$7*V46)</f>
        <v>0</v>
      </c>
      <c r="U46" s="776">
        <f t="shared" si="127"/>
        <v>0</v>
      </c>
      <c r="V46" s="178">
        <f t="shared" si="128"/>
        <v>0</v>
      </c>
      <c r="W46" s="800">
        <f>IF($A46&lt;&gt;"",$A46*Y46,$E$7*Y46)</f>
        <v>0</v>
      </c>
      <c r="X46" s="776">
        <f t="shared" si="129"/>
        <v>0</v>
      </c>
      <c r="Y46" s="178">
        <f t="shared" si="130"/>
        <v>0</v>
      </c>
      <c r="Z46" s="800">
        <f>IF($A46&lt;&gt;"",$A46*AB46,$E$7*AB46)</f>
        <v>0</v>
      </c>
      <c r="AA46" s="776">
        <f t="shared" si="131"/>
        <v>0</v>
      </c>
      <c r="AB46" s="178">
        <f t="shared" si="132"/>
        <v>0</v>
      </c>
      <c r="AC46" s="800">
        <f>IF($A46&lt;&gt;"",$A46*AE46,$E$7*AE46)</f>
        <v>0</v>
      </c>
      <c r="AD46" s="776">
        <f t="shared" si="133"/>
        <v>0</v>
      </c>
      <c r="AE46" s="178">
        <f t="shared" si="134"/>
        <v>0</v>
      </c>
      <c r="AF46" s="800">
        <f>IF($A46&lt;&gt;"",$A46*AH46,$E$7*AH46)</f>
        <v>0</v>
      </c>
      <c r="AG46" s="776">
        <f t="shared" si="135"/>
        <v>0</v>
      </c>
      <c r="AH46" s="178">
        <f t="shared" si="136"/>
        <v>0</v>
      </c>
      <c r="AI46" s="800">
        <f>IF($A46&lt;&gt;"",$A46*AK46,$E$7*AK46)</f>
        <v>0</v>
      </c>
      <c r="AJ46" s="776">
        <f t="shared" si="137"/>
        <v>0</v>
      </c>
      <c r="AK46" s="178">
        <f t="shared" si="138"/>
        <v>0</v>
      </c>
      <c r="AL46" s="800">
        <f>IF($A46&lt;&gt;"",$A46*AN46,$E$7*AN46)</f>
        <v>0</v>
      </c>
      <c r="AM46" s="776">
        <f t="shared" si="139"/>
        <v>0</v>
      </c>
      <c r="AN46" s="178">
        <f t="shared" si="140"/>
        <v>0</v>
      </c>
      <c r="AO46" s="800">
        <f>IF($A46&lt;&gt;"",$A46*AQ46,$E$7*AQ46)</f>
        <v>0</v>
      </c>
      <c r="AP46" s="776">
        <f t="shared" si="141"/>
        <v>0</v>
      </c>
      <c r="AQ46" s="178">
        <f t="shared" si="142"/>
        <v>0</v>
      </c>
      <c r="AR46" s="800">
        <f>IF($A46&lt;&gt;"",$A46*AT46,$E$7*AT46)</f>
        <v>0</v>
      </c>
      <c r="AS46" s="776">
        <f t="shared" si="143"/>
        <v>0</v>
      </c>
      <c r="AT46" s="178">
        <f t="shared" si="144"/>
        <v>0</v>
      </c>
      <c r="AU46" s="800">
        <f>IF($A46&lt;&gt;"",$A46*AW46,$E$7*AW46)</f>
        <v>0</v>
      </c>
      <c r="AV46" s="776">
        <f t="shared" si="145"/>
        <v>0</v>
      </c>
      <c r="AW46" s="178">
        <f t="shared" si="146"/>
        <v>0</v>
      </c>
      <c r="AX46" s="800">
        <f>IF($A46&lt;&gt;"",$A46*AZ46,$E$7*AZ46)</f>
        <v>0</v>
      </c>
      <c r="AY46" s="776">
        <f t="shared" si="147"/>
        <v>0</v>
      </c>
      <c r="AZ46" s="178">
        <f t="shared" si="148"/>
        <v>0</v>
      </c>
      <c r="BA46" s="800">
        <f>IF($A46&lt;&gt;"",$A46*BC46,$E$7*BC46)</f>
        <v>0</v>
      </c>
      <c r="BB46" s="776">
        <f t="shared" si="149"/>
        <v>0</v>
      </c>
      <c r="BC46" s="178">
        <f t="shared" si="150"/>
        <v>0</v>
      </c>
      <c r="BD46" s="800">
        <f>IF($A46&lt;&gt;"",$A46*BF46,$E$7*BF46)</f>
        <v>0</v>
      </c>
      <c r="BE46" s="776">
        <f t="shared" si="151"/>
        <v>0</v>
      </c>
      <c r="BF46" s="178">
        <f t="shared" si="152"/>
        <v>0</v>
      </c>
      <c r="BG46" s="800">
        <f>IF($A46&lt;&gt;"",$A46*BI46,$E$7*BI46)</f>
        <v>0</v>
      </c>
      <c r="BH46" s="776">
        <f t="shared" si="153"/>
        <v>0</v>
      </c>
      <c r="BI46" s="178">
        <f t="shared" si="154"/>
        <v>0</v>
      </c>
      <c r="BJ46" s="800">
        <f>IF($A46&lt;&gt;"",$A46*BL46,$E$7*BL46)</f>
        <v>0</v>
      </c>
      <c r="BK46" s="776">
        <f t="shared" si="155"/>
        <v>0</v>
      </c>
      <c r="BL46" s="178">
        <f t="shared" si="156"/>
        <v>0</v>
      </c>
      <c r="BM46" s="800">
        <f>IF($A46&lt;&gt;"",$A46*BO46,$E$7*BO46)</f>
        <v>0</v>
      </c>
      <c r="BN46" s="776">
        <f t="shared" si="157"/>
        <v>0</v>
      </c>
      <c r="BO46" s="178">
        <f t="shared" si="158"/>
        <v>0</v>
      </c>
      <c r="BP46" s="5"/>
      <c r="BQ46" s="5"/>
      <c r="BR46" s="5"/>
      <c r="BS46" s="5"/>
      <c r="BT46" s="5"/>
      <c r="BU46" s="5"/>
      <c r="BV46" s="5"/>
    </row>
    <row r="47" spans="1:74" ht="13.8">
      <c r="C47" s="144" t="str">
        <f>'6.1stYrOpBudget'!A47</f>
        <v>Audit Expense</v>
      </c>
      <c r="D47" s="1066">
        <v>6350</v>
      </c>
      <c r="E47" s="1058">
        <f t="shared" si="120"/>
        <v>3.5000000000000003E-2</v>
      </c>
      <c r="F47" s="1056">
        <v>3.5000000000000003E-2</v>
      </c>
      <c r="G47" s="64"/>
      <c r="H47" s="776">
        <f>'6.1stYrOpBudget'!D47</f>
        <v>0</v>
      </c>
      <c r="I47" s="776">
        <f>'6.1stYrOpBudget'!E47</f>
        <v>0</v>
      </c>
      <c r="J47" s="178">
        <f>'6.1stYrOpBudget'!F47</f>
        <v>0</v>
      </c>
      <c r="K47" s="776">
        <f>$E$7*M47</f>
        <v>0</v>
      </c>
      <c r="L47" s="776">
        <f t="shared" si="121"/>
        <v>0</v>
      </c>
      <c r="M47" s="178">
        <f t="shared" si="122"/>
        <v>0</v>
      </c>
      <c r="N47" s="776">
        <f>$E$7*P47</f>
        <v>0</v>
      </c>
      <c r="O47" s="776">
        <f t="shared" si="123"/>
        <v>0</v>
      </c>
      <c r="P47" s="178">
        <f t="shared" si="124"/>
        <v>0</v>
      </c>
      <c r="Q47" s="776">
        <f>$E$7*S47</f>
        <v>0</v>
      </c>
      <c r="R47" s="776">
        <f t="shared" si="125"/>
        <v>0</v>
      </c>
      <c r="S47" s="178">
        <f t="shared" si="126"/>
        <v>0</v>
      </c>
      <c r="T47" s="776">
        <f>$E$7*V47</f>
        <v>0</v>
      </c>
      <c r="U47" s="776">
        <f t="shared" si="127"/>
        <v>0</v>
      </c>
      <c r="V47" s="178">
        <f t="shared" si="128"/>
        <v>0</v>
      </c>
      <c r="W47" s="776">
        <f>$E$7*Y47</f>
        <v>0</v>
      </c>
      <c r="X47" s="776">
        <f t="shared" si="129"/>
        <v>0</v>
      </c>
      <c r="Y47" s="178">
        <f t="shared" si="130"/>
        <v>0</v>
      </c>
      <c r="Z47" s="776">
        <f>$E$7*AB47</f>
        <v>0</v>
      </c>
      <c r="AA47" s="776">
        <f t="shared" si="131"/>
        <v>0</v>
      </c>
      <c r="AB47" s="178">
        <f t="shared" si="132"/>
        <v>0</v>
      </c>
      <c r="AC47" s="776">
        <f>$E$7*AE47</f>
        <v>0</v>
      </c>
      <c r="AD47" s="776">
        <f t="shared" si="133"/>
        <v>0</v>
      </c>
      <c r="AE47" s="178">
        <f t="shared" si="134"/>
        <v>0</v>
      </c>
      <c r="AF47" s="776">
        <f>$E$7*AH47</f>
        <v>0</v>
      </c>
      <c r="AG47" s="776">
        <f t="shared" si="135"/>
        <v>0</v>
      </c>
      <c r="AH47" s="178">
        <f t="shared" si="136"/>
        <v>0</v>
      </c>
      <c r="AI47" s="776">
        <f>$E$7*AK47</f>
        <v>0</v>
      </c>
      <c r="AJ47" s="776">
        <f t="shared" si="137"/>
        <v>0</v>
      </c>
      <c r="AK47" s="178">
        <f t="shared" si="138"/>
        <v>0</v>
      </c>
      <c r="AL47" s="776">
        <f>$E$7*AN47</f>
        <v>0</v>
      </c>
      <c r="AM47" s="776">
        <f t="shared" si="139"/>
        <v>0</v>
      </c>
      <c r="AN47" s="178">
        <f t="shared" si="140"/>
        <v>0</v>
      </c>
      <c r="AO47" s="776">
        <f>$E$7*AQ47</f>
        <v>0</v>
      </c>
      <c r="AP47" s="776">
        <f t="shared" si="141"/>
        <v>0</v>
      </c>
      <c r="AQ47" s="178">
        <f t="shared" si="142"/>
        <v>0</v>
      </c>
      <c r="AR47" s="776">
        <f>$E$7*AT47</f>
        <v>0</v>
      </c>
      <c r="AS47" s="776">
        <f t="shared" si="143"/>
        <v>0</v>
      </c>
      <c r="AT47" s="178">
        <f t="shared" si="144"/>
        <v>0</v>
      </c>
      <c r="AU47" s="776">
        <f>$E$7*AW47</f>
        <v>0</v>
      </c>
      <c r="AV47" s="776">
        <f t="shared" si="145"/>
        <v>0</v>
      </c>
      <c r="AW47" s="178">
        <f t="shared" si="146"/>
        <v>0</v>
      </c>
      <c r="AX47" s="776">
        <f>$E$7*AZ47</f>
        <v>0</v>
      </c>
      <c r="AY47" s="776">
        <f t="shared" si="147"/>
        <v>0</v>
      </c>
      <c r="AZ47" s="178">
        <f t="shared" si="148"/>
        <v>0</v>
      </c>
      <c r="BA47" s="776">
        <f>$E$7*BC47</f>
        <v>0</v>
      </c>
      <c r="BB47" s="776">
        <f t="shared" si="149"/>
        <v>0</v>
      </c>
      <c r="BC47" s="178">
        <f t="shared" si="150"/>
        <v>0</v>
      </c>
      <c r="BD47" s="776">
        <f>$E$7*BF47</f>
        <v>0</v>
      </c>
      <c r="BE47" s="776">
        <f t="shared" si="151"/>
        <v>0</v>
      </c>
      <c r="BF47" s="178">
        <f t="shared" si="152"/>
        <v>0</v>
      </c>
      <c r="BG47" s="776">
        <f>$E$7*BI47</f>
        <v>0</v>
      </c>
      <c r="BH47" s="776">
        <f t="shared" si="153"/>
        <v>0</v>
      </c>
      <c r="BI47" s="178">
        <f t="shared" si="154"/>
        <v>0</v>
      </c>
      <c r="BJ47" s="776">
        <f>$E$7*BL47</f>
        <v>0</v>
      </c>
      <c r="BK47" s="776">
        <f t="shared" si="155"/>
        <v>0</v>
      </c>
      <c r="BL47" s="178">
        <f t="shared" si="156"/>
        <v>0</v>
      </c>
      <c r="BM47" s="776">
        <f>$E$7*BO47</f>
        <v>0</v>
      </c>
      <c r="BN47" s="776">
        <f t="shared" si="157"/>
        <v>0</v>
      </c>
      <c r="BO47" s="178">
        <f t="shared" si="158"/>
        <v>0</v>
      </c>
      <c r="BP47" s="5"/>
      <c r="BQ47" s="5"/>
      <c r="BR47" s="5"/>
      <c r="BS47" s="5"/>
      <c r="BT47" s="5"/>
      <c r="BU47" s="5"/>
      <c r="BV47" s="5"/>
    </row>
    <row r="48" spans="1:74" ht="13.8">
      <c r="C48" s="144" t="str">
        <f>'6.1stYrOpBudget'!A48</f>
        <v>Bookkeeping/Accounting Services</v>
      </c>
      <c r="D48" s="1066">
        <v>6351</v>
      </c>
      <c r="E48" s="1058">
        <f t="shared" si="120"/>
        <v>3.5000000000000003E-2</v>
      </c>
      <c r="F48" s="1056">
        <v>3.5000000000000003E-2</v>
      </c>
      <c r="G48" s="64"/>
      <c r="H48" s="776">
        <f>'6.1stYrOpBudget'!D48</f>
        <v>0</v>
      </c>
      <c r="I48" s="776">
        <f>'6.1stYrOpBudget'!E48</f>
        <v>0</v>
      </c>
      <c r="J48" s="178">
        <f>'6.1stYrOpBudget'!F48</f>
        <v>0</v>
      </c>
      <c r="K48" s="776">
        <f>$E$7*M48</f>
        <v>0</v>
      </c>
      <c r="L48" s="776">
        <f t="shared" si="121"/>
        <v>0</v>
      </c>
      <c r="M48" s="178">
        <f t="shared" si="122"/>
        <v>0</v>
      </c>
      <c r="N48" s="776">
        <f>$E$7*P48</f>
        <v>0</v>
      </c>
      <c r="O48" s="776">
        <f t="shared" si="123"/>
        <v>0</v>
      </c>
      <c r="P48" s="178">
        <f t="shared" si="124"/>
        <v>0</v>
      </c>
      <c r="Q48" s="776">
        <f>$E$7*S48</f>
        <v>0</v>
      </c>
      <c r="R48" s="776">
        <f t="shared" si="125"/>
        <v>0</v>
      </c>
      <c r="S48" s="178">
        <f t="shared" si="126"/>
        <v>0</v>
      </c>
      <c r="T48" s="776">
        <f>$E$7*V48</f>
        <v>0</v>
      </c>
      <c r="U48" s="776">
        <f t="shared" si="127"/>
        <v>0</v>
      </c>
      <c r="V48" s="178">
        <f t="shared" si="128"/>
        <v>0</v>
      </c>
      <c r="W48" s="776">
        <f>$E$7*Y48</f>
        <v>0</v>
      </c>
      <c r="X48" s="776">
        <f t="shared" si="129"/>
        <v>0</v>
      </c>
      <c r="Y48" s="178">
        <f t="shared" si="130"/>
        <v>0</v>
      </c>
      <c r="Z48" s="776">
        <f>$E$7*AB48</f>
        <v>0</v>
      </c>
      <c r="AA48" s="776">
        <f t="shared" si="131"/>
        <v>0</v>
      </c>
      <c r="AB48" s="178">
        <f t="shared" si="132"/>
        <v>0</v>
      </c>
      <c r="AC48" s="776">
        <f>$E$7*AE48</f>
        <v>0</v>
      </c>
      <c r="AD48" s="776">
        <f t="shared" si="133"/>
        <v>0</v>
      </c>
      <c r="AE48" s="178">
        <f t="shared" si="134"/>
        <v>0</v>
      </c>
      <c r="AF48" s="776">
        <f>$E$7*AH48</f>
        <v>0</v>
      </c>
      <c r="AG48" s="776">
        <f t="shared" si="135"/>
        <v>0</v>
      </c>
      <c r="AH48" s="178">
        <f t="shared" si="136"/>
        <v>0</v>
      </c>
      <c r="AI48" s="776">
        <f>$E$7*AK48</f>
        <v>0</v>
      </c>
      <c r="AJ48" s="776">
        <f t="shared" si="137"/>
        <v>0</v>
      </c>
      <c r="AK48" s="178">
        <f t="shared" si="138"/>
        <v>0</v>
      </c>
      <c r="AL48" s="776">
        <f>$E$7*AN48</f>
        <v>0</v>
      </c>
      <c r="AM48" s="776">
        <f t="shared" si="139"/>
        <v>0</v>
      </c>
      <c r="AN48" s="178">
        <f t="shared" si="140"/>
        <v>0</v>
      </c>
      <c r="AO48" s="776">
        <f>$E$7*AQ48</f>
        <v>0</v>
      </c>
      <c r="AP48" s="776">
        <f t="shared" si="141"/>
        <v>0</v>
      </c>
      <c r="AQ48" s="178">
        <f t="shared" si="142"/>
        <v>0</v>
      </c>
      <c r="AR48" s="776">
        <f>$E$7*AT48</f>
        <v>0</v>
      </c>
      <c r="AS48" s="776">
        <f t="shared" si="143"/>
        <v>0</v>
      </c>
      <c r="AT48" s="178">
        <f t="shared" si="144"/>
        <v>0</v>
      </c>
      <c r="AU48" s="776">
        <f>$E$7*AW48</f>
        <v>0</v>
      </c>
      <c r="AV48" s="776">
        <f t="shared" si="145"/>
        <v>0</v>
      </c>
      <c r="AW48" s="178">
        <f t="shared" si="146"/>
        <v>0</v>
      </c>
      <c r="AX48" s="776">
        <f>$E$7*AZ48</f>
        <v>0</v>
      </c>
      <c r="AY48" s="776">
        <f t="shared" si="147"/>
        <v>0</v>
      </c>
      <c r="AZ48" s="178">
        <f t="shared" si="148"/>
        <v>0</v>
      </c>
      <c r="BA48" s="776">
        <f>$E$7*BC48</f>
        <v>0</v>
      </c>
      <c r="BB48" s="776">
        <f t="shared" si="149"/>
        <v>0</v>
      </c>
      <c r="BC48" s="178">
        <f t="shared" si="150"/>
        <v>0</v>
      </c>
      <c r="BD48" s="776">
        <f>$E$7*BF48</f>
        <v>0</v>
      </c>
      <c r="BE48" s="776">
        <f t="shared" si="151"/>
        <v>0</v>
      </c>
      <c r="BF48" s="178">
        <f t="shared" si="152"/>
        <v>0</v>
      </c>
      <c r="BG48" s="776">
        <f>$E$7*BI48</f>
        <v>0</v>
      </c>
      <c r="BH48" s="776">
        <f t="shared" si="153"/>
        <v>0</v>
      </c>
      <c r="BI48" s="178">
        <f t="shared" si="154"/>
        <v>0</v>
      </c>
      <c r="BJ48" s="776">
        <f>$E$7*BL48</f>
        <v>0</v>
      </c>
      <c r="BK48" s="776">
        <f t="shared" si="155"/>
        <v>0</v>
      </c>
      <c r="BL48" s="178">
        <f t="shared" si="156"/>
        <v>0</v>
      </c>
      <c r="BM48" s="776">
        <f>$E$7*BO48</f>
        <v>0</v>
      </c>
      <c r="BN48" s="776">
        <f t="shared" si="157"/>
        <v>0</v>
      </c>
      <c r="BO48" s="178">
        <f t="shared" si="158"/>
        <v>0</v>
      </c>
      <c r="BP48" s="5"/>
      <c r="BQ48" s="5"/>
      <c r="BR48" s="5"/>
      <c r="BS48" s="5"/>
      <c r="BT48" s="5"/>
      <c r="BU48" s="5"/>
      <c r="BV48" s="5"/>
    </row>
    <row r="49" spans="1:74" ht="13.8">
      <c r="A49" s="732" t="str">
        <f>IF('6.1stYrOpBudget'!K49&lt;&gt;"",'6.1stYrOpBudget'!K49,"")</f>
        <v/>
      </c>
      <c r="B49" s="732" t="str">
        <f>'6.1stYrOpBudget'!L49</f>
        <v/>
      </c>
      <c r="C49" s="144" t="str">
        <f>'6.1stYrOpBudget'!A49</f>
        <v>Bad Debts</v>
      </c>
      <c r="D49" s="1067">
        <v>6370</v>
      </c>
      <c r="E49" s="1058">
        <f t="shared" si="120"/>
        <v>3.5000000000000003E-2</v>
      </c>
      <c r="F49" s="1056">
        <v>3.5000000000000003E-2</v>
      </c>
      <c r="G49" s="64"/>
      <c r="H49" s="776">
        <f>'6.1stYrOpBudget'!D49</f>
        <v>0</v>
      </c>
      <c r="I49" s="776">
        <f>'6.1stYrOpBudget'!E49</f>
        <v>0</v>
      </c>
      <c r="J49" s="178">
        <f>'6.1stYrOpBudget'!F49</f>
        <v>0</v>
      </c>
      <c r="K49" s="800">
        <f>IF($A49&lt;&gt;"",$A49*M49,$E$7*M49)</f>
        <v>0</v>
      </c>
      <c r="L49" s="776">
        <f t="shared" si="121"/>
        <v>0</v>
      </c>
      <c r="M49" s="178">
        <f t="shared" si="122"/>
        <v>0</v>
      </c>
      <c r="N49" s="800">
        <f>IF($A49&lt;&gt;"",$A49*P49,$E$7*P49)</f>
        <v>0</v>
      </c>
      <c r="O49" s="776">
        <f t="shared" si="123"/>
        <v>0</v>
      </c>
      <c r="P49" s="178">
        <f t="shared" si="124"/>
        <v>0</v>
      </c>
      <c r="Q49" s="800">
        <f>IF($A49&lt;&gt;"",$A49*S49,$E$7*S49)</f>
        <v>0</v>
      </c>
      <c r="R49" s="776">
        <f t="shared" si="125"/>
        <v>0</v>
      </c>
      <c r="S49" s="178">
        <f t="shared" si="126"/>
        <v>0</v>
      </c>
      <c r="T49" s="800">
        <f>IF($A49&lt;&gt;"",$A49*V49,$E$7*V49)</f>
        <v>0</v>
      </c>
      <c r="U49" s="776">
        <f t="shared" si="127"/>
        <v>0</v>
      </c>
      <c r="V49" s="178">
        <f t="shared" si="128"/>
        <v>0</v>
      </c>
      <c r="W49" s="800">
        <f>IF($A49&lt;&gt;"",$A49*Y49,$E$7*Y49)</f>
        <v>0</v>
      </c>
      <c r="X49" s="776">
        <f t="shared" si="129"/>
        <v>0</v>
      </c>
      <c r="Y49" s="178">
        <f t="shared" si="130"/>
        <v>0</v>
      </c>
      <c r="Z49" s="800">
        <f>IF($A49&lt;&gt;"",$A49*AB49,$E$7*AB49)</f>
        <v>0</v>
      </c>
      <c r="AA49" s="776">
        <f t="shared" si="131"/>
        <v>0</v>
      </c>
      <c r="AB49" s="178">
        <f t="shared" si="132"/>
        <v>0</v>
      </c>
      <c r="AC49" s="800">
        <f>IF($A49&lt;&gt;"",$A49*AE49,$E$7*AE49)</f>
        <v>0</v>
      </c>
      <c r="AD49" s="776">
        <f t="shared" si="133"/>
        <v>0</v>
      </c>
      <c r="AE49" s="178">
        <f t="shared" si="134"/>
        <v>0</v>
      </c>
      <c r="AF49" s="800">
        <f>IF($A49&lt;&gt;"",$A49*AH49,$E$7*AH49)</f>
        <v>0</v>
      </c>
      <c r="AG49" s="776">
        <f t="shared" si="135"/>
        <v>0</v>
      </c>
      <c r="AH49" s="178">
        <f t="shared" si="136"/>
        <v>0</v>
      </c>
      <c r="AI49" s="800">
        <f>IF($A49&lt;&gt;"",$A49*AK49,$E$7*AK49)</f>
        <v>0</v>
      </c>
      <c r="AJ49" s="776">
        <f t="shared" si="137"/>
        <v>0</v>
      </c>
      <c r="AK49" s="178">
        <f t="shared" si="138"/>
        <v>0</v>
      </c>
      <c r="AL49" s="800">
        <f>IF($A49&lt;&gt;"",$A49*AN49,$E$7*AN49)</f>
        <v>0</v>
      </c>
      <c r="AM49" s="776">
        <f t="shared" si="139"/>
        <v>0</v>
      </c>
      <c r="AN49" s="178">
        <f t="shared" si="140"/>
        <v>0</v>
      </c>
      <c r="AO49" s="800">
        <f>IF($A49&lt;&gt;"",$A49*AQ49,$E$7*AQ49)</f>
        <v>0</v>
      </c>
      <c r="AP49" s="776">
        <f t="shared" si="141"/>
        <v>0</v>
      </c>
      <c r="AQ49" s="178">
        <f t="shared" si="142"/>
        <v>0</v>
      </c>
      <c r="AR49" s="800">
        <f>IF($A49&lt;&gt;"",$A49*AT49,$E$7*AT49)</f>
        <v>0</v>
      </c>
      <c r="AS49" s="776">
        <f t="shared" si="143"/>
        <v>0</v>
      </c>
      <c r="AT49" s="178">
        <f t="shared" si="144"/>
        <v>0</v>
      </c>
      <c r="AU49" s="800">
        <f>IF($A49&lt;&gt;"",$A49*AW49,$E$7*AW49)</f>
        <v>0</v>
      </c>
      <c r="AV49" s="776">
        <f t="shared" si="145"/>
        <v>0</v>
      </c>
      <c r="AW49" s="178">
        <f t="shared" si="146"/>
        <v>0</v>
      </c>
      <c r="AX49" s="800">
        <f>IF($A49&lt;&gt;"",$A49*AZ49,$E$7*AZ49)</f>
        <v>0</v>
      </c>
      <c r="AY49" s="776">
        <f t="shared" si="147"/>
        <v>0</v>
      </c>
      <c r="AZ49" s="178">
        <f t="shared" si="148"/>
        <v>0</v>
      </c>
      <c r="BA49" s="800">
        <f>IF($A49&lt;&gt;"",$A49*BC49,$E$7*BC49)</f>
        <v>0</v>
      </c>
      <c r="BB49" s="776">
        <f t="shared" si="149"/>
        <v>0</v>
      </c>
      <c r="BC49" s="178">
        <f t="shared" si="150"/>
        <v>0</v>
      </c>
      <c r="BD49" s="800">
        <f>IF($A49&lt;&gt;"",$A49*BF49,$E$7*BF49)</f>
        <v>0</v>
      </c>
      <c r="BE49" s="776">
        <f t="shared" si="151"/>
        <v>0</v>
      </c>
      <c r="BF49" s="178">
        <f t="shared" si="152"/>
        <v>0</v>
      </c>
      <c r="BG49" s="800">
        <f>IF($A49&lt;&gt;"",$A49*BI49,$E$7*BI49)</f>
        <v>0</v>
      </c>
      <c r="BH49" s="776">
        <f t="shared" si="153"/>
        <v>0</v>
      </c>
      <c r="BI49" s="178">
        <f t="shared" si="154"/>
        <v>0</v>
      </c>
      <c r="BJ49" s="800">
        <f>IF($A49&lt;&gt;"",$A49*BL49,$E$7*BL49)</f>
        <v>0</v>
      </c>
      <c r="BK49" s="776">
        <f t="shared" si="155"/>
        <v>0</v>
      </c>
      <c r="BL49" s="178">
        <f t="shared" si="156"/>
        <v>0</v>
      </c>
      <c r="BM49" s="800">
        <f>IF($A49&lt;&gt;"",$A49*BO49,$E$7*BO49)</f>
        <v>0</v>
      </c>
      <c r="BN49" s="776">
        <f t="shared" si="157"/>
        <v>0</v>
      </c>
      <c r="BO49" s="178">
        <f t="shared" si="158"/>
        <v>0</v>
      </c>
      <c r="BP49" s="5"/>
      <c r="BQ49" s="5"/>
      <c r="BR49" s="5"/>
      <c r="BS49" s="5"/>
      <c r="BT49" s="5"/>
      <c r="BU49" s="5"/>
      <c r="BV49" s="5"/>
    </row>
    <row r="50" spans="1:74" ht="13.8">
      <c r="C50" s="144" t="str">
        <f>'6.1stYrOpBudget'!A50</f>
        <v>Miscellaneous</v>
      </c>
      <c r="D50" s="1066">
        <v>6390</v>
      </c>
      <c r="E50" s="1058">
        <f t="shared" si="120"/>
        <v>3.5000000000000003E-2</v>
      </c>
      <c r="F50" s="1056">
        <v>3.5000000000000003E-2</v>
      </c>
      <c r="G50" s="64"/>
      <c r="H50" s="776">
        <f>'6.1stYrOpBudget'!D50</f>
        <v>0</v>
      </c>
      <c r="I50" s="776">
        <f>'6.1stYrOpBudget'!E50</f>
        <v>0</v>
      </c>
      <c r="J50" s="178">
        <f>'6.1stYrOpBudget'!F50</f>
        <v>0</v>
      </c>
      <c r="K50" s="776">
        <f>$E$7*M50</f>
        <v>0</v>
      </c>
      <c r="L50" s="776">
        <f t="shared" si="121"/>
        <v>0</v>
      </c>
      <c r="M50" s="178">
        <f t="shared" si="122"/>
        <v>0</v>
      </c>
      <c r="N50" s="776">
        <f>$E$7*P50</f>
        <v>0</v>
      </c>
      <c r="O50" s="776">
        <f t="shared" si="123"/>
        <v>0</v>
      </c>
      <c r="P50" s="178">
        <f t="shared" si="124"/>
        <v>0</v>
      </c>
      <c r="Q50" s="776">
        <f>$E$7*S50</f>
        <v>0</v>
      </c>
      <c r="R50" s="776">
        <f t="shared" si="125"/>
        <v>0</v>
      </c>
      <c r="S50" s="178">
        <f t="shared" si="126"/>
        <v>0</v>
      </c>
      <c r="T50" s="776">
        <f>$E$7*V50</f>
        <v>0</v>
      </c>
      <c r="U50" s="776">
        <f t="shared" si="127"/>
        <v>0</v>
      </c>
      <c r="V50" s="178">
        <f t="shared" si="128"/>
        <v>0</v>
      </c>
      <c r="W50" s="776">
        <f>$E$7*Y50</f>
        <v>0</v>
      </c>
      <c r="X50" s="776">
        <f t="shared" si="129"/>
        <v>0</v>
      </c>
      <c r="Y50" s="178">
        <f t="shared" si="130"/>
        <v>0</v>
      </c>
      <c r="Z50" s="776">
        <f>$E$7*AB50</f>
        <v>0</v>
      </c>
      <c r="AA50" s="776">
        <f t="shared" si="131"/>
        <v>0</v>
      </c>
      <c r="AB50" s="178">
        <f t="shared" si="132"/>
        <v>0</v>
      </c>
      <c r="AC50" s="776">
        <f>$E$7*AE50</f>
        <v>0</v>
      </c>
      <c r="AD50" s="776">
        <f t="shared" si="133"/>
        <v>0</v>
      </c>
      <c r="AE50" s="178">
        <f t="shared" si="134"/>
        <v>0</v>
      </c>
      <c r="AF50" s="776">
        <f>$E$7*AH50</f>
        <v>0</v>
      </c>
      <c r="AG50" s="776">
        <f t="shared" si="135"/>
        <v>0</v>
      </c>
      <c r="AH50" s="178">
        <f t="shared" si="136"/>
        <v>0</v>
      </c>
      <c r="AI50" s="776">
        <f>$E$7*AK50</f>
        <v>0</v>
      </c>
      <c r="AJ50" s="776">
        <f t="shared" si="137"/>
        <v>0</v>
      </c>
      <c r="AK50" s="178">
        <f t="shared" si="138"/>
        <v>0</v>
      </c>
      <c r="AL50" s="776">
        <f>$E$7*AN50</f>
        <v>0</v>
      </c>
      <c r="AM50" s="776">
        <f t="shared" si="139"/>
        <v>0</v>
      </c>
      <c r="AN50" s="178">
        <f t="shared" si="140"/>
        <v>0</v>
      </c>
      <c r="AO50" s="776">
        <f>$E$7*AQ50</f>
        <v>0</v>
      </c>
      <c r="AP50" s="776">
        <f t="shared" si="141"/>
        <v>0</v>
      </c>
      <c r="AQ50" s="178">
        <f t="shared" si="142"/>
        <v>0</v>
      </c>
      <c r="AR50" s="776">
        <f>$E$7*AT50</f>
        <v>0</v>
      </c>
      <c r="AS50" s="776">
        <f t="shared" si="143"/>
        <v>0</v>
      </c>
      <c r="AT50" s="178">
        <f t="shared" si="144"/>
        <v>0</v>
      </c>
      <c r="AU50" s="776">
        <f>$E$7*AW50</f>
        <v>0</v>
      </c>
      <c r="AV50" s="776">
        <f t="shared" si="145"/>
        <v>0</v>
      </c>
      <c r="AW50" s="178">
        <f t="shared" si="146"/>
        <v>0</v>
      </c>
      <c r="AX50" s="776">
        <f>$E$7*AZ50</f>
        <v>0</v>
      </c>
      <c r="AY50" s="776">
        <f t="shared" si="147"/>
        <v>0</v>
      </c>
      <c r="AZ50" s="178">
        <f t="shared" si="148"/>
        <v>0</v>
      </c>
      <c r="BA50" s="776">
        <f>$E$7*BC50</f>
        <v>0</v>
      </c>
      <c r="BB50" s="776">
        <f t="shared" si="149"/>
        <v>0</v>
      </c>
      <c r="BC50" s="178">
        <f t="shared" si="150"/>
        <v>0</v>
      </c>
      <c r="BD50" s="776">
        <f>$E$7*BF50</f>
        <v>0</v>
      </c>
      <c r="BE50" s="776">
        <f t="shared" si="151"/>
        <v>0</v>
      </c>
      <c r="BF50" s="178">
        <f t="shared" si="152"/>
        <v>0</v>
      </c>
      <c r="BG50" s="776">
        <f>$E$7*BI50</f>
        <v>0</v>
      </c>
      <c r="BH50" s="776">
        <f t="shared" si="153"/>
        <v>0</v>
      </c>
      <c r="BI50" s="178">
        <f t="shared" si="154"/>
        <v>0</v>
      </c>
      <c r="BJ50" s="776">
        <f>$E$7*BL50</f>
        <v>0</v>
      </c>
      <c r="BK50" s="776">
        <f t="shared" si="155"/>
        <v>0</v>
      </c>
      <c r="BL50" s="178">
        <f t="shared" si="156"/>
        <v>0</v>
      </c>
      <c r="BM50" s="776">
        <f>$E$7*BO50</f>
        <v>0</v>
      </c>
      <c r="BN50" s="776">
        <f t="shared" si="157"/>
        <v>0</v>
      </c>
      <c r="BO50" s="178">
        <f t="shared" si="158"/>
        <v>0</v>
      </c>
      <c r="BP50" s="5"/>
      <c r="BQ50" s="5"/>
      <c r="BR50" s="5"/>
      <c r="BS50" s="5"/>
      <c r="BT50" s="5"/>
      <c r="BU50" s="5"/>
      <c r="BV50" s="5"/>
    </row>
    <row r="51" spans="1:74" ht="14.4">
      <c r="C51" s="1082" t="str">
        <f>'6.1stYrOpBudget'!B51</f>
        <v>Sub-total Administration Expenses</v>
      </c>
      <c r="D51" s="126"/>
      <c r="E51" s="126"/>
      <c r="F51" s="126"/>
      <c r="G51" s="21"/>
      <c r="H51" s="235">
        <f>'6.1stYrOpBudget'!D51</f>
        <v>0</v>
      </c>
      <c r="I51" s="235">
        <f>'6.1stYrOpBudget'!E51</f>
        <v>0</v>
      </c>
      <c r="J51" s="175">
        <f>'6.1stYrOpBudget'!F51</f>
        <v>0</v>
      </c>
      <c r="K51" s="235">
        <f t="shared" ref="K51:AP51" si="159">SUM(K43:K50)</f>
        <v>0</v>
      </c>
      <c r="L51" s="235">
        <f t="shared" si="159"/>
        <v>0</v>
      </c>
      <c r="M51" s="175">
        <f t="shared" si="159"/>
        <v>0</v>
      </c>
      <c r="N51" s="235">
        <f t="shared" si="159"/>
        <v>0</v>
      </c>
      <c r="O51" s="235">
        <f t="shared" si="159"/>
        <v>0</v>
      </c>
      <c r="P51" s="175">
        <f t="shared" si="159"/>
        <v>0</v>
      </c>
      <c r="Q51" s="235">
        <f t="shared" si="159"/>
        <v>0</v>
      </c>
      <c r="R51" s="235">
        <f t="shared" si="159"/>
        <v>0</v>
      </c>
      <c r="S51" s="175">
        <f t="shared" si="159"/>
        <v>0</v>
      </c>
      <c r="T51" s="235">
        <f t="shared" si="159"/>
        <v>0</v>
      </c>
      <c r="U51" s="235">
        <f t="shared" si="159"/>
        <v>0</v>
      </c>
      <c r="V51" s="175">
        <f t="shared" si="159"/>
        <v>0</v>
      </c>
      <c r="W51" s="235">
        <f t="shared" si="159"/>
        <v>0</v>
      </c>
      <c r="X51" s="235">
        <f t="shared" si="159"/>
        <v>0</v>
      </c>
      <c r="Y51" s="175">
        <f t="shared" si="159"/>
        <v>0</v>
      </c>
      <c r="Z51" s="235">
        <f t="shared" si="159"/>
        <v>0</v>
      </c>
      <c r="AA51" s="235">
        <f t="shared" si="159"/>
        <v>0</v>
      </c>
      <c r="AB51" s="175">
        <f t="shared" si="159"/>
        <v>0</v>
      </c>
      <c r="AC51" s="235">
        <f t="shared" si="159"/>
        <v>0</v>
      </c>
      <c r="AD51" s="235">
        <f t="shared" si="159"/>
        <v>0</v>
      </c>
      <c r="AE51" s="175">
        <f t="shared" si="159"/>
        <v>0</v>
      </c>
      <c r="AF51" s="235">
        <f t="shared" si="159"/>
        <v>0</v>
      </c>
      <c r="AG51" s="235">
        <f t="shared" si="159"/>
        <v>0</v>
      </c>
      <c r="AH51" s="175">
        <f t="shared" si="159"/>
        <v>0</v>
      </c>
      <c r="AI51" s="235">
        <f t="shared" si="159"/>
        <v>0</v>
      </c>
      <c r="AJ51" s="235">
        <f t="shared" si="159"/>
        <v>0</v>
      </c>
      <c r="AK51" s="175">
        <f t="shared" si="159"/>
        <v>0</v>
      </c>
      <c r="AL51" s="235">
        <f t="shared" si="159"/>
        <v>0</v>
      </c>
      <c r="AM51" s="235">
        <f t="shared" si="159"/>
        <v>0</v>
      </c>
      <c r="AN51" s="175">
        <f t="shared" si="159"/>
        <v>0</v>
      </c>
      <c r="AO51" s="235">
        <f t="shared" si="159"/>
        <v>0</v>
      </c>
      <c r="AP51" s="235">
        <f t="shared" si="159"/>
        <v>0</v>
      </c>
      <c r="AQ51" s="175">
        <f t="shared" ref="AQ51:BO51" si="160">SUM(AQ43:AQ50)</f>
        <v>0</v>
      </c>
      <c r="AR51" s="235">
        <f t="shared" si="160"/>
        <v>0</v>
      </c>
      <c r="AS51" s="235">
        <f t="shared" si="160"/>
        <v>0</v>
      </c>
      <c r="AT51" s="175">
        <f t="shared" si="160"/>
        <v>0</v>
      </c>
      <c r="AU51" s="235">
        <f t="shared" si="160"/>
        <v>0</v>
      </c>
      <c r="AV51" s="235">
        <f t="shared" si="160"/>
        <v>0</v>
      </c>
      <c r="AW51" s="175">
        <f t="shared" si="160"/>
        <v>0</v>
      </c>
      <c r="AX51" s="235">
        <f t="shared" si="160"/>
        <v>0</v>
      </c>
      <c r="AY51" s="235">
        <f t="shared" si="160"/>
        <v>0</v>
      </c>
      <c r="AZ51" s="175">
        <f t="shared" si="160"/>
        <v>0</v>
      </c>
      <c r="BA51" s="235">
        <f t="shared" si="160"/>
        <v>0</v>
      </c>
      <c r="BB51" s="235">
        <f t="shared" si="160"/>
        <v>0</v>
      </c>
      <c r="BC51" s="175">
        <f t="shared" si="160"/>
        <v>0</v>
      </c>
      <c r="BD51" s="235">
        <f t="shared" si="160"/>
        <v>0</v>
      </c>
      <c r="BE51" s="235">
        <f t="shared" si="160"/>
        <v>0</v>
      </c>
      <c r="BF51" s="175">
        <f t="shared" si="160"/>
        <v>0</v>
      </c>
      <c r="BG51" s="235">
        <f t="shared" si="160"/>
        <v>0</v>
      </c>
      <c r="BH51" s="235">
        <f t="shared" si="160"/>
        <v>0</v>
      </c>
      <c r="BI51" s="175">
        <f t="shared" si="160"/>
        <v>0</v>
      </c>
      <c r="BJ51" s="235">
        <f t="shared" si="160"/>
        <v>0</v>
      </c>
      <c r="BK51" s="235">
        <f t="shared" si="160"/>
        <v>0</v>
      </c>
      <c r="BL51" s="175">
        <f t="shared" si="160"/>
        <v>0</v>
      </c>
      <c r="BM51" s="235">
        <f t="shared" si="160"/>
        <v>0</v>
      </c>
      <c r="BN51" s="235">
        <f t="shared" si="160"/>
        <v>0</v>
      </c>
      <c r="BO51" s="175">
        <f t="shared" si="160"/>
        <v>0</v>
      </c>
      <c r="BP51" s="5"/>
      <c r="BQ51" s="5"/>
      <c r="BR51" s="5"/>
      <c r="BS51" s="5"/>
      <c r="BT51" s="5"/>
      <c r="BU51" s="5"/>
      <c r="BV51" s="5"/>
    </row>
    <row r="52" spans="1:74" ht="13.8">
      <c r="C52" s="139" t="str">
        <f>'6.1stYrOpBudget'!A52</f>
        <v>Utilities</v>
      </c>
      <c r="D52" s="133"/>
      <c r="E52" s="133"/>
      <c r="F52" s="133"/>
      <c r="G52" s="21"/>
      <c r="H52" s="236"/>
      <c r="I52" s="236"/>
      <c r="J52" s="125"/>
      <c r="K52" s="236"/>
      <c r="L52" s="236"/>
      <c r="M52" s="125"/>
      <c r="N52" s="236"/>
      <c r="O52" s="236"/>
      <c r="P52" s="125"/>
      <c r="Q52" s="236"/>
      <c r="R52" s="236"/>
      <c r="S52" s="125"/>
      <c r="T52" s="236"/>
      <c r="U52" s="236"/>
      <c r="V52" s="125"/>
      <c r="W52" s="236"/>
      <c r="X52" s="236"/>
      <c r="Y52" s="125"/>
      <c r="Z52" s="236"/>
      <c r="AA52" s="236"/>
      <c r="AB52" s="125"/>
      <c r="AC52" s="236"/>
      <c r="AD52" s="236"/>
      <c r="AE52" s="125"/>
      <c r="AF52" s="236"/>
      <c r="AG52" s="236"/>
      <c r="AH52" s="125"/>
      <c r="AI52" s="236"/>
      <c r="AJ52" s="236"/>
      <c r="AK52" s="125"/>
      <c r="AL52" s="236"/>
      <c r="AM52" s="236"/>
      <c r="AN52" s="125"/>
      <c r="AO52" s="236"/>
      <c r="AP52" s="236"/>
      <c r="AQ52" s="125"/>
      <c r="AR52" s="236"/>
      <c r="AS52" s="236"/>
      <c r="AT52" s="125"/>
      <c r="AU52" s="236"/>
      <c r="AV52" s="236"/>
      <c r="AW52" s="125"/>
      <c r="AX52" s="236"/>
      <c r="AY52" s="236"/>
      <c r="AZ52" s="125"/>
      <c r="BA52" s="236"/>
      <c r="BB52" s="236"/>
      <c r="BC52" s="125"/>
      <c r="BD52" s="236"/>
      <c r="BE52" s="236"/>
      <c r="BF52" s="125"/>
      <c r="BG52" s="236"/>
      <c r="BH52" s="236"/>
      <c r="BI52" s="125"/>
      <c r="BJ52" s="236"/>
      <c r="BK52" s="236"/>
      <c r="BL52" s="125"/>
      <c r="BM52" s="236"/>
      <c r="BN52" s="236"/>
      <c r="BO52" s="125"/>
      <c r="BP52" s="5"/>
      <c r="BQ52" s="5"/>
      <c r="BR52" s="5"/>
      <c r="BS52" s="5"/>
      <c r="BT52" s="5"/>
      <c r="BU52" s="5"/>
      <c r="BV52" s="5"/>
    </row>
    <row r="53" spans="1:74" ht="13.8">
      <c r="A53" s="732" t="str">
        <f>IF('6.1stYrOpBudget'!K53&lt;&gt;"",'6.1stYrOpBudget'!K53,"")</f>
        <v/>
      </c>
      <c r="B53" s="732" t="str">
        <f>'6.1stYrOpBudget'!L53</f>
        <v/>
      </c>
      <c r="C53" s="144" t="str">
        <f>'6.1stYrOpBudget'!A53</f>
        <v>Electricity</v>
      </c>
      <c r="D53" s="1068">
        <v>6450</v>
      </c>
      <c r="E53" s="1058">
        <f>F53</f>
        <v>3.5000000000000003E-2</v>
      </c>
      <c r="F53" s="1056">
        <v>3.5000000000000003E-2</v>
      </c>
      <c r="G53" s="64"/>
      <c r="H53" s="776">
        <f>'6.1stYrOpBudget'!D53</f>
        <v>0</v>
      </c>
      <c r="I53" s="776">
        <f>'6.1stYrOpBudget'!E53</f>
        <v>0</v>
      </c>
      <c r="J53" s="178">
        <f>'6.1stYrOpBudget'!F53</f>
        <v>0</v>
      </c>
      <c r="K53" s="800">
        <f>IF($A53&lt;&gt;"",$A53*M53,$E$7*M53)</f>
        <v>0</v>
      </c>
      <c r="L53" s="776">
        <f>M53-K53</f>
        <v>0</v>
      </c>
      <c r="M53" s="178">
        <f>J53*(1+$F53)</f>
        <v>0</v>
      </c>
      <c r="N53" s="800">
        <f>IF($A53&lt;&gt;"",$A53*P53,$E$7*P53)</f>
        <v>0</v>
      </c>
      <c r="O53" s="776">
        <f>P53-N53</f>
        <v>0</v>
      </c>
      <c r="P53" s="178">
        <f>M53*(1+$F53)</f>
        <v>0</v>
      </c>
      <c r="Q53" s="800">
        <f>IF($A53&lt;&gt;"",$A53*S53,$E$7*S53)</f>
        <v>0</v>
      </c>
      <c r="R53" s="776">
        <f>S53-Q53</f>
        <v>0</v>
      </c>
      <c r="S53" s="178">
        <f>P53*(1+$F53)</f>
        <v>0</v>
      </c>
      <c r="T53" s="800">
        <f>IF($A53&lt;&gt;"",$A53*V53,$E$7*V53)</f>
        <v>0</v>
      </c>
      <c r="U53" s="776">
        <f>V53-T53</f>
        <v>0</v>
      </c>
      <c r="V53" s="178">
        <f>S53*(1+$F53)</f>
        <v>0</v>
      </c>
      <c r="W53" s="800">
        <f>IF($A53&lt;&gt;"",$A53*Y53,$E$7*Y53)</f>
        <v>0</v>
      </c>
      <c r="X53" s="776">
        <f>Y53-W53</f>
        <v>0</v>
      </c>
      <c r="Y53" s="178">
        <f>V53*(1+$F53)</f>
        <v>0</v>
      </c>
      <c r="Z53" s="800">
        <f>IF($A53&lt;&gt;"",$A53*AB53,$E$7*AB53)</f>
        <v>0</v>
      </c>
      <c r="AA53" s="776">
        <f>AB53-Z53</f>
        <v>0</v>
      </c>
      <c r="AB53" s="178">
        <f>Y53*(1+$F53)</f>
        <v>0</v>
      </c>
      <c r="AC53" s="800">
        <f>IF($A53&lt;&gt;"",$A53*AE53,$E$7*AE53)</f>
        <v>0</v>
      </c>
      <c r="AD53" s="776">
        <f>AE53-AC53</f>
        <v>0</v>
      </c>
      <c r="AE53" s="178">
        <f>AB53*(1+$F53)</f>
        <v>0</v>
      </c>
      <c r="AF53" s="800">
        <f>IF($A53&lt;&gt;"",$A53*AH53,$E$7*AH53)</f>
        <v>0</v>
      </c>
      <c r="AG53" s="776">
        <f>AH53-AF53</f>
        <v>0</v>
      </c>
      <c r="AH53" s="178">
        <f>AE53*(1+$F53)</f>
        <v>0</v>
      </c>
      <c r="AI53" s="800">
        <f>IF($A53&lt;&gt;"",$A53*AK53,$E$7*AK53)</f>
        <v>0</v>
      </c>
      <c r="AJ53" s="776">
        <f>AK53-AI53</f>
        <v>0</v>
      </c>
      <c r="AK53" s="178">
        <f>AH53*(1+$F53)</f>
        <v>0</v>
      </c>
      <c r="AL53" s="800">
        <f>IF($A53&lt;&gt;"",$A53*AN53,$E$7*AN53)</f>
        <v>0</v>
      </c>
      <c r="AM53" s="776">
        <f>AN53-AL53</f>
        <v>0</v>
      </c>
      <c r="AN53" s="178">
        <f>AK53*(1+$F53)</f>
        <v>0</v>
      </c>
      <c r="AO53" s="800">
        <f>IF($A53&lt;&gt;"",$A53*AQ53,$E$7*AQ53)</f>
        <v>0</v>
      </c>
      <c r="AP53" s="776">
        <f>AQ53-AO53</f>
        <v>0</v>
      </c>
      <c r="AQ53" s="178">
        <f>AN53*(1+$F53)</f>
        <v>0</v>
      </c>
      <c r="AR53" s="800">
        <f>IF($A53&lt;&gt;"",$A53*AT53,$E$7*AT53)</f>
        <v>0</v>
      </c>
      <c r="AS53" s="776">
        <f>AT53-AR53</f>
        <v>0</v>
      </c>
      <c r="AT53" s="178">
        <f>AQ53*(1+$F53)</f>
        <v>0</v>
      </c>
      <c r="AU53" s="800">
        <f>IF($A53&lt;&gt;"",$A53*AW53,$E$7*AW53)</f>
        <v>0</v>
      </c>
      <c r="AV53" s="776">
        <f>AW53-AU53</f>
        <v>0</v>
      </c>
      <c r="AW53" s="178">
        <f>AT53*(1+$F53)</f>
        <v>0</v>
      </c>
      <c r="AX53" s="800">
        <f>IF($A53&lt;&gt;"",$A53*AZ53,$E$7*AZ53)</f>
        <v>0</v>
      </c>
      <c r="AY53" s="776">
        <f>AZ53-AX53</f>
        <v>0</v>
      </c>
      <c r="AZ53" s="178">
        <f>AW53*(1+$F53)</f>
        <v>0</v>
      </c>
      <c r="BA53" s="800">
        <f>IF($A53&lt;&gt;"",$A53*BC53,$E$7*BC53)</f>
        <v>0</v>
      </c>
      <c r="BB53" s="776">
        <f>BC53-BA53</f>
        <v>0</v>
      </c>
      <c r="BC53" s="178">
        <f>AZ53*(1+$F53)</f>
        <v>0</v>
      </c>
      <c r="BD53" s="800">
        <f>IF($A53&lt;&gt;"",$A53*BF53,$E$7*BF53)</f>
        <v>0</v>
      </c>
      <c r="BE53" s="776">
        <f>BF53-BD53</f>
        <v>0</v>
      </c>
      <c r="BF53" s="178">
        <f>BC53*(1+$F53)</f>
        <v>0</v>
      </c>
      <c r="BG53" s="800">
        <f>IF($A53&lt;&gt;"",$A53*BI53,$E$7*BI53)</f>
        <v>0</v>
      </c>
      <c r="BH53" s="776">
        <f>BI53-BG53</f>
        <v>0</v>
      </c>
      <c r="BI53" s="178">
        <f>BF53*(1+$F53)</f>
        <v>0</v>
      </c>
      <c r="BJ53" s="800">
        <f>IF($A53&lt;&gt;"",$A53*BL53,$E$7*BL53)</f>
        <v>0</v>
      </c>
      <c r="BK53" s="776">
        <f>BL53-BJ53</f>
        <v>0</v>
      </c>
      <c r="BL53" s="178">
        <f>BI53*(1+$F53)</f>
        <v>0</v>
      </c>
      <c r="BM53" s="800">
        <f>IF($A53&lt;&gt;"",$A53*BO53,$E$7*BO53)</f>
        <v>0</v>
      </c>
      <c r="BN53" s="776">
        <f>BO53-BM53</f>
        <v>0</v>
      </c>
      <c r="BO53" s="178">
        <f>BL53*(1+$F53)</f>
        <v>0</v>
      </c>
      <c r="BP53" s="5"/>
      <c r="BQ53" s="5"/>
      <c r="BR53" s="5"/>
      <c r="BS53" s="5"/>
      <c r="BT53" s="5"/>
      <c r="BU53" s="5"/>
      <c r="BV53" s="5"/>
    </row>
    <row r="54" spans="1:74" ht="13.8">
      <c r="C54" s="144" t="str">
        <f>'6.1stYrOpBudget'!A54</f>
        <v>Water</v>
      </c>
      <c r="D54" s="136">
        <v>6451</v>
      </c>
      <c r="E54" s="1058">
        <f>F54</f>
        <v>3.5000000000000003E-2</v>
      </c>
      <c r="F54" s="1056">
        <v>3.5000000000000003E-2</v>
      </c>
      <c r="G54" s="64"/>
      <c r="H54" s="776">
        <f>'6.1stYrOpBudget'!D54</f>
        <v>0</v>
      </c>
      <c r="I54" s="776">
        <f>'6.1stYrOpBudget'!E54</f>
        <v>0</v>
      </c>
      <c r="J54" s="178">
        <f>'6.1stYrOpBudget'!F54</f>
        <v>0</v>
      </c>
      <c r="K54" s="776">
        <f>$E$7*M54</f>
        <v>0</v>
      </c>
      <c r="L54" s="776">
        <f>M54-K54</f>
        <v>0</v>
      </c>
      <c r="M54" s="178">
        <f>J54*(1+$F54)</f>
        <v>0</v>
      </c>
      <c r="N54" s="776">
        <f>$E$7*P54</f>
        <v>0</v>
      </c>
      <c r="O54" s="776">
        <f>P54-N54</f>
        <v>0</v>
      </c>
      <c r="P54" s="178">
        <f>M54*(1+$F54)</f>
        <v>0</v>
      </c>
      <c r="Q54" s="776">
        <f>$E$7*S54</f>
        <v>0</v>
      </c>
      <c r="R54" s="776">
        <f>S54-Q54</f>
        <v>0</v>
      </c>
      <c r="S54" s="178">
        <f>P54*(1+$F54)</f>
        <v>0</v>
      </c>
      <c r="T54" s="776">
        <f>$E$7*V54</f>
        <v>0</v>
      </c>
      <c r="U54" s="776">
        <f>V54-T54</f>
        <v>0</v>
      </c>
      <c r="V54" s="178">
        <f>S54*(1+$F54)</f>
        <v>0</v>
      </c>
      <c r="W54" s="776">
        <f>$E$7*Y54</f>
        <v>0</v>
      </c>
      <c r="X54" s="776">
        <f>Y54-W54</f>
        <v>0</v>
      </c>
      <c r="Y54" s="178">
        <f>V54*(1+$F54)</f>
        <v>0</v>
      </c>
      <c r="Z54" s="776">
        <f>$E$7*AB54</f>
        <v>0</v>
      </c>
      <c r="AA54" s="776">
        <f>AB54-Z54</f>
        <v>0</v>
      </c>
      <c r="AB54" s="178">
        <f>Y54*(1+$F54)</f>
        <v>0</v>
      </c>
      <c r="AC54" s="776">
        <f>$E$7*AE54</f>
        <v>0</v>
      </c>
      <c r="AD54" s="776">
        <f>AE54-AC54</f>
        <v>0</v>
      </c>
      <c r="AE54" s="178">
        <f>AB54*(1+$F54)</f>
        <v>0</v>
      </c>
      <c r="AF54" s="776">
        <f>$E$7*AH54</f>
        <v>0</v>
      </c>
      <c r="AG54" s="776">
        <f>AH54-AF54</f>
        <v>0</v>
      </c>
      <c r="AH54" s="178">
        <f>AE54*(1+$F54)</f>
        <v>0</v>
      </c>
      <c r="AI54" s="776">
        <f>$E$7*AK54</f>
        <v>0</v>
      </c>
      <c r="AJ54" s="776">
        <f>AK54-AI54</f>
        <v>0</v>
      </c>
      <c r="AK54" s="178">
        <f>AH54*(1+$F54)</f>
        <v>0</v>
      </c>
      <c r="AL54" s="776">
        <f>$E$7*AN54</f>
        <v>0</v>
      </c>
      <c r="AM54" s="776">
        <f>AN54-AL54</f>
        <v>0</v>
      </c>
      <c r="AN54" s="178">
        <f>AK54*(1+$F54)</f>
        <v>0</v>
      </c>
      <c r="AO54" s="776">
        <f>$E$7*AQ54</f>
        <v>0</v>
      </c>
      <c r="AP54" s="776">
        <f>AQ54-AO54</f>
        <v>0</v>
      </c>
      <c r="AQ54" s="178">
        <f>AN54*(1+$F54)</f>
        <v>0</v>
      </c>
      <c r="AR54" s="776">
        <f>$E$7*AT54</f>
        <v>0</v>
      </c>
      <c r="AS54" s="776">
        <f>AT54-AR54</f>
        <v>0</v>
      </c>
      <c r="AT54" s="178">
        <f>AQ54*(1+$F54)</f>
        <v>0</v>
      </c>
      <c r="AU54" s="776">
        <f>$E$7*AW54</f>
        <v>0</v>
      </c>
      <c r="AV54" s="776">
        <f>AW54-AU54</f>
        <v>0</v>
      </c>
      <c r="AW54" s="178">
        <f>AT54*(1+$F54)</f>
        <v>0</v>
      </c>
      <c r="AX54" s="776">
        <f>$E$7*AZ54</f>
        <v>0</v>
      </c>
      <c r="AY54" s="776">
        <f>AZ54-AX54</f>
        <v>0</v>
      </c>
      <c r="AZ54" s="178">
        <f>AW54*(1+$F54)</f>
        <v>0</v>
      </c>
      <c r="BA54" s="776">
        <f>$E$7*BC54</f>
        <v>0</v>
      </c>
      <c r="BB54" s="776">
        <f>BC54-BA54</f>
        <v>0</v>
      </c>
      <c r="BC54" s="178">
        <f>AZ54*(1+$F54)</f>
        <v>0</v>
      </c>
      <c r="BD54" s="776">
        <f>$E$7*BF54</f>
        <v>0</v>
      </c>
      <c r="BE54" s="776">
        <f>BF54-BD54</f>
        <v>0</v>
      </c>
      <c r="BF54" s="178">
        <f>BC54*(1+$F54)</f>
        <v>0</v>
      </c>
      <c r="BG54" s="776">
        <f>$E$7*BI54</f>
        <v>0</v>
      </c>
      <c r="BH54" s="776">
        <f>BI54-BG54</f>
        <v>0</v>
      </c>
      <c r="BI54" s="178">
        <f>BF54*(1+$F54)</f>
        <v>0</v>
      </c>
      <c r="BJ54" s="776">
        <f>$E$7*BL54</f>
        <v>0</v>
      </c>
      <c r="BK54" s="776">
        <f>BL54-BJ54</f>
        <v>0</v>
      </c>
      <c r="BL54" s="178">
        <f>BI54*(1+$F54)</f>
        <v>0</v>
      </c>
      <c r="BM54" s="776">
        <f>$E$7*BO54</f>
        <v>0</v>
      </c>
      <c r="BN54" s="776">
        <f>BO54-BM54</f>
        <v>0</v>
      </c>
      <c r="BO54" s="178">
        <f>BL54*(1+$F54)</f>
        <v>0</v>
      </c>
      <c r="BP54" s="5"/>
      <c r="BQ54" s="5"/>
      <c r="BR54" s="5"/>
      <c r="BS54" s="5"/>
      <c r="BT54" s="5"/>
      <c r="BU54" s="5"/>
      <c r="BV54" s="5"/>
    </row>
    <row r="55" spans="1:74" ht="13.8">
      <c r="C55" s="144" t="str">
        <f>'6.1stYrOpBudget'!A55</f>
        <v>Gas</v>
      </c>
      <c r="D55" s="136">
        <v>6452</v>
      </c>
      <c r="E55" s="1058">
        <f>F55</f>
        <v>3.5000000000000003E-2</v>
      </c>
      <c r="F55" s="1056">
        <v>3.5000000000000003E-2</v>
      </c>
      <c r="G55" s="64"/>
      <c r="H55" s="776">
        <f>'6.1stYrOpBudget'!D55</f>
        <v>0</v>
      </c>
      <c r="I55" s="776">
        <f>'6.1stYrOpBudget'!E55</f>
        <v>0</v>
      </c>
      <c r="J55" s="178">
        <f>'6.1stYrOpBudget'!F55</f>
        <v>0</v>
      </c>
      <c r="K55" s="776">
        <f>$E$7*M55</f>
        <v>0</v>
      </c>
      <c r="L55" s="776">
        <f>M55-K55</f>
        <v>0</v>
      </c>
      <c r="M55" s="178">
        <f>J55*(1+$F55)</f>
        <v>0</v>
      </c>
      <c r="N55" s="776">
        <f>$E$7*P55</f>
        <v>0</v>
      </c>
      <c r="O55" s="776">
        <f>P55-N55</f>
        <v>0</v>
      </c>
      <c r="P55" s="178">
        <f>M55*(1+$F55)</f>
        <v>0</v>
      </c>
      <c r="Q55" s="776">
        <f>$E$7*S55</f>
        <v>0</v>
      </c>
      <c r="R55" s="776">
        <f>S55-Q55</f>
        <v>0</v>
      </c>
      <c r="S55" s="178">
        <f>P55*(1+$F55)</f>
        <v>0</v>
      </c>
      <c r="T55" s="776">
        <f>$E$7*V55</f>
        <v>0</v>
      </c>
      <c r="U55" s="776">
        <f>V55-T55</f>
        <v>0</v>
      </c>
      <c r="V55" s="178">
        <f>S55*(1+$F55)</f>
        <v>0</v>
      </c>
      <c r="W55" s="776">
        <f>$E$7*Y55</f>
        <v>0</v>
      </c>
      <c r="X55" s="776">
        <f>Y55-W55</f>
        <v>0</v>
      </c>
      <c r="Y55" s="178">
        <f>V55*(1+$F55)</f>
        <v>0</v>
      </c>
      <c r="Z55" s="776">
        <f>$E$7*AB55</f>
        <v>0</v>
      </c>
      <c r="AA55" s="776">
        <f>AB55-Z55</f>
        <v>0</v>
      </c>
      <c r="AB55" s="178">
        <f>Y55*(1+$F55)</f>
        <v>0</v>
      </c>
      <c r="AC55" s="776">
        <f>$E$7*AE55</f>
        <v>0</v>
      </c>
      <c r="AD55" s="776">
        <f>AE55-AC55</f>
        <v>0</v>
      </c>
      <c r="AE55" s="178">
        <f>AB55*(1+$F55)</f>
        <v>0</v>
      </c>
      <c r="AF55" s="776">
        <f>$E$7*AH55</f>
        <v>0</v>
      </c>
      <c r="AG55" s="776">
        <f>AH55-AF55</f>
        <v>0</v>
      </c>
      <c r="AH55" s="178">
        <f>AE55*(1+$F55)</f>
        <v>0</v>
      </c>
      <c r="AI55" s="776">
        <f>$E$7*AK55</f>
        <v>0</v>
      </c>
      <c r="AJ55" s="776">
        <f>AK55-AI55</f>
        <v>0</v>
      </c>
      <c r="AK55" s="178">
        <f>AH55*(1+$F55)</f>
        <v>0</v>
      </c>
      <c r="AL55" s="776">
        <f>$E$7*AN55</f>
        <v>0</v>
      </c>
      <c r="AM55" s="776">
        <f>AN55-AL55</f>
        <v>0</v>
      </c>
      <c r="AN55" s="178">
        <f>AK55*(1+$F55)</f>
        <v>0</v>
      </c>
      <c r="AO55" s="776">
        <f>$E$7*AQ55</f>
        <v>0</v>
      </c>
      <c r="AP55" s="776">
        <f>AQ55-AO55</f>
        <v>0</v>
      </c>
      <c r="AQ55" s="178">
        <f>AN55*(1+$F55)</f>
        <v>0</v>
      </c>
      <c r="AR55" s="776">
        <f>$E$7*AT55</f>
        <v>0</v>
      </c>
      <c r="AS55" s="776">
        <f>AT55-AR55</f>
        <v>0</v>
      </c>
      <c r="AT55" s="178">
        <f>AQ55*(1+$F55)</f>
        <v>0</v>
      </c>
      <c r="AU55" s="776">
        <f>$E$7*AW55</f>
        <v>0</v>
      </c>
      <c r="AV55" s="776">
        <f>AW55-AU55</f>
        <v>0</v>
      </c>
      <c r="AW55" s="178">
        <f>AT55*(1+$F55)</f>
        <v>0</v>
      </c>
      <c r="AX55" s="776">
        <f>$E$7*AZ55</f>
        <v>0</v>
      </c>
      <c r="AY55" s="776">
        <f>AZ55-AX55</f>
        <v>0</v>
      </c>
      <c r="AZ55" s="178">
        <f>AW55*(1+$F55)</f>
        <v>0</v>
      </c>
      <c r="BA55" s="776">
        <f>$E$7*BC55</f>
        <v>0</v>
      </c>
      <c r="BB55" s="776">
        <f>BC55-BA55</f>
        <v>0</v>
      </c>
      <c r="BC55" s="178">
        <f>AZ55*(1+$F55)</f>
        <v>0</v>
      </c>
      <c r="BD55" s="776">
        <f>$E$7*BF55</f>
        <v>0</v>
      </c>
      <c r="BE55" s="776">
        <f>BF55-BD55</f>
        <v>0</v>
      </c>
      <c r="BF55" s="178">
        <f>BC55*(1+$F55)</f>
        <v>0</v>
      </c>
      <c r="BG55" s="776">
        <f>$E$7*BI55</f>
        <v>0</v>
      </c>
      <c r="BH55" s="776">
        <f>BI55-BG55</f>
        <v>0</v>
      </c>
      <c r="BI55" s="178">
        <f>BF55*(1+$F55)</f>
        <v>0</v>
      </c>
      <c r="BJ55" s="776">
        <f>$E$7*BL55</f>
        <v>0</v>
      </c>
      <c r="BK55" s="776">
        <f>BL55-BJ55</f>
        <v>0</v>
      </c>
      <c r="BL55" s="178">
        <f>BI55*(1+$F55)</f>
        <v>0</v>
      </c>
      <c r="BM55" s="776">
        <f>$E$7*BO55</f>
        <v>0</v>
      </c>
      <c r="BN55" s="776">
        <f>BO55-BM55</f>
        <v>0</v>
      </c>
      <c r="BO55" s="178">
        <f>BL55*(1+$F55)</f>
        <v>0</v>
      </c>
      <c r="BP55" s="5"/>
      <c r="BQ55" s="5"/>
      <c r="BR55" s="5"/>
      <c r="BS55" s="5"/>
      <c r="BT55" s="5"/>
      <c r="BU55" s="5"/>
      <c r="BV55" s="5"/>
    </row>
    <row r="56" spans="1:74" ht="13.8">
      <c r="C56" s="144" t="str">
        <f>'6.1stYrOpBudget'!A56</f>
        <v>Sewer</v>
      </c>
      <c r="D56" s="136">
        <v>6453</v>
      </c>
      <c r="E56" s="1058">
        <f>F56</f>
        <v>3.5000000000000003E-2</v>
      </c>
      <c r="F56" s="1056">
        <v>3.5000000000000003E-2</v>
      </c>
      <c r="G56" s="64"/>
      <c r="H56" s="776">
        <f>'6.1stYrOpBudget'!D56</f>
        <v>0</v>
      </c>
      <c r="I56" s="776">
        <f>'6.1stYrOpBudget'!E56</f>
        <v>0</v>
      </c>
      <c r="J56" s="178">
        <f>'6.1stYrOpBudget'!F56</f>
        <v>0</v>
      </c>
      <c r="K56" s="776">
        <f>$E$7*M56</f>
        <v>0</v>
      </c>
      <c r="L56" s="776">
        <f>M56-K56</f>
        <v>0</v>
      </c>
      <c r="M56" s="178">
        <f>J56*(1+$F56)</f>
        <v>0</v>
      </c>
      <c r="N56" s="776">
        <f>$E$7*P56</f>
        <v>0</v>
      </c>
      <c r="O56" s="776">
        <f>P56-N56</f>
        <v>0</v>
      </c>
      <c r="P56" s="178">
        <f>M56*(1+$F56)</f>
        <v>0</v>
      </c>
      <c r="Q56" s="776">
        <f>$E$7*S56</f>
        <v>0</v>
      </c>
      <c r="R56" s="776">
        <f>S56-Q56</f>
        <v>0</v>
      </c>
      <c r="S56" s="178">
        <f>P56*(1+$F56)</f>
        <v>0</v>
      </c>
      <c r="T56" s="776">
        <f>$E$7*V56</f>
        <v>0</v>
      </c>
      <c r="U56" s="776">
        <f>V56-T56</f>
        <v>0</v>
      </c>
      <c r="V56" s="178">
        <f>S56*(1+$F56)</f>
        <v>0</v>
      </c>
      <c r="W56" s="776">
        <f>$E$7*Y56</f>
        <v>0</v>
      </c>
      <c r="X56" s="776">
        <f>Y56-W56</f>
        <v>0</v>
      </c>
      <c r="Y56" s="178">
        <f>V56*(1+$F56)</f>
        <v>0</v>
      </c>
      <c r="Z56" s="776">
        <f>$E$7*AB56</f>
        <v>0</v>
      </c>
      <c r="AA56" s="776">
        <f>AB56-Z56</f>
        <v>0</v>
      </c>
      <c r="AB56" s="178">
        <f>Y56*(1+$F56)</f>
        <v>0</v>
      </c>
      <c r="AC56" s="776">
        <f>$E$7*AE56</f>
        <v>0</v>
      </c>
      <c r="AD56" s="776">
        <f>AE56-AC56</f>
        <v>0</v>
      </c>
      <c r="AE56" s="178">
        <f>AB56*(1+$F56)</f>
        <v>0</v>
      </c>
      <c r="AF56" s="776">
        <f>$E$7*AH56</f>
        <v>0</v>
      </c>
      <c r="AG56" s="776">
        <f>AH56-AF56</f>
        <v>0</v>
      </c>
      <c r="AH56" s="178">
        <f>AE56*(1+$F56)</f>
        <v>0</v>
      </c>
      <c r="AI56" s="776">
        <f>$E$7*AK56</f>
        <v>0</v>
      </c>
      <c r="AJ56" s="776">
        <f>AK56-AI56</f>
        <v>0</v>
      </c>
      <c r="AK56" s="178">
        <f>AH56*(1+$F56)</f>
        <v>0</v>
      </c>
      <c r="AL56" s="776">
        <f>$E$7*AN56</f>
        <v>0</v>
      </c>
      <c r="AM56" s="776">
        <f>AN56-AL56</f>
        <v>0</v>
      </c>
      <c r="AN56" s="178">
        <f>AK56*(1+$F56)</f>
        <v>0</v>
      </c>
      <c r="AO56" s="776">
        <f>$E$7*AQ56</f>
        <v>0</v>
      </c>
      <c r="AP56" s="776">
        <f>AQ56-AO56</f>
        <v>0</v>
      </c>
      <c r="AQ56" s="178">
        <f>AN56*(1+$F56)</f>
        <v>0</v>
      </c>
      <c r="AR56" s="776">
        <f>$E$7*AT56</f>
        <v>0</v>
      </c>
      <c r="AS56" s="776">
        <f>AT56-AR56</f>
        <v>0</v>
      </c>
      <c r="AT56" s="178">
        <f>AQ56*(1+$F56)</f>
        <v>0</v>
      </c>
      <c r="AU56" s="776">
        <f>$E$7*AW56</f>
        <v>0</v>
      </c>
      <c r="AV56" s="776">
        <f>AW56-AU56</f>
        <v>0</v>
      </c>
      <c r="AW56" s="178">
        <f>AT56*(1+$F56)</f>
        <v>0</v>
      </c>
      <c r="AX56" s="776">
        <f>$E$7*AZ56</f>
        <v>0</v>
      </c>
      <c r="AY56" s="776">
        <f>AZ56-AX56</f>
        <v>0</v>
      </c>
      <c r="AZ56" s="178">
        <f>AW56*(1+$F56)</f>
        <v>0</v>
      </c>
      <c r="BA56" s="776">
        <f>$E$7*BC56</f>
        <v>0</v>
      </c>
      <c r="BB56" s="776">
        <f>BC56-BA56</f>
        <v>0</v>
      </c>
      <c r="BC56" s="178">
        <f>AZ56*(1+$F56)</f>
        <v>0</v>
      </c>
      <c r="BD56" s="776">
        <f>$E$7*BF56</f>
        <v>0</v>
      </c>
      <c r="BE56" s="776">
        <f>BF56-BD56</f>
        <v>0</v>
      </c>
      <c r="BF56" s="178">
        <f>BC56*(1+$F56)</f>
        <v>0</v>
      </c>
      <c r="BG56" s="776">
        <f>$E$7*BI56</f>
        <v>0</v>
      </c>
      <c r="BH56" s="776">
        <f>BI56-BG56</f>
        <v>0</v>
      </c>
      <c r="BI56" s="178">
        <f>BF56*(1+$F56)</f>
        <v>0</v>
      </c>
      <c r="BJ56" s="776">
        <f>$E$7*BL56</f>
        <v>0</v>
      </c>
      <c r="BK56" s="776">
        <f>BL56-BJ56</f>
        <v>0</v>
      </c>
      <c r="BL56" s="178">
        <f>BI56*(1+$F56)</f>
        <v>0</v>
      </c>
      <c r="BM56" s="776">
        <f>$E$7*BO56</f>
        <v>0</v>
      </c>
      <c r="BN56" s="776">
        <f>BO56-BM56</f>
        <v>0</v>
      </c>
      <c r="BO56" s="178">
        <f>BL56*(1+$F56)</f>
        <v>0</v>
      </c>
      <c r="BP56" s="5"/>
      <c r="BQ56" s="5"/>
      <c r="BR56" s="5"/>
      <c r="BS56" s="5"/>
      <c r="BT56" s="5"/>
      <c r="BU56" s="5"/>
      <c r="BV56" s="5"/>
    </row>
    <row r="57" spans="1:74" ht="14.4">
      <c r="A57" s="820" t="s">
        <v>695</v>
      </c>
      <c r="B57" s="820"/>
      <c r="C57" s="1082" t="str">
        <f>'6.1stYrOpBudget'!B57</f>
        <v>Sub-total Utilities</v>
      </c>
      <c r="D57" s="126"/>
      <c r="E57" s="126"/>
      <c r="F57" s="126"/>
      <c r="G57" s="21"/>
      <c r="H57" s="235">
        <f>'6.1stYrOpBudget'!D57</f>
        <v>0</v>
      </c>
      <c r="I57" s="235">
        <f>'6.1stYrOpBudget'!E57</f>
        <v>0</v>
      </c>
      <c r="J57" s="175">
        <f>'6.1stYrOpBudget'!F57</f>
        <v>0</v>
      </c>
      <c r="K57" s="235">
        <f t="shared" ref="K57:AP57" si="161">SUM(K53:K56)</f>
        <v>0</v>
      </c>
      <c r="L57" s="235">
        <f t="shared" si="161"/>
        <v>0</v>
      </c>
      <c r="M57" s="175">
        <f t="shared" si="161"/>
        <v>0</v>
      </c>
      <c r="N57" s="235">
        <f t="shared" si="161"/>
        <v>0</v>
      </c>
      <c r="O57" s="235">
        <f t="shared" si="161"/>
        <v>0</v>
      </c>
      <c r="P57" s="175">
        <f t="shared" si="161"/>
        <v>0</v>
      </c>
      <c r="Q57" s="235">
        <f t="shared" si="161"/>
        <v>0</v>
      </c>
      <c r="R57" s="235">
        <f t="shared" si="161"/>
        <v>0</v>
      </c>
      <c r="S57" s="175">
        <f t="shared" si="161"/>
        <v>0</v>
      </c>
      <c r="T57" s="235">
        <f t="shared" si="161"/>
        <v>0</v>
      </c>
      <c r="U57" s="235">
        <f t="shared" si="161"/>
        <v>0</v>
      </c>
      <c r="V57" s="175">
        <f t="shared" si="161"/>
        <v>0</v>
      </c>
      <c r="W57" s="235">
        <f t="shared" si="161"/>
        <v>0</v>
      </c>
      <c r="X57" s="235">
        <f t="shared" si="161"/>
        <v>0</v>
      </c>
      <c r="Y57" s="175">
        <f t="shared" si="161"/>
        <v>0</v>
      </c>
      <c r="Z57" s="235">
        <f t="shared" si="161"/>
        <v>0</v>
      </c>
      <c r="AA57" s="235">
        <f t="shared" si="161"/>
        <v>0</v>
      </c>
      <c r="AB57" s="175">
        <f t="shared" si="161"/>
        <v>0</v>
      </c>
      <c r="AC57" s="235">
        <f t="shared" si="161"/>
        <v>0</v>
      </c>
      <c r="AD57" s="235">
        <f t="shared" si="161"/>
        <v>0</v>
      </c>
      <c r="AE57" s="175">
        <f t="shared" si="161"/>
        <v>0</v>
      </c>
      <c r="AF57" s="235">
        <f t="shared" si="161"/>
        <v>0</v>
      </c>
      <c r="AG57" s="235">
        <f t="shared" si="161"/>
        <v>0</v>
      </c>
      <c r="AH57" s="175">
        <f t="shared" si="161"/>
        <v>0</v>
      </c>
      <c r="AI57" s="235">
        <f t="shared" si="161"/>
        <v>0</v>
      </c>
      <c r="AJ57" s="235">
        <f t="shared" si="161"/>
        <v>0</v>
      </c>
      <c r="AK57" s="175">
        <f t="shared" si="161"/>
        <v>0</v>
      </c>
      <c r="AL57" s="235">
        <f t="shared" si="161"/>
        <v>0</v>
      </c>
      <c r="AM57" s="235">
        <f t="shared" si="161"/>
        <v>0</v>
      </c>
      <c r="AN57" s="175">
        <f t="shared" si="161"/>
        <v>0</v>
      </c>
      <c r="AO57" s="235">
        <f t="shared" si="161"/>
        <v>0</v>
      </c>
      <c r="AP57" s="235">
        <f t="shared" si="161"/>
        <v>0</v>
      </c>
      <c r="AQ57" s="175">
        <f t="shared" ref="AQ57:BO57" si="162">SUM(AQ53:AQ56)</f>
        <v>0</v>
      </c>
      <c r="AR57" s="235">
        <f t="shared" si="162"/>
        <v>0</v>
      </c>
      <c r="AS57" s="235">
        <f t="shared" si="162"/>
        <v>0</v>
      </c>
      <c r="AT57" s="175">
        <f t="shared" si="162"/>
        <v>0</v>
      </c>
      <c r="AU57" s="235">
        <f t="shared" si="162"/>
        <v>0</v>
      </c>
      <c r="AV57" s="235">
        <f t="shared" si="162"/>
        <v>0</v>
      </c>
      <c r="AW57" s="175">
        <f t="shared" si="162"/>
        <v>0</v>
      </c>
      <c r="AX57" s="235">
        <f t="shared" si="162"/>
        <v>0</v>
      </c>
      <c r="AY57" s="235">
        <f t="shared" si="162"/>
        <v>0</v>
      </c>
      <c r="AZ57" s="175">
        <f t="shared" si="162"/>
        <v>0</v>
      </c>
      <c r="BA57" s="235">
        <f t="shared" si="162"/>
        <v>0</v>
      </c>
      <c r="BB57" s="235">
        <f t="shared" si="162"/>
        <v>0</v>
      </c>
      <c r="BC57" s="175">
        <f t="shared" si="162"/>
        <v>0</v>
      </c>
      <c r="BD57" s="235">
        <f t="shared" si="162"/>
        <v>0</v>
      </c>
      <c r="BE57" s="235">
        <f t="shared" si="162"/>
        <v>0</v>
      </c>
      <c r="BF57" s="175">
        <f t="shared" si="162"/>
        <v>0</v>
      </c>
      <c r="BG57" s="235">
        <f t="shared" si="162"/>
        <v>0</v>
      </c>
      <c r="BH57" s="235">
        <f t="shared" si="162"/>
        <v>0</v>
      </c>
      <c r="BI57" s="175">
        <f t="shared" si="162"/>
        <v>0</v>
      </c>
      <c r="BJ57" s="235">
        <f t="shared" si="162"/>
        <v>0</v>
      </c>
      <c r="BK57" s="235">
        <f t="shared" si="162"/>
        <v>0</v>
      </c>
      <c r="BL57" s="175">
        <f t="shared" si="162"/>
        <v>0</v>
      </c>
      <c r="BM57" s="235">
        <f t="shared" si="162"/>
        <v>0</v>
      </c>
      <c r="BN57" s="235">
        <f t="shared" si="162"/>
        <v>0</v>
      </c>
      <c r="BO57" s="175">
        <f t="shared" si="162"/>
        <v>0</v>
      </c>
      <c r="BP57" s="5"/>
      <c r="BQ57" s="5"/>
      <c r="BR57" s="5"/>
      <c r="BS57" s="5"/>
      <c r="BT57" s="5"/>
      <c r="BU57" s="5"/>
      <c r="BV57" s="5"/>
    </row>
    <row r="58" spans="1:74" ht="13.8">
      <c r="A58" s="761" t="s">
        <v>319</v>
      </c>
      <c r="B58" s="761" t="s">
        <v>610</v>
      </c>
      <c r="C58" s="139" t="str">
        <f>'6.1stYrOpBudget'!A58</f>
        <v>Taxes and Licenses</v>
      </c>
      <c r="D58" s="133"/>
      <c r="E58" s="133"/>
      <c r="F58" s="133"/>
      <c r="G58" s="21"/>
      <c r="H58" s="236"/>
      <c r="I58" s="236"/>
      <c r="J58" s="125"/>
      <c r="K58" s="236"/>
      <c r="L58" s="236"/>
      <c r="M58" s="125"/>
      <c r="N58" s="236"/>
      <c r="O58" s="236"/>
      <c r="P58" s="125"/>
      <c r="Q58" s="236"/>
      <c r="R58" s="236"/>
      <c r="S58" s="125"/>
      <c r="T58" s="236"/>
      <c r="U58" s="236"/>
      <c r="V58" s="125"/>
      <c r="W58" s="236"/>
      <c r="X58" s="236"/>
      <c r="Y58" s="125"/>
      <c r="Z58" s="236"/>
      <c r="AA58" s="236"/>
      <c r="AB58" s="125"/>
      <c r="AC58" s="236"/>
      <c r="AD58" s="236"/>
      <c r="AE58" s="125"/>
      <c r="AF58" s="236"/>
      <c r="AG58" s="236"/>
      <c r="AH58" s="125"/>
      <c r="AI58" s="236"/>
      <c r="AJ58" s="236"/>
      <c r="AK58" s="125"/>
      <c r="AL58" s="236"/>
      <c r="AM58" s="236"/>
      <c r="AN58" s="125"/>
      <c r="AO58" s="236"/>
      <c r="AP58" s="236"/>
      <c r="AQ58" s="125"/>
      <c r="AR58" s="236"/>
      <c r="AS58" s="236"/>
      <c r="AT58" s="125"/>
      <c r="AU58" s="236"/>
      <c r="AV58" s="236"/>
      <c r="AW58" s="125"/>
      <c r="AX58" s="236"/>
      <c r="AY58" s="236"/>
      <c r="AZ58" s="125"/>
      <c r="BA58" s="236"/>
      <c r="BB58" s="236"/>
      <c r="BC58" s="125"/>
      <c r="BD58" s="236"/>
      <c r="BE58" s="236"/>
      <c r="BF58" s="125"/>
      <c r="BG58" s="236"/>
      <c r="BH58" s="236"/>
      <c r="BI58" s="125"/>
      <c r="BJ58" s="236"/>
      <c r="BK58" s="236"/>
      <c r="BL58" s="125"/>
      <c r="BM58" s="236"/>
      <c r="BN58" s="236"/>
      <c r="BO58" s="125"/>
      <c r="BP58" s="5"/>
      <c r="BQ58" s="5"/>
      <c r="BR58" s="5"/>
      <c r="BS58" s="5"/>
      <c r="BT58" s="5"/>
      <c r="BU58" s="5"/>
      <c r="BV58" s="5"/>
    </row>
    <row r="59" spans="1:74" ht="13.8">
      <c r="A59" s="729" t="str">
        <f>IF('6.1stYrOpBudget'!K59&lt;&gt;"",'6.1stYrOpBudget'!K59,"")</f>
        <v/>
      </c>
      <c r="B59" s="729" t="str">
        <f>'6.1stYrOpBudget'!L59</f>
        <v/>
      </c>
      <c r="C59" s="2059" t="str">
        <f>'6.1stYrOpBudget'!A59</f>
        <v>Real Estate Taxes</v>
      </c>
      <c r="D59" s="136">
        <v>6710</v>
      </c>
      <c r="E59" s="1058">
        <f>F59</f>
        <v>3.5000000000000003E-2</v>
      </c>
      <c r="F59" s="1056">
        <v>3.5000000000000003E-2</v>
      </c>
      <c r="G59" s="64"/>
      <c r="H59" s="776">
        <f>'6.1stYrOpBudget'!D59</f>
        <v>0</v>
      </c>
      <c r="I59" s="776">
        <f>'6.1stYrOpBudget'!E59</f>
        <v>0</v>
      </c>
      <c r="J59" s="178">
        <f>'6.1stYrOpBudget'!F59</f>
        <v>0</v>
      </c>
      <c r="K59" s="776">
        <f>IF($A59&lt;&gt;"",$A59*M59,$E$7*M59)</f>
        <v>0</v>
      </c>
      <c r="L59" s="776">
        <f>M59-K59</f>
        <v>0</v>
      </c>
      <c r="M59" s="178">
        <f>J59*(1+$F59)</f>
        <v>0</v>
      </c>
      <c r="N59" s="776">
        <f>IF($A59&lt;&gt;"",$A59*P59,$E$7*P59)</f>
        <v>0</v>
      </c>
      <c r="O59" s="776">
        <f>P59-N59</f>
        <v>0</v>
      </c>
      <c r="P59" s="178">
        <f>M59*(1+$F59)</f>
        <v>0</v>
      </c>
      <c r="Q59" s="776">
        <f>IF($A59&lt;&gt;"",$A59*S59,$E$7*S59)</f>
        <v>0</v>
      </c>
      <c r="R59" s="776">
        <f>S59-Q59</f>
        <v>0</v>
      </c>
      <c r="S59" s="178">
        <f>P59*(1+$F59)</f>
        <v>0</v>
      </c>
      <c r="T59" s="776">
        <f>IF($A59&lt;&gt;"",$A59*V59,$E$7*V59)</f>
        <v>0</v>
      </c>
      <c r="U59" s="776">
        <f>V59-T59</f>
        <v>0</v>
      </c>
      <c r="V59" s="178">
        <f>S59*(1+$F59)</f>
        <v>0</v>
      </c>
      <c r="W59" s="776">
        <f>IF($A59&lt;&gt;"",$A59*Y59,$E$7*Y59)</f>
        <v>0</v>
      </c>
      <c r="X59" s="776">
        <f>Y59-W59</f>
        <v>0</v>
      </c>
      <c r="Y59" s="178">
        <f>V59*(1+$F59)</f>
        <v>0</v>
      </c>
      <c r="Z59" s="776">
        <f>IF($A59&lt;&gt;"",$A59*AB59,$E$7*AB59)</f>
        <v>0</v>
      </c>
      <c r="AA59" s="776">
        <f>AB59-Z59</f>
        <v>0</v>
      </c>
      <c r="AB59" s="178">
        <f>Y59*(1+$F59)</f>
        <v>0</v>
      </c>
      <c r="AC59" s="776">
        <f>IF($A59&lt;&gt;"",$A59*AE59,$E$7*AE59)</f>
        <v>0</v>
      </c>
      <c r="AD59" s="776">
        <f>AE59-AC59</f>
        <v>0</v>
      </c>
      <c r="AE59" s="178">
        <f>AB59*(1+$F59)</f>
        <v>0</v>
      </c>
      <c r="AF59" s="776">
        <f>IF($A59&lt;&gt;"",$A59*AH59,$E$7*AH59)</f>
        <v>0</v>
      </c>
      <c r="AG59" s="776">
        <f>AH59-AF59</f>
        <v>0</v>
      </c>
      <c r="AH59" s="178">
        <f>AE59*(1+$F59)</f>
        <v>0</v>
      </c>
      <c r="AI59" s="776">
        <f>IF($A59&lt;&gt;"",$A59*AK59,$E$7*AK59)</f>
        <v>0</v>
      </c>
      <c r="AJ59" s="776">
        <f>AK59-AI59</f>
        <v>0</v>
      </c>
      <c r="AK59" s="178">
        <f>AH59*(1+$F59)</f>
        <v>0</v>
      </c>
      <c r="AL59" s="776">
        <f>IF($A59&lt;&gt;"",$A59*AN59,$E$7*AN59)</f>
        <v>0</v>
      </c>
      <c r="AM59" s="776">
        <f>AN59-AL59</f>
        <v>0</v>
      </c>
      <c r="AN59" s="178">
        <f>AK59*(1+$F59)</f>
        <v>0</v>
      </c>
      <c r="AO59" s="776">
        <f>IF($A59&lt;&gt;"",$A59*AQ59,$E$7*AQ59)</f>
        <v>0</v>
      </c>
      <c r="AP59" s="776">
        <f>AQ59-AO59</f>
        <v>0</v>
      </c>
      <c r="AQ59" s="178">
        <f>AN59*(1+$F59)</f>
        <v>0</v>
      </c>
      <c r="AR59" s="776">
        <f>IF($A59&lt;&gt;"",$A59*AT59,$E$7*AT59)</f>
        <v>0</v>
      </c>
      <c r="AS59" s="776">
        <f>AT59-AR59</f>
        <v>0</v>
      </c>
      <c r="AT59" s="178">
        <f>AQ59*(1+$F59)</f>
        <v>0</v>
      </c>
      <c r="AU59" s="776">
        <f>IF($A59&lt;&gt;"",$A59*AW59,$E$7*AW59)</f>
        <v>0</v>
      </c>
      <c r="AV59" s="776">
        <f>AW59-AU59</f>
        <v>0</v>
      </c>
      <c r="AW59" s="178">
        <f>AT59*(1+$F59)</f>
        <v>0</v>
      </c>
      <c r="AX59" s="776">
        <f>IF($A59&lt;&gt;"",$A59*AZ59,$E$7*AZ59)</f>
        <v>0</v>
      </c>
      <c r="AY59" s="776">
        <f>AZ59-AX59</f>
        <v>0</v>
      </c>
      <c r="AZ59" s="178">
        <f>AW59*(1+$F59)</f>
        <v>0</v>
      </c>
      <c r="BA59" s="776">
        <f>IF($A59&lt;&gt;"",$A59*BC59,$E$7*BC59)</f>
        <v>0</v>
      </c>
      <c r="BB59" s="776">
        <f>BC59-BA59</f>
        <v>0</v>
      </c>
      <c r="BC59" s="178">
        <f>AZ59*(1+$F59)</f>
        <v>0</v>
      </c>
      <c r="BD59" s="776">
        <f>IF($A59&lt;&gt;"",$A59*BF59,$E$7*BF59)</f>
        <v>0</v>
      </c>
      <c r="BE59" s="776">
        <f>BF59-BD59</f>
        <v>0</v>
      </c>
      <c r="BF59" s="178">
        <f>BC59*(1+$F59)</f>
        <v>0</v>
      </c>
      <c r="BG59" s="776">
        <f>IF($A59&lt;&gt;"",$A59*BI59,$E$7*BI59)</f>
        <v>0</v>
      </c>
      <c r="BH59" s="776">
        <f>BI59-BG59</f>
        <v>0</v>
      </c>
      <c r="BI59" s="178">
        <f>BF59*(1+$F59)</f>
        <v>0</v>
      </c>
      <c r="BJ59" s="776">
        <f>IF($A59&lt;&gt;"",$A59*BL59,$E$7*BL59)</f>
        <v>0</v>
      </c>
      <c r="BK59" s="776">
        <f>BL59-BJ59</f>
        <v>0</v>
      </c>
      <c r="BL59" s="178">
        <f>BI59*(1+$F59)</f>
        <v>0</v>
      </c>
      <c r="BM59" s="776">
        <f>IF($A59&lt;&gt;"",$A59*BO59,$E$7*BO59)</f>
        <v>0</v>
      </c>
      <c r="BN59" s="776">
        <f>BO59-BM59</f>
        <v>0</v>
      </c>
      <c r="BO59" s="178">
        <f>BL59*(1+$F59)</f>
        <v>0</v>
      </c>
      <c r="BP59" s="5"/>
      <c r="BQ59" s="5"/>
      <c r="BR59" s="5"/>
      <c r="BS59" s="5"/>
      <c r="BT59" s="5"/>
      <c r="BU59" s="5"/>
      <c r="BV59" s="5"/>
    </row>
    <row r="60" spans="1:74" ht="13.8">
      <c r="A60" s="729" t="str">
        <f>IF('6.1stYrOpBudget'!K60&lt;&gt;"",'6.1stYrOpBudget'!K60,"")</f>
        <v/>
      </c>
      <c r="B60" s="729" t="str">
        <f>'6.1stYrOpBudget'!L60</f>
        <v/>
      </c>
      <c r="C60" s="2059" t="str">
        <f>'6.1stYrOpBudget'!A60</f>
        <v>Payroll Taxes</v>
      </c>
      <c r="D60" s="1065">
        <v>6711</v>
      </c>
      <c r="E60" s="1058">
        <f>F60</f>
        <v>3.5000000000000003E-2</v>
      </c>
      <c r="F60" s="1056">
        <v>3.5000000000000003E-2</v>
      </c>
      <c r="G60" s="64"/>
      <c r="H60" s="776">
        <f>'6.1stYrOpBudget'!D60</f>
        <v>0</v>
      </c>
      <c r="I60" s="776">
        <f>'6.1stYrOpBudget'!E60</f>
        <v>0</v>
      </c>
      <c r="J60" s="178">
        <f>'6.1stYrOpBudget'!F60</f>
        <v>0</v>
      </c>
      <c r="K60" s="776">
        <f>IF($A60&lt;&gt;"",$A60*M60,$E$7*M60)</f>
        <v>0</v>
      </c>
      <c r="L60" s="776">
        <f>M60-K60</f>
        <v>0</v>
      </c>
      <c r="M60" s="178">
        <f>J60*(1+$F60)</f>
        <v>0</v>
      </c>
      <c r="N60" s="776">
        <f>IF($A60&lt;&gt;"",$A60*P60,$E$7*P60)</f>
        <v>0</v>
      </c>
      <c r="O60" s="776">
        <f>P60-N60</f>
        <v>0</v>
      </c>
      <c r="P60" s="178">
        <f>M60*(1+$F60)</f>
        <v>0</v>
      </c>
      <c r="Q60" s="776">
        <f>IF($A60&lt;&gt;"",$A60*S60,$E$7*S60)</f>
        <v>0</v>
      </c>
      <c r="R60" s="776">
        <f>S60-Q60</f>
        <v>0</v>
      </c>
      <c r="S60" s="178">
        <f>P60*(1+$F60)</f>
        <v>0</v>
      </c>
      <c r="T60" s="776">
        <f>IF($A60&lt;&gt;"",$A60*V60,$E$7*V60)</f>
        <v>0</v>
      </c>
      <c r="U60" s="776">
        <f>V60-T60</f>
        <v>0</v>
      </c>
      <c r="V60" s="178">
        <f>S60*(1+$F60)</f>
        <v>0</v>
      </c>
      <c r="W60" s="776">
        <f>IF($A60&lt;&gt;"",$A60*Y60,$E$7*Y60)</f>
        <v>0</v>
      </c>
      <c r="X60" s="776">
        <f>Y60-W60</f>
        <v>0</v>
      </c>
      <c r="Y60" s="178">
        <f>V60*(1+$F60)</f>
        <v>0</v>
      </c>
      <c r="Z60" s="776">
        <f>IF($A60&lt;&gt;"",$A60*AB60,$E$7*AB60)</f>
        <v>0</v>
      </c>
      <c r="AA60" s="776">
        <f>AB60-Z60</f>
        <v>0</v>
      </c>
      <c r="AB60" s="178">
        <f>Y60*(1+$F60)</f>
        <v>0</v>
      </c>
      <c r="AC60" s="776">
        <f>IF($A60&lt;&gt;"",$A60*AE60,$E$7*AE60)</f>
        <v>0</v>
      </c>
      <c r="AD60" s="776">
        <f>AE60-AC60</f>
        <v>0</v>
      </c>
      <c r="AE60" s="178">
        <f>AB60*(1+$F60)</f>
        <v>0</v>
      </c>
      <c r="AF60" s="776">
        <f>IF($A60&lt;&gt;"",$A60*AH60,$E$7*AH60)</f>
        <v>0</v>
      </c>
      <c r="AG60" s="776">
        <f>AH60-AF60</f>
        <v>0</v>
      </c>
      <c r="AH60" s="178">
        <f>AE60*(1+$F60)</f>
        <v>0</v>
      </c>
      <c r="AI60" s="776">
        <f>IF($A60&lt;&gt;"",$A60*AK60,$E$7*AK60)</f>
        <v>0</v>
      </c>
      <c r="AJ60" s="776">
        <f>AK60-AI60</f>
        <v>0</v>
      </c>
      <c r="AK60" s="178">
        <f>AH60*(1+$F60)</f>
        <v>0</v>
      </c>
      <c r="AL60" s="776">
        <f>IF($A60&lt;&gt;"",$A60*AN60,$E$7*AN60)</f>
        <v>0</v>
      </c>
      <c r="AM60" s="776">
        <f>AN60-AL60</f>
        <v>0</v>
      </c>
      <c r="AN60" s="178">
        <f>AK60*(1+$F60)</f>
        <v>0</v>
      </c>
      <c r="AO60" s="776">
        <f>IF($A60&lt;&gt;"",$A60*AQ60,$E$7*AQ60)</f>
        <v>0</v>
      </c>
      <c r="AP60" s="776">
        <f>AQ60-AO60</f>
        <v>0</v>
      </c>
      <c r="AQ60" s="178">
        <f>AN60*(1+$F60)</f>
        <v>0</v>
      </c>
      <c r="AR60" s="776">
        <f>IF($A60&lt;&gt;"",$A60*AT60,$E$7*AT60)</f>
        <v>0</v>
      </c>
      <c r="AS60" s="776">
        <f>AT60-AR60</f>
        <v>0</v>
      </c>
      <c r="AT60" s="178">
        <f>AQ60*(1+$F60)</f>
        <v>0</v>
      </c>
      <c r="AU60" s="776">
        <f>IF($A60&lt;&gt;"",$A60*AW60,$E$7*AW60)</f>
        <v>0</v>
      </c>
      <c r="AV60" s="776">
        <f>AW60-AU60</f>
        <v>0</v>
      </c>
      <c r="AW60" s="178">
        <f>AT60*(1+$F60)</f>
        <v>0</v>
      </c>
      <c r="AX60" s="776">
        <f>IF($A60&lt;&gt;"",$A60*AZ60,$E$7*AZ60)</f>
        <v>0</v>
      </c>
      <c r="AY60" s="776">
        <f>AZ60-AX60</f>
        <v>0</v>
      </c>
      <c r="AZ60" s="178">
        <f>AW60*(1+$F60)</f>
        <v>0</v>
      </c>
      <c r="BA60" s="776">
        <f>IF($A60&lt;&gt;"",$A60*BC60,$E$7*BC60)</f>
        <v>0</v>
      </c>
      <c r="BB60" s="776">
        <f>BC60-BA60</f>
        <v>0</v>
      </c>
      <c r="BC60" s="178">
        <f>AZ60*(1+$F60)</f>
        <v>0</v>
      </c>
      <c r="BD60" s="776">
        <f>IF($A60&lt;&gt;"",$A60*BF60,$E$7*BF60)</f>
        <v>0</v>
      </c>
      <c r="BE60" s="776">
        <f>BF60-BD60</f>
        <v>0</v>
      </c>
      <c r="BF60" s="178">
        <f>BC60*(1+$F60)</f>
        <v>0</v>
      </c>
      <c r="BG60" s="776">
        <f>IF($A60&lt;&gt;"",$A60*BI60,$E$7*BI60)</f>
        <v>0</v>
      </c>
      <c r="BH60" s="776">
        <f>BI60-BG60</f>
        <v>0</v>
      </c>
      <c r="BI60" s="178">
        <f>BF60*(1+$F60)</f>
        <v>0</v>
      </c>
      <c r="BJ60" s="776">
        <f>IF($A60&lt;&gt;"",$A60*BL60,$E$7*BL60)</f>
        <v>0</v>
      </c>
      <c r="BK60" s="776">
        <f>BL60-BJ60</f>
        <v>0</v>
      </c>
      <c r="BL60" s="178">
        <f>BI60*(1+$F60)</f>
        <v>0</v>
      </c>
      <c r="BM60" s="776">
        <f>IF($A60&lt;&gt;"",$A60*BO60,$E$7*BO60)</f>
        <v>0</v>
      </c>
      <c r="BN60" s="776">
        <f>BO60-BM60</f>
        <v>0</v>
      </c>
      <c r="BO60" s="178">
        <f>BL60*(1+$F60)</f>
        <v>0</v>
      </c>
      <c r="BP60" s="5"/>
      <c r="BQ60" s="5"/>
      <c r="BR60" s="5"/>
      <c r="BS60" s="5"/>
      <c r="BT60" s="5"/>
      <c r="BU60" s="5"/>
      <c r="BV60" s="5"/>
    </row>
    <row r="61" spans="1:74" ht="13.8">
      <c r="C61" s="2059" t="str">
        <f>'6.1stYrOpBudget'!A61</f>
        <v>Miscellaneous Taxes, Licenses and Permits</v>
      </c>
      <c r="D61" s="136">
        <v>6790</v>
      </c>
      <c r="E61" s="1058">
        <f>F61</f>
        <v>3.5000000000000003E-2</v>
      </c>
      <c r="F61" s="1056">
        <v>3.5000000000000003E-2</v>
      </c>
      <c r="G61" s="64"/>
      <c r="H61" s="776">
        <f>'6.1stYrOpBudget'!D61</f>
        <v>0</v>
      </c>
      <c r="I61" s="776">
        <f>'6.1stYrOpBudget'!E61</f>
        <v>0</v>
      </c>
      <c r="J61" s="178">
        <f>'6.1stYrOpBudget'!F61</f>
        <v>0</v>
      </c>
      <c r="K61" s="776">
        <f>$E$7*M61</f>
        <v>0</v>
      </c>
      <c r="L61" s="776">
        <f>M61-K61</f>
        <v>0</v>
      </c>
      <c r="M61" s="178">
        <f>J61*(1+$F61)</f>
        <v>0</v>
      </c>
      <c r="N61" s="776">
        <f>$E$7*P61</f>
        <v>0</v>
      </c>
      <c r="O61" s="776">
        <f>P61-N61</f>
        <v>0</v>
      </c>
      <c r="P61" s="178">
        <f>M61*(1+$F61)</f>
        <v>0</v>
      </c>
      <c r="Q61" s="776">
        <f>$E$7*S61</f>
        <v>0</v>
      </c>
      <c r="R61" s="776">
        <f>S61-Q61</f>
        <v>0</v>
      </c>
      <c r="S61" s="178">
        <f>P61*(1+$F61)</f>
        <v>0</v>
      </c>
      <c r="T61" s="776">
        <f>$E$7*V61</f>
        <v>0</v>
      </c>
      <c r="U61" s="776">
        <f>V61-T61</f>
        <v>0</v>
      </c>
      <c r="V61" s="178">
        <f>S61*(1+$F61)</f>
        <v>0</v>
      </c>
      <c r="W61" s="776">
        <f>$E$7*Y61</f>
        <v>0</v>
      </c>
      <c r="X61" s="776">
        <f>Y61-W61</f>
        <v>0</v>
      </c>
      <c r="Y61" s="178">
        <f>V61*(1+$F61)</f>
        <v>0</v>
      </c>
      <c r="Z61" s="776">
        <f>$E$7*AB61</f>
        <v>0</v>
      </c>
      <c r="AA61" s="776">
        <f>AB61-Z61</f>
        <v>0</v>
      </c>
      <c r="AB61" s="178">
        <f>Y61*(1+$F61)</f>
        <v>0</v>
      </c>
      <c r="AC61" s="776">
        <f>$E$7*AE61</f>
        <v>0</v>
      </c>
      <c r="AD61" s="776">
        <f>AE61-AC61</f>
        <v>0</v>
      </c>
      <c r="AE61" s="178">
        <f>AB61*(1+$F61)</f>
        <v>0</v>
      </c>
      <c r="AF61" s="776">
        <f>$E$7*AH61</f>
        <v>0</v>
      </c>
      <c r="AG61" s="776">
        <f>AH61-AF61</f>
        <v>0</v>
      </c>
      <c r="AH61" s="178">
        <f>AE61*(1+$F61)</f>
        <v>0</v>
      </c>
      <c r="AI61" s="776">
        <f>$E$7*AK61</f>
        <v>0</v>
      </c>
      <c r="AJ61" s="776">
        <f>AK61-AI61</f>
        <v>0</v>
      </c>
      <c r="AK61" s="178">
        <f>AH61*(1+$F61)</f>
        <v>0</v>
      </c>
      <c r="AL61" s="776">
        <f>$E$7*AN61</f>
        <v>0</v>
      </c>
      <c r="AM61" s="776">
        <f>AN61-AL61</f>
        <v>0</v>
      </c>
      <c r="AN61" s="178">
        <f>AK61*(1+$F61)</f>
        <v>0</v>
      </c>
      <c r="AO61" s="776">
        <f>$E$7*AQ61</f>
        <v>0</v>
      </c>
      <c r="AP61" s="776">
        <f>AQ61-AO61</f>
        <v>0</v>
      </c>
      <c r="AQ61" s="178">
        <f>AN61*(1+$F61)</f>
        <v>0</v>
      </c>
      <c r="AR61" s="776">
        <f>$E$7*AT61</f>
        <v>0</v>
      </c>
      <c r="AS61" s="776">
        <f>AT61-AR61</f>
        <v>0</v>
      </c>
      <c r="AT61" s="178">
        <f>AQ61*(1+$F61)</f>
        <v>0</v>
      </c>
      <c r="AU61" s="776">
        <f>$E$7*AW61</f>
        <v>0</v>
      </c>
      <c r="AV61" s="776">
        <f>AW61-AU61</f>
        <v>0</v>
      </c>
      <c r="AW61" s="178">
        <f>AT61*(1+$F61)</f>
        <v>0</v>
      </c>
      <c r="AX61" s="776">
        <f>$E$7*AZ61</f>
        <v>0</v>
      </c>
      <c r="AY61" s="776">
        <f>AZ61-AX61</f>
        <v>0</v>
      </c>
      <c r="AZ61" s="178">
        <f>AW61*(1+$F61)</f>
        <v>0</v>
      </c>
      <c r="BA61" s="776">
        <f>$E$7*BC61</f>
        <v>0</v>
      </c>
      <c r="BB61" s="776">
        <f>BC61-BA61</f>
        <v>0</v>
      </c>
      <c r="BC61" s="178">
        <f>AZ61*(1+$F61)</f>
        <v>0</v>
      </c>
      <c r="BD61" s="776">
        <f>$E$7*BF61</f>
        <v>0</v>
      </c>
      <c r="BE61" s="776">
        <f>BF61-BD61</f>
        <v>0</v>
      </c>
      <c r="BF61" s="178">
        <f>BC61*(1+$F61)</f>
        <v>0</v>
      </c>
      <c r="BG61" s="776">
        <f>$E$7*BI61</f>
        <v>0</v>
      </c>
      <c r="BH61" s="776">
        <f>BI61-BG61</f>
        <v>0</v>
      </c>
      <c r="BI61" s="178">
        <f>BF61*(1+$F61)</f>
        <v>0</v>
      </c>
      <c r="BJ61" s="776">
        <f>$E$7*BL61</f>
        <v>0</v>
      </c>
      <c r="BK61" s="776">
        <f>BL61-BJ61</f>
        <v>0</v>
      </c>
      <c r="BL61" s="178">
        <f>BI61*(1+$F61)</f>
        <v>0</v>
      </c>
      <c r="BM61" s="776">
        <f>$E$7*BO61</f>
        <v>0</v>
      </c>
      <c r="BN61" s="776">
        <f>BO61-BM61</f>
        <v>0</v>
      </c>
      <c r="BO61" s="178">
        <f>BL61*(1+$F61)</f>
        <v>0</v>
      </c>
      <c r="BP61" s="5"/>
      <c r="BQ61" s="5"/>
      <c r="BR61" s="5"/>
      <c r="BS61" s="5"/>
      <c r="BT61" s="5"/>
      <c r="BU61" s="5"/>
      <c r="BV61" s="5"/>
    </row>
    <row r="62" spans="1:74" ht="14.4">
      <c r="C62" s="1082" t="str">
        <f>'6.1stYrOpBudget'!B62</f>
        <v>Sub-total Taxes and Licenses</v>
      </c>
      <c r="D62" s="126"/>
      <c r="E62" s="126"/>
      <c r="F62" s="126"/>
      <c r="G62" s="21"/>
      <c r="H62" s="235">
        <f>'6.1stYrOpBudget'!D62</f>
        <v>0</v>
      </c>
      <c r="I62" s="235">
        <f>'6.1stYrOpBudget'!E62</f>
        <v>0</v>
      </c>
      <c r="J62" s="175">
        <f>'6.1stYrOpBudget'!F62</f>
        <v>0</v>
      </c>
      <c r="K62" s="235">
        <f t="shared" ref="K62:AP62" si="163">SUM(K59:K61)</f>
        <v>0</v>
      </c>
      <c r="L62" s="235">
        <f t="shared" si="163"/>
        <v>0</v>
      </c>
      <c r="M62" s="175">
        <f t="shared" si="163"/>
        <v>0</v>
      </c>
      <c r="N62" s="235">
        <f>SUM(N59:N61)</f>
        <v>0</v>
      </c>
      <c r="O62" s="235">
        <f t="shared" si="163"/>
        <v>0</v>
      </c>
      <c r="P62" s="175">
        <f t="shared" si="163"/>
        <v>0</v>
      </c>
      <c r="Q62" s="235">
        <f>SUM(Q59:Q61)</f>
        <v>0</v>
      </c>
      <c r="R62" s="235">
        <f t="shared" si="163"/>
        <v>0</v>
      </c>
      <c r="S62" s="175">
        <f t="shared" si="163"/>
        <v>0</v>
      </c>
      <c r="T62" s="235">
        <f>SUM(T59:T61)</f>
        <v>0</v>
      </c>
      <c r="U62" s="235">
        <f t="shared" si="163"/>
        <v>0</v>
      </c>
      <c r="V62" s="175">
        <f t="shared" si="163"/>
        <v>0</v>
      </c>
      <c r="W62" s="235">
        <f>SUM(W59:W61)</f>
        <v>0</v>
      </c>
      <c r="X62" s="235">
        <f t="shared" si="163"/>
        <v>0</v>
      </c>
      <c r="Y62" s="175">
        <f t="shared" si="163"/>
        <v>0</v>
      </c>
      <c r="Z62" s="235">
        <f>SUM(Z59:Z61)</f>
        <v>0</v>
      </c>
      <c r="AA62" s="235">
        <f t="shared" si="163"/>
        <v>0</v>
      </c>
      <c r="AB62" s="175">
        <f t="shared" si="163"/>
        <v>0</v>
      </c>
      <c r="AC62" s="235">
        <f>SUM(AC59:AC61)</f>
        <v>0</v>
      </c>
      <c r="AD62" s="235">
        <f t="shared" si="163"/>
        <v>0</v>
      </c>
      <c r="AE62" s="175">
        <f t="shared" si="163"/>
        <v>0</v>
      </c>
      <c r="AF62" s="235">
        <f>SUM(AF59:AF61)</f>
        <v>0</v>
      </c>
      <c r="AG62" s="235">
        <f t="shared" si="163"/>
        <v>0</v>
      </c>
      <c r="AH62" s="175">
        <f t="shared" si="163"/>
        <v>0</v>
      </c>
      <c r="AI62" s="235">
        <f>SUM(AI59:AI61)</f>
        <v>0</v>
      </c>
      <c r="AJ62" s="235">
        <f t="shared" si="163"/>
        <v>0</v>
      </c>
      <c r="AK62" s="175">
        <f t="shared" si="163"/>
        <v>0</v>
      </c>
      <c r="AL62" s="235">
        <f>SUM(AL59:AL61)</f>
        <v>0</v>
      </c>
      <c r="AM62" s="235">
        <f t="shared" si="163"/>
        <v>0</v>
      </c>
      <c r="AN62" s="175">
        <f t="shared" si="163"/>
        <v>0</v>
      </c>
      <c r="AO62" s="235">
        <f>SUM(AO59:AO61)</f>
        <v>0</v>
      </c>
      <c r="AP62" s="235">
        <f t="shared" si="163"/>
        <v>0</v>
      </c>
      <c r="AQ62" s="175">
        <f t="shared" ref="AQ62:BO62" si="164">SUM(AQ59:AQ61)</f>
        <v>0</v>
      </c>
      <c r="AR62" s="235">
        <f>SUM(AR59:AR61)</f>
        <v>0</v>
      </c>
      <c r="AS62" s="235">
        <f t="shared" si="164"/>
        <v>0</v>
      </c>
      <c r="AT62" s="175">
        <f t="shared" si="164"/>
        <v>0</v>
      </c>
      <c r="AU62" s="235">
        <f>SUM(AU59:AU61)</f>
        <v>0</v>
      </c>
      <c r="AV62" s="235">
        <f t="shared" si="164"/>
        <v>0</v>
      </c>
      <c r="AW62" s="175">
        <f t="shared" si="164"/>
        <v>0</v>
      </c>
      <c r="AX62" s="235">
        <f>SUM(AX59:AX61)</f>
        <v>0</v>
      </c>
      <c r="AY62" s="235">
        <f t="shared" si="164"/>
        <v>0</v>
      </c>
      <c r="AZ62" s="175">
        <f t="shared" si="164"/>
        <v>0</v>
      </c>
      <c r="BA62" s="235">
        <f>SUM(BA59:BA61)</f>
        <v>0</v>
      </c>
      <c r="BB62" s="235">
        <f t="shared" si="164"/>
        <v>0</v>
      </c>
      <c r="BC62" s="175">
        <f t="shared" si="164"/>
        <v>0</v>
      </c>
      <c r="BD62" s="235">
        <f>SUM(BD59:BD61)</f>
        <v>0</v>
      </c>
      <c r="BE62" s="235">
        <f t="shared" si="164"/>
        <v>0</v>
      </c>
      <c r="BF62" s="175">
        <f t="shared" si="164"/>
        <v>0</v>
      </c>
      <c r="BG62" s="235">
        <f>SUM(BG59:BG61)</f>
        <v>0</v>
      </c>
      <c r="BH62" s="235">
        <f t="shared" si="164"/>
        <v>0</v>
      </c>
      <c r="BI62" s="175">
        <f t="shared" si="164"/>
        <v>0</v>
      </c>
      <c r="BJ62" s="235">
        <f>SUM(BJ59:BJ61)</f>
        <v>0</v>
      </c>
      <c r="BK62" s="235">
        <f t="shared" si="164"/>
        <v>0</v>
      </c>
      <c r="BL62" s="175">
        <f t="shared" si="164"/>
        <v>0</v>
      </c>
      <c r="BM62" s="235">
        <f>SUM(BM59:BM61)</f>
        <v>0</v>
      </c>
      <c r="BN62" s="235">
        <f t="shared" si="164"/>
        <v>0</v>
      </c>
      <c r="BO62" s="175">
        <f t="shared" si="164"/>
        <v>0</v>
      </c>
      <c r="BP62" s="5"/>
      <c r="BQ62" s="5"/>
      <c r="BR62" s="5"/>
      <c r="BS62" s="5"/>
      <c r="BT62" s="5"/>
      <c r="BU62" s="5"/>
      <c r="BV62" s="5"/>
    </row>
    <row r="63" spans="1:74" ht="13.8">
      <c r="C63" s="139" t="str">
        <f>'6.1stYrOpBudget'!A63</f>
        <v>Insurance</v>
      </c>
      <c r="D63" s="124"/>
      <c r="E63" s="124"/>
      <c r="F63" s="124"/>
      <c r="G63" s="21"/>
      <c r="H63" s="236"/>
      <c r="I63" s="236"/>
      <c r="J63" s="125"/>
      <c r="K63" s="236"/>
      <c r="L63" s="236"/>
      <c r="M63" s="125"/>
      <c r="N63" s="236"/>
      <c r="O63" s="236"/>
      <c r="P63" s="125"/>
      <c r="Q63" s="236"/>
      <c r="R63" s="236"/>
      <c r="S63" s="125"/>
      <c r="T63" s="236"/>
      <c r="U63" s="236"/>
      <c r="V63" s="125"/>
      <c r="W63" s="236"/>
      <c r="X63" s="236"/>
      <c r="Y63" s="125"/>
      <c r="Z63" s="236"/>
      <c r="AA63" s="236"/>
      <c r="AB63" s="125"/>
      <c r="AC63" s="236"/>
      <c r="AD63" s="236"/>
      <c r="AE63" s="125"/>
      <c r="AF63" s="236"/>
      <c r="AG63" s="236"/>
      <c r="AH63" s="125"/>
      <c r="AI63" s="236"/>
      <c r="AJ63" s="236"/>
      <c r="AK63" s="125"/>
      <c r="AL63" s="236"/>
      <c r="AM63" s="236"/>
      <c r="AN63" s="125"/>
      <c r="AO63" s="236"/>
      <c r="AP63" s="236"/>
      <c r="AQ63" s="125"/>
      <c r="AR63" s="236"/>
      <c r="AS63" s="236"/>
      <c r="AT63" s="125"/>
      <c r="AU63" s="236"/>
      <c r="AV63" s="236"/>
      <c r="AW63" s="125"/>
      <c r="AX63" s="236"/>
      <c r="AY63" s="236"/>
      <c r="AZ63" s="125"/>
      <c r="BA63" s="236"/>
      <c r="BB63" s="236"/>
      <c r="BC63" s="125"/>
      <c r="BD63" s="236"/>
      <c r="BE63" s="236"/>
      <c r="BF63" s="125"/>
      <c r="BG63" s="236"/>
      <c r="BH63" s="236"/>
      <c r="BI63" s="125"/>
      <c r="BJ63" s="236"/>
      <c r="BK63" s="236"/>
      <c r="BL63" s="125"/>
      <c r="BM63" s="236"/>
      <c r="BN63" s="236"/>
      <c r="BO63" s="125"/>
      <c r="BP63" s="5"/>
      <c r="BQ63" s="5"/>
      <c r="BR63" s="5"/>
      <c r="BS63" s="5"/>
      <c r="BT63" s="5"/>
      <c r="BU63" s="5"/>
      <c r="BV63" s="5"/>
    </row>
    <row r="64" spans="1:74" ht="13.8">
      <c r="C64" s="2059" t="str">
        <f>'6.1stYrOpBudget'!A64</f>
        <v>Property and Liability Insurance</v>
      </c>
      <c r="D64" s="136">
        <v>6720</v>
      </c>
      <c r="E64" s="1058">
        <f>F64</f>
        <v>3.5000000000000003E-2</v>
      </c>
      <c r="F64" s="1056">
        <v>3.5000000000000003E-2</v>
      </c>
      <c r="G64" s="64"/>
      <c r="H64" s="776">
        <f>'6.1stYrOpBudget'!D64</f>
        <v>0</v>
      </c>
      <c r="I64" s="776">
        <f>'6.1stYrOpBudget'!E64</f>
        <v>0</v>
      </c>
      <c r="J64" s="178">
        <f>'6.1stYrOpBudget'!F64</f>
        <v>0</v>
      </c>
      <c r="K64" s="776">
        <f>$E$7*M64</f>
        <v>0</v>
      </c>
      <c r="L64" s="776">
        <f>M64-K64</f>
        <v>0</v>
      </c>
      <c r="M64" s="178">
        <f>J64*(1+$F64)</f>
        <v>0</v>
      </c>
      <c r="N64" s="776">
        <f>$E$7*P64</f>
        <v>0</v>
      </c>
      <c r="O64" s="776">
        <f>P64-N64</f>
        <v>0</v>
      </c>
      <c r="P64" s="178">
        <f>M64*(1+$F64)</f>
        <v>0</v>
      </c>
      <c r="Q64" s="776">
        <f>$E$7*S64</f>
        <v>0</v>
      </c>
      <c r="R64" s="776">
        <f>S64-Q64</f>
        <v>0</v>
      </c>
      <c r="S64" s="178">
        <f>P64*(1+$F64)</f>
        <v>0</v>
      </c>
      <c r="T64" s="776">
        <f>$E$7*V64</f>
        <v>0</v>
      </c>
      <c r="U64" s="776">
        <f>V64-T64</f>
        <v>0</v>
      </c>
      <c r="V64" s="178">
        <f>S64*(1+$F64)</f>
        <v>0</v>
      </c>
      <c r="W64" s="776">
        <f>$E$7*Y64</f>
        <v>0</v>
      </c>
      <c r="X64" s="776">
        <f>Y64-W64</f>
        <v>0</v>
      </c>
      <c r="Y64" s="178">
        <f>V64*(1+$F64)</f>
        <v>0</v>
      </c>
      <c r="Z64" s="776">
        <f>$E$7*AB64</f>
        <v>0</v>
      </c>
      <c r="AA64" s="776">
        <f>AB64-Z64</f>
        <v>0</v>
      </c>
      <c r="AB64" s="178">
        <f>Y64*(1+$F64)</f>
        <v>0</v>
      </c>
      <c r="AC64" s="776">
        <f>$E$7*AE64</f>
        <v>0</v>
      </c>
      <c r="AD64" s="776">
        <f>AE64-AC64</f>
        <v>0</v>
      </c>
      <c r="AE64" s="178">
        <f>AB64*(1+$F64)</f>
        <v>0</v>
      </c>
      <c r="AF64" s="776">
        <f>$E$7*AH64</f>
        <v>0</v>
      </c>
      <c r="AG64" s="776">
        <f>AH64-AF64</f>
        <v>0</v>
      </c>
      <c r="AH64" s="178">
        <f>AE64*(1+$F64)</f>
        <v>0</v>
      </c>
      <c r="AI64" s="776">
        <f>$E$7*AK64</f>
        <v>0</v>
      </c>
      <c r="AJ64" s="776">
        <f>AK64-AI64</f>
        <v>0</v>
      </c>
      <c r="AK64" s="178">
        <f>AH64*(1+$F64)</f>
        <v>0</v>
      </c>
      <c r="AL64" s="776">
        <f>$E$7*AN64</f>
        <v>0</v>
      </c>
      <c r="AM64" s="776">
        <f>AN64-AL64</f>
        <v>0</v>
      </c>
      <c r="AN64" s="178">
        <f>AK64*(1+$F64)</f>
        <v>0</v>
      </c>
      <c r="AO64" s="776">
        <f>$E$7*AQ64</f>
        <v>0</v>
      </c>
      <c r="AP64" s="776">
        <f>AQ64-AO64</f>
        <v>0</v>
      </c>
      <c r="AQ64" s="178">
        <f>AN64*(1+$F64)</f>
        <v>0</v>
      </c>
      <c r="AR64" s="776">
        <f>$E$7*AT64</f>
        <v>0</v>
      </c>
      <c r="AS64" s="776">
        <f>AT64-AR64</f>
        <v>0</v>
      </c>
      <c r="AT64" s="178">
        <f>AQ64*(1+$F64)</f>
        <v>0</v>
      </c>
      <c r="AU64" s="776">
        <f>$E$7*AW64</f>
        <v>0</v>
      </c>
      <c r="AV64" s="776">
        <f>AW64-AU64</f>
        <v>0</v>
      </c>
      <c r="AW64" s="178">
        <f>AT64*(1+$F64)</f>
        <v>0</v>
      </c>
      <c r="AX64" s="776">
        <f>$E$7*AZ64</f>
        <v>0</v>
      </c>
      <c r="AY64" s="776">
        <f>AZ64-AX64</f>
        <v>0</v>
      </c>
      <c r="AZ64" s="178">
        <f>AW64*(1+$F64)</f>
        <v>0</v>
      </c>
      <c r="BA64" s="776">
        <f>$E$7*BC64</f>
        <v>0</v>
      </c>
      <c r="BB64" s="776">
        <f>BC64-BA64</f>
        <v>0</v>
      </c>
      <c r="BC64" s="178">
        <f>AZ64*(1+$F64)</f>
        <v>0</v>
      </c>
      <c r="BD64" s="776">
        <f>$E$7*BF64</f>
        <v>0</v>
      </c>
      <c r="BE64" s="776">
        <f>BF64-BD64</f>
        <v>0</v>
      </c>
      <c r="BF64" s="178">
        <f>BC64*(1+$F64)</f>
        <v>0</v>
      </c>
      <c r="BG64" s="776">
        <f>$E$7*BI64</f>
        <v>0</v>
      </c>
      <c r="BH64" s="776">
        <f>BI64-BG64</f>
        <v>0</v>
      </c>
      <c r="BI64" s="178">
        <f>BF64*(1+$F64)</f>
        <v>0</v>
      </c>
      <c r="BJ64" s="776">
        <f>$E$7*BL64</f>
        <v>0</v>
      </c>
      <c r="BK64" s="776">
        <f>BL64-BJ64</f>
        <v>0</v>
      </c>
      <c r="BL64" s="178">
        <f>BI64*(1+$F64)</f>
        <v>0</v>
      </c>
      <c r="BM64" s="776">
        <f>$E$7*BO64</f>
        <v>0</v>
      </c>
      <c r="BN64" s="776">
        <f>BO64-BM64</f>
        <v>0</v>
      </c>
      <c r="BO64" s="178">
        <f>BL64*(1+$F64)</f>
        <v>0</v>
      </c>
      <c r="BP64" s="5"/>
      <c r="BQ64" s="5"/>
      <c r="BR64" s="5"/>
      <c r="BS64" s="5"/>
      <c r="BT64" s="5"/>
      <c r="BU64" s="5"/>
      <c r="BV64" s="5"/>
    </row>
    <row r="65" spans="1:74" ht="13.8">
      <c r="C65" s="2059" t="str">
        <f>'6.1stYrOpBudget'!A65</f>
        <v>Fidelity Bond Insurance</v>
      </c>
      <c r="D65" s="136">
        <v>6721</v>
      </c>
      <c r="E65" s="1058">
        <f>F65</f>
        <v>3.5000000000000003E-2</v>
      </c>
      <c r="F65" s="1056">
        <v>3.5000000000000003E-2</v>
      </c>
      <c r="G65" s="64"/>
      <c r="H65" s="776">
        <f>'6.1stYrOpBudget'!D65</f>
        <v>0</v>
      </c>
      <c r="I65" s="776">
        <f>'6.1stYrOpBudget'!E65</f>
        <v>0</v>
      </c>
      <c r="J65" s="178">
        <f>'6.1stYrOpBudget'!F65</f>
        <v>0</v>
      </c>
      <c r="K65" s="776">
        <f>$E$7*M65</f>
        <v>0</v>
      </c>
      <c r="L65" s="776">
        <f>M65-K65</f>
        <v>0</v>
      </c>
      <c r="M65" s="178">
        <f>J65*(1+$F65)</f>
        <v>0</v>
      </c>
      <c r="N65" s="776">
        <f>$E$7*P65</f>
        <v>0</v>
      </c>
      <c r="O65" s="776">
        <f>P65-N65</f>
        <v>0</v>
      </c>
      <c r="P65" s="178">
        <f>M65*(1+$F65)</f>
        <v>0</v>
      </c>
      <c r="Q65" s="776">
        <f>$E$7*S65</f>
        <v>0</v>
      </c>
      <c r="R65" s="776">
        <f>S65-Q65</f>
        <v>0</v>
      </c>
      <c r="S65" s="178">
        <f>P65*(1+$F65)</f>
        <v>0</v>
      </c>
      <c r="T65" s="776">
        <f>$E$7*V65</f>
        <v>0</v>
      </c>
      <c r="U65" s="776">
        <f>V65-T65</f>
        <v>0</v>
      </c>
      <c r="V65" s="178">
        <f>S65*(1+$F65)</f>
        <v>0</v>
      </c>
      <c r="W65" s="776">
        <f>$E$7*Y65</f>
        <v>0</v>
      </c>
      <c r="X65" s="776">
        <f>Y65-W65</f>
        <v>0</v>
      </c>
      <c r="Y65" s="178">
        <f>V65*(1+$F65)</f>
        <v>0</v>
      </c>
      <c r="Z65" s="776">
        <f>$E$7*AB65</f>
        <v>0</v>
      </c>
      <c r="AA65" s="776">
        <f>AB65-Z65</f>
        <v>0</v>
      </c>
      <c r="AB65" s="178">
        <f>Y65*(1+$F65)</f>
        <v>0</v>
      </c>
      <c r="AC65" s="776">
        <f>$E$7*AE65</f>
        <v>0</v>
      </c>
      <c r="AD65" s="776">
        <f>AE65-AC65</f>
        <v>0</v>
      </c>
      <c r="AE65" s="178">
        <f>AB65*(1+$F65)</f>
        <v>0</v>
      </c>
      <c r="AF65" s="776">
        <f>$E$7*AH65</f>
        <v>0</v>
      </c>
      <c r="AG65" s="776">
        <f>AH65-AF65</f>
        <v>0</v>
      </c>
      <c r="AH65" s="178">
        <f>AE65*(1+$F65)</f>
        <v>0</v>
      </c>
      <c r="AI65" s="776">
        <f>$E$7*AK65</f>
        <v>0</v>
      </c>
      <c r="AJ65" s="776">
        <f>AK65-AI65</f>
        <v>0</v>
      </c>
      <c r="AK65" s="178">
        <f>AH65*(1+$F65)</f>
        <v>0</v>
      </c>
      <c r="AL65" s="776">
        <f>$E$7*AN65</f>
        <v>0</v>
      </c>
      <c r="AM65" s="776">
        <f>AN65-AL65</f>
        <v>0</v>
      </c>
      <c r="AN65" s="178">
        <f>AK65*(1+$F65)</f>
        <v>0</v>
      </c>
      <c r="AO65" s="776">
        <f>$E$7*AQ65</f>
        <v>0</v>
      </c>
      <c r="AP65" s="776">
        <f>AQ65-AO65</f>
        <v>0</v>
      </c>
      <c r="AQ65" s="178">
        <f>AN65*(1+$F65)</f>
        <v>0</v>
      </c>
      <c r="AR65" s="776">
        <f>$E$7*AT65</f>
        <v>0</v>
      </c>
      <c r="AS65" s="776">
        <f>AT65-AR65</f>
        <v>0</v>
      </c>
      <c r="AT65" s="178">
        <f>AQ65*(1+$F65)</f>
        <v>0</v>
      </c>
      <c r="AU65" s="776">
        <f>$E$7*AW65</f>
        <v>0</v>
      </c>
      <c r="AV65" s="776">
        <f>AW65-AU65</f>
        <v>0</v>
      </c>
      <c r="AW65" s="178">
        <f>AT65*(1+$F65)</f>
        <v>0</v>
      </c>
      <c r="AX65" s="776">
        <f>$E$7*AZ65</f>
        <v>0</v>
      </c>
      <c r="AY65" s="776">
        <f>AZ65-AX65</f>
        <v>0</v>
      </c>
      <c r="AZ65" s="178">
        <f>AW65*(1+$F65)</f>
        <v>0</v>
      </c>
      <c r="BA65" s="776">
        <f>$E$7*BC65</f>
        <v>0</v>
      </c>
      <c r="BB65" s="776">
        <f>BC65-BA65</f>
        <v>0</v>
      </c>
      <c r="BC65" s="178">
        <f>AZ65*(1+$F65)</f>
        <v>0</v>
      </c>
      <c r="BD65" s="776">
        <f>$E$7*BF65</f>
        <v>0</v>
      </c>
      <c r="BE65" s="776">
        <f>BF65-BD65</f>
        <v>0</v>
      </c>
      <c r="BF65" s="178">
        <f>BC65*(1+$F65)</f>
        <v>0</v>
      </c>
      <c r="BG65" s="776">
        <f>$E$7*BI65</f>
        <v>0</v>
      </c>
      <c r="BH65" s="776">
        <f>BI65-BG65</f>
        <v>0</v>
      </c>
      <c r="BI65" s="178">
        <f>BF65*(1+$F65)</f>
        <v>0</v>
      </c>
      <c r="BJ65" s="776">
        <f>$E$7*BL65</f>
        <v>0</v>
      </c>
      <c r="BK65" s="776">
        <f>BL65-BJ65</f>
        <v>0</v>
      </c>
      <c r="BL65" s="178">
        <f>BI65*(1+$F65)</f>
        <v>0</v>
      </c>
      <c r="BM65" s="776">
        <f>$E$7*BO65</f>
        <v>0</v>
      </c>
      <c r="BN65" s="776">
        <f>BO65-BM65</f>
        <v>0</v>
      </c>
      <c r="BO65" s="178">
        <f>BL65*(1+$F65)</f>
        <v>0</v>
      </c>
      <c r="BP65" s="5"/>
      <c r="BQ65" s="5"/>
      <c r="BR65" s="5"/>
      <c r="BS65" s="5"/>
      <c r="BT65" s="5"/>
      <c r="BU65" s="5"/>
      <c r="BV65" s="5"/>
    </row>
    <row r="66" spans="1:74" ht="13.8">
      <c r="A66" s="729" t="str">
        <f>IF('6.1stYrOpBudget'!K66&lt;&gt;"",'6.1stYrOpBudget'!K66,"")</f>
        <v/>
      </c>
      <c r="B66" s="729" t="str">
        <f>'6.1stYrOpBudget'!L66</f>
        <v/>
      </c>
      <c r="C66" s="2059" t="str">
        <f>'6.1stYrOpBudget'!A66</f>
        <v>Worker's Compensation</v>
      </c>
      <c r="D66" s="1065">
        <v>6722</v>
      </c>
      <c r="E66" s="1058">
        <f>F66</f>
        <v>3.5000000000000003E-2</v>
      </c>
      <c r="F66" s="1056">
        <v>3.5000000000000003E-2</v>
      </c>
      <c r="G66" s="64"/>
      <c r="H66" s="776">
        <f>'6.1stYrOpBudget'!D66</f>
        <v>0</v>
      </c>
      <c r="I66" s="776">
        <f>'6.1stYrOpBudget'!E66</f>
        <v>0</v>
      </c>
      <c r="J66" s="178">
        <f>'6.1stYrOpBudget'!F66</f>
        <v>0</v>
      </c>
      <c r="K66" s="776">
        <f>IF($A66&lt;&gt;"",$A66*M66,$E$7*M66)</f>
        <v>0</v>
      </c>
      <c r="L66" s="776">
        <f>M66-K66</f>
        <v>0</v>
      </c>
      <c r="M66" s="178">
        <f>J66*(1+$F66)</f>
        <v>0</v>
      </c>
      <c r="N66" s="776">
        <f>IF($A66&lt;&gt;"",$A66*P66,$E$7*P66)</f>
        <v>0</v>
      </c>
      <c r="O66" s="776">
        <f>P66-N66</f>
        <v>0</v>
      </c>
      <c r="P66" s="178">
        <f>M66*(1+$F66)</f>
        <v>0</v>
      </c>
      <c r="Q66" s="776">
        <f>IF($A66&lt;&gt;"",$A66*S66,$E$7*S66)</f>
        <v>0</v>
      </c>
      <c r="R66" s="776">
        <f>S66-Q66</f>
        <v>0</v>
      </c>
      <c r="S66" s="178">
        <f>P66*(1+$F66)</f>
        <v>0</v>
      </c>
      <c r="T66" s="776">
        <f>IF($A66&lt;&gt;"",$A66*V66,$E$7*V66)</f>
        <v>0</v>
      </c>
      <c r="U66" s="776">
        <f>V66-T66</f>
        <v>0</v>
      </c>
      <c r="V66" s="178">
        <f>S66*(1+$F66)</f>
        <v>0</v>
      </c>
      <c r="W66" s="776">
        <f>IF($A66&lt;&gt;"",$A66*Y66,$E$7*Y66)</f>
        <v>0</v>
      </c>
      <c r="X66" s="776">
        <f>Y66-W66</f>
        <v>0</v>
      </c>
      <c r="Y66" s="178">
        <f>V66*(1+$F66)</f>
        <v>0</v>
      </c>
      <c r="Z66" s="776">
        <f>IF($A66&lt;&gt;"",$A66*AB66,$E$7*AB66)</f>
        <v>0</v>
      </c>
      <c r="AA66" s="776">
        <f>AB66-Z66</f>
        <v>0</v>
      </c>
      <c r="AB66" s="178">
        <f>Y66*(1+$F66)</f>
        <v>0</v>
      </c>
      <c r="AC66" s="776">
        <f>IF($A66&lt;&gt;"",$A66*AE66,$E$7*AE66)</f>
        <v>0</v>
      </c>
      <c r="AD66" s="776">
        <f>AE66-AC66</f>
        <v>0</v>
      </c>
      <c r="AE66" s="178">
        <f>AB66*(1+$F66)</f>
        <v>0</v>
      </c>
      <c r="AF66" s="776">
        <f>IF($A66&lt;&gt;"",$A66*AH66,$E$7*AH66)</f>
        <v>0</v>
      </c>
      <c r="AG66" s="776">
        <f>AH66-AF66</f>
        <v>0</v>
      </c>
      <c r="AH66" s="178">
        <f>AE66*(1+$F66)</f>
        <v>0</v>
      </c>
      <c r="AI66" s="776">
        <f>IF($A66&lt;&gt;"",$A66*AK66,$E$7*AK66)</f>
        <v>0</v>
      </c>
      <c r="AJ66" s="776">
        <f>AK66-AI66</f>
        <v>0</v>
      </c>
      <c r="AK66" s="178">
        <f>AH66*(1+$F66)</f>
        <v>0</v>
      </c>
      <c r="AL66" s="776">
        <f>IF($A66&lt;&gt;"",$A66*AN66,$E$7*AN66)</f>
        <v>0</v>
      </c>
      <c r="AM66" s="776">
        <f>AN66-AL66</f>
        <v>0</v>
      </c>
      <c r="AN66" s="178">
        <f>AK66*(1+$F66)</f>
        <v>0</v>
      </c>
      <c r="AO66" s="776">
        <f>IF($A66&lt;&gt;"",$A66*AQ66,$E$7*AQ66)</f>
        <v>0</v>
      </c>
      <c r="AP66" s="776">
        <f>AQ66-AO66</f>
        <v>0</v>
      </c>
      <c r="AQ66" s="178">
        <f>AN66*(1+$F66)</f>
        <v>0</v>
      </c>
      <c r="AR66" s="776">
        <f>IF($A66&lt;&gt;"",$A66*AT66,$E$7*AT66)</f>
        <v>0</v>
      </c>
      <c r="AS66" s="776">
        <f>AT66-AR66</f>
        <v>0</v>
      </c>
      <c r="AT66" s="178">
        <f>AQ66*(1+$F66)</f>
        <v>0</v>
      </c>
      <c r="AU66" s="776">
        <f>IF($A66&lt;&gt;"",$A66*AW66,$E$7*AW66)</f>
        <v>0</v>
      </c>
      <c r="AV66" s="776">
        <f>AW66-AU66</f>
        <v>0</v>
      </c>
      <c r="AW66" s="178">
        <f>AT66*(1+$F66)</f>
        <v>0</v>
      </c>
      <c r="AX66" s="776">
        <f>IF($A66&lt;&gt;"",$A66*AZ66,$E$7*AZ66)</f>
        <v>0</v>
      </c>
      <c r="AY66" s="776">
        <f>AZ66-AX66</f>
        <v>0</v>
      </c>
      <c r="AZ66" s="178">
        <f>AW66*(1+$F66)</f>
        <v>0</v>
      </c>
      <c r="BA66" s="776">
        <f>IF($A66&lt;&gt;"",$A66*BC66,$E$7*BC66)</f>
        <v>0</v>
      </c>
      <c r="BB66" s="776">
        <f>BC66-BA66</f>
        <v>0</v>
      </c>
      <c r="BC66" s="178">
        <f>AZ66*(1+$F66)</f>
        <v>0</v>
      </c>
      <c r="BD66" s="776">
        <f>IF($A66&lt;&gt;"",$A66*BF66,$E$7*BF66)</f>
        <v>0</v>
      </c>
      <c r="BE66" s="776">
        <f>BF66-BD66</f>
        <v>0</v>
      </c>
      <c r="BF66" s="178">
        <f>BC66*(1+$F66)</f>
        <v>0</v>
      </c>
      <c r="BG66" s="776">
        <f>IF($A66&lt;&gt;"",$A66*BI66,$E$7*BI66)</f>
        <v>0</v>
      </c>
      <c r="BH66" s="776">
        <f>BI66-BG66</f>
        <v>0</v>
      </c>
      <c r="BI66" s="178">
        <f>BF66*(1+$F66)</f>
        <v>0</v>
      </c>
      <c r="BJ66" s="776">
        <f>IF($A66&lt;&gt;"",$A66*BL66,$E$7*BL66)</f>
        <v>0</v>
      </c>
      <c r="BK66" s="776">
        <f>BL66-BJ66</f>
        <v>0</v>
      </c>
      <c r="BL66" s="178">
        <f>BI66*(1+$F66)</f>
        <v>0</v>
      </c>
      <c r="BM66" s="776">
        <f>IF($A66&lt;&gt;"",$A66*BO66,$E$7*BO66)</f>
        <v>0</v>
      </c>
      <c r="BN66" s="776">
        <f>BO66-BM66</f>
        <v>0</v>
      </c>
      <c r="BO66" s="178">
        <f>BL66*(1+$F66)</f>
        <v>0</v>
      </c>
      <c r="BP66" s="5"/>
      <c r="BQ66" s="5"/>
      <c r="BR66" s="5"/>
      <c r="BS66" s="5"/>
      <c r="BT66" s="5"/>
      <c r="BU66" s="5"/>
      <c r="BV66" s="5"/>
    </row>
    <row r="67" spans="1:74" ht="13.8">
      <c r="C67" s="2059" t="str">
        <f>'6.1stYrOpBudget'!A67</f>
        <v>Director's &amp; Officers' Liability Insurance</v>
      </c>
      <c r="D67" s="136">
        <v>6722</v>
      </c>
      <c r="E67" s="1058">
        <f>F67</f>
        <v>3.5000000000000003E-2</v>
      </c>
      <c r="F67" s="1056">
        <v>3.5000000000000003E-2</v>
      </c>
      <c r="G67" s="64"/>
      <c r="H67" s="776">
        <f>'6.1stYrOpBudget'!D67</f>
        <v>0</v>
      </c>
      <c r="I67" s="776">
        <f>'6.1stYrOpBudget'!E67</f>
        <v>0</v>
      </c>
      <c r="J67" s="178">
        <f>'6.1stYrOpBudget'!F67</f>
        <v>0</v>
      </c>
      <c r="K67" s="776">
        <f>$E$7*M67</f>
        <v>0</v>
      </c>
      <c r="L67" s="776">
        <f>M67-K67</f>
        <v>0</v>
      </c>
      <c r="M67" s="178">
        <f>J67*(1+$F67)</f>
        <v>0</v>
      </c>
      <c r="N67" s="776">
        <f>$E$7*P67</f>
        <v>0</v>
      </c>
      <c r="O67" s="776">
        <f>P67-N67</f>
        <v>0</v>
      </c>
      <c r="P67" s="178">
        <f>M67*(1+$F67)</f>
        <v>0</v>
      </c>
      <c r="Q67" s="776">
        <f>$E$7*S67</f>
        <v>0</v>
      </c>
      <c r="R67" s="776">
        <f>S67-Q67</f>
        <v>0</v>
      </c>
      <c r="S67" s="178">
        <f>P67*(1+$F67)</f>
        <v>0</v>
      </c>
      <c r="T67" s="776">
        <f>$E$7*V67</f>
        <v>0</v>
      </c>
      <c r="U67" s="776">
        <f>V67-T67</f>
        <v>0</v>
      </c>
      <c r="V67" s="178">
        <f>S67*(1+$F67)</f>
        <v>0</v>
      </c>
      <c r="W67" s="776">
        <f>$E$7*Y67</f>
        <v>0</v>
      </c>
      <c r="X67" s="776">
        <f>Y67-W67</f>
        <v>0</v>
      </c>
      <c r="Y67" s="178">
        <f>V67*(1+$F67)</f>
        <v>0</v>
      </c>
      <c r="Z67" s="776">
        <f>$E$7*AB67</f>
        <v>0</v>
      </c>
      <c r="AA67" s="776">
        <f>AB67-Z67</f>
        <v>0</v>
      </c>
      <c r="AB67" s="178">
        <f>Y67*(1+$F67)</f>
        <v>0</v>
      </c>
      <c r="AC67" s="776">
        <f>$E$7*AE67</f>
        <v>0</v>
      </c>
      <c r="AD67" s="776">
        <f>AE67-AC67</f>
        <v>0</v>
      </c>
      <c r="AE67" s="178">
        <f>AB67*(1+$F67)</f>
        <v>0</v>
      </c>
      <c r="AF67" s="776">
        <f>$E$7*AH67</f>
        <v>0</v>
      </c>
      <c r="AG67" s="776">
        <f>AH67-AF67</f>
        <v>0</v>
      </c>
      <c r="AH67" s="178">
        <f>AE67*(1+$F67)</f>
        <v>0</v>
      </c>
      <c r="AI67" s="776">
        <f>$E$7*AK67</f>
        <v>0</v>
      </c>
      <c r="AJ67" s="776">
        <f>AK67-AI67</f>
        <v>0</v>
      </c>
      <c r="AK67" s="178">
        <f>AH67*(1+$F67)</f>
        <v>0</v>
      </c>
      <c r="AL67" s="776">
        <f>$E$7*AN67</f>
        <v>0</v>
      </c>
      <c r="AM67" s="776">
        <f>AN67-AL67</f>
        <v>0</v>
      </c>
      <c r="AN67" s="178">
        <f>AK67*(1+$F67)</f>
        <v>0</v>
      </c>
      <c r="AO67" s="776">
        <f>$E$7*AQ67</f>
        <v>0</v>
      </c>
      <c r="AP67" s="776">
        <f>AQ67-AO67</f>
        <v>0</v>
      </c>
      <c r="AQ67" s="178">
        <f>AN67*(1+$F67)</f>
        <v>0</v>
      </c>
      <c r="AR67" s="776">
        <f>$E$7*AT67</f>
        <v>0</v>
      </c>
      <c r="AS67" s="776">
        <f>AT67-AR67</f>
        <v>0</v>
      </c>
      <c r="AT67" s="178">
        <f>AQ67*(1+$F67)</f>
        <v>0</v>
      </c>
      <c r="AU67" s="776">
        <f>$E$7*AW67</f>
        <v>0</v>
      </c>
      <c r="AV67" s="776">
        <f>AW67-AU67</f>
        <v>0</v>
      </c>
      <c r="AW67" s="178">
        <f>AT67*(1+$F67)</f>
        <v>0</v>
      </c>
      <c r="AX67" s="776">
        <f>$E$7*AZ67</f>
        <v>0</v>
      </c>
      <c r="AY67" s="776">
        <f>AZ67-AX67</f>
        <v>0</v>
      </c>
      <c r="AZ67" s="178">
        <f>AW67*(1+$F67)</f>
        <v>0</v>
      </c>
      <c r="BA67" s="776">
        <f>$E$7*BC67</f>
        <v>0</v>
      </c>
      <c r="BB67" s="776">
        <f>BC67-BA67</f>
        <v>0</v>
      </c>
      <c r="BC67" s="178">
        <f>AZ67*(1+$F67)</f>
        <v>0</v>
      </c>
      <c r="BD67" s="776">
        <f>$E$7*BF67</f>
        <v>0</v>
      </c>
      <c r="BE67" s="776">
        <f>BF67-BD67</f>
        <v>0</v>
      </c>
      <c r="BF67" s="178">
        <f>BC67*(1+$F67)</f>
        <v>0</v>
      </c>
      <c r="BG67" s="776">
        <f>$E$7*BI67</f>
        <v>0</v>
      </c>
      <c r="BH67" s="776">
        <f>BI67-BG67</f>
        <v>0</v>
      </c>
      <c r="BI67" s="178">
        <f>BF67*(1+$F67)</f>
        <v>0</v>
      </c>
      <c r="BJ67" s="776">
        <f>$E$7*BL67</f>
        <v>0</v>
      </c>
      <c r="BK67" s="776">
        <f>BL67-BJ67</f>
        <v>0</v>
      </c>
      <c r="BL67" s="178">
        <f>BI67*(1+$F67)</f>
        <v>0</v>
      </c>
      <c r="BM67" s="776">
        <f>$E$7*BO67</f>
        <v>0</v>
      </c>
      <c r="BN67" s="776">
        <f>BO67-BM67</f>
        <v>0</v>
      </c>
      <c r="BO67" s="178">
        <f>BL67*(1+$F67)</f>
        <v>0</v>
      </c>
      <c r="BP67" s="5"/>
      <c r="BQ67" s="5"/>
      <c r="BR67" s="5"/>
      <c r="BS67" s="5"/>
      <c r="BT67" s="5"/>
      <c r="BU67" s="5"/>
      <c r="BV67" s="5"/>
    </row>
    <row r="68" spans="1:74" ht="14.4">
      <c r="A68" s="820" t="s">
        <v>695</v>
      </c>
      <c r="B68" s="820"/>
      <c r="C68" s="1082" t="str">
        <f>'6.1stYrOpBudget'!B68</f>
        <v>Sub-total Insurance</v>
      </c>
      <c r="D68" s="126"/>
      <c r="E68" s="126"/>
      <c r="F68" s="126"/>
      <c r="G68" s="21"/>
      <c r="H68" s="235">
        <f>'6.1stYrOpBudget'!D68</f>
        <v>0</v>
      </c>
      <c r="I68" s="235">
        <f>'6.1stYrOpBudget'!E68</f>
        <v>0</v>
      </c>
      <c r="J68" s="175">
        <f>'6.1stYrOpBudget'!F68</f>
        <v>0</v>
      </c>
      <c r="K68" s="235">
        <f t="shared" ref="K68:AP68" si="165">SUM(K64:K67)</f>
        <v>0</v>
      </c>
      <c r="L68" s="235">
        <f t="shared" si="165"/>
        <v>0</v>
      </c>
      <c r="M68" s="175">
        <f t="shared" si="165"/>
        <v>0</v>
      </c>
      <c r="N68" s="235">
        <f t="shared" si="165"/>
        <v>0</v>
      </c>
      <c r="O68" s="235">
        <f t="shared" si="165"/>
        <v>0</v>
      </c>
      <c r="P68" s="175">
        <f t="shared" si="165"/>
        <v>0</v>
      </c>
      <c r="Q68" s="235">
        <f t="shared" si="165"/>
        <v>0</v>
      </c>
      <c r="R68" s="235">
        <f t="shared" si="165"/>
        <v>0</v>
      </c>
      <c r="S68" s="175">
        <f t="shared" si="165"/>
        <v>0</v>
      </c>
      <c r="T68" s="235">
        <f t="shared" si="165"/>
        <v>0</v>
      </c>
      <c r="U68" s="235">
        <f t="shared" si="165"/>
        <v>0</v>
      </c>
      <c r="V68" s="175">
        <f t="shared" si="165"/>
        <v>0</v>
      </c>
      <c r="W68" s="235">
        <f t="shared" si="165"/>
        <v>0</v>
      </c>
      <c r="X68" s="235">
        <f t="shared" si="165"/>
        <v>0</v>
      </c>
      <c r="Y68" s="175">
        <f t="shared" si="165"/>
        <v>0</v>
      </c>
      <c r="Z68" s="235">
        <f t="shared" si="165"/>
        <v>0</v>
      </c>
      <c r="AA68" s="235">
        <f t="shared" si="165"/>
        <v>0</v>
      </c>
      <c r="AB68" s="175">
        <f t="shared" si="165"/>
        <v>0</v>
      </c>
      <c r="AC68" s="235">
        <f t="shared" si="165"/>
        <v>0</v>
      </c>
      <c r="AD68" s="235">
        <f t="shared" si="165"/>
        <v>0</v>
      </c>
      <c r="AE68" s="175">
        <f t="shared" si="165"/>
        <v>0</v>
      </c>
      <c r="AF68" s="235">
        <f t="shared" si="165"/>
        <v>0</v>
      </c>
      <c r="AG68" s="235">
        <f t="shared" si="165"/>
        <v>0</v>
      </c>
      <c r="AH68" s="175">
        <f t="shared" si="165"/>
        <v>0</v>
      </c>
      <c r="AI68" s="235">
        <f t="shared" si="165"/>
        <v>0</v>
      </c>
      <c r="AJ68" s="235">
        <f t="shared" si="165"/>
        <v>0</v>
      </c>
      <c r="AK68" s="175">
        <f t="shared" si="165"/>
        <v>0</v>
      </c>
      <c r="AL68" s="235">
        <f t="shared" si="165"/>
        <v>0</v>
      </c>
      <c r="AM68" s="235">
        <f t="shared" si="165"/>
        <v>0</v>
      </c>
      <c r="AN68" s="175">
        <f t="shared" si="165"/>
        <v>0</v>
      </c>
      <c r="AO68" s="235">
        <f t="shared" si="165"/>
        <v>0</v>
      </c>
      <c r="AP68" s="235">
        <f t="shared" si="165"/>
        <v>0</v>
      </c>
      <c r="AQ68" s="175">
        <f t="shared" ref="AQ68:BO68" si="166">SUM(AQ64:AQ67)</f>
        <v>0</v>
      </c>
      <c r="AR68" s="235">
        <f t="shared" si="166"/>
        <v>0</v>
      </c>
      <c r="AS68" s="235">
        <f t="shared" si="166"/>
        <v>0</v>
      </c>
      <c r="AT68" s="175">
        <f t="shared" si="166"/>
        <v>0</v>
      </c>
      <c r="AU68" s="235">
        <f t="shared" si="166"/>
        <v>0</v>
      </c>
      <c r="AV68" s="235">
        <f t="shared" si="166"/>
        <v>0</v>
      </c>
      <c r="AW68" s="175">
        <f t="shared" si="166"/>
        <v>0</v>
      </c>
      <c r="AX68" s="235">
        <f t="shared" si="166"/>
        <v>0</v>
      </c>
      <c r="AY68" s="235">
        <f t="shared" si="166"/>
        <v>0</v>
      </c>
      <c r="AZ68" s="175">
        <f t="shared" si="166"/>
        <v>0</v>
      </c>
      <c r="BA68" s="235">
        <f t="shared" si="166"/>
        <v>0</v>
      </c>
      <c r="BB68" s="235">
        <f t="shared" si="166"/>
        <v>0</v>
      </c>
      <c r="BC68" s="175">
        <f t="shared" si="166"/>
        <v>0</v>
      </c>
      <c r="BD68" s="235">
        <f t="shared" si="166"/>
        <v>0</v>
      </c>
      <c r="BE68" s="235">
        <f t="shared" si="166"/>
        <v>0</v>
      </c>
      <c r="BF68" s="175">
        <f t="shared" si="166"/>
        <v>0</v>
      </c>
      <c r="BG68" s="235">
        <f t="shared" si="166"/>
        <v>0</v>
      </c>
      <c r="BH68" s="235">
        <f t="shared" si="166"/>
        <v>0</v>
      </c>
      <c r="BI68" s="175">
        <f t="shared" si="166"/>
        <v>0</v>
      </c>
      <c r="BJ68" s="235">
        <f t="shared" si="166"/>
        <v>0</v>
      </c>
      <c r="BK68" s="235">
        <f t="shared" si="166"/>
        <v>0</v>
      </c>
      <c r="BL68" s="175">
        <f t="shared" si="166"/>
        <v>0</v>
      </c>
      <c r="BM68" s="235">
        <f t="shared" si="166"/>
        <v>0</v>
      </c>
      <c r="BN68" s="235">
        <f t="shared" si="166"/>
        <v>0</v>
      </c>
      <c r="BO68" s="175">
        <f t="shared" si="166"/>
        <v>0</v>
      </c>
      <c r="BP68" s="5"/>
      <c r="BQ68" s="5"/>
      <c r="BR68" s="5"/>
      <c r="BS68" s="5"/>
      <c r="BT68" s="5"/>
      <c r="BU68" s="5"/>
      <c r="BV68" s="5"/>
    </row>
    <row r="69" spans="1:74" ht="13.8">
      <c r="A69" s="761" t="s">
        <v>319</v>
      </c>
      <c r="B69" s="761" t="s">
        <v>610</v>
      </c>
      <c r="C69" s="139" t="str">
        <f>'6.1stYrOpBudget'!A69</f>
        <v>Maintenance &amp; Repair</v>
      </c>
      <c r="D69" s="133"/>
      <c r="E69" s="133"/>
      <c r="F69" s="133"/>
      <c r="G69" s="21"/>
      <c r="H69" s="236"/>
      <c r="I69" s="236"/>
      <c r="J69" s="125"/>
      <c r="K69" s="236"/>
      <c r="L69" s="236"/>
      <c r="M69" s="125"/>
      <c r="N69" s="236"/>
      <c r="O69" s="236"/>
      <c r="P69" s="125"/>
      <c r="Q69" s="236"/>
      <c r="R69" s="236"/>
      <c r="S69" s="125"/>
      <c r="T69" s="236"/>
      <c r="U69" s="236"/>
      <c r="V69" s="125"/>
      <c r="W69" s="236"/>
      <c r="X69" s="236"/>
      <c r="Y69" s="125"/>
      <c r="Z69" s="236"/>
      <c r="AA69" s="236"/>
      <c r="AB69" s="125"/>
      <c r="AC69" s="236"/>
      <c r="AD69" s="236"/>
      <c r="AE69" s="125"/>
      <c r="AF69" s="236"/>
      <c r="AG69" s="236"/>
      <c r="AH69" s="125"/>
      <c r="AI69" s="236"/>
      <c r="AJ69" s="236"/>
      <c r="AK69" s="125"/>
      <c r="AL69" s="236"/>
      <c r="AM69" s="236"/>
      <c r="AN69" s="125"/>
      <c r="AO69" s="236"/>
      <c r="AP69" s="236"/>
      <c r="AQ69" s="125"/>
      <c r="AR69" s="236"/>
      <c r="AS69" s="236"/>
      <c r="AT69" s="125"/>
      <c r="AU69" s="236"/>
      <c r="AV69" s="236"/>
      <c r="AW69" s="125"/>
      <c r="AX69" s="236"/>
      <c r="AY69" s="236"/>
      <c r="AZ69" s="125"/>
      <c r="BA69" s="236"/>
      <c r="BB69" s="236"/>
      <c r="BC69" s="125"/>
      <c r="BD69" s="236"/>
      <c r="BE69" s="236"/>
      <c r="BF69" s="125"/>
      <c r="BG69" s="236"/>
      <c r="BH69" s="236"/>
      <c r="BI69" s="125"/>
      <c r="BJ69" s="236"/>
      <c r="BK69" s="236"/>
      <c r="BL69" s="125"/>
      <c r="BM69" s="236"/>
      <c r="BN69" s="236"/>
      <c r="BO69" s="125"/>
      <c r="BP69" s="5"/>
      <c r="BQ69" s="5"/>
      <c r="BR69" s="5"/>
      <c r="BS69" s="5"/>
      <c r="BT69" s="5"/>
      <c r="BU69" s="5"/>
      <c r="BV69" s="5"/>
    </row>
    <row r="70" spans="1:74" ht="13.8">
      <c r="A70" s="729" t="str">
        <f>IF('6.1stYrOpBudget'!K70&lt;&gt;"",'6.1stYrOpBudget'!K70,"")</f>
        <v/>
      </c>
      <c r="B70" s="729" t="str">
        <f>'6.1stYrOpBudget'!L70</f>
        <v/>
      </c>
      <c r="C70" s="2059" t="str">
        <f>'6.1stYrOpBudget'!A70</f>
        <v>Payroll</v>
      </c>
      <c r="D70" s="136">
        <v>6510</v>
      </c>
      <c r="E70" s="1058">
        <f t="shared" ref="E70:E77" si="167">F70</f>
        <v>3.5000000000000003E-2</v>
      </c>
      <c r="F70" s="1056">
        <v>3.5000000000000003E-2</v>
      </c>
      <c r="G70" s="64"/>
      <c r="H70" s="776">
        <f>'6.1stYrOpBudget'!D70</f>
        <v>0</v>
      </c>
      <c r="I70" s="776">
        <f>'6.1stYrOpBudget'!E70</f>
        <v>0</v>
      </c>
      <c r="J70" s="178">
        <f>'6.1stYrOpBudget'!F70</f>
        <v>0</v>
      </c>
      <c r="K70" s="793">
        <f>IF($A70&lt;&gt;"",$A70*M70,$E$7*M70)</f>
        <v>0</v>
      </c>
      <c r="L70" s="776">
        <f t="shared" ref="L70:L77" si="168">M70-K70</f>
        <v>0</v>
      </c>
      <c r="M70" s="178">
        <f t="shared" ref="M70:M77" si="169">J70*(1+$F70)</f>
        <v>0</v>
      </c>
      <c r="N70" s="793">
        <f>IF($A70&lt;&gt;"",$A70*P70,$E$7*P70)</f>
        <v>0</v>
      </c>
      <c r="O70" s="776">
        <f t="shared" ref="O70:O77" si="170">P70-N70</f>
        <v>0</v>
      </c>
      <c r="P70" s="178">
        <f t="shared" ref="P70:P77" si="171">M70*(1+$F70)</f>
        <v>0</v>
      </c>
      <c r="Q70" s="793">
        <f>IF($A70&lt;&gt;"",$A70*S70,$E$7*S70)</f>
        <v>0</v>
      </c>
      <c r="R70" s="776">
        <f t="shared" ref="R70:R77" si="172">S70-Q70</f>
        <v>0</v>
      </c>
      <c r="S70" s="178">
        <f t="shared" ref="S70:S77" si="173">P70*(1+$F70)</f>
        <v>0</v>
      </c>
      <c r="T70" s="793">
        <f>IF($A70&lt;&gt;"",$A70*V70,$E$7*V70)</f>
        <v>0</v>
      </c>
      <c r="U70" s="776">
        <f t="shared" ref="U70:U77" si="174">V70-T70</f>
        <v>0</v>
      </c>
      <c r="V70" s="178">
        <f t="shared" ref="V70:V77" si="175">S70*(1+$F70)</f>
        <v>0</v>
      </c>
      <c r="W70" s="793">
        <f>IF($A70&lt;&gt;"",$A70*Y70,$E$7*Y70)</f>
        <v>0</v>
      </c>
      <c r="X70" s="776">
        <f t="shared" ref="X70:X77" si="176">Y70-W70</f>
        <v>0</v>
      </c>
      <c r="Y70" s="178">
        <f t="shared" ref="Y70:Y77" si="177">V70*(1+$F70)</f>
        <v>0</v>
      </c>
      <c r="Z70" s="793">
        <f>IF($A70&lt;&gt;"",$A70*AB70,$E$7*AB70)</f>
        <v>0</v>
      </c>
      <c r="AA70" s="776">
        <f t="shared" ref="AA70:AA77" si="178">AB70-Z70</f>
        <v>0</v>
      </c>
      <c r="AB70" s="178">
        <f t="shared" ref="AB70:AB77" si="179">Y70*(1+$F70)</f>
        <v>0</v>
      </c>
      <c r="AC70" s="793">
        <f>IF($A70&lt;&gt;"",$A70*AE70,$E$7*AE70)</f>
        <v>0</v>
      </c>
      <c r="AD70" s="776">
        <f t="shared" ref="AD70:AD77" si="180">AE70-AC70</f>
        <v>0</v>
      </c>
      <c r="AE70" s="178">
        <f t="shared" ref="AE70:AE77" si="181">AB70*(1+$F70)</f>
        <v>0</v>
      </c>
      <c r="AF70" s="793">
        <f>IF($A70&lt;&gt;"",$A70*AH70,$E$7*AH70)</f>
        <v>0</v>
      </c>
      <c r="AG70" s="776">
        <f t="shared" ref="AG70:AG77" si="182">AH70-AF70</f>
        <v>0</v>
      </c>
      <c r="AH70" s="178">
        <f t="shared" ref="AH70:AH77" si="183">AE70*(1+$F70)</f>
        <v>0</v>
      </c>
      <c r="AI70" s="793">
        <f>IF($A70&lt;&gt;"",$A70*AK70,$E$7*AK70)</f>
        <v>0</v>
      </c>
      <c r="AJ70" s="776">
        <f t="shared" ref="AJ70:AJ77" si="184">AK70-AI70</f>
        <v>0</v>
      </c>
      <c r="AK70" s="178">
        <f t="shared" ref="AK70:AK77" si="185">AH70*(1+$F70)</f>
        <v>0</v>
      </c>
      <c r="AL70" s="793">
        <f>IF($A70&lt;&gt;"",$A70*AN70,$E$7*AN70)</f>
        <v>0</v>
      </c>
      <c r="AM70" s="776">
        <f t="shared" ref="AM70:AM77" si="186">AN70-AL70</f>
        <v>0</v>
      </c>
      <c r="AN70" s="178">
        <f t="shared" ref="AN70:AN77" si="187">AK70*(1+$F70)</f>
        <v>0</v>
      </c>
      <c r="AO70" s="793">
        <f>IF($A70&lt;&gt;"",$A70*AQ70,$E$7*AQ70)</f>
        <v>0</v>
      </c>
      <c r="AP70" s="776">
        <f t="shared" ref="AP70:AP77" si="188">AQ70-AO70</f>
        <v>0</v>
      </c>
      <c r="AQ70" s="178">
        <f t="shared" ref="AQ70:AQ77" si="189">AN70*(1+$F70)</f>
        <v>0</v>
      </c>
      <c r="AR70" s="793">
        <f>IF($A70&lt;&gt;"",$A70*AT70,$E$7*AT70)</f>
        <v>0</v>
      </c>
      <c r="AS70" s="776">
        <f t="shared" ref="AS70:AS77" si="190">AT70-AR70</f>
        <v>0</v>
      </c>
      <c r="AT70" s="178">
        <f t="shared" ref="AT70:AT77" si="191">AQ70*(1+$F70)</f>
        <v>0</v>
      </c>
      <c r="AU70" s="793">
        <f>IF($A70&lt;&gt;"",$A70*AW70,$E$7*AW70)</f>
        <v>0</v>
      </c>
      <c r="AV70" s="776">
        <f t="shared" ref="AV70:AV77" si="192">AW70-AU70</f>
        <v>0</v>
      </c>
      <c r="AW70" s="178">
        <f t="shared" ref="AW70:AW77" si="193">AT70*(1+$F70)</f>
        <v>0</v>
      </c>
      <c r="AX70" s="793">
        <f>IF($A70&lt;&gt;"",$A70*AZ70,$E$7*AZ70)</f>
        <v>0</v>
      </c>
      <c r="AY70" s="776">
        <f t="shared" ref="AY70:AY77" si="194">AZ70-AX70</f>
        <v>0</v>
      </c>
      <c r="AZ70" s="178">
        <f t="shared" ref="AZ70:AZ77" si="195">AW70*(1+$F70)</f>
        <v>0</v>
      </c>
      <c r="BA70" s="793">
        <f>IF($A70&lt;&gt;"",$A70*BC70,$E$7*BC70)</f>
        <v>0</v>
      </c>
      <c r="BB70" s="776">
        <f t="shared" ref="BB70:BB77" si="196">BC70-BA70</f>
        <v>0</v>
      </c>
      <c r="BC70" s="178">
        <f t="shared" ref="BC70:BC77" si="197">AZ70*(1+$F70)</f>
        <v>0</v>
      </c>
      <c r="BD70" s="793">
        <f>IF($A70&lt;&gt;"",$A70*BF70,$E$7*BF70)</f>
        <v>0</v>
      </c>
      <c r="BE70" s="776">
        <f t="shared" ref="BE70:BE77" si="198">BF70-BD70</f>
        <v>0</v>
      </c>
      <c r="BF70" s="178">
        <f t="shared" ref="BF70:BF77" si="199">BC70*(1+$F70)</f>
        <v>0</v>
      </c>
      <c r="BG70" s="793">
        <f>IF($A70&lt;&gt;"",$A70*BI70,$E$7*BI70)</f>
        <v>0</v>
      </c>
      <c r="BH70" s="776">
        <f t="shared" ref="BH70:BH77" si="200">BI70-BG70</f>
        <v>0</v>
      </c>
      <c r="BI70" s="178">
        <f t="shared" ref="BI70:BI77" si="201">BF70*(1+$F70)</f>
        <v>0</v>
      </c>
      <c r="BJ70" s="793">
        <f>IF($A70&lt;&gt;"",$A70*BL70,$E$7*BL70)</f>
        <v>0</v>
      </c>
      <c r="BK70" s="776">
        <f t="shared" ref="BK70:BK77" si="202">BL70-BJ70</f>
        <v>0</v>
      </c>
      <c r="BL70" s="178">
        <f t="shared" ref="BL70:BL77" si="203">BI70*(1+$F70)</f>
        <v>0</v>
      </c>
      <c r="BM70" s="793">
        <f>IF($A70&lt;&gt;"",$A70*BO70,$E$7*BO70)</f>
        <v>0</v>
      </c>
      <c r="BN70" s="776">
        <f t="shared" ref="BN70:BN77" si="204">BO70-BM70</f>
        <v>0</v>
      </c>
      <c r="BO70" s="178">
        <f t="shared" ref="BO70:BO77" si="205">BL70*(1+$F70)</f>
        <v>0</v>
      </c>
      <c r="BP70" s="5"/>
      <c r="BQ70" s="5"/>
      <c r="BR70" s="5"/>
      <c r="BS70" s="5"/>
      <c r="BT70" s="5"/>
      <c r="BU70" s="5"/>
      <c r="BV70" s="5"/>
    </row>
    <row r="71" spans="1:74" ht="13.8">
      <c r="A71" s="732" t="str">
        <f>IF('6.1stYrOpBudget'!K71&lt;&gt;"",'6.1stYrOpBudget'!K71,"")</f>
        <v/>
      </c>
      <c r="B71" s="732" t="str">
        <f>'6.1stYrOpBudget'!L71</f>
        <v/>
      </c>
      <c r="C71" s="2059" t="str">
        <f>'6.1stYrOpBudget'!A71</f>
        <v>Supplies</v>
      </c>
      <c r="D71" s="1068">
        <v>6515</v>
      </c>
      <c r="E71" s="1058">
        <f t="shared" si="167"/>
        <v>3.5000000000000003E-2</v>
      </c>
      <c r="F71" s="1056">
        <v>3.5000000000000003E-2</v>
      </c>
      <c r="G71" s="64"/>
      <c r="H71" s="776">
        <f>'6.1stYrOpBudget'!D71</f>
        <v>0</v>
      </c>
      <c r="I71" s="776">
        <f>'6.1stYrOpBudget'!E71</f>
        <v>0</v>
      </c>
      <c r="J71" s="178">
        <f>'6.1stYrOpBudget'!F71</f>
        <v>0</v>
      </c>
      <c r="K71" s="800">
        <f>$E$7*M71</f>
        <v>0</v>
      </c>
      <c r="L71" s="776">
        <f t="shared" si="168"/>
        <v>0</v>
      </c>
      <c r="M71" s="178">
        <f t="shared" si="169"/>
        <v>0</v>
      </c>
      <c r="N71" s="800">
        <f>$E$7*P71</f>
        <v>0</v>
      </c>
      <c r="O71" s="776">
        <f t="shared" si="170"/>
        <v>0</v>
      </c>
      <c r="P71" s="178">
        <f t="shared" si="171"/>
        <v>0</v>
      </c>
      <c r="Q71" s="800">
        <f>$E$7*S71</f>
        <v>0</v>
      </c>
      <c r="R71" s="776">
        <f t="shared" si="172"/>
        <v>0</v>
      </c>
      <c r="S71" s="178">
        <f t="shared" si="173"/>
        <v>0</v>
      </c>
      <c r="T71" s="800">
        <f>$E$7*V71</f>
        <v>0</v>
      </c>
      <c r="U71" s="776">
        <f t="shared" si="174"/>
        <v>0</v>
      </c>
      <c r="V71" s="178">
        <f t="shared" si="175"/>
        <v>0</v>
      </c>
      <c r="W71" s="800">
        <f>$E$7*Y71</f>
        <v>0</v>
      </c>
      <c r="X71" s="776">
        <f t="shared" si="176"/>
        <v>0</v>
      </c>
      <c r="Y71" s="178">
        <f t="shared" si="177"/>
        <v>0</v>
      </c>
      <c r="Z71" s="800">
        <f>$E$7*AB71</f>
        <v>0</v>
      </c>
      <c r="AA71" s="776">
        <f t="shared" si="178"/>
        <v>0</v>
      </c>
      <c r="AB71" s="178">
        <f t="shared" si="179"/>
        <v>0</v>
      </c>
      <c r="AC71" s="800">
        <f>$E$7*AE71</f>
        <v>0</v>
      </c>
      <c r="AD71" s="776">
        <f t="shared" si="180"/>
        <v>0</v>
      </c>
      <c r="AE71" s="178">
        <f t="shared" si="181"/>
        <v>0</v>
      </c>
      <c r="AF71" s="800">
        <f>$E$7*AH71</f>
        <v>0</v>
      </c>
      <c r="AG71" s="776">
        <f t="shared" si="182"/>
        <v>0</v>
      </c>
      <c r="AH71" s="178">
        <f t="shared" si="183"/>
        <v>0</v>
      </c>
      <c r="AI71" s="800">
        <f>$E$7*AK71</f>
        <v>0</v>
      </c>
      <c r="AJ71" s="776">
        <f t="shared" si="184"/>
        <v>0</v>
      </c>
      <c r="AK71" s="178">
        <f t="shared" si="185"/>
        <v>0</v>
      </c>
      <c r="AL71" s="800">
        <f>$E$7*AN71</f>
        <v>0</v>
      </c>
      <c r="AM71" s="776">
        <f t="shared" si="186"/>
        <v>0</v>
      </c>
      <c r="AN71" s="178">
        <f t="shared" si="187"/>
        <v>0</v>
      </c>
      <c r="AO71" s="800">
        <f>$E$7*AQ71</f>
        <v>0</v>
      </c>
      <c r="AP71" s="776">
        <f t="shared" si="188"/>
        <v>0</v>
      </c>
      <c r="AQ71" s="178">
        <f t="shared" si="189"/>
        <v>0</v>
      </c>
      <c r="AR71" s="800">
        <f>$E$7*AT71</f>
        <v>0</v>
      </c>
      <c r="AS71" s="776">
        <f t="shared" si="190"/>
        <v>0</v>
      </c>
      <c r="AT71" s="178">
        <f t="shared" si="191"/>
        <v>0</v>
      </c>
      <c r="AU71" s="800">
        <f>$E$7*AW71</f>
        <v>0</v>
      </c>
      <c r="AV71" s="776">
        <f t="shared" si="192"/>
        <v>0</v>
      </c>
      <c r="AW71" s="178">
        <f t="shared" si="193"/>
        <v>0</v>
      </c>
      <c r="AX71" s="800">
        <f>$E$7*AZ71</f>
        <v>0</v>
      </c>
      <c r="AY71" s="776">
        <f t="shared" si="194"/>
        <v>0</v>
      </c>
      <c r="AZ71" s="178">
        <f t="shared" si="195"/>
        <v>0</v>
      </c>
      <c r="BA71" s="800">
        <f>$E$7*BC71</f>
        <v>0</v>
      </c>
      <c r="BB71" s="776">
        <f t="shared" si="196"/>
        <v>0</v>
      </c>
      <c r="BC71" s="178">
        <f t="shared" si="197"/>
        <v>0</v>
      </c>
      <c r="BD71" s="800">
        <f>$E$7*BF71</f>
        <v>0</v>
      </c>
      <c r="BE71" s="776">
        <f t="shared" si="198"/>
        <v>0</v>
      </c>
      <c r="BF71" s="178">
        <f t="shared" si="199"/>
        <v>0</v>
      </c>
      <c r="BG71" s="800">
        <f>$E$7*BI71</f>
        <v>0</v>
      </c>
      <c r="BH71" s="776">
        <f t="shared" si="200"/>
        <v>0</v>
      </c>
      <c r="BI71" s="178">
        <f t="shared" si="201"/>
        <v>0</v>
      </c>
      <c r="BJ71" s="800">
        <f>$E$7*BL71</f>
        <v>0</v>
      </c>
      <c r="BK71" s="776">
        <f t="shared" si="202"/>
        <v>0</v>
      </c>
      <c r="BL71" s="178">
        <f t="shared" si="203"/>
        <v>0</v>
      </c>
      <c r="BM71" s="800">
        <f>$E$7*BO71</f>
        <v>0</v>
      </c>
      <c r="BN71" s="776">
        <f t="shared" si="204"/>
        <v>0</v>
      </c>
      <c r="BO71" s="178">
        <f t="shared" si="205"/>
        <v>0</v>
      </c>
      <c r="BP71" s="5"/>
      <c r="BQ71" s="5"/>
      <c r="BR71" s="5"/>
      <c r="BS71" s="5"/>
      <c r="BT71" s="5"/>
      <c r="BU71" s="5"/>
      <c r="BV71" s="5"/>
    </row>
    <row r="72" spans="1:74" ht="13.8">
      <c r="A72" s="729" t="str">
        <f>IF('6.1stYrOpBudget'!K72&lt;&gt;"",'6.1stYrOpBudget'!K72,"")</f>
        <v/>
      </c>
      <c r="B72" s="729" t="str">
        <f>'6.1stYrOpBudget'!L72</f>
        <v/>
      </c>
      <c r="C72" s="2059" t="str">
        <f>'6.1stYrOpBudget'!A72</f>
        <v>Contracts</v>
      </c>
      <c r="D72" s="136">
        <v>6520</v>
      </c>
      <c r="E72" s="1058">
        <f t="shared" si="167"/>
        <v>3.5000000000000003E-2</v>
      </c>
      <c r="F72" s="1056">
        <v>3.5000000000000003E-2</v>
      </c>
      <c r="G72" s="64"/>
      <c r="H72" s="776">
        <f>'6.1stYrOpBudget'!D72</f>
        <v>0</v>
      </c>
      <c r="I72" s="776">
        <f>'6.1stYrOpBudget'!E72</f>
        <v>0</v>
      </c>
      <c r="J72" s="178">
        <f>'6.1stYrOpBudget'!F72</f>
        <v>0</v>
      </c>
      <c r="K72" s="793">
        <f>IF($A72&lt;&gt;"",$A72*M72,$E$7*M72)</f>
        <v>0</v>
      </c>
      <c r="L72" s="776">
        <f t="shared" si="168"/>
        <v>0</v>
      </c>
      <c r="M72" s="178">
        <f t="shared" si="169"/>
        <v>0</v>
      </c>
      <c r="N72" s="793">
        <f>IF($A72&lt;&gt;"",$A72*P72,$E$7*P72)</f>
        <v>0</v>
      </c>
      <c r="O72" s="776">
        <f t="shared" si="170"/>
        <v>0</v>
      </c>
      <c r="P72" s="178">
        <f t="shared" si="171"/>
        <v>0</v>
      </c>
      <c r="Q72" s="793">
        <f>IF($A72&lt;&gt;"",$A72*S72,$E$7*S72)</f>
        <v>0</v>
      </c>
      <c r="R72" s="776">
        <f t="shared" si="172"/>
        <v>0</v>
      </c>
      <c r="S72" s="178">
        <f t="shared" si="173"/>
        <v>0</v>
      </c>
      <c r="T72" s="793">
        <f>IF($A72&lt;&gt;"",$A72*V72,$E$7*V72)</f>
        <v>0</v>
      </c>
      <c r="U72" s="776">
        <f t="shared" si="174"/>
        <v>0</v>
      </c>
      <c r="V72" s="178">
        <f t="shared" si="175"/>
        <v>0</v>
      </c>
      <c r="W72" s="793">
        <f>IF($A72&lt;&gt;"",$A72*Y72,$E$7*Y72)</f>
        <v>0</v>
      </c>
      <c r="X72" s="776">
        <f t="shared" si="176"/>
        <v>0</v>
      </c>
      <c r="Y72" s="178">
        <f t="shared" si="177"/>
        <v>0</v>
      </c>
      <c r="Z72" s="793">
        <f>IF($A72&lt;&gt;"",$A72*AB72,$E$7*AB72)</f>
        <v>0</v>
      </c>
      <c r="AA72" s="776">
        <f t="shared" si="178"/>
        <v>0</v>
      </c>
      <c r="AB72" s="178">
        <f t="shared" si="179"/>
        <v>0</v>
      </c>
      <c r="AC72" s="793">
        <f>IF($A72&lt;&gt;"",$A72*AE72,$E$7*AE72)</f>
        <v>0</v>
      </c>
      <c r="AD72" s="776">
        <f t="shared" si="180"/>
        <v>0</v>
      </c>
      <c r="AE72" s="178">
        <f t="shared" si="181"/>
        <v>0</v>
      </c>
      <c r="AF72" s="793">
        <f>IF($A72&lt;&gt;"",$A72*AH72,$E$7*AH72)</f>
        <v>0</v>
      </c>
      <c r="AG72" s="776">
        <f t="shared" si="182"/>
        <v>0</v>
      </c>
      <c r="AH72" s="178">
        <f t="shared" si="183"/>
        <v>0</v>
      </c>
      <c r="AI72" s="793">
        <f>IF($A72&lt;&gt;"",$A72*AK72,$E$7*AK72)</f>
        <v>0</v>
      </c>
      <c r="AJ72" s="776">
        <f t="shared" si="184"/>
        <v>0</v>
      </c>
      <c r="AK72" s="178">
        <f t="shared" si="185"/>
        <v>0</v>
      </c>
      <c r="AL72" s="793">
        <f>IF($A72&lt;&gt;"",$A72*AN72,$E$7*AN72)</f>
        <v>0</v>
      </c>
      <c r="AM72" s="776">
        <f t="shared" si="186"/>
        <v>0</v>
      </c>
      <c r="AN72" s="178">
        <f t="shared" si="187"/>
        <v>0</v>
      </c>
      <c r="AO72" s="793">
        <f>IF($A72&lt;&gt;"",$A72*AQ72,$E$7*AQ72)</f>
        <v>0</v>
      </c>
      <c r="AP72" s="776">
        <f t="shared" si="188"/>
        <v>0</v>
      </c>
      <c r="AQ72" s="178">
        <f t="shared" si="189"/>
        <v>0</v>
      </c>
      <c r="AR72" s="793">
        <f>IF($A72&lt;&gt;"",$A72*AT72,$E$7*AT72)</f>
        <v>0</v>
      </c>
      <c r="AS72" s="776">
        <f t="shared" si="190"/>
        <v>0</v>
      </c>
      <c r="AT72" s="178">
        <f t="shared" si="191"/>
        <v>0</v>
      </c>
      <c r="AU72" s="793">
        <f>IF($A72&lt;&gt;"",$A72*AW72,$E$7*AW72)</f>
        <v>0</v>
      </c>
      <c r="AV72" s="776">
        <f t="shared" si="192"/>
        <v>0</v>
      </c>
      <c r="AW72" s="178">
        <f t="shared" si="193"/>
        <v>0</v>
      </c>
      <c r="AX72" s="793">
        <f>IF($A72&lt;&gt;"",$A72*AZ72,$E$7*AZ72)</f>
        <v>0</v>
      </c>
      <c r="AY72" s="776">
        <f t="shared" si="194"/>
        <v>0</v>
      </c>
      <c r="AZ72" s="178">
        <f t="shared" si="195"/>
        <v>0</v>
      </c>
      <c r="BA72" s="793">
        <f>IF($A72&lt;&gt;"",$A72*BC72,$E$7*BC72)</f>
        <v>0</v>
      </c>
      <c r="BB72" s="776">
        <f t="shared" si="196"/>
        <v>0</v>
      </c>
      <c r="BC72" s="178">
        <f t="shared" si="197"/>
        <v>0</v>
      </c>
      <c r="BD72" s="793">
        <f>IF($A72&lt;&gt;"",$A72*BF72,$E$7*BF72)</f>
        <v>0</v>
      </c>
      <c r="BE72" s="776">
        <f t="shared" si="198"/>
        <v>0</v>
      </c>
      <c r="BF72" s="178">
        <f t="shared" si="199"/>
        <v>0</v>
      </c>
      <c r="BG72" s="793">
        <f>IF($A72&lt;&gt;"",$A72*BI72,$E$7*BI72)</f>
        <v>0</v>
      </c>
      <c r="BH72" s="776">
        <f t="shared" si="200"/>
        <v>0</v>
      </c>
      <c r="BI72" s="178">
        <f t="shared" si="201"/>
        <v>0</v>
      </c>
      <c r="BJ72" s="793">
        <f>IF($A72&lt;&gt;"",$A72*BL72,$E$7*BL72)</f>
        <v>0</v>
      </c>
      <c r="BK72" s="776">
        <f t="shared" si="202"/>
        <v>0</v>
      </c>
      <c r="BL72" s="178">
        <f t="shared" si="203"/>
        <v>0</v>
      </c>
      <c r="BM72" s="793">
        <f>IF($A72&lt;&gt;"",$A72*BO72,$E$7*BO72)</f>
        <v>0</v>
      </c>
      <c r="BN72" s="776">
        <f t="shared" si="204"/>
        <v>0</v>
      </c>
      <c r="BO72" s="178">
        <f t="shared" si="205"/>
        <v>0</v>
      </c>
      <c r="BP72" s="5"/>
      <c r="BQ72" s="5"/>
      <c r="BR72" s="5"/>
      <c r="BS72" s="5"/>
      <c r="BT72" s="5"/>
      <c r="BU72" s="5"/>
      <c r="BV72" s="5"/>
    </row>
    <row r="73" spans="1:74" ht="13.8">
      <c r="C73" s="2059" t="str">
        <f>'6.1stYrOpBudget'!A73</f>
        <v>Garbage and Trash Removal</v>
      </c>
      <c r="D73" s="136">
        <v>6525</v>
      </c>
      <c r="E73" s="1058">
        <f t="shared" si="167"/>
        <v>3.5000000000000003E-2</v>
      </c>
      <c r="F73" s="1056">
        <v>3.5000000000000003E-2</v>
      </c>
      <c r="G73" s="64"/>
      <c r="H73" s="776">
        <f>'6.1stYrOpBudget'!D73</f>
        <v>0</v>
      </c>
      <c r="I73" s="776">
        <f>'6.1stYrOpBudget'!E73</f>
        <v>0</v>
      </c>
      <c r="J73" s="178">
        <f>'6.1stYrOpBudget'!F73</f>
        <v>0</v>
      </c>
      <c r="K73" s="776">
        <f>$E$7*M73</f>
        <v>0</v>
      </c>
      <c r="L73" s="776">
        <f t="shared" si="168"/>
        <v>0</v>
      </c>
      <c r="M73" s="178">
        <f t="shared" si="169"/>
        <v>0</v>
      </c>
      <c r="N73" s="776">
        <f>$E$7*P73</f>
        <v>0</v>
      </c>
      <c r="O73" s="776">
        <f t="shared" si="170"/>
        <v>0</v>
      </c>
      <c r="P73" s="178">
        <f t="shared" si="171"/>
        <v>0</v>
      </c>
      <c r="Q73" s="776">
        <f>$E$7*S73</f>
        <v>0</v>
      </c>
      <c r="R73" s="776">
        <f t="shared" si="172"/>
        <v>0</v>
      </c>
      <c r="S73" s="178">
        <f t="shared" si="173"/>
        <v>0</v>
      </c>
      <c r="T73" s="776">
        <f>$E$7*V73</f>
        <v>0</v>
      </c>
      <c r="U73" s="776">
        <f t="shared" si="174"/>
        <v>0</v>
      </c>
      <c r="V73" s="178">
        <f t="shared" si="175"/>
        <v>0</v>
      </c>
      <c r="W73" s="776">
        <f>$E$7*Y73</f>
        <v>0</v>
      </c>
      <c r="X73" s="776">
        <f t="shared" si="176"/>
        <v>0</v>
      </c>
      <c r="Y73" s="178">
        <f t="shared" si="177"/>
        <v>0</v>
      </c>
      <c r="Z73" s="776">
        <f>$E$7*AB73</f>
        <v>0</v>
      </c>
      <c r="AA73" s="776">
        <f t="shared" si="178"/>
        <v>0</v>
      </c>
      <c r="AB73" s="178">
        <f t="shared" si="179"/>
        <v>0</v>
      </c>
      <c r="AC73" s="776">
        <f>$E$7*AE73</f>
        <v>0</v>
      </c>
      <c r="AD73" s="776">
        <f t="shared" si="180"/>
        <v>0</v>
      </c>
      <c r="AE73" s="178">
        <f t="shared" si="181"/>
        <v>0</v>
      </c>
      <c r="AF73" s="776">
        <f>$E$7*AH73</f>
        <v>0</v>
      </c>
      <c r="AG73" s="776">
        <f t="shared" si="182"/>
        <v>0</v>
      </c>
      <c r="AH73" s="178">
        <f t="shared" si="183"/>
        <v>0</v>
      </c>
      <c r="AI73" s="776">
        <f>$E$7*AK73</f>
        <v>0</v>
      </c>
      <c r="AJ73" s="776">
        <f t="shared" si="184"/>
        <v>0</v>
      </c>
      <c r="AK73" s="178">
        <f t="shared" si="185"/>
        <v>0</v>
      </c>
      <c r="AL73" s="776">
        <f>$E$7*AN73</f>
        <v>0</v>
      </c>
      <c r="AM73" s="776">
        <f t="shared" si="186"/>
        <v>0</v>
      </c>
      <c r="AN73" s="178">
        <f t="shared" si="187"/>
        <v>0</v>
      </c>
      <c r="AO73" s="776">
        <f>$E$7*AQ73</f>
        <v>0</v>
      </c>
      <c r="AP73" s="776">
        <f t="shared" si="188"/>
        <v>0</v>
      </c>
      <c r="AQ73" s="178">
        <f t="shared" si="189"/>
        <v>0</v>
      </c>
      <c r="AR73" s="776">
        <f>$E$7*AT73</f>
        <v>0</v>
      </c>
      <c r="AS73" s="776">
        <f t="shared" si="190"/>
        <v>0</v>
      </c>
      <c r="AT73" s="178">
        <f t="shared" si="191"/>
        <v>0</v>
      </c>
      <c r="AU73" s="776">
        <f>$E$7*AW73</f>
        <v>0</v>
      </c>
      <c r="AV73" s="776">
        <f t="shared" si="192"/>
        <v>0</v>
      </c>
      <c r="AW73" s="178">
        <f t="shared" si="193"/>
        <v>0</v>
      </c>
      <c r="AX73" s="776">
        <f>$E$7*AZ73</f>
        <v>0</v>
      </c>
      <c r="AY73" s="776">
        <f t="shared" si="194"/>
        <v>0</v>
      </c>
      <c r="AZ73" s="178">
        <f t="shared" si="195"/>
        <v>0</v>
      </c>
      <c r="BA73" s="776">
        <f>$E$7*BC73</f>
        <v>0</v>
      </c>
      <c r="BB73" s="776">
        <f t="shared" si="196"/>
        <v>0</v>
      </c>
      <c r="BC73" s="178">
        <f t="shared" si="197"/>
        <v>0</v>
      </c>
      <c r="BD73" s="776">
        <f>$E$7*BF73</f>
        <v>0</v>
      </c>
      <c r="BE73" s="776">
        <f t="shared" si="198"/>
        <v>0</v>
      </c>
      <c r="BF73" s="178">
        <f t="shared" si="199"/>
        <v>0</v>
      </c>
      <c r="BG73" s="776">
        <f>$E$7*BI73</f>
        <v>0</v>
      </c>
      <c r="BH73" s="776">
        <f t="shared" si="200"/>
        <v>0</v>
      </c>
      <c r="BI73" s="178">
        <f t="shared" si="201"/>
        <v>0</v>
      </c>
      <c r="BJ73" s="776">
        <f>$E$7*BL73</f>
        <v>0</v>
      </c>
      <c r="BK73" s="776">
        <f t="shared" si="202"/>
        <v>0</v>
      </c>
      <c r="BL73" s="178">
        <f t="shared" si="203"/>
        <v>0</v>
      </c>
      <c r="BM73" s="776">
        <f>$E$7*BO73</f>
        <v>0</v>
      </c>
      <c r="BN73" s="776">
        <f t="shared" si="204"/>
        <v>0</v>
      </c>
      <c r="BO73" s="178">
        <f t="shared" si="205"/>
        <v>0</v>
      </c>
      <c r="BP73" s="5"/>
      <c r="BQ73" s="5"/>
      <c r="BR73" s="5"/>
      <c r="BS73" s="5"/>
      <c r="BT73" s="5"/>
      <c r="BU73" s="5"/>
      <c r="BV73" s="5"/>
    </row>
    <row r="74" spans="1:74" ht="13.8">
      <c r="A74" s="729" t="str">
        <f>IF('6.1stYrOpBudget'!K74&lt;&gt;"",'6.1stYrOpBudget'!K74,"")</f>
        <v/>
      </c>
      <c r="B74" s="729" t="str">
        <f>'6.1stYrOpBudget'!L74</f>
        <v/>
      </c>
      <c r="C74" s="2059" t="str">
        <f>'6.1stYrOpBudget'!A74</f>
        <v>Security Payroll/Contract</v>
      </c>
      <c r="D74" s="1065">
        <v>6530</v>
      </c>
      <c r="E74" s="1058">
        <f t="shared" si="167"/>
        <v>3.5000000000000003E-2</v>
      </c>
      <c r="F74" s="1056">
        <v>3.5000000000000003E-2</v>
      </c>
      <c r="G74" s="64"/>
      <c r="H74" s="776">
        <f>'6.1stYrOpBudget'!D74</f>
        <v>0</v>
      </c>
      <c r="I74" s="776">
        <f>'6.1stYrOpBudget'!E74</f>
        <v>0</v>
      </c>
      <c r="J74" s="178">
        <f>'6.1stYrOpBudget'!F74</f>
        <v>0</v>
      </c>
      <c r="K74" s="776">
        <f>IF($A74&lt;&gt;"",$A74*M74,$E$7*M74)</f>
        <v>0</v>
      </c>
      <c r="L74" s="776">
        <f t="shared" si="168"/>
        <v>0</v>
      </c>
      <c r="M74" s="178">
        <f t="shared" si="169"/>
        <v>0</v>
      </c>
      <c r="N74" s="776">
        <f>IF($A74&lt;&gt;"",$A74*P74,$E$7*P74)</f>
        <v>0</v>
      </c>
      <c r="O74" s="776">
        <f t="shared" si="170"/>
        <v>0</v>
      </c>
      <c r="P74" s="178">
        <f t="shared" si="171"/>
        <v>0</v>
      </c>
      <c r="Q74" s="776">
        <f>IF($A74&lt;&gt;"",$A74*S74,$E$7*S74)</f>
        <v>0</v>
      </c>
      <c r="R74" s="776">
        <f t="shared" si="172"/>
        <v>0</v>
      </c>
      <c r="S74" s="178">
        <f t="shared" si="173"/>
        <v>0</v>
      </c>
      <c r="T74" s="776">
        <f>IF($A74&lt;&gt;"",$A74*V74,$E$7*V74)</f>
        <v>0</v>
      </c>
      <c r="U74" s="776">
        <f t="shared" si="174"/>
        <v>0</v>
      </c>
      <c r="V74" s="178">
        <f t="shared" si="175"/>
        <v>0</v>
      </c>
      <c r="W74" s="776">
        <f>IF($A74&lt;&gt;"",$A74*Y74,$E$7*Y74)</f>
        <v>0</v>
      </c>
      <c r="X74" s="776">
        <f t="shared" si="176"/>
        <v>0</v>
      </c>
      <c r="Y74" s="178">
        <f t="shared" si="177"/>
        <v>0</v>
      </c>
      <c r="Z74" s="776">
        <f>IF($A74&lt;&gt;"",$A74*AB74,$E$7*AB74)</f>
        <v>0</v>
      </c>
      <c r="AA74" s="776">
        <f t="shared" si="178"/>
        <v>0</v>
      </c>
      <c r="AB74" s="178">
        <f t="shared" si="179"/>
        <v>0</v>
      </c>
      <c r="AC74" s="776">
        <f>IF($A74&lt;&gt;"",$A74*AE74,$E$7*AE74)</f>
        <v>0</v>
      </c>
      <c r="AD74" s="776">
        <f t="shared" si="180"/>
        <v>0</v>
      </c>
      <c r="AE74" s="178">
        <f t="shared" si="181"/>
        <v>0</v>
      </c>
      <c r="AF74" s="776">
        <f>IF($A74&lt;&gt;"",$A74*AH74,$E$7*AH74)</f>
        <v>0</v>
      </c>
      <c r="AG74" s="776">
        <f t="shared" si="182"/>
        <v>0</v>
      </c>
      <c r="AH74" s="178">
        <f t="shared" si="183"/>
        <v>0</v>
      </c>
      <c r="AI74" s="776">
        <f>IF($A74&lt;&gt;"",$A74*AK74,$E$7*AK74)</f>
        <v>0</v>
      </c>
      <c r="AJ74" s="776">
        <f t="shared" si="184"/>
        <v>0</v>
      </c>
      <c r="AK74" s="178">
        <f t="shared" si="185"/>
        <v>0</v>
      </c>
      <c r="AL74" s="776">
        <f>IF($A74&lt;&gt;"",$A74*AN74,$E$7*AN74)</f>
        <v>0</v>
      </c>
      <c r="AM74" s="776">
        <f t="shared" si="186"/>
        <v>0</v>
      </c>
      <c r="AN74" s="178">
        <f t="shared" si="187"/>
        <v>0</v>
      </c>
      <c r="AO74" s="776">
        <f>IF($A74&lt;&gt;"",$A74*AQ74,$E$7*AQ74)</f>
        <v>0</v>
      </c>
      <c r="AP74" s="776">
        <f t="shared" si="188"/>
        <v>0</v>
      </c>
      <c r="AQ74" s="178">
        <f t="shared" si="189"/>
        <v>0</v>
      </c>
      <c r="AR74" s="776">
        <f>IF($A74&lt;&gt;"",$A74*AT74,$E$7*AT74)</f>
        <v>0</v>
      </c>
      <c r="AS74" s="776">
        <f t="shared" si="190"/>
        <v>0</v>
      </c>
      <c r="AT74" s="178">
        <f t="shared" si="191"/>
        <v>0</v>
      </c>
      <c r="AU74" s="776">
        <f>IF($A74&lt;&gt;"",$A74*AW74,$E$7*AW74)</f>
        <v>0</v>
      </c>
      <c r="AV74" s="776">
        <f t="shared" si="192"/>
        <v>0</v>
      </c>
      <c r="AW74" s="178">
        <f t="shared" si="193"/>
        <v>0</v>
      </c>
      <c r="AX74" s="776">
        <f>IF($A74&lt;&gt;"",$A74*AZ74,$E$7*AZ74)</f>
        <v>0</v>
      </c>
      <c r="AY74" s="776">
        <f t="shared" si="194"/>
        <v>0</v>
      </c>
      <c r="AZ74" s="178">
        <f t="shared" si="195"/>
        <v>0</v>
      </c>
      <c r="BA74" s="776">
        <f>IF($A74&lt;&gt;"",$A74*BC74,$E$7*BC74)</f>
        <v>0</v>
      </c>
      <c r="BB74" s="776">
        <f t="shared" si="196"/>
        <v>0</v>
      </c>
      <c r="BC74" s="178">
        <f t="shared" si="197"/>
        <v>0</v>
      </c>
      <c r="BD74" s="776">
        <f>IF($A74&lt;&gt;"",$A74*BF74,$E$7*BF74)</f>
        <v>0</v>
      </c>
      <c r="BE74" s="776">
        <f t="shared" si="198"/>
        <v>0</v>
      </c>
      <c r="BF74" s="178">
        <f t="shared" si="199"/>
        <v>0</v>
      </c>
      <c r="BG74" s="776">
        <f>IF($A74&lt;&gt;"",$A74*BI74,$E$7*BI74)</f>
        <v>0</v>
      </c>
      <c r="BH74" s="776">
        <f t="shared" si="200"/>
        <v>0</v>
      </c>
      <c r="BI74" s="178">
        <f t="shared" si="201"/>
        <v>0</v>
      </c>
      <c r="BJ74" s="776">
        <f>IF($A74&lt;&gt;"",$A74*BL74,$E$7*BL74)</f>
        <v>0</v>
      </c>
      <c r="BK74" s="776">
        <f t="shared" si="202"/>
        <v>0</v>
      </c>
      <c r="BL74" s="178">
        <f t="shared" si="203"/>
        <v>0</v>
      </c>
      <c r="BM74" s="776">
        <f>IF($A74&lt;&gt;"",$A74*BO74,$E$7*BO74)</f>
        <v>0</v>
      </c>
      <c r="BN74" s="776">
        <f t="shared" si="204"/>
        <v>0</v>
      </c>
      <c r="BO74" s="178">
        <f t="shared" si="205"/>
        <v>0</v>
      </c>
      <c r="BP74" s="5"/>
      <c r="BQ74" s="5"/>
      <c r="BR74" s="5"/>
      <c r="BS74" s="5"/>
      <c r="BT74" s="5"/>
      <c r="BU74" s="5"/>
      <c r="BV74" s="5"/>
    </row>
    <row r="75" spans="1:74" ht="13.8">
      <c r="C75" s="2059" t="str">
        <f>'6.1stYrOpBudget'!A75</f>
        <v>HVAC Repairs and Maintenance</v>
      </c>
      <c r="D75" s="136">
        <v>6546</v>
      </c>
      <c r="E75" s="1058">
        <f t="shared" si="167"/>
        <v>3.5000000000000003E-2</v>
      </c>
      <c r="F75" s="1056">
        <v>3.5000000000000003E-2</v>
      </c>
      <c r="G75" s="64"/>
      <c r="H75" s="776">
        <f>'6.1stYrOpBudget'!D75</f>
        <v>0</v>
      </c>
      <c r="I75" s="776">
        <f>'6.1stYrOpBudget'!E75</f>
        <v>0</v>
      </c>
      <c r="J75" s="178">
        <f>'6.1stYrOpBudget'!F75</f>
        <v>0</v>
      </c>
      <c r="K75" s="776">
        <f>$E$7*M75</f>
        <v>0</v>
      </c>
      <c r="L75" s="776">
        <f t="shared" si="168"/>
        <v>0</v>
      </c>
      <c r="M75" s="178">
        <f t="shared" si="169"/>
        <v>0</v>
      </c>
      <c r="N75" s="776">
        <f>$E$7*P75</f>
        <v>0</v>
      </c>
      <c r="O75" s="776">
        <f t="shared" si="170"/>
        <v>0</v>
      </c>
      <c r="P75" s="178">
        <f t="shared" si="171"/>
        <v>0</v>
      </c>
      <c r="Q75" s="776">
        <f>$E$7*S75</f>
        <v>0</v>
      </c>
      <c r="R75" s="776">
        <f t="shared" si="172"/>
        <v>0</v>
      </c>
      <c r="S75" s="178">
        <f t="shared" si="173"/>
        <v>0</v>
      </c>
      <c r="T75" s="776">
        <f>$E$7*V75</f>
        <v>0</v>
      </c>
      <c r="U75" s="776">
        <f t="shared" si="174"/>
        <v>0</v>
      </c>
      <c r="V75" s="178">
        <f t="shared" si="175"/>
        <v>0</v>
      </c>
      <c r="W75" s="776">
        <f>$E$7*Y75</f>
        <v>0</v>
      </c>
      <c r="X75" s="776">
        <f t="shared" si="176"/>
        <v>0</v>
      </c>
      <c r="Y75" s="178">
        <f t="shared" si="177"/>
        <v>0</v>
      </c>
      <c r="Z75" s="776">
        <f>$E$7*AB75</f>
        <v>0</v>
      </c>
      <c r="AA75" s="776">
        <f t="shared" si="178"/>
        <v>0</v>
      </c>
      <c r="AB75" s="178">
        <f t="shared" si="179"/>
        <v>0</v>
      </c>
      <c r="AC75" s="776">
        <f>$E$7*AE75</f>
        <v>0</v>
      </c>
      <c r="AD75" s="776">
        <f t="shared" si="180"/>
        <v>0</v>
      </c>
      <c r="AE75" s="178">
        <f t="shared" si="181"/>
        <v>0</v>
      </c>
      <c r="AF75" s="776">
        <f>$E$7*AH75</f>
        <v>0</v>
      </c>
      <c r="AG75" s="776">
        <f t="shared" si="182"/>
        <v>0</v>
      </c>
      <c r="AH75" s="178">
        <f t="shared" si="183"/>
        <v>0</v>
      </c>
      <c r="AI75" s="776">
        <f>$E$7*AK75</f>
        <v>0</v>
      </c>
      <c r="AJ75" s="776">
        <f t="shared" si="184"/>
        <v>0</v>
      </c>
      <c r="AK75" s="178">
        <f t="shared" si="185"/>
        <v>0</v>
      </c>
      <c r="AL75" s="776">
        <f>$E$7*AN75</f>
        <v>0</v>
      </c>
      <c r="AM75" s="776">
        <f t="shared" si="186"/>
        <v>0</v>
      </c>
      <c r="AN75" s="178">
        <f t="shared" si="187"/>
        <v>0</v>
      </c>
      <c r="AO75" s="776">
        <f>$E$7*AQ75</f>
        <v>0</v>
      </c>
      <c r="AP75" s="776">
        <f t="shared" si="188"/>
        <v>0</v>
      </c>
      <c r="AQ75" s="178">
        <f t="shared" si="189"/>
        <v>0</v>
      </c>
      <c r="AR75" s="776">
        <f>$E$7*AT75</f>
        <v>0</v>
      </c>
      <c r="AS75" s="776">
        <f t="shared" si="190"/>
        <v>0</v>
      </c>
      <c r="AT75" s="178">
        <f t="shared" si="191"/>
        <v>0</v>
      </c>
      <c r="AU75" s="776">
        <f>$E$7*AW75</f>
        <v>0</v>
      </c>
      <c r="AV75" s="776">
        <f t="shared" si="192"/>
        <v>0</v>
      </c>
      <c r="AW75" s="178">
        <f t="shared" si="193"/>
        <v>0</v>
      </c>
      <c r="AX75" s="776">
        <f>$E$7*AZ75</f>
        <v>0</v>
      </c>
      <c r="AY75" s="776">
        <f t="shared" si="194"/>
        <v>0</v>
      </c>
      <c r="AZ75" s="178">
        <f t="shared" si="195"/>
        <v>0</v>
      </c>
      <c r="BA75" s="776">
        <f>$E$7*BC75</f>
        <v>0</v>
      </c>
      <c r="BB75" s="776">
        <f t="shared" si="196"/>
        <v>0</v>
      </c>
      <c r="BC75" s="178">
        <f t="shared" si="197"/>
        <v>0</v>
      </c>
      <c r="BD75" s="776">
        <f>$E$7*BF75</f>
        <v>0</v>
      </c>
      <c r="BE75" s="776">
        <f t="shared" si="198"/>
        <v>0</v>
      </c>
      <c r="BF75" s="178">
        <f t="shared" si="199"/>
        <v>0</v>
      </c>
      <c r="BG75" s="776">
        <f>$E$7*BI75</f>
        <v>0</v>
      </c>
      <c r="BH75" s="776">
        <f t="shared" si="200"/>
        <v>0</v>
      </c>
      <c r="BI75" s="178">
        <f t="shared" si="201"/>
        <v>0</v>
      </c>
      <c r="BJ75" s="776">
        <f>$E$7*BL75</f>
        <v>0</v>
      </c>
      <c r="BK75" s="776">
        <f t="shared" si="202"/>
        <v>0</v>
      </c>
      <c r="BL75" s="178">
        <f t="shared" si="203"/>
        <v>0</v>
      </c>
      <c r="BM75" s="776">
        <f>$E$7*BO75</f>
        <v>0</v>
      </c>
      <c r="BN75" s="776">
        <f t="shared" si="204"/>
        <v>0</v>
      </c>
      <c r="BO75" s="178">
        <f t="shared" si="205"/>
        <v>0</v>
      </c>
      <c r="BP75" s="5"/>
      <c r="BQ75" s="5"/>
      <c r="BR75" s="5"/>
      <c r="BS75" s="5"/>
      <c r="BT75" s="5"/>
      <c r="BU75" s="5"/>
      <c r="BV75" s="5"/>
    </row>
    <row r="76" spans="1:74" ht="13.8">
      <c r="C76" s="2059" t="str">
        <f>'6.1stYrOpBudget'!A76</f>
        <v>Vehicle and Maintenance Equipment Operation and Repairs</v>
      </c>
      <c r="D76" s="136">
        <v>6570</v>
      </c>
      <c r="E76" s="1058">
        <f t="shared" si="167"/>
        <v>3.5000000000000003E-2</v>
      </c>
      <c r="F76" s="1056">
        <v>3.5000000000000003E-2</v>
      </c>
      <c r="G76" s="64"/>
      <c r="H76" s="776">
        <f>'6.1stYrOpBudget'!D76</f>
        <v>0</v>
      </c>
      <c r="I76" s="776">
        <f>'6.1stYrOpBudget'!E76</f>
        <v>0</v>
      </c>
      <c r="J76" s="178">
        <f>'6.1stYrOpBudget'!F76</f>
        <v>0</v>
      </c>
      <c r="K76" s="776">
        <f>$E$7*M76</f>
        <v>0</v>
      </c>
      <c r="L76" s="776">
        <f t="shared" si="168"/>
        <v>0</v>
      </c>
      <c r="M76" s="178">
        <f t="shared" si="169"/>
        <v>0</v>
      </c>
      <c r="N76" s="776">
        <f>$E$7*P76</f>
        <v>0</v>
      </c>
      <c r="O76" s="776">
        <f t="shared" si="170"/>
        <v>0</v>
      </c>
      <c r="P76" s="178">
        <f t="shared" si="171"/>
        <v>0</v>
      </c>
      <c r="Q76" s="776">
        <f>$E$7*S76</f>
        <v>0</v>
      </c>
      <c r="R76" s="776">
        <f t="shared" si="172"/>
        <v>0</v>
      </c>
      <c r="S76" s="178">
        <f t="shared" si="173"/>
        <v>0</v>
      </c>
      <c r="T76" s="776">
        <f>$E$7*V76</f>
        <v>0</v>
      </c>
      <c r="U76" s="776">
        <f t="shared" si="174"/>
        <v>0</v>
      </c>
      <c r="V76" s="178">
        <f t="shared" si="175"/>
        <v>0</v>
      </c>
      <c r="W76" s="776">
        <f>$E$7*Y76</f>
        <v>0</v>
      </c>
      <c r="X76" s="776">
        <f t="shared" si="176"/>
        <v>0</v>
      </c>
      <c r="Y76" s="178">
        <f t="shared" si="177"/>
        <v>0</v>
      </c>
      <c r="Z76" s="776">
        <f>$E$7*AB76</f>
        <v>0</v>
      </c>
      <c r="AA76" s="776">
        <f t="shared" si="178"/>
        <v>0</v>
      </c>
      <c r="AB76" s="178">
        <f t="shared" si="179"/>
        <v>0</v>
      </c>
      <c r="AC76" s="776">
        <f>$E$7*AE76</f>
        <v>0</v>
      </c>
      <c r="AD76" s="776">
        <f t="shared" si="180"/>
        <v>0</v>
      </c>
      <c r="AE76" s="178">
        <f t="shared" si="181"/>
        <v>0</v>
      </c>
      <c r="AF76" s="776">
        <f>$E$7*AH76</f>
        <v>0</v>
      </c>
      <c r="AG76" s="776">
        <f t="shared" si="182"/>
        <v>0</v>
      </c>
      <c r="AH76" s="178">
        <f t="shared" si="183"/>
        <v>0</v>
      </c>
      <c r="AI76" s="776">
        <f>$E$7*AK76</f>
        <v>0</v>
      </c>
      <c r="AJ76" s="776">
        <f t="shared" si="184"/>
        <v>0</v>
      </c>
      <c r="AK76" s="178">
        <f t="shared" si="185"/>
        <v>0</v>
      </c>
      <c r="AL76" s="776">
        <f>$E$7*AN76</f>
        <v>0</v>
      </c>
      <c r="AM76" s="776">
        <f t="shared" si="186"/>
        <v>0</v>
      </c>
      <c r="AN76" s="178">
        <f t="shared" si="187"/>
        <v>0</v>
      </c>
      <c r="AO76" s="776">
        <f>$E$7*AQ76</f>
        <v>0</v>
      </c>
      <c r="AP76" s="776">
        <f t="shared" si="188"/>
        <v>0</v>
      </c>
      <c r="AQ76" s="178">
        <f t="shared" si="189"/>
        <v>0</v>
      </c>
      <c r="AR76" s="776">
        <f>$E$7*AT76</f>
        <v>0</v>
      </c>
      <c r="AS76" s="776">
        <f t="shared" si="190"/>
        <v>0</v>
      </c>
      <c r="AT76" s="178">
        <f t="shared" si="191"/>
        <v>0</v>
      </c>
      <c r="AU76" s="776">
        <f>$E$7*AW76</f>
        <v>0</v>
      </c>
      <c r="AV76" s="776">
        <f t="shared" si="192"/>
        <v>0</v>
      </c>
      <c r="AW76" s="178">
        <f t="shared" si="193"/>
        <v>0</v>
      </c>
      <c r="AX76" s="776">
        <f>$E$7*AZ76</f>
        <v>0</v>
      </c>
      <c r="AY76" s="776">
        <f t="shared" si="194"/>
        <v>0</v>
      </c>
      <c r="AZ76" s="178">
        <f t="shared" si="195"/>
        <v>0</v>
      </c>
      <c r="BA76" s="776">
        <f>$E$7*BC76</f>
        <v>0</v>
      </c>
      <c r="BB76" s="776">
        <f t="shared" si="196"/>
        <v>0</v>
      </c>
      <c r="BC76" s="178">
        <f t="shared" si="197"/>
        <v>0</v>
      </c>
      <c r="BD76" s="776">
        <f>$E$7*BF76</f>
        <v>0</v>
      </c>
      <c r="BE76" s="776">
        <f t="shared" si="198"/>
        <v>0</v>
      </c>
      <c r="BF76" s="178">
        <f t="shared" si="199"/>
        <v>0</v>
      </c>
      <c r="BG76" s="776">
        <f>$E$7*BI76</f>
        <v>0</v>
      </c>
      <c r="BH76" s="776">
        <f t="shared" si="200"/>
        <v>0</v>
      </c>
      <c r="BI76" s="178">
        <f t="shared" si="201"/>
        <v>0</v>
      </c>
      <c r="BJ76" s="776">
        <f>$E$7*BL76</f>
        <v>0</v>
      </c>
      <c r="BK76" s="776">
        <f t="shared" si="202"/>
        <v>0</v>
      </c>
      <c r="BL76" s="178">
        <f t="shared" si="203"/>
        <v>0</v>
      </c>
      <c r="BM76" s="776">
        <f>$E$7*BO76</f>
        <v>0</v>
      </c>
      <c r="BN76" s="776">
        <f t="shared" si="204"/>
        <v>0</v>
      </c>
      <c r="BO76" s="178">
        <f t="shared" si="205"/>
        <v>0</v>
      </c>
      <c r="BP76" s="5"/>
      <c r="BQ76" s="5"/>
      <c r="BR76" s="5"/>
      <c r="BS76" s="5"/>
      <c r="BT76" s="5"/>
      <c r="BU76" s="5"/>
      <c r="BV76" s="5"/>
    </row>
    <row r="77" spans="1:74" ht="13.8">
      <c r="C77" s="2059" t="str">
        <f>'6.1stYrOpBudget'!A77</f>
        <v>Miscellaneous Operating and Maintenance Expenses</v>
      </c>
      <c r="D77" s="136">
        <v>6590</v>
      </c>
      <c r="E77" s="1058">
        <f t="shared" si="167"/>
        <v>3.5000000000000003E-2</v>
      </c>
      <c r="F77" s="1056">
        <v>3.5000000000000003E-2</v>
      </c>
      <c r="G77" s="67"/>
      <c r="H77" s="776">
        <f>'6.1stYrOpBudget'!D77</f>
        <v>0</v>
      </c>
      <c r="I77" s="776">
        <f>'6.1stYrOpBudget'!E77</f>
        <v>0</v>
      </c>
      <c r="J77" s="178">
        <f>'6.1stYrOpBudget'!F77</f>
        <v>0</v>
      </c>
      <c r="K77" s="776">
        <f>$E$7*M77</f>
        <v>0</v>
      </c>
      <c r="L77" s="776">
        <f t="shared" si="168"/>
        <v>0</v>
      </c>
      <c r="M77" s="178">
        <f t="shared" si="169"/>
        <v>0</v>
      </c>
      <c r="N77" s="776">
        <f>$E$7*P77</f>
        <v>0</v>
      </c>
      <c r="O77" s="776">
        <f t="shared" si="170"/>
        <v>0</v>
      </c>
      <c r="P77" s="178">
        <f t="shared" si="171"/>
        <v>0</v>
      </c>
      <c r="Q77" s="776">
        <f>$E$7*S77</f>
        <v>0</v>
      </c>
      <c r="R77" s="776">
        <f t="shared" si="172"/>
        <v>0</v>
      </c>
      <c r="S77" s="178">
        <f t="shared" si="173"/>
        <v>0</v>
      </c>
      <c r="T77" s="776">
        <f>$E$7*V77</f>
        <v>0</v>
      </c>
      <c r="U77" s="776">
        <f t="shared" si="174"/>
        <v>0</v>
      </c>
      <c r="V77" s="178">
        <f t="shared" si="175"/>
        <v>0</v>
      </c>
      <c r="W77" s="776">
        <f>$E$7*Y77</f>
        <v>0</v>
      </c>
      <c r="X77" s="776">
        <f t="shared" si="176"/>
        <v>0</v>
      </c>
      <c r="Y77" s="178">
        <f t="shared" si="177"/>
        <v>0</v>
      </c>
      <c r="Z77" s="776">
        <f>$E$7*AB77</f>
        <v>0</v>
      </c>
      <c r="AA77" s="776">
        <f t="shared" si="178"/>
        <v>0</v>
      </c>
      <c r="AB77" s="178">
        <f t="shared" si="179"/>
        <v>0</v>
      </c>
      <c r="AC77" s="776">
        <f>$E$7*AE77</f>
        <v>0</v>
      </c>
      <c r="AD77" s="776">
        <f t="shared" si="180"/>
        <v>0</v>
      </c>
      <c r="AE77" s="178">
        <f t="shared" si="181"/>
        <v>0</v>
      </c>
      <c r="AF77" s="776">
        <f>$E$7*AH77</f>
        <v>0</v>
      </c>
      <c r="AG77" s="776">
        <f t="shared" si="182"/>
        <v>0</v>
      </c>
      <c r="AH77" s="178">
        <f t="shared" si="183"/>
        <v>0</v>
      </c>
      <c r="AI77" s="776">
        <f>$E$7*AK77</f>
        <v>0</v>
      </c>
      <c r="AJ77" s="776">
        <f t="shared" si="184"/>
        <v>0</v>
      </c>
      <c r="AK77" s="178">
        <f t="shared" si="185"/>
        <v>0</v>
      </c>
      <c r="AL77" s="776">
        <f>$E$7*AN77</f>
        <v>0</v>
      </c>
      <c r="AM77" s="776">
        <f t="shared" si="186"/>
        <v>0</v>
      </c>
      <c r="AN77" s="178">
        <f t="shared" si="187"/>
        <v>0</v>
      </c>
      <c r="AO77" s="776">
        <f>$E$7*AQ77</f>
        <v>0</v>
      </c>
      <c r="AP77" s="776">
        <f t="shared" si="188"/>
        <v>0</v>
      </c>
      <c r="AQ77" s="178">
        <f t="shared" si="189"/>
        <v>0</v>
      </c>
      <c r="AR77" s="776">
        <f>$E$7*AT77</f>
        <v>0</v>
      </c>
      <c r="AS77" s="776">
        <f t="shared" si="190"/>
        <v>0</v>
      </c>
      <c r="AT77" s="178">
        <f t="shared" si="191"/>
        <v>0</v>
      </c>
      <c r="AU77" s="776">
        <f>$E$7*AW77</f>
        <v>0</v>
      </c>
      <c r="AV77" s="776">
        <f t="shared" si="192"/>
        <v>0</v>
      </c>
      <c r="AW77" s="178">
        <f t="shared" si="193"/>
        <v>0</v>
      </c>
      <c r="AX77" s="776">
        <f>$E$7*AZ77</f>
        <v>0</v>
      </c>
      <c r="AY77" s="776">
        <f t="shared" si="194"/>
        <v>0</v>
      </c>
      <c r="AZ77" s="178">
        <f t="shared" si="195"/>
        <v>0</v>
      </c>
      <c r="BA77" s="776">
        <f>$E$7*BC77</f>
        <v>0</v>
      </c>
      <c r="BB77" s="776">
        <f t="shared" si="196"/>
        <v>0</v>
      </c>
      <c r="BC77" s="178">
        <f t="shared" si="197"/>
        <v>0</v>
      </c>
      <c r="BD77" s="776">
        <f>$E$7*BF77</f>
        <v>0</v>
      </c>
      <c r="BE77" s="776">
        <f t="shared" si="198"/>
        <v>0</v>
      </c>
      <c r="BF77" s="178">
        <f t="shared" si="199"/>
        <v>0</v>
      </c>
      <c r="BG77" s="776">
        <f>$E$7*BI77</f>
        <v>0</v>
      </c>
      <c r="BH77" s="776">
        <f t="shared" si="200"/>
        <v>0</v>
      </c>
      <c r="BI77" s="178">
        <f t="shared" si="201"/>
        <v>0</v>
      </c>
      <c r="BJ77" s="776">
        <f>$E$7*BL77</f>
        <v>0</v>
      </c>
      <c r="BK77" s="776">
        <f t="shared" si="202"/>
        <v>0</v>
      </c>
      <c r="BL77" s="178">
        <f t="shared" si="203"/>
        <v>0</v>
      </c>
      <c r="BM77" s="776">
        <f>$E$7*BO77</f>
        <v>0</v>
      </c>
      <c r="BN77" s="776">
        <f t="shared" si="204"/>
        <v>0</v>
      </c>
      <c r="BO77" s="178">
        <f t="shared" si="205"/>
        <v>0</v>
      </c>
      <c r="BP77" s="5"/>
      <c r="BQ77" s="5"/>
      <c r="BR77" s="5"/>
      <c r="BS77" s="5"/>
      <c r="BT77" s="5"/>
      <c r="BU77" s="5"/>
      <c r="BV77" s="5"/>
    </row>
    <row r="78" spans="1:74" ht="14.4">
      <c r="C78" s="1082" t="str">
        <f>'6.1stYrOpBudget'!B78</f>
        <v>Sub-total Maintenance &amp; Repair Expenses</v>
      </c>
      <c r="D78" s="126"/>
      <c r="E78" s="126"/>
      <c r="F78" s="126"/>
      <c r="G78" s="21"/>
      <c r="H78" s="235">
        <f>'6.1stYrOpBudget'!D78</f>
        <v>0</v>
      </c>
      <c r="I78" s="235">
        <f>'6.1stYrOpBudget'!E78</f>
        <v>0</v>
      </c>
      <c r="J78" s="175">
        <f>'6.1stYrOpBudget'!F78</f>
        <v>0</v>
      </c>
      <c r="K78" s="235">
        <f t="shared" ref="K78:AP78" si="206">SUM(K70:K77)</f>
        <v>0</v>
      </c>
      <c r="L78" s="235">
        <f t="shared" si="206"/>
        <v>0</v>
      </c>
      <c r="M78" s="175">
        <f t="shared" si="206"/>
        <v>0</v>
      </c>
      <c r="N78" s="235">
        <f t="shared" si="206"/>
        <v>0</v>
      </c>
      <c r="O78" s="235">
        <f t="shared" si="206"/>
        <v>0</v>
      </c>
      <c r="P78" s="175">
        <f t="shared" si="206"/>
        <v>0</v>
      </c>
      <c r="Q78" s="235">
        <f t="shared" si="206"/>
        <v>0</v>
      </c>
      <c r="R78" s="235">
        <f t="shared" si="206"/>
        <v>0</v>
      </c>
      <c r="S78" s="175">
        <f t="shared" si="206"/>
        <v>0</v>
      </c>
      <c r="T78" s="235">
        <f t="shared" si="206"/>
        <v>0</v>
      </c>
      <c r="U78" s="235">
        <f t="shared" si="206"/>
        <v>0</v>
      </c>
      <c r="V78" s="175">
        <f t="shared" si="206"/>
        <v>0</v>
      </c>
      <c r="W78" s="235">
        <f t="shared" si="206"/>
        <v>0</v>
      </c>
      <c r="X78" s="235">
        <f t="shared" si="206"/>
        <v>0</v>
      </c>
      <c r="Y78" s="175">
        <f t="shared" si="206"/>
        <v>0</v>
      </c>
      <c r="Z78" s="235">
        <f t="shared" si="206"/>
        <v>0</v>
      </c>
      <c r="AA78" s="235">
        <f t="shared" si="206"/>
        <v>0</v>
      </c>
      <c r="AB78" s="175">
        <f t="shared" si="206"/>
        <v>0</v>
      </c>
      <c r="AC78" s="235">
        <f t="shared" si="206"/>
        <v>0</v>
      </c>
      <c r="AD78" s="235">
        <f t="shared" si="206"/>
        <v>0</v>
      </c>
      <c r="AE78" s="175">
        <f t="shared" si="206"/>
        <v>0</v>
      </c>
      <c r="AF78" s="235">
        <f t="shared" si="206"/>
        <v>0</v>
      </c>
      <c r="AG78" s="235">
        <f t="shared" si="206"/>
        <v>0</v>
      </c>
      <c r="AH78" s="175">
        <f t="shared" si="206"/>
        <v>0</v>
      </c>
      <c r="AI78" s="235">
        <f t="shared" si="206"/>
        <v>0</v>
      </c>
      <c r="AJ78" s="235">
        <f t="shared" si="206"/>
        <v>0</v>
      </c>
      <c r="AK78" s="175">
        <f t="shared" si="206"/>
        <v>0</v>
      </c>
      <c r="AL78" s="235">
        <f t="shared" si="206"/>
        <v>0</v>
      </c>
      <c r="AM78" s="235">
        <f t="shared" si="206"/>
        <v>0</v>
      </c>
      <c r="AN78" s="175">
        <f t="shared" si="206"/>
        <v>0</v>
      </c>
      <c r="AO78" s="235">
        <f t="shared" si="206"/>
        <v>0</v>
      </c>
      <c r="AP78" s="235">
        <f t="shared" si="206"/>
        <v>0</v>
      </c>
      <c r="AQ78" s="175">
        <f t="shared" ref="AQ78:BO78" si="207">SUM(AQ70:AQ77)</f>
        <v>0</v>
      </c>
      <c r="AR78" s="235">
        <f t="shared" si="207"/>
        <v>0</v>
      </c>
      <c r="AS78" s="235">
        <f t="shared" si="207"/>
        <v>0</v>
      </c>
      <c r="AT78" s="175">
        <f t="shared" si="207"/>
        <v>0</v>
      </c>
      <c r="AU78" s="235">
        <f t="shared" si="207"/>
        <v>0</v>
      </c>
      <c r="AV78" s="235">
        <f t="shared" si="207"/>
        <v>0</v>
      </c>
      <c r="AW78" s="175">
        <f t="shared" si="207"/>
        <v>0</v>
      </c>
      <c r="AX78" s="235">
        <f t="shared" si="207"/>
        <v>0</v>
      </c>
      <c r="AY78" s="235">
        <f t="shared" si="207"/>
        <v>0</v>
      </c>
      <c r="AZ78" s="175">
        <f t="shared" si="207"/>
        <v>0</v>
      </c>
      <c r="BA78" s="235">
        <f t="shared" si="207"/>
        <v>0</v>
      </c>
      <c r="BB78" s="235">
        <f t="shared" si="207"/>
        <v>0</v>
      </c>
      <c r="BC78" s="175">
        <f t="shared" si="207"/>
        <v>0</v>
      </c>
      <c r="BD78" s="235">
        <f t="shared" si="207"/>
        <v>0</v>
      </c>
      <c r="BE78" s="235">
        <f t="shared" si="207"/>
        <v>0</v>
      </c>
      <c r="BF78" s="175">
        <f t="shared" si="207"/>
        <v>0</v>
      </c>
      <c r="BG78" s="235">
        <f t="shared" si="207"/>
        <v>0</v>
      </c>
      <c r="BH78" s="235">
        <f t="shared" si="207"/>
        <v>0</v>
      </c>
      <c r="BI78" s="175">
        <f t="shared" si="207"/>
        <v>0</v>
      </c>
      <c r="BJ78" s="235">
        <f t="shared" si="207"/>
        <v>0</v>
      </c>
      <c r="BK78" s="235">
        <f t="shared" si="207"/>
        <v>0</v>
      </c>
      <c r="BL78" s="175">
        <f t="shared" si="207"/>
        <v>0</v>
      </c>
      <c r="BM78" s="235">
        <f t="shared" si="207"/>
        <v>0</v>
      </c>
      <c r="BN78" s="235">
        <f t="shared" si="207"/>
        <v>0</v>
      </c>
      <c r="BO78" s="175">
        <f t="shared" si="207"/>
        <v>0</v>
      </c>
      <c r="BP78" s="5"/>
      <c r="BQ78" s="5"/>
      <c r="BR78" s="5"/>
      <c r="BS78" s="5"/>
      <c r="BT78" s="5"/>
      <c r="BU78" s="5"/>
      <c r="BV78" s="5"/>
    </row>
    <row r="79" spans="1:74" ht="8.25" customHeight="1">
      <c r="C79" s="129"/>
      <c r="D79" s="126"/>
      <c r="E79" s="126"/>
      <c r="F79" s="126"/>
      <c r="G79" s="21"/>
      <c r="H79" s="235"/>
      <c r="I79" s="235"/>
      <c r="J79" s="175"/>
      <c r="K79" s="235"/>
      <c r="L79" s="235"/>
      <c r="M79" s="175"/>
      <c r="N79" s="235"/>
      <c r="O79" s="235"/>
      <c r="P79" s="175"/>
      <c r="Q79" s="235"/>
      <c r="R79" s="235"/>
      <c r="S79" s="175"/>
      <c r="T79" s="235"/>
      <c r="U79" s="235"/>
      <c r="V79" s="175"/>
      <c r="W79" s="235"/>
      <c r="X79" s="235"/>
      <c r="Y79" s="175"/>
      <c r="Z79" s="235"/>
      <c r="AA79" s="235"/>
      <c r="AB79" s="175"/>
      <c r="AC79" s="235"/>
      <c r="AD79" s="235"/>
      <c r="AE79" s="175"/>
      <c r="AF79" s="235"/>
      <c r="AG79" s="235"/>
      <c r="AH79" s="175"/>
      <c r="AI79" s="235"/>
      <c r="AJ79" s="235"/>
      <c r="AK79" s="175"/>
      <c r="AL79" s="235"/>
      <c r="AM79" s="235"/>
      <c r="AN79" s="175"/>
      <c r="AO79" s="235"/>
      <c r="AP79" s="235"/>
      <c r="AQ79" s="175"/>
      <c r="AR79" s="235"/>
      <c r="AS79" s="235"/>
      <c r="AT79" s="175"/>
      <c r="AU79" s="235"/>
      <c r="AV79" s="235"/>
      <c r="AW79" s="175"/>
      <c r="AX79" s="235"/>
      <c r="AY79" s="235"/>
      <c r="AZ79" s="175"/>
      <c r="BA79" s="235"/>
      <c r="BB79" s="235"/>
      <c r="BC79" s="175"/>
      <c r="BD79" s="235"/>
      <c r="BE79" s="235"/>
      <c r="BF79" s="175"/>
      <c r="BG79" s="235"/>
      <c r="BH79" s="235"/>
      <c r="BI79" s="175"/>
      <c r="BJ79" s="235"/>
      <c r="BK79" s="235"/>
      <c r="BL79" s="175"/>
      <c r="BM79" s="235"/>
      <c r="BN79" s="235"/>
      <c r="BO79" s="175"/>
      <c r="BP79" s="5"/>
      <c r="BQ79" s="5"/>
      <c r="BR79" s="5"/>
      <c r="BS79" s="5"/>
      <c r="BT79" s="5"/>
      <c r="BU79" s="5"/>
      <c r="BV79" s="5"/>
    </row>
    <row r="80" spans="1:74" ht="13.8">
      <c r="A80" s="729" t="str">
        <f>IF('6.1stYrOpBudget'!K80&lt;&gt;"",'6.1stYrOpBudget'!K80,"")</f>
        <v/>
      </c>
      <c r="B80" s="799" t="str">
        <f>'6.1stYrOpBudget'!L80</f>
        <v/>
      </c>
      <c r="C80" s="2060" t="str">
        <f>'6.1stYrOpBudget'!A80</f>
        <v>Supportive Services</v>
      </c>
      <c r="D80" s="1057">
        <v>6900</v>
      </c>
      <c r="E80" s="1058">
        <f>F80</f>
        <v>3.5000000000000003E-2</v>
      </c>
      <c r="F80" s="1056">
        <v>3.5000000000000003E-2</v>
      </c>
      <c r="G80" s="67"/>
      <c r="H80" s="776">
        <f>'6.1stYrOpBudget'!D80</f>
        <v>0</v>
      </c>
      <c r="I80" s="776">
        <f>'6.1stYrOpBudget'!E80</f>
        <v>0</v>
      </c>
      <c r="J80" s="178">
        <f>'6.1stYrOpBudget'!F80</f>
        <v>0</v>
      </c>
      <c r="K80" s="776">
        <f>IF($A80&lt;&gt;"",$A80*M80,$E$7*M80)</f>
        <v>0</v>
      </c>
      <c r="L80" s="776">
        <f>M80-K80</f>
        <v>0</v>
      </c>
      <c r="M80" s="178">
        <f>J80*(1+$F80)</f>
        <v>0</v>
      </c>
      <c r="N80" s="776">
        <f>IF($A80&lt;&gt;"",$A80*P80,$E$7*P80)</f>
        <v>0</v>
      </c>
      <c r="O80" s="776">
        <f>P80-N80</f>
        <v>0</v>
      </c>
      <c r="P80" s="178">
        <f>M80*(1+$F80)</f>
        <v>0</v>
      </c>
      <c r="Q80" s="776">
        <f>IF($A80&lt;&gt;"",$A80*S80,$E$7*S80)</f>
        <v>0</v>
      </c>
      <c r="R80" s="776">
        <f>S80-Q80</f>
        <v>0</v>
      </c>
      <c r="S80" s="178">
        <f>P80*(1+$F80)</f>
        <v>0</v>
      </c>
      <c r="T80" s="776">
        <f>IF($A80&lt;&gt;"",$A80*V80,$E$7*V80)</f>
        <v>0</v>
      </c>
      <c r="U80" s="776">
        <f>V80-T80</f>
        <v>0</v>
      </c>
      <c r="V80" s="178">
        <f>S80*(1+$F80)</f>
        <v>0</v>
      </c>
      <c r="W80" s="776">
        <f>IF($A80&lt;&gt;"",$A80*Y80,$E$7*Y80)</f>
        <v>0</v>
      </c>
      <c r="X80" s="776">
        <f>Y80-W80</f>
        <v>0</v>
      </c>
      <c r="Y80" s="178">
        <f>V80*(1+$F80)</f>
        <v>0</v>
      </c>
      <c r="Z80" s="776">
        <f>IF($A80&lt;&gt;"",$A80*AB80,$E$7*AB80)</f>
        <v>0</v>
      </c>
      <c r="AA80" s="776">
        <f>AB80-Z80</f>
        <v>0</v>
      </c>
      <c r="AB80" s="178">
        <f>Y80*(1+$F80)</f>
        <v>0</v>
      </c>
      <c r="AC80" s="776">
        <f>IF($A80&lt;&gt;"",$A80*AE80,$E$7*AE80)</f>
        <v>0</v>
      </c>
      <c r="AD80" s="776">
        <f>AE80-AC80</f>
        <v>0</v>
      </c>
      <c r="AE80" s="178">
        <f>AB80*(1+$F80)</f>
        <v>0</v>
      </c>
      <c r="AF80" s="776">
        <f>IF($A80&lt;&gt;"",$A80*AH80,$E$7*AH80)</f>
        <v>0</v>
      </c>
      <c r="AG80" s="776">
        <f>AH80-AF80</f>
        <v>0</v>
      </c>
      <c r="AH80" s="178">
        <f>AE80*(1+$F80)</f>
        <v>0</v>
      </c>
      <c r="AI80" s="776">
        <f>IF($A80&lt;&gt;"",$A80*AK80,$E$7*AK80)</f>
        <v>0</v>
      </c>
      <c r="AJ80" s="776">
        <f>AK80-AI80</f>
        <v>0</v>
      </c>
      <c r="AK80" s="178">
        <f>AH80*(1+$F80)</f>
        <v>0</v>
      </c>
      <c r="AL80" s="776">
        <f>IF($A80&lt;&gt;"",$A80*AN80,$E$7*AN80)</f>
        <v>0</v>
      </c>
      <c r="AM80" s="776">
        <f>AN80-AL80</f>
        <v>0</v>
      </c>
      <c r="AN80" s="178">
        <f>AK80*(1+$F80)</f>
        <v>0</v>
      </c>
      <c r="AO80" s="776">
        <f>IF($A80&lt;&gt;"",$A80*AQ80,$E$7*AQ80)</f>
        <v>0</v>
      </c>
      <c r="AP80" s="776">
        <f>AQ80-AO80</f>
        <v>0</v>
      </c>
      <c r="AQ80" s="178">
        <f>AN80*(1+$F80)</f>
        <v>0</v>
      </c>
      <c r="AR80" s="776">
        <f>IF($A80&lt;&gt;"",$A80*AT80,$E$7*AT80)</f>
        <v>0</v>
      </c>
      <c r="AS80" s="776">
        <f>AT80-AR80</f>
        <v>0</v>
      </c>
      <c r="AT80" s="178">
        <f>AQ80*(1+$F80)</f>
        <v>0</v>
      </c>
      <c r="AU80" s="776">
        <f>IF($A80&lt;&gt;"",$A80*AW80,$E$7*AW80)</f>
        <v>0</v>
      </c>
      <c r="AV80" s="776">
        <f>AW80-AU80</f>
        <v>0</v>
      </c>
      <c r="AW80" s="178">
        <f>AT80*(1+$F80)</f>
        <v>0</v>
      </c>
      <c r="AX80" s="776">
        <f>IF($A80&lt;&gt;"",$A80*AZ80,$E$7*AZ80)</f>
        <v>0</v>
      </c>
      <c r="AY80" s="776">
        <f>AZ80-AX80</f>
        <v>0</v>
      </c>
      <c r="AZ80" s="178">
        <f>AW80*(1+$F80)</f>
        <v>0</v>
      </c>
      <c r="BA80" s="776">
        <f>IF($A80&lt;&gt;"",$A80*BC80,$E$7*BC80)</f>
        <v>0</v>
      </c>
      <c r="BB80" s="776">
        <f>BC80-BA80</f>
        <v>0</v>
      </c>
      <c r="BC80" s="178">
        <f>AZ80*(1+$F80)</f>
        <v>0</v>
      </c>
      <c r="BD80" s="776">
        <f>IF($A80&lt;&gt;"",$A80*BF80,$E$7*BF80)</f>
        <v>0</v>
      </c>
      <c r="BE80" s="776">
        <f>BF80-BD80</f>
        <v>0</v>
      </c>
      <c r="BF80" s="178">
        <f>BC80*(1+$F80)</f>
        <v>0</v>
      </c>
      <c r="BG80" s="776">
        <f>IF($A80&lt;&gt;"",$A80*BI80,$E$7*BI80)</f>
        <v>0</v>
      </c>
      <c r="BH80" s="776">
        <f>BI80-BG80</f>
        <v>0</v>
      </c>
      <c r="BI80" s="178">
        <f>BF80*(1+$F80)</f>
        <v>0</v>
      </c>
      <c r="BJ80" s="776">
        <f>IF($A80&lt;&gt;"",$A80*BL80,$E$7*BL80)</f>
        <v>0</v>
      </c>
      <c r="BK80" s="776">
        <f>BL80-BJ80</f>
        <v>0</v>
      </c>
      <c r="BL80" s="178">
        <f>BI80*(1+$F80)</f>
        <v>0</v>
      </c>
      <c r="BM80" s="776">
        <f>IF($A80&lt;&gt;"",$A80*BO80,$E$7*BO80)</f>
        <v>0</v>
      </c>
      <c r="BN80" s="776">
        <f>BO80-BM80</f>
        <v>0</v>
      </c>
      <c r="BO80" s="178">
        <f>BL80*(1+$F80)</f>
        <v>0</v>
      </c>
      <c r="BP80" s="6"/>
      <c r="BQ80" s="6"/>
      <c r="BR80" s="6"/>
      <c r="BS80" s="6"/>
      <c r="BT80" s="6"/>
      <c r="BU80" s="6"/>
      <c r="BV80" s="6"/>
    </row>
    <row r="81" spans="1:74" ht="21">
      <c r="C81" s="2060" t="str">
        <f>'6.1stYrOpBudget'!A81</f>
        <v>Commercial Expenses</v>
      </c>
      <c r="D81" s="124"/>
      <c r="E81" s="124"/>
      <c r="F81" s="1069"/>
      <c r="G81" s="1661" t="str">
        <f>"from 'Commercial Op. Budget' Worksheet; Commercial to Residential allocation: "&amp; '5.CommOp.Budget'!$C$2 *100 &amp;"%"</f>
        <v>from 'Commercial Op. Budget' Worksheet; Commercial to Residential allocation: 100%</v>
      </c>
      <c r="H81" s="782"/>
      <c r="I81" s="782"/>
      <c r="J81" s="227">
        <f>('5.CommOp.Budget'!E$46+'5.CommOp.Budget'!E$51+'5.CommOp.Budget'!E$57+'5.CommOp.Budget'!E$67)*'5.CommOp.Budget'!$C$2</f>
        <v>0</v>
      </c>
      <c r="K81" s="782"/>
      <c r="L81" s="782"/>
      <c r="M81" s="227">
        <f>('5.CommOp.Budget'!F23+'5.CommOp.Budget'!F46+'5.CommOp.Budget'!F51+'5.CommOp.Budget'!F57+'5.CommOp.Budget'!F67)*'5.CommOp.Budget'!$C$2</f>
        <v>0</v>
      </c>
      <c r="N81" s="782"/>
      <c r="O81" s="782"/>
      <c r="P81" s="227">
        <f>('5.CommOp.Budget'!G23+'5.CommOp.Budget'!G46+'5.CommOp.Budget'!G51+'5.CommOp.Budget'!G57+'5.CommOp.Budget'!G67)*'5.CommOp.Budget'!$C$2</f>
        <v>0</v>
      </c>
      <c r="Q81" s="782"/>
      <c r="R81" s="782"/>
      <c r="S81" s="227">
        <f>('5.CommOp.Budget'!H23+'5.CommOp.Budget'!H46+'5.CommOp.Budget'!H51+'5.CommOp.Budget'!H57+'5.CommOp.Budget'!H67)*'5.CommOp.Budget'!$C$2</f>
        <v>0</v>
      </c>
      <c r="T81" s="782"/>
      <c r="U81" s="782"/>
      <c r="V81" s="227">
        <f>('5.CommOp.Budget'!I23+'5.CommOp.Budget'!I46+'5.CommOp.Budget'!I51+'5.CommOp.Budget'!I57+'5.CommOp.Budget'!I67)*'5.CommOp.Budget'!$C$2</f>
        <v>0</v>
      </c>
      <c r="W81" s="782"/>
      <c r="X81" s="782"/>
      <c r="Y81" s="227">
        <f>('5.CommOp.Budget'!J23+'5.CommOp.Budget'!J46+'5.CommOp.Budget'!J51+'5.CommOp.Budget'!J57+'5.CommOp.Budget'!J67)*'5.CommOp.Budget'!$C$2</f>
        <v>0</v>
      </c>
      <c r="Z81" s="782"/>
      <c r="AA81" s="782"/>
      <c r="AB81" s="227">
        <f>('5.CommOp.Budget'!K23+'5.CommOp.Budget'!K46+'5.CommOp.Budget'!K51+'5.CommOp.Budget'!K57+'5.CommOp.Budget'!K67)*'5.CommOp.Budget'!$C$2</f>
        <v>0</v>
      </c>
      <c r="AC81" s="782"/>
      <c r="AD81" s="782"/>
      <c r="AE81" s="227">
        <f>('5.CommOp.Budget'!L23+'5.CommOp.Budget'!L46+'5.CommOp.Budget'!L51+'5.CommOp.Budget'!L57+'5.CommOp.Budget'!L67)*'5.CommOp.Budget'!$C$2</f>
        <v>0</v>
      </c>
      <c r="AF81" s="782"/>
      <c r="AG81" s="782"/>
      <c r="AH81" s="227">
        <f>('5.CommOp.Budget'!M23+'5.CommOp.Budget'!M46+'5.CommOp.Budget'!M51+'5.CommOp.Budget'!M57+'5.CommOp.Budget'!M67)*'5.CommOp.Budget'!$C$2</f>
        <v>0</v>
      </c>
      <c r="AI81" s="782"/>
      <c r="AJ81" s="782"/>
      <c r="AK81" s="227">
        <f>('5.CommOp.Budget'!N23+'5.CommOp.Budget'!N46+'5.CommOp.Budget'!N51+'5.CommOp.Budget'!N57+'5.CommOp.Budget'!N67)*'5.CommOp.Budget'!$C$2</f>
        <v>0</v>
      </c>
      <c r="AL81" s="782"/>
      <c r="AM81" s="782"/>
      <c r="AN81" s="227">
        <f>('5.CommOp.Budget'!O23+'5.CommOp.Budget'!O46+'5.CommOp.Budget'!O51+'5.CommOp.Budget'!O57+'5.CommOp.Budget'!O67)*'5.CommOp.Budget'!$C$2</f>
        <v>0</v>
      </c>
      <c r="AO81" s="782"/>
      <c r="AP81" s="782"/>
      <c r="AQ81" s="227">
        <f>('5.CommOp.Budget'!P23+'5.CommOp.Budget'!P46+'5.CommOp.Budget'!P51+'5.CommOp.Budget'!P57+'5.CommOp.Budget'!P67)*'5.CommOp.Budget'!$C$2</f>
        <v>0</v>
      </c>
      <c r="AR81" s="782"/>
      <c r="AS81" s="782"/>
      <c r="AT81" s="227">
        <f>('5.CommOp.Budget'!Q23+'5.CommOp.Budget'!Q46+'5.CommOp.Budget'!Q51+'5.CommOp.Budget'!Q57+'5.CommOp.Budget'!Q67)*'5.CommOp.Budget'!$C$2</f>
        <v>0</v>
      </c>
      <c r="AU81" s="782"/>
      <c r="AV81" s="782"/>
      <c r="AW81" s="227">
        <f>('5.CommOp.Budget'!R23+'5.CommOp.Budget'!R46+'5.CommOp.Budget'!R51+'5.CommOp.Budget'!R57+'5.CommOp.Budget'!R67)*'5.CommOp.Budget'!$C$2</f>
        <v>0</v>
      </c>
      <c r="AX81" s="782"/>
      <c r="AY81" s="782"/>
      <c r="AZ81" s="227">
        <f>('5.CommOp.Budget'!S23+'5.CommOp.Budget'!S46+'5.CommOp.Budget'!S51+'5.CommOp.Budget'!S57+'5.CommOp.Budget'!S67)*'5.CommOp.Budget'!$C$2</f>
        <v>0</v>
      </c>
      <c r="BA81" s="782"/>
      <c r="BB81" s="782"/>
      <c r="BC81" s="227">
        <f>('5.CommOp.Budget'!T23+'5.CommOp.Budget'!T46+'5.CommOp.Budget'!T51+'5.CommOp.Budget'!T57+'5.CommOp.Budget'!T67)*'5.CommOp.Budget'!$C$2</f>
        <v>0</v>
      </c>
      <c r="BD81" s="782"/>
      <c r="BE81" s="782"/>
      <c r="BF81" s="227">
        <f>('5.CommOp.Budget'!U23+'5.CommOp.Budget'!U46+'5.CommOp.Budget'!U51+'5.CommOp.Budget'!U57+'5.CommOp.Budget'!U67)*'5.CommOp.Budget'!$C$2</f>
        <v>0</v>
      </c>
      <c r="BG81" s="782"/>
      <c r="BH81" s="782"/>
      <c r="BI81" s="227">
        <f>('5.CommOp.Budget'!V23+'5.CommOp.Budget'!V46+'5.CommOp.Budget'!V51+'5.CommOp.Budget'!V57+'5.CommOp.Budget'!V67)*'5.CommOp.Budget'!$C$2</f>
        <v>0</v>
      </c>
      <c r="BJ81" s="782"/>
      <c r="BK81" s="782"/>
      <c r="BL81" s="227">
        <f>('5.CommOp.Budget'!W23+'5.CommOp.Budget'!W46+'5.CommOp.Budget'!W51+'5.CommOp.Budget'!W57+'5.CommOp.Budget'!W67)*'5.CommOp.Budget'!$C$2</f>
        <v>0</v>
      </c>
      <c r="BM81" s="782"/>
      <c r="BN81" s="782"/>
      <c r="BO81" s="227">
        <f>('5.CommOp.Budget'!X23+'5.CommOp.Budget'!X46+'5.CommOp.Budget'!X51+'5.CommOp.Budget'!X57+'5.CommOp.Budget'!X67)*'5.CommOp.Budget'!$C$2</f>
        <v>0</v>
      </c>
      <c r="BP81" s="6"/>
      <c r="BQ81" s="6"/>
      <c r="BR81" s="6"/>
      <c r="BS81" s="6"/>
      <c r="BT81" s="6"/>
      <c r="BU81" s="6"/>
      <c r="BV81" s="6"/>
    </row>
    <row r="82" spans="1:74" ht="9.9" customHeight="1">
      <c r="C82" s="139"/>
      <c r="D82" s="124"/>
      <c r="E82" s="124"/>
      <c r="F82" s="1070"/>
      <c r="G82" s="233"/>
      <c r="H82" s="783"/>
      <c r="I82" s="783"/>
      <c r="J82" s="141"/>
      <c r="K82" s="783"/>
      <c r="L82" s="783"/>
      <c r="M82" s="141"/>
      <c r="N82" s="783"/>
      <c r="O82" s="783"/>
      <c r="P82" s="141"/>
      <c r="Q82" s="783"/>
      <c r="R82" s="783"/>
      <c r="S82" s="141"/>
      <c r="T82" s="783"/>
      <c r="U82" s="783"/>
      <c r="V82" s="141"/>
      <c r="W82" s="783"/>
      <c r="X82" s="783"/>
      <c r="Y82" s="141"/>
      <c r="Z82" s="783"/>
      <c r="AA82" s="783"/>
      <c r="AB82" s="141"/>
      <c r="AC82" s="783"/>
      <c r="AD82" s="783"/>
      <c r="AE82" s="141"/>
      <c r="AF82" s="783"/>
      <c r="AG82" s="783"/>
      <c r="AH82" s="141"/>
      <c r="AI82" s="783"/>
      <c r="AJ82" s="783"/>
      <c r="AK82" s="141"/>
      <c r="AL82" s="783"/>
      <c r="AM82" s="783"/>
      <c r="AN82" s="141"/>
      <c r="AO82" s="783"/>
      <c r="AP82" s="783"/>
      <c r="AQ82" s="141"/>
      <c r="AR82" s="783"/>
      <c r="AS82" s="783"/>
      <c r="AT82" s="141"/>
      <c r="AU82" s="783"/>
      <c r="AV82" s="783"/>
      <c r="AW82" s="141"/>
      <c r="AX82" s="783"/>
      <c r="AY82" s="783"/>
      <c r="AZ82" s="141"/>
      <c r="BA82" s="783"/>
      <c r="BB82" s="783"/>
      <c r="BC82" s="141"/>
      <c r="BD82" s="783"/>
      <c r="BE82" s="783"/>
      <c r="BF82" s="141"/>
      <c r="BG82" s="783"/>
      <c r="BH82" s="783"/>
      <c r="BI82" s="141"/>
      <c r="BJ82" s="783"/>
      <c r="BK82" s="783"/>
      <c r="BL82" s="141"/>
      <c r="BM82" s="783"/>
      <c r="BN82" s="783"/>
      <c r="BO82" s="141"/>
      <c r="BP82" s="6"/>
      <c r="BQ82" s="6"/>
      <c r="BR82" s="6"/>
      <c r="BS82" s="6"/>
      <c r="BT82" s="6"/>
      <c r="BU82" s="6"/>
      <c r="BV82" s="6"/>
    </row>
    <row r="83" spans="1:74" ht="13.8">
      <c r="C83" s="139" t="str">
        <f>'6.1stYrOpBudget'!A83</f>
        <v xml:space="preserve">TOTAL OPERATING EXPENSES </v>
      </c>
      <c r="D83" s="124"/>
      <c r="E83" s="124"/>
      <c r="F83" s="1070"/>
      <c r="G83" s="233"/>
      <c r="H83" s="784">
        <f>'6.1stYrOpBudget'!D83</f>
        <v>0</v>
      </c>
      <c r="I83" s="784">
        <f>'6.1stYrOpBudget'!E83</f>
        <v>0</v>
      </c>
      <c r="J83" s="784">
        <f>'6.1stYrOpBudget'!F83</f>
        <v>0</v>
      </c>
      <c r="K83" s="784">
        <f>K34+K41+K51+K57+K62+K68+K78+K80+K81</f>
        <v>0</v>
      </c>
      <c r="L83" s="784">
        <f>L34+L41+L51+L57+L62+L68+L78+L80+L81</f>
        <v>0</v>
      </c>
      <c r="M83" s="175">
        <f>M34+M41+M51+M57+M62+M68+M78+M80+M81</f>
        <v>0</v>
      </c>
      <c r="N83" s="784">
        <f>N34+N41+N51+N57+N62+N68+N78+N80+N81</f>
        <v>0</v>
      </c>
      <c r="O83" s="784">
        <f>O34+O41+O51+O57+O62+O68+O78+O80+O81</f>
        <v>0</v>
      </c>
      <c r="P83" s="175">
        <f t="shared" ref="P83:BO83" si="208">P34+P41+P51+P57+P62+P68+P78+P80+P81</f>
        <v>0</v>
      </c>
      <c r="Q83" s="784">
        <f t="shared" si="208"/>
        <v>0</v>
      </c>
      <c r="R83" s="784">
        <f t="shared" si="208"/>
        <v>0</v>
      </c>
      <c r="S83" s="175">
        <f t="shared" si="208"/>
        <v>0</v>
      </c>
      <c r="T83" s="784">
        <f t="shared" si="208"/>
        <v>0</v>
      </c>
      <c r="U83" s="784">
        <f t="shared" si="208"/>
        <v>0</v>
      </c>
      <c r="V83" s="175">
        <f t="shared" si="208"/>
        <v>0</v>
      </c>
      <c r="W83" s="784">
        <f t="shared" si="208"/>
        <v>0</v>
      </c>
      <c r="X83" s="784">
        <f t="shared" si="208"/>
        <v>0</v>
      </c>
      <c r="Y83" s="175">
        <f t="shared" si="208"/>
        <v>0</v>
      </c>
      <c r="Z83" s="784">
        <f t="shared" si="208"/>
        <v>0</v>
      </c>
      <c r="AA83" s="784">
        <f t="shared" si="208"/>
        <v>0</v>
      </c>
      <c r="AB83" s="175">
        <f t="shared" si="208"/>
        <v>0</v>
      </c>
      <c r="AC83" s="784">
        <f t="shared" si="208"/>
        <v>0</v>
      </c>
      <c r="AD83" s="784">
        <f t="shared" si="208"/>
        <v>0</v>
      </c>
      <c r="AE83" s="175">
        <f t="shared" si="208"/>
        <v>0</v>
      </c>
      <c r="AF83" s="784">
        <f t="shared" si="208"/>
        <v>0</v>
      </c>
      <c r="AG83" s="784">
        <f t="shared" si="208"/>
        <v>0</v>
      </c>
      <c r="AH83" s="175">
        <f t="shared" si="208"/>
        <v>0</v>
      </c>
      <c r="AI83" s="784">
        <f t="shared" si="208"/>
        <v>0</v>
      </c>
      <c r="AJ83" s="784">
        <f t="shared" si="208"/>
        <v>0</v>
      </c>
      <c r="AK83" s="175">
        <f t="shared" si="208"/>
        <v>0</v>
      </c>
      <c r="AL83" s="784">
        <f t="shared" si="208"/>
        <v>0</v>
      </c>
      <c r="AM83" s="784">
        <f t="shared" si="208"/>
        <v>0</v>
      </c>
      <c r="AN83" s="175">
        <f t="shared" si="208"/>
        <v>0</v>
      </c>
      <c r="AO83" s="784">
        <f t="shared" si="208"/>
        <v>0</v>
      </c>
      <c r="AP83" s="784">
        <f t="shared" si="208"/>
        <v>0</v>
      </c>
      <c r="AQ83" s="175">
        <f t="shared" si="208"/>
        <v>0</v>
      </c>
      <c r="AR83" s="784">
        <f t="shared" si="208"/>
        <v>0</v>
      </c>
      <c r="AS83" s="784">
        <f t="shared" si="208"/>
        <v>0</v>
      </c>
      <c r="AT83" s="175">
        <f t="shared" si="208"/>
        <v>0</v>
      </c>
      <c r="AU83" s="784">
        <f t="shared" si="208"/>
        <v>0</v>
      </c>
      <c r="AV83" s="784">
        <f t="shared" si="208"/>
        <v>0</v>
      </c>
      <c r="AW83" s="175">
        <f t="shared" si="208"/>
        <v>0</v>
      </c>
      <c r="AX83" s="784">
        <f t="shared" si="208"/>
        <v>0</v>
      </c>
      <c r="AY83" s="784">
        <f t="shared" si="208"/>
        <v>0</v>
      </c>
      <c r="AZ83" s="175">
        <f t="shared" si="208"/>
        <v>0</v>
      </c>
      <c r="BA83" s="784">
        <f t="shared" si="208"/>
        <v>0</v>
      </c>
      <c r="BB83" s="784">
        <f t="shared" si="208"/>
        <v>0</v>
      </c>
      <c r="BC83" s="175">
        <f t="shared" si="208"/>
        <v>0</v>
      </c>
      <c r="BD83" s="784">
        <f t="shared" si="208"/>
        <v>0</v>
      </c>
      <c r="BE83" s="784">
        <f t="shared" si="208"/>
        <v>0</v>
      </c>
      <c r="BF83" s="175">
        <f t="shared" si="208"/>
        <v>0</v>
      </c>
      <c r="BG83" s="784">
        <f t="shared" si="208"/>
        <v>0</v>
      </c>
      <c r="BH83" s="784">
        <f t="shared" si="208"/>
        <v>0</v>
      </c>
      <c r="BI83" s="175">
        <f t="shared" si="208"/>
        <v>0</v>
      </c>
      <c r="BJ83" s="784">
        <f t="shared" si="208"/>
        <v>0</v>
      </c>
      <c r="BK83" s="784">
        <f t="shared" si="208"/>
        <v>0</v>
      </c>
      <c r="BL83" s="175">
        <f t="shared" si="208"/>
        <v>0</v>
      </c>
      <c r="BM83" s="784">
        <f t="shared" si="208"/>
        <v>0</v>
      </c>
      <c r="BN83" s="784">
        <f t="shared" si="208"/>
        <v>0</v>
      </c>
      <c r="BO83" s="175">
        <f t="shared" si="208"/>
        <v>0</v>
      </c>
      <c r="BP83" s="6"/>
      <c r="BQ83" s="6"/>
      <c r="BR83" s="6"/>
      <c r="BS83" s="6"/>
      <c r="BT83" s="6"/>
      <c r="BU83" s="6"/>
      <c r="BV83" s="6"/>
    </row>
    <row r="84" spans="1:74" ht="13.8">
      <c r="C84" s="1082" t="s">
        <v>1235</v>
      </c>
      <c r="D84" s="328"/>
      <c r="E84" s="328"/>
      <c r="F84" s="328"/>
      <c r="G84" s="234"/>
      <c r="H84" s="324"/>
      <c r="I84" s="324"/>
      <c r="J84" s="784" t="str">
        <f>IF($J$83=0,"",$J$83/$F$3)</f>
        <v/>
      </c>
      <c r="K84" s="324"/>
      <c r="L84" s="324"/>
      <c r="M84" s="236"/>
      <c r="N84" s="324"/>
      <c r="O84" s="324"/>
      <c r="P84" s="236"/>
      <c r="Q84" s="324"/>
      <c r="R84" s="324"/>
      <c r="S84" s="236"/>
      <c r="T84" s="324"/>
      <c r="U84" s="324"/>
      <c r="V84" s="236"/>
      <c r="W84" s="324"/>
      <c r="X84" s="324"/>
      <c r="Y84" s="236"/>
      <c r="Z84" s="324"/>
      <c r="AA84" s="324"/>
      <c r="AB84" s="236"/>
      <c r="AC84" s="324"/>
      <c r="AD84" s="324"/>
      <c r="AE84" s="236"/>
      <c r="AF84" s="324"/>
      <c r="AG84" s="324"/>
      <c r="AH84" s="236"/>
      <c r="AI84" s="324"/>
      <c r="AJ84" s="324"/>
      <c r="AK84" s="236"/>
      <c r="AL84" s="324"/>
      <c r="AM84" s="324"/>
      <c r="AN84" s="236"/>
      <c r="AO84" s="324"/>
      <c r="AP84" s="324"/>
      <c r="AQ84" s="236"/>
      <c r="AR84" s="324"/>
      <c r="AS84" s="324"/>
      <c r="AT84" s="236"/>
      <c r="AU84" s="324"/>
      <c r="AV84" s="324"/>
      <c r="AW84" s="236"/>
      <c r="AX84" s="324"/>
      <c r="AY84" s="324"/>
      <c r="AZ84" s="236"/>
      <c r="BA84" s="324"/>
      <c r="BB84" s="324"/>
      <c r="BC84" s="236"/>
      <c r="BD84" s="324"/>
      <c r="BE84" s="324"/>
      <c r="BF84" s="236"/>
      <c r="BG84" s="324"/>
      <c r="BH84" s="324"/>
      <c r="BI84" s="236"/>
      <c r="BJ84" s="324"/>
      <c r="BK84" s="324"/>
      <c r="BL84" s="236"/>
      <c r="BM84" s="324"/>
      <c r="BN84" s="324"/>
      <c r="BO84" s="236"/>
      <c r="BP84" s="82"/>
      <c r="BQ84" s="82"/>
      <c r="BR84" s="82"/>
      <c r="BS84" s="82"/>
      <c r="BT84" s="82"/>
      <c r="BU84" s="82"/>
      <c r="BV84" s="82"/>
    </row>
    <row r="85" spans="1:74" ht="14.4">
      <c r="C85" s="139" t="str">
        <f>'6.1stYrOpBudget'!A85</f>
        <v>Reserves/Ground Lease Base Rent/Bond Fees</v>
      </c>
      <c r="D85" s="126"/>
      <c r="E85" s="126"/>
      <c r="F85" s="126"/>
      <c r="H85" s="236"/>
      <c r="I85" s="236"/>
      <c r="J85" s="125"/>
      <c r="K85" s="236"/>
      <c r="L85" s="236"/>
      <c r="M85" s="637" t="s">
        <v>1093</v>
      </c>
      <c r="N85" s="236"/>
      <c r="O85" s="236"/>
      <c r="P85" s="125"/>
      <c r="Q85" s="236"/>
      <c r="R85" s="236"/>
      <c r="S85" s="125"/>
      <c r="T85" s="236"/>
      <c r="U85" s="236"/>
      <c r="V85" s="125"/>
      <c r="W85" s="236"/>
      <c r="X85" s="236"/>
      <c r="Y85" s="125"/>
      <c r="Z85" s="236"/>
      <c r="AA85" s="236"/>
      <c r="AB85" s="125"/>
      <c r="AC85" s="236"/>
      <c r="AD85" s="236"/>
      <c r="AE85" s="125"/>
      <c r="AF85" s="236"/>
      <c r="AG85" s="236"/>
      <c r="AH85" s="125"/>
      <c r="AI85" s="236"/>
      <c r="AJ85" s="236"/>
      <c r="AK85" s="125"/>
      <c r="AL85" s="236"/>
      <c r="AM85" s="236"/>
      <c r="AN85" s="125"/>
      <c r="AO85" s="236"/>
      <c r="AP85" s="236"/>
      <c r="AQ85" s="125"/>
      <c r="AR85" s="236"/>
      <c r="AS85" s="236"/>
      <c r="AT85" s="125"/>
      <c r="AU85" s="236"/>
      <c r="AV85" s="236"/>
      <c r="AW85" s="125"/>
      <c r="AX85" s="236"/>
      <c r="AY85" s="236"/>
      <c r="AZ85" s="125"/>
      <c r="BA85" s="236"/>
      <c r="BB85" s="236"/>
      <c r="BC85" s="125"/>
      <c r="BD85" s="236"/>
      <c r="BE85" s="236"/>
      <c r="BF85" s="125"/>
      <c r="BG85" s="236"/>
      <c r="BH85" s="236"/>
      <c r="BI85" s="125"/>
      <c r="BJ85" s="236"/>
      <c r="BK85" s="236"/>
      <c r="BL85" s="125"/>
      <c r="BM85" s="236"/>
      <c r="BN85" s="236"/>
      <c r="BO85" s="125"/>
      <c r="BP85" s="5"/>
      <c r="BQ85" s="5"/>
      <c r="BR85" s="5"/>
      <c r="BS85" s="5"/>
      <c r="BT85" s="5"/>
      <c r="BU85" s="5"/>
      <c r="BV85" s="5"/>
    </row>
    <row r="86" spans="1:74" ht="14.4">
      <c r="C86" s="2059" t="str">
        <f>'6.1stYrOpBudget'!A86</f>
        <v xml:space="preserve">Ground Lease Base Rent </v>
      </c>
      <c r="D86" s="126"/>
      <c r="E86" s="126"/>
      <c r="F86" s="126"/>
      <c r="G86" s="64"/>
      <c r="H86" s="776">
        <f>'6.1stYrOpBudget'!D86</f>
        <v>0</v>
      </c>
      <c r="I86" s="776">
        <f>'6.1stYrOpBudget'!E86</f>
        <v>0</v>
      </c>
      <c r="J86" s="178">
        <f>'6.1stYrOpBudget'!F86</f>
        <v>0</v>
      </c>
      <c r="K86" s="776">
        <f>$E$7*M86</f>
        <v>0</v>
      </c>
      <c r="L86" s="776">
        <f t="shared" ref="L86:L92" si="209">M86-K86</f>
        <v>0</v>
      </c>
      <c r="M86" s="66">
        <f t="shared" ref="M86:M91" si="210">J86</f>
        <v>0</v>
      </c>
      <c r="N86" s="776">
        <f>$E$7*P86</f>
        <v>0</v>
      </c>
      <c r="O86" s="776">
        <f t="shared" ref="O86:O92" si="211">P86-N86</f>
        <v>0</v>
      </c>
      <c r="P86" s="66">
        <f t="shared" ref="P86:P91" si="212">M86</f>
        <v>0</v>
      </c>
      <c r="Q86" s="776">
        <f>$E$7*S86</f>
        <v>0</v>
      </c>
      <c r="R86" s="776">
        <f t="shared" ref="R86:R92" si="213">S86-Q86</f>
        <v>0</v>
      </c>
      <c r="S86" s="66">
        <f t="shared" ref="S86:S91" si="214">P86</f>
        <v>0</v>
      </c>
      <c r="T86" s="776">
        <f>$E$7*V86</f>
        <v>0</v>
      </c>
      <c r="U86" s="776">
        <f t="shared" ref="U86:U92" si="215">V86-T86</f>
        <v>0</v>
      </c>
      <c r="V86" s="66">
        <f t="shared" ref="V86:V91" si="216">S86</f>
        <v>0</v>
      </c>
      <c r="W86" s="776">
        <f>$E$7*Y86</f>
        <v>0</v>
      </c>
      <c r="X86" s="776">
        <f t="shared" ref="X86:X92" si="217">Y86-W86</f>
        <v>0</v>
      </c>
      <c r="Y86" s="66">
        <f t="shared" ref="Y86:Y91" si="218">V86</f>
        <v>0</v>
      </c>
      <c r="Z86" s="776">
        <f>$E$7*AB86</f>
        <v>0</v>
      </c>
      <c r="AA86" s="776">
        <f t="shared" ref="AA86:AA92" si="219">AB86-Z86</f>
        <v>0</v>
      </c>
      <c r="AB86" s="66">
        <f t="shared" ref="AB86:AB91" si="220">Y86</f>
        <v>0</v>
      </c>
      <c r="AC86" s="776">
        <f>$E$7*AE86</f>
        <v>0</v>
      </c>
      <c r="AD86" s="776">
        <f t="shared" ref="AD86:AD92" si="221">AE86-AC86</f>
        <v>0</v>
      </c>
      <c r="AE86" s="66">
        <f t="shared" ref="AE86:AE91" si="222">AB86</f>
        <v>0</v>
      </c>
      <c r="AF86" s="776">
        <f>$E$7*AH86</f>
        <v>0</v>
      </c>
      <c r="AG86" s="776">
        <f t="shared" ref="AG86:AG92" si="223">AH86-AF86</f>
        <v>0</v>
      </c>
      <c r="AH86" s="66">
        <f t="shared" ref="AH86:AH91" si="224">AE86</f>
        <v>0</v>
      </c>
      <c r="AI86" s="776">
        <f>$E$7*AK86</f>
        <v>0</v>
      </c>
      <c r="AJ86" s="776">
        <f t="shared" ref="AJ86:AJ92" si="225">AK86-AI86</f>
        <v>0</v>
      </c>
      <c r="AK86" s="66">
        <f t="shared" ref="AK86:AK91" si="226">AH86</f>
        <v>0</v>
      </c>
      <c r="AL86" s="776">
        <f>$E$7*AN86</f>
        <v>0</v>
      </c>
      <c r="AM86" s="776">
        <f t="shared" ref="AM86:AM92" si="227">AN86-AL86</f>
        <v>0</v>
      </c>
      <c r="AN86" s="66">
        <f t="shared" ref="AN86:AN91" si="228">AK86</f>
        <v>0</v>
      </c>
      <c r="AO86" s="776">
        <f>$E$7*AQ86</f>
        <v>0</v>
      </c>
      <c r="AP86" s="776">
        <f t="shared" ref="AP86:AP92" si="229">AQ86-AO86</f>
        <v>0</v>
      </c>
      <c r="AQ86" s="66">
        <f t="shared" ref="AQ86:AQ91" si="230">AN86</f>
        <v>0</v>
      </c>
      <c r="AR86" s="776">
        <f>$E$7*AT86</f>
        <v>0</v>
      </c>
      <c r="AS86" s="776">
        <f t="shared" ref="AS86:AS92" si="231">AT86-AR86</f>
        <v>0</v>
      </c>
      <c r="AT86" s="66">
        <f t="shared" ref="AT86:AT91" si="232">AQ86</f>
        <v>0</v>
      </c>
      <c r="AU86" s="776">
        <f>$E$7*AW86</f>
        <v>0</v>
      </c>
      <c r="AV86" s="776">
        <f t="shared" ref="AV86:AV92" si="233">AW86-AU86</f>
        <v>0</v>
      </c>
      <c r="AW86" s="66">
        <f t="shared" ref="AW86:AW91" si="234">AT86</f>
        <v>0</v>
      </c>
      <c r="AX86" s="776">
        <f>$E$7*AZ86</f>
        <v>0</v>
      </c>
      <c r="AY86" s="776">
        <f t="shared" ref="AY86:AY92" si="235">AZ86-AX86</f>
        <v>0</v>
      </c>
      <c r="AZ86" s="66">
        <f t="shared" ref="AZ86:AZ91" si="236">AW86</f>
        <v>0</v>
      </c>
      <c r="BA86" s="776">
        <f>$E$7*BC86</f>
        <v>0</v>
      </c>
      <c r="BB86" s="776">
        <f t="shared" ref="BB86:BB92" si="237">BC86-BA86</f>
        <v>0</v>
      </c>
      <c r="BC86" s="66">
        <f t="shared" ref="BC86:BC91" si="238">AZ86</f>
        <v>0</v>
      </c>
      <c r="BD86" s="776">
        <f>$E$7*BF86</f>
        <v>0</v>
      </c>
      <c r="BE86" s="776">
        <f t="shared" ref="BE86:BE92" si="239">BF86-BD86</f>
        <v>0</v>
      </c>
      <c r="BF86" s="66">
        <f t="shared" ref="BF86:BF91" si="240">BC86</f>
        <v>0</v>
      </c>
      <c r="BG86" s="776">
        <f>$E$7*BI86</f>
        <v>0</v>
      </c>
      <c r="BH86" s="776">
        <f t="shared" ref="BH86:BH92" si="241">BI86-BG86</f>
        <v>0</v>
      </c>
      <c r="BI86" s="66">
        <f t="shared" ref="BI86:BI91" si="242">BF86</f>
        <v>0</v>
      </c>
      <c r="BJ86" s="776">
        <f>$E$7*BL86</f>
        <v>0</v>
      </c>
      <c r="BK86" s="776">
        <f t="shared" ref="BK86:BK92" si="243">BL86-BJ86</f>
        <v>0</v>
      </c>
      <c r="BL86" s="66">
        <f t="shared" ref="BL86:BL91" si="244">BI86</f>
        <v>0</v>
      </c>
      <c r="BM86" s="776">
        <f>$E$7*BO86</f>
        <v>0</v>
      </c>
      <c r="BN86" s="776">
        <f t="shared" ref="BN86:BN92" si="245">BO86-BM86</f>
        <v>0</v>
      </c>
      <c r="BO86" s="66">
        <f t="shared" ref="BO86:BO91" si="246">BL86</f>
        <v>0</v>
      </c>
      <c r="BP86" s="5"/>
      <c r="BQ86" s="5"/>
      <c r="BR86" s="5"/>
      <c r="BS86" s="5"/>
      <c r="BT86" s="5"/>
      <c r="BU86" s="5"/>
      <c r="BV86" s="5"/>
    </row>
    <row r="87" spans="1:74" ht="14.4">
      <c r="C87" s="2059" t="str">
        <f>'6.1stYrOpBudget'!A87</f>
        <v xml:space="preserve">Bond Monitoring Fee </v>
      </c>
      <c r="D87" s="126"/>
      <c r="E87" s="126"/>
      <c r="F87" s="126"/>
      <c r="G87" s="64"/>
      <c r="H87" s="776">
        <f>'6.1stYrOpBudget'!D87</f>
        <v>0</v>
      </c>
      <c r="I87" s="776">
        <f>'6.1stYrOpBudget'!E87</f>
        <v>0</v>
      </c>
      <c r="J87" s="178">
        <f>'6.1stYrOpBudget'!F87</f>
        <v>0</v>
      </c>
      <c r="K87" s="776">
        <f>$E$7*M87</f>
        <v>0</v>
      </c>
      <c r="L87" s="776">
        <f t="shared" si="209"/>
        <v>0</v>
      </c>
      <c r="M87" s="66">
        <f t="shared" si="210"/>
        <v>0</v>
      </c>
      <c r="N87" s="776">
        <f>$E$7*P87</f>
        <v>0</v>
      </c>
      <c r="O87" s="776">
        <f t="shared" si="211"/>
        <v>0</v>
      </c>
      <c r="P87" s="66">
        <f t="shared" si="212"/>
        <v>0</v>
      </c>
      <c r="Q87" s="776">
        <f>$E$7*S87</f>
        <v>0</v>
      </c>
      <c r="R87" s="776">
        <f t="shared" si="213"/>
        <v>0</v>
      </c>
      <c r="S87" s="66">
        <f t="shared" si="214"/>
        <v>0</v>
      </c>
      <c r="T87" s="776">
        <f>$E$7*V87</f>
        <v>0</v>
      </c>
      <c r="U87" s="776">
        <f t="shared" si="215"/>
        <v>0</v>
      </c>
      <c r="V87" s="66">
        <f t="shared" si="216"/>
        <v>0</v>
      </c>
      <c r="W87" s="776">
        <f>$E$7*Y87</f>
        <v>0</v>
      </c>
      <c r="X87" s="776">
        <f t="shared" si="217"/>
        <v>0</v>
      </c>
      <c r="Y87" s="66">
        <f t="shared" si="218"/>
        <v>0</v>
      </c>
      <c r="Z87" s="776">
        <f>$E$7*AB87</f>
        <v>0</v>
      </c>
      <c r="AA87" s="776">
        <f t="shared" si="219"/>
        <v>0</v>
      </c>
      <c r="AB87" s="66">
        <f t="shared" si="220"/>
        <v>0</v>
      </c>
      <c r="AC87" s="776">
        <f>$E$7*AE87</f>
        <v>0</v>
      </c>
      <c r="AD87" s="776">
        <f t="shared" si="221"/>
        <v>0</v>
      </c>
      <c r="AE87" s="66">
        <f t="shared" si="222"/>
        <v>0</v>
      </c>
      <c r="AF87" s="776">
        <f>$E$7*AH87</f>
        <v>0</v>
      </c>
      <c r="AG87" s="776">
        <f t="shared" si="223"/>
        <v>0</v>
      </c>
      <c r="AH87" s="66">
        <f t="shared" si="224"/>
        <v>0</v>
      </c>
      <c r="AI87" s="776">
        <f>$E$7*AK87</f>
        <v>0</v>
      </c>
      <c r="AJ87" s="776">
        <f t="shared" si="225"/>
        <v>0</v>
      </c>
      <c r="AK87" s="66">
        <f t="shared" si="226"/>
        <v>0</v>
      </c>
      <c r="AL87" s="776">
        <f>$E$7*AN87</f>
        <v>0</v>
      </c>
      <c r="AM87" s="776">
        <f t="shared" si="227"/>
        <v>0</v>
      </c>
      <c r="AN87" s="66">
        <f t="shared" si="228"/>
        <v>0</v>
      </c>
      <c r="AO87" s="776">
        <f>$E$7*AQ87</f>
        <v>0</v>
      </c>
      <c r="AP87" s="776">
        <f t="shared" si="229"/>
        <v>0</v>
      </c>
      <c r="AQ87" s="66">
        <f t="shared" si="230"/>
        <v>0</v>
      </c>
      <c r="AR87" s="776">
        <f>$E$7*AT87</f>
        <v>0</v>
      </c>
      <c r="AS87" s="776">
        <f t="shared" si="231"/>
        <v>0</v>
      </c>
      <c r="AT87" s="66">
        <f t="shared" si="232"/>
        <v>0</v>
      </c>
      <c r="AU87" s="776">
        <f>$E$7*AW87</f>
        <v>0</v>
      </c>
      <c r="AV87" s="776">
        <f t="shared" si="233"/>
        <v>0</v>
      </c>
      <c r="AW87" s="66">
        <f t="shared" si="234"/>
        <v>0</v>
      </c>
      <c r="AX87" s="776">
        <f>$E$7*AZ87</f>
        <v>0</v>
      </c>
      <c r="AY87" s="776">
        <f t="shared" si="235"/>
        <v>0</v>
      </c>
      <c r="AZ87" s="66">
        <f t="shared" si="236"/>
        <v>0</v>
      </c>
      <c r="BA87" s="776">
        <f>$E$7*BC87</f>
        <v>0</v>
      </c>
      <c r="BB87" s="776">
        <f t="shared" si="237"/>
        <v>0</v>
      </c>
      <c r="BC87" s="66">
        <f t="shared" si="238"/>
        <v>0</v>
      </c>
      <c r="BD87" s="776">
        <f>$E$7*BF87</f>
        <v>0</v>
      </c>
      <c r="BE87" s="776">
        <f t="shared" si="239"/>
        <v>0</v>
      </c>
      <c r="BF87" s="66">
        <f t="shared" si="240"/>
        <v>0</v>
      </c>
      <c r="BG87" s="776">
        <f>$E$7*BI87</f>
        <v>0</v>
      </c>
      <c r="BH87" s="776">
        <f t="shared" si="241"/>
        <v>0</v>
      </c>
      <c r="BI87" s="66">
        <f t="shared" si="242"/>
        <v>0</v>
      </c>
      <c r="BJ87" s="776">
        <f>$E$7*BL87</f>
        <v>0</v>
      </c>
      <c r="BK87" s="776">
        <f t="shared" si="243"/>
        <v>0</v>
      </c>
      <c r="BL87" s="66">
        <f t="shared" si="244"/>
        <v>0</v>
      </c>
      <c r="BM87" s="776">
        <f>$E$7*BO87</f>
        <v>0</v>
      </c>
      <c r="BN87" s="776">
        <f t="shared" si="245"/>
        <v>0</v>
      </c>
      <c r="BO87" s="66">
        <f t="shared" si="246"/>
        <v>0</v>
      </c>
      <c r="BP87" s="5"/>
      <c r="BQ87" s="5"/>
      <c r="BR87" s="5"/>
      <c r="BS87" s="5"/>
      <c r="BT87" s="5"/>
      <c r="BU87" s="5"/>
      <c r="BV87" s="5"/>
    </row>
    <row r="88" spans="1:74" ht="14.4">
      <c r="A88" s="729" t="str">
        <f>IF('6.1stYrOpBudget'!K88&lt;&gt;"",'6.1stYrOpBudget'!K88,"")</f>
        <v/>
      </c>
      <c r="B88" s="729" t="str">
        <f>'6.1stYrOpBudget'!L88</f>
        <v/>
      </c>
      <c r="C88" s="2059" t="str">
        <f>'6.1stYrOpBudget'!A88</f>
        <v>Replacement Reserve Deposit</v>
      </c>
      <c r="D88" s="1071"/>
      <c r="E88" s="126"/>
      <c r="F88" s="126"/>
      <c r="G88" s="64"/>
      <c r="H88" s="776">
        <f>'6.1stYrOpBudget'!D88</f>
        <v>0</v>
      </c>
      <c r="I88" s="776">
        <f>'6.1stYrOpBudget'!E88</f>
        <v>0</v>
      </c>
      <c r="J88" s="178">
        <f>'6.1stYrOpBudget'!F88</f>
        <v>0</v>
      </c>
      <c r="K88" s="776">
        <f>IF($A88&lt;&gt;"",$A88*M88,$E$7*M88)</f>
        <v>0</v>
      </c>
      <c r="L88" s="776">
        <f t="shared" si="209"/>
        <v>0</v>
      </c>
      <c r="M88" s="66">
        <f t="shared" si="210"/>
        <v>0</v>
      </c>
      <c r="N88" s="776">
        <f>IF($A88&lt;&gt;"",$A88*P88,$E$7*P88)</f>
        <v>0</v>
      </c>
      <c r="O88" s="776">
        <f t="shared" si="211"/>
        <v>0</v>
      </c>
      <c r="P88" s="66">
        <f t="shared" si="212"/>
        <v>0</v>
      </c>
      <c r="Q88" s="776">
        <f>IF($A88&lt;&gt;"",$A88*S88,$E$7*S88)</f>
        <v>0</v>
      </c>
      <c r="R88" s="776">
        <f t="shared" si="213"/>
        <v>0</v>
      </c>
      <c r="S88" s="66">
        <f t="shared" si="214"/>
        <v>0</v>
      </c>
      <c r="T88" s="776">
        <f>IF($A88&lt;&gt;"",$A88*V88,$E$7*V88)</f>
        <v>0</v>
      </c>
      <c r="U88" s="776">
        <f t="shared" si="215"/>
        <v>0</v>
      </c>
      <c r="V88" s="66">
        <f t="shared" si="216"/>
        <v>0</v>
      </c>
      <c r="W88" s="776">
        <f>IF($A88&lt;&gt;"",$A88*Y88,$E$7*Y88)</f>
        <v>0</v>
      </c>
      <c r="X88" s="776">
        <f t="shared" si="217"/>
        <v>0</v>
      </c>
      <c r="Y88" s="66">
        <f t="shared" si="218"/>
        <v>0</v>
      </c>
      <c r="Z88" s="776">
        <f>IF($A88&lt;&gt;"",$A88*AB88,$E$7*AB88)</f>
        <v>0</v>
      </c>
      <c r="AA88" s="776">
        <f t="shared" si="219"/>
        <v>0</v>
      </c>
      <c r="AB88" s="66">
        <f t="shared" si="220"/>
        <v>0</v>
      </c>
      <c r="AC88" s="776">
        <f>IF($A88&lt;&gt;"",$A88*AE88,$E$7*AE88)</f>
        <v>0</v>
      </c>
      <c r="AD88" s="776">
        <f t="shared" si="221"/>
        <v>0</v>
      </c>
      <c r="AE88" s="66">
        <f t="shared" si="222"/>
        <v>0</v>
      </c>
      <c r="AF88" s="776">
        <f>IF($A88&lt;&gt;"",$A88*AH88,$E$7*AH88)</f>
        <v>0</v>
      </c>
      <c r="AG88" s="776">
        <f t="shared" si="223"/>
        <v>0</v>
      </c>
      <c r="AH88" s="66">
        <f t="shared" si="224"/>
        <v>0</v>
      </c>
      <c r="AI88" s="776">
        <f>IF($A88&lt;&gt;"",$A88*AK88,$E$7*AK88)</f>
        <v>0</v>
      </c>
      <c r="AJ88" s="776">
        <f t="shared" si="225"/>
        <v>0</v>
      </c>
      <c r="AK88" s="66">
        <f t="shared" si="226"/>
        <v>0</v>
      </c>
      <c r="AL88" s="776">
        <f>IF($A88&lt;&gt;"",$A88*AN88,$E$7*AN88)</f>
        <v>0</v>
      </c>
      <c r="AM88" s="776">
        <f t="shared" si="227"/>
        <v>0</v>
      </c>
      <c r="AN88" s="66">
        <f t="shared" si="228"/>
        <v>0</v>
      </c>
      <c r="AO88" s="776">
        <f>IF($A88&lt;&gt;"",$A88*AQ88,$E$7*AQ88)</f>
        <v>0</v>
      </c>
      <c r="AP88" s="776">
        <f t="shared" si="229"/>
        <v>0</v>
      </c>
      <c r="AQ88" s="66">
        <f t="shared" si="230"/>
        <v>0</v>
      </c>
      <c r="AR88" s="776">
        <f>IF($A88&lt;&gt;"",$A88*AT88,$E$7*AT88)</f>
        <v>0</v>
      </c>
      <c r="AS88" s="776">
        <f t="shared" si="231"/>
        <v>0</v>
      </c>
      <c r="AT88" s="66">
        <f t="shared" si="232"/>
        <v>0</v>
      </c>
      <c r="AU88" s="776">
        <f>IF($A88&lt;&gt;"",$A88*AW88,$E$7*AW88)</f>
        <v>0</v>
      </c>
      <c r="AV88" s="776">
        <f t="shared" si="233"/>
        <v>0</v>
      </c>
      <c r="AW88" s="66">
        <f t="shared" si="234"/>
        <v>0</v>
      </c>
      <c r="AX88" s="776">
        <f>IF($A88&lt;&gt;"",$A88*AZ88,$E$7*AZ88)</f>
        <v>0</v>
      </c>
      <c r="AY88" s="776">
        <f t="shared" si="235"/>
        <v>0</v>
      </c>
      <c r="AZ88" s="66">
        <f t="shared" si="236"/>
        <v>0</v>
      </c>
      <c r="BA88" s="776">
        <f>IF($A88&lt;&gt;"",$A88*BC88,$E$7*BC88)</f>
        <v>0</v>
      </c>
      <c r="BB88" s="776">
        <f t="shared" si="237"/>
        <v>0</v>
      </c>
      <c r="BC88" s="66">
        <f t="shared" si="238"/>
        <v>0</v>
      </c>
      <c r="BD88" s="776">
        <f>IF($A88&lt;&gt;"",$A88*BF88,$E$7*BF88)</f>
        <v>0</v>
      </c>
      <c r="BE88" s="776">
        <f t="shared" si="239"/>
        <v>0</v>
      </c>
      <c r="BF88" s="66">
        <f t="shared" si="240"/>
        <v>0</v>
      </c>
      <c r="BG88" s="776">
        <f>IF($A88&lt;&gt;"",$A88*BI88,$E$7*BI88)</f>
        <v>0</v>
      </c>
      <c r="BH88" s="776">
        <f t="shared" si="241"/>
        <v>0</v>
      </c>
      <c r="BI88" s="66">
        <f t="shared" si="242"/>
        <v>0</v>
      </c>
      <c r="BJ88" s="776">
        <f>IF($A88&lt;&gt;"",$A88*BL88,$E$7*BL88)</f>
        <v>0</v>
      </c>
      <c r="BK88" s="776">
        <f t="shared" si="243"/>
        <v>0</v>
      </c>
      <c r="BL88" s="66">
        <f t="shared" si="244"/>
        <v>0</v>
      </c>
      <c r="BM88" s="776">
        <f>IF($A88&lt;&gt;"",$A88*BO88,$E$7*BO88)</f>
        <v>0</v>
      </c>
      <c r="BN88" s="776">
        <f t="shared" si="245"/>
        <v>0</v>
      </c>
      <c r="BO88" s="66">
        <f t="shared" si="246"/>
        <v>0</v>
      </c>
      <c r="BP88" s="5"/>
      <c r="BQ88" s="5"/>
      <c r="BR88" s="5"/>
      <c r="BS88" s="5"/>
      <c r="BT88" s="5"/>
      <c r="BU88" s="5"/>
      <c r="BV88" s="5"/>
    </row>
    <row r="89" spans="1:74" ht="14.4">
      <c r="A89" s="729" t="str">
        <f>IF('6.1stYrOpBudget'!K89&lt;&gt;"",'6.1stYrOpBudget'!K89,"")</f>
        <v/>
      </c>
      <c r="B89" s="729" t="str">
        <f>'6.1stYrOpBudget'!L89</f>
        <v/>
      </c>
      <c r="C89" s="2059" t="str">
        <f>'6.1stYrOpBudget'!A89</f>
        <v>Operating Reserve Deposit</v>
      </c>
      <c r="D89" s="1071"/>
      <c r="E89" s="126"/>
      <c r="F89" s="126"/>
      <c r="G89" s="64"/>
      <c r="H89" s="776">
        <f>'6.1stYrOpBudget'!D89</f>
        <v>0</v>
      </c>
      <c r="I89" s="776">
        <f>'6.1stYrOpBudget'!E89</f>
        <v>0</v>
      </c>
      <c r="J89" s="178">
        <f>'6.1stYrOpBudget'!F89</f>
        <v>0</v>
      </c>
      <c r="K89" s="776">
        <f>IF($A89&lt;&gt;"",$A89*M89,$E$7*M89)</f>
        <v>0</v>
      </c>
      <c r="L89" s="776">
        <f t="shared" si="209"/>
        <v>0</v>
      </c>
      <c r="M89" s="66">
        <f t="shared" si="210"/>
        <v>0</v>
      </c>
      <c r="N89" s="776">
        <f>IF($A89&lt;&gt;"",$A89*P89,$E$7*P89)</f>
        <v>0</v>
      </c>
      <c r="O89" s="776">
        <f t="shared" si="211"/>
        <v>0</v>
      </c>
      <c r="P89" s="66">
        <f t="shared" si="212"/>
        <v>0</v>
      </c>
      <c r="Q89" s="776">
        <f>IF($A89&lt;&gt;"",$A89*S89,$E$7*S89)</f>
        <v>0</v>
      </c>
      <c r="R89" s="776">
        <f t="shared" si="213"/>
        <v>0</v>
      </c>
      <c r="S89" s="66">
        <f t="shared" si="214"/>
        <v>0</v>
      </c>
      <c r="T89" s="776">
        <f>IF($A89&lt;&gt;"",$A89*V89,$E$7*V89)</f>
        <v>0</v>
      </c>
      <c r="U89" s="776">
        <f t="shared" si="215"/>
        <v>0</v>
      </c>
      <c r="V89" s="66">
        <f t="shared" si="216"/>
        <v>0</v>
      </c>
      <c r="W89" s="776">
        <f>IF($A89&lt;&gt;"",$A89*Y89,$E$7*Y89)</f>
        <v>0</v>
      </c>
      <c r="X89" s="776">
        <f t="shared" si="217"/>
        <v>0</v>
      </c>
      <c r="Y89" s="66">
        <f t="shared" si="218"/>
        <v>0</v>
      </c>
      <c r="Z89" s="776">
        <f>IF($A89&lt;&gt;"",$A89*AB89,$E$7*AB89)</f>
        <v>0</v>
      </c>
      <c r="AA89" s="776">
        <f t="shared" si="219"/>
        <v>0</v>
      </c>
      <c r="AB89" s="66">
        <f t="shared" si="220"/>
        <v>0</v>
      </c>
      <c r="AC89" s="776">
        <f>IF($A89&lt;&gt;"",$A89*AE89,$E$7*AE89)</f>
        <v>0</v>
      </c>
      <c r="AD89" s="776">
        <f t="shared" si="221"/>
        <v>0</v>
      </c>
      <c r="AE89" s="66">
        <f t="shared" si="222"/>
        <v>0</v>
      </c>
      <c r="AF89" s="776">
        <f>IF($A89&lt;&gt;"",$A89*AH89,$E$7*AH89)</f>
        <v>0</v>
      </c>
      <c r="AG89" s="776">
        <f t="shared" si="223"/>
        <v>0</v>
      </c>
      <c r="AH89" s="66">
        <f t="shared" si="224"/>
        <v>0</v>
      </c>
      <c r="AI89" s="776">
        <f>IF($A89&lt;&gt;"",$A89*AK89,$E$7*AK89)</f>
        <v>0</v>
      </c>
      <c r="AJ89" s="776">
        <f t="shared" si="225"/>
        <v>0</v>
      </c>
      <c r="AK89" s="66">
        <f t="shared" si="226"/>
        <v>0</v>
      </c>
      <c r="AL89" s="776">
        <f>IF($A89&lt;&gt;"",$A89*AN89,$E$7*AN89)</f>
        <v>0</v>
      </c>
      <c r="AM89" s="776">
        <f t="shared" si="227"/>
        <v>0</v>
      </c>
      <c r="AN89" s="66">
        <f t="shared" si="228"/>
        <v>0</v>
      </c>
      <c r="AO89" s="776">
        <f>IF($A89&lt;&gt;"",$A89*AQ89,$E$7*AQ89)</f>
        <v>0</v>
      </c>
      <c r="AP89" s="776">
        <f t="shared" si="229"/>
        <v>0</v>
      </c>
      <c r="AQ89" s="66">
        <f t="shared" si="230"/>
        <v>0</v>
      </c>
      <c r="AR89" s="776">
        <f>IF($A89&lt;&gt;"",$A89*AT89,$E$7*AT89)</f>
        <v>0</v>
      </c>
      <c r="AS89" s="776">
        <f t="shared" si="231"/>
        <v>0</v>
      </c>
      <c r="AT89" s="66">
        <f t="shared" si="232"/>
        <v>0</v>
      </c>
      <c r="AU89" s="776">
        <f>IF($A89&lt;&gt;"",$A89*AW89,$E$7*AW89)</f>
        <v>0</v>
      </c>
      <c r="AV89" s="776">
        <f t="shared" si="233"/>
        <v>0</v>
      </c>
      <c r="AW89" s="66">
        <f t="shared" si="234"/>
        <v>0</v>
      </c>
      <c r="AX89" s="776">
        <f>IF($A89&lt;&gt;"",$A89*AZ89,$E$7*AZ89)</f>
        <v>0</v>
      </c>
      <c r="AY89" s="776">
        <f t="shared" si="235"/>
        <v>0</v>
      </c>
      <c r="AZ89" s="66">
        <f t="shared" si="236"/>
        <v>0</v>
      </c>
      <c r="BA89" s="776">
        <f>IF($A89&lt;&gt;"",$A89*BC89,$E$7*BC89)</f>
        <v>0</v>
      </c>
      <c r="BB89" s="776">
        <f t="shared" si="237"/>
        <v>0</v>
      </c>
      <c r="BC89" s="66">
        <f t="shared" si="238"/>
        <v>0</v>
      </c>
      <c r="BD89" s="776">
        <f>IF($A89&lt;&gt;"",$A89*BF89,$E$7*BF89)</f>
        <v>0</v>
      </c>
      <c r="BE89" s="776">
        <f t="shared" si="239"/>
        <v>0</v>
      </c>
      <c r="BF89" s="66">
        <f t="shared" si="240"/>
        <v>0</v>
      </c>
      <c r="BG89" s="776">
        <f>IF($A89&lt;&gt;"",$A89*BI89,$E$7*BI89)</f>
        <v>0</v>
      </c>
      <c r="BH89" s="776">
        <f t="shared" si="241"/>
        <v>0</v>
      </c>
      <c r="BI89" s="66">
        <f t="shared" si="242"/>
        <v>0</v>
      </c>
      <c r="BJ89" s="776">
        <f>IF($A89&lt;&gt;"",$A89*BL89,$E$7*BL89)</f>
        <v>0</v>
      </c>
      <c r="BK89" s="776">
        <f t="shared" si="243"/>
        <v>0</v>
      </c>
      <c r="BL89" s="66">
        <f t="shared" si="244"/>
        <v>0</v>
      </c>
      <c r="BM89" s="776">
        <f>IF($A89&lt;&gt;"",$A89*BO89,$E$7*BO89)</f>
        <v>0</v>
      </c>
      <c r="BN89" s="776">
        <f t="shared" si="245"/>
        <v>0</v>
      </c>
      <c r="BO89" s="66">
        <f t="shared" si="246"/>
        <v>0</v>
      </c>
      <c r="BP89" s="5"/>
      <c r="BQ89" s="5"/>
      <c r="BR89" s="5"/>
      <c r="BS89" s="5"/>
      <c r="BT89" s="5"/>
      <c r="BU89" s="5"/>
      <c r="BV89" s="5"/>
    </row>
    <row r="90" spans="1:74" ht="14.4">
      <c r="A90" s="729" t="str">
        <f>IF('6.1stYrOpBudget'!K90&lt;&gt;"",'6.1stYrOpBudget'!K90,"")</f>
        <v/>
      </c>
      <c r="B90" s="729" t="str">
        <f>'6.1stYrOpBudget'!L90</f>
        <v/>
      </c>
      <c r="C90" s="2059" t="str">
        <f>'6.1stYrOpBudget'!A90</f>
        <v>Other Required Reserve 1 Deposit</v>
      </c>
      <c r="D90" s="1071"/>
      <c r="E90" s="126"/>
      <c r="F90" s="126"/>
      <c r="G90" s="64"/>
      <c r="H90" s="776">
        <f>'6.1stYrOpBudget'!D90</f>
        <v>0</v>
      </c>
      <c r="I90" s="776">
        <f>'6.1stYrOpBudget'!E90</f>
        <v>0</v>
      </c>
      <c r="J90" s="178">
        <f>'6.1stYrOpBudget'!F90</f>
        <v>0</v>
      </c>
      <c r="K90" s="776">
        <f>IF($A90&lt;&gt;"",$A90*M90,$E$7*M90)</f>
        <v>0</v>
      </c>
      <c r="L90" s="776">
        <f t="shared" si="209"/>
        <v>0</v>
      </c>
      <c r="M90" s="66">
        <f t="shared" si="210"/>
        <v>0</v>
      </c>
      <c r="N90" s="776">
        <f>IF($A90&lt;&gt;"",$A90*P90,$E$7*P90)</f>
        <v>0</v>
      </c>
      <c r="O90" s="776">
        <f t="shared" si="211"/>
        <v>0</v>
      </c>
      <c r="P90" s="66">
        <f t="shared" si="212"/>
        <v>0</v>
      </c>
      <c r="Q90" s="776">
        <f>IF($A90&lt;&gt;"",$A90*S90,$E$7*S90)</f>
        <v>0</v>
      </c>
      <c r="R90" s="776">
        <f t="shared" si="213"/>
        <v>0</v>
      </c>
      <c r="S90" s="66">
        <f t="shared" si="214"/>
        <v>0</v>
      </c>
      <c r="T90" s="776">
        <f>IF($A90&lt;&gt;"",$A90*V90,$E$7*V90)</f>
        <v>0</v>
      </c>
      <c r="U90" s="776">
        <f t="shared" si="215"/>
        <v>0</v>
      </c>
      <c r="V90" s="66">
        <f t="shared" si="216"/>
        <v>0</v>
      </c>
      <c r="W90" s="776">
        <f>IF($A90&lt;&gt;"",$A90*Y90,$E$7*Y90)</f>
        <v>0</v>
      </c>
      <c r="X90" s="776">
        <f t="shared" si="217"/>
        <v>0</v>
      </c>
      <c r="Y90" s="66">
        <f t="shared" si="218"/>
        <v>0</v>
      </c>
      <c r="Z90" s="776">
        <f>IF($A90&lt;&gt;"",$A90*AB90,$E$7*AB90)</f>
        <v>0</v>
      </c>
      <c r="AA90" s="776">
        <f t="shared" si="219"/>
        <v>0</v>
      </c>
      <c r="AB90" s="66">
        <f t="shared" si="220"/>
        <v>0</v>
      </c>
      <c r="AC90" s="776">
        <f>IF($A90&lt;&gt;"",$A90*AE90,$E$7*AE90)</f>
        <v>0</v>
      </c>
      <c r="AD90" s="776">
        <f t="shared" si="221"/>
        <v>0</v>
      </c>
      <c r="AE90" s="66">
        <f t="shared" si="222"/>
        <v>0</v>
      </c>
      <c r="AF90" s="776">
        <f>IF($A90&lt;&gt;"",$A90*AH90,$E$7*AH90)</f>
        <v>0</v>
      </c>
      <c r="AG90" s="776">
        <f t="shared" si="223"/>
        <v>0</v>
      </c>
      <c r="AH90" s="66">
        <f t="shared" si="224"/>
        <v>0</v>
      </c>
      <c r="AI90" s="776">
        <f>IF($A90&lt;&gt;"",$A90*AK90,$E$7*AK90)</f>
        <v>0</v>
      </c>
      <c r="AJ90" s="776">
        <f t="shared" si="225"/>
        <v>0</v>
      </c>
      <c r="AK90" s="66">
        <f t="shared" si="226"/>
        <v>0</v>
      </c>
      <c r="AL90" s="776">
        <f>IF($A90&lt;&gt;"",$A90*AN90,$E$7*AN90)</f>
        <v>0</v>
      </c>
      <c r="AM90" s="776">
        <f t="shared" si="227"/>
        <v>0</v>
      </c>
      <c r="AN90" s="66">
        <f t="shared" si="228"/>
        <v>0</v>
      </c>
      <c r="AO90" s="776">
        <f>IF($A90&lt;&gt;"",$A90*AQ90,$E$7*AQ90)</f>
        <v>0</v>
      </c>
      <c r="AP90" s="776">
        <f t="shared" si="229"/>
        <v>0</v>
      </c>
      <c r="AQ90" s="66">
        <f t="shared" si="230"/>
        <v>0</v>
      </c>
      <c r="AR90" s="776">
        <f>IF($A90&lt;&gt;"",$A90*AT90,$E$7*AT90)</f>
        <v>0</v>
      </c>
      <c r="AS90" s="776">
        <f t="shared" si="231"/>
        <v>0</v>
      </c>
      <c r="AT90" s="66">
        <f t="shared" si="232"/>
        <v>0</v>
      </c>
      <c r="AU90" s="776">
        <f>IF($A90&lt;&gt;"",$A90*AW90,$E$7*AW90)</f>
        <v>0</v>
      </c>
      <c r="AV90" s="776">
        <f t="shared" si="233"/>
        <v>0</v>
      </c>
      <c r="AW90" s="66">
        <f t="shared" si="234"/>
        <v>0</v>
      </c>
      <c r="AX90" s="776">
        <f>IF($A90&lt;&gt;"",$A90*AZ90,$E$7*AZ90)</f>
        <v>0</v>
      </c>
      <c r="AY90" s="776">
        <f t="shared" si="235"/>
        <v>0</v>
      </c>
      <c r="AZ90" s="66">
        <f t="shared" si="236"/>
        <v>0</v>
      </c>
      <c r="BA90" s="776">
        <f>IF($A90&lt;&gt;"",$A90*BC90,$E$7*BC90)</f>
        <v>0</v>
      </c>
      <c r="BB90" s="776">
        <f t="shared" si="237"/>
        <v>0</v>
      </c>
      <c r="BC90" s="66">
        <f t="shared" si="238"/>
        <v>0</v>
      </c>
      <c r="BD90" s="776">
        <f>IF($A90&lt;&gt;"",$A90*BF90,$E$7*BF90)</f>
        <v>0</v>
      </c>
      <c r="BE90" s="776">
        <f t="shared" si="239"/>
        <v>0</v>
      </c>
      <c r="BF90" s="66">
        <f t="shared" si="240"/>
        <v>0</v>
      </c>
      <c r="BG90" s="776">
        <f>IF($A90&lt;&gt;"",$A90*BI90,$E$7*BI90)</f>
        <v>0</v>
      </c>
      <c r="BH90" s="776">
        <f t="shared" si="241"/>
        <v>0</v>
      </c>
      <c r="BI90" s="66">
        <f t="shared" si="242"/>
        <v>0</v>
      </c>
      <c r="BJ90" s="776">
        <f>IF($A90&lt;&gt;"",$A90*BL90,$E$7*BL90)</f>
        <v>0</v>
      </c>
      <c r="BK90" s="776">
        <f t="shared" si="243"/>
        <v>0</v>
      </c>
      <c r="BL90" s="66">
        <f t="shared" si="244"/>
        <v>0</v>
      </c>
      <c r="BM90" s="776">
        <f>IF($A90&lt;&gt;"",$A90*BO90,$E$7*BO90)</f>
        <v>0</v>
      </c>
      <c r="BN90" s="776">
        <f t="shared" si="245"/>
        <v>0</v>
      </c>
      <c r="BO90" s="66">
        <f t="shared" si="246"/>
        <v>0</v>
      </c>
      <c r="BP90" s="5"/>
      <c r="BQ90" s="5"/>
      <c r="BR90" s="5"/>
      <c r="BS90" s="5"/>
      <c r="BT90" s="5"/>
      <c r="BU90" s="5"/>
      <c r="BV90" s="5"/>
    </row>
    <row r="91" spans="1:74" ht="14.4">
      <c r="C91" s="2059" t="str">
        <f>'6.1stYrOpBudget'!A91</f>
        <v>Other Required Reserve 2 Deposit</v>
      </c>
      <c r="D91" s="126"/>
      <c r="E91" s="126"/>
      <c r="F91" s="126"/>
      <c r="G91" s="64"/>
      <c r="H91" s="776">
        <f>'6.1stYrOpBudget'!D91</f>
        <v>0</v>
      </c>
      <c r="I91" s="776">
        <f>'6.1stYrOpBudget'!E91</f>
        <v>0</v>
      </c>
      <c r="J91" s="178">
        <f>'6.1stYrOpBudget'!F91</f>
        <v>0</v>
      </c>
      <c r="K91" s="776">
        <f>$E$7*M91</f>
        <v>0</v>
      </c>
      <c r="L91" s="776">
        <f t="shared" si="209"/>
        <v>0</v>
      </c>
      <c r="M91" s="66">
        <f t="shared" si="210"/>
        <v>0</v>
      </c>
      <c r="N91" s="776">
        <f>$E$7*P91</f>
        <v>0</v>
      </c>
      <c r="O91" s="776">
        <f t="shared" si="211"/>
        <v>0</v>
      </c>
      <c r="P91" s="66">
        <f t="shared" si="212"/>
        <v>0</v>
      </c>
      <c r="Q91" s="776">
        <f>$E$7*S91</f>
        <v>0</v>
      </c>
      <c r="R91" s="776">
        <f t="shared" si="213"/>
        <v>0</v>
      </c>
      <c r="S91" s="66">
        <f t="shared" si="214"/>
        <v>0</v>
      </c>
      <c r="T91" s="776">
        <f>$E$7*V91</f>
        <v>0</v>
      </c>
      <c r="U91" s="776">
        <f t="shared" si="215"/>
        <v>0</v>
      </c>
      <c r="V91" s="66">
        <f t="shared" si="216"/>
        <v>0</v>
      </c>
      <c r="W91" s="776">
        <f>$E$7*Y91</f>
        <v>0</v>
      </c>
      <c r="X91" s="776">
        <f t="shared" si="217"/>
        <v>0</v>
      </c>
      <c r="Y91" s="66">
        <f t="shared" si="218"/>
        <v>0</v>
      </c>
      <c r="Z91" s="776">
        <f>$E$7*AB91</f>
        <v>0</v>
      </c>
      <c r="AA91" s="776">
        <f t="shared" si="219"/>
        <v>0</v>
      </c>
      <c r="AB91" s="66">
        <f t="shared" si="220"/>
        <v>0</v>
      </c>
      <c r="AC91" s="776">
        <f>$E$7*AE91</f>
        <v>0</v>
      </c>
      <c r="AD91" s="776">
        <f t="shared" si="221"/>
        <v>0</v>
      </c>
      <c r="AE91" s="66">
        <f t="shared" si="222"/>
        <v>0</v>
      </c>
      <c r="AF91" s="776">
        <f>$E$7*AH91</f>
        <v>0</v>
      </c>
      <c r="AG91" s="776">
        <f t="shared" si="223"/>
        <v>0</v>
      </c>
      <c r="AH91" s="66">
        <f t="shared" si="224"/>
        <v>0</v>
      </c>
      <c r="AI91" s="776">
        <f>$E$7*AK91</f>
        <v>0</v>
      </c>
      <c r="AJ91" s="776">
        <f t="shared" si="225"/>
        <v>0</v>
      </c>
      <c r="AK91" s="66">
        <f t="shared" si="226"/>
        <v>0</v>
      </c>
      <c r="AL91" s="776">
        <f>$E$7*AN91</f>
        <v>0</v>
      </c>
      <c r="AM91" s="776">
        <f t="shared" si="227"/>
        <v>0</v>
      </c>
      <c r="AN91" s="66">
        <f t="shared" si="228"/>
        <v>0</v>
      </c>
      <c r="AO91" s="776">
        <f>$E$7*AQ91</f>
        <v>0</v>
      </c>
      <c r="AP91" s="776">
        <f t="shared" si="229"/>
        <v>0</v>
      </c>
      <c r="AQ91" s="66">
        <f t="shared" si="230"/>
        <v>0</v>
      </c>
      <c r="AR91" s="776">
        <f>$E$7*AT91</f>
        <v>0</v>
      </c>
      <c r="AS91" s="776">
        <f t="shared" si="231"/>
        <v>0</v>
      </c>
      <c r="AT91" s="66">
        <f t="shared" si="232"/>
        <v>0</v>
      </c>
      <c r="AU91" s="776">
        <f>$E$7*AW91</f>
        <v>0</v>
      </c>
      <c r="AV91" s="776">
        <f t="shared" si="233"/>
        <v>0</v>
      </c>
      <c r="AW91" s="66">
        <f t="shared" si="234"/>
        <v>0</v>
      </c>
      <c r="AX91" s="776">
        <f>$E$7*AZ91</f>
        <v>0</v>
      </c>
      <c r="AY91" s="776">
        <f t="shared" si="235"/>
        <v>0</v>
      </c>
      <c r="AZ91" s="66">
        <f t="shared" si="236"/>
        <v>0</v>
      </c>
      <c r="BA91" s="776">
        <f>$E$7*BC91</f>
        <v>0</v>
      </c>
      <c r="BB91" s="776">
        <f t="shared" si="237"/>
        <v>0</v>
      </c>
      <c r="BC91" s="66">
        <f t="shared" si="238"/>
        <v>0</v>
      </c>
      <c r="BD91" s="776">
        <f>$E$7*BF91</f>
        <v>0</v>
      </c>
      <c r="BE91" s="776">
        <f t="shared" si="239"/>
        <v>0</v>
      </c>
      <c r="BF91" s="66">
        <f t="shared" si="240"/>
        <v>0</v>
      </c>
      <c r="BG91" s="776">
        <f>$E$7*BI91</f>
        <v>0</v>
      </c>
      <c r="BH91" s="776">
        <f t="shared" si="241"/>
        <v>0</v>
      </c>
      <c r="BI91" s="66">
        <f t="shared" si="242"/>
        <v>0</v>
      </c>
      <c r="BJ91" s="776">
        <f>$E$7*BL91</f>
        <v>0</v>
      </c>
      <c r="BK91" s="776">
        <f t="shared" si="243"/>
        <v>0</v>
      </c>
      <c r="BL91" s="66">
        <f t="shared" si="244"/>
        <v>0</v>
      </c>
      <c r="BM91" s="776">
        <f>$E$7*BO91</f>
        <v>0</v>
      </c>
      <c r="BN91" s="776">
        <f t="shared" si="245"/>
        <v>0</v>
      </c>
      <c r="BO91" s="66">
        <f t="shared" si="246"/>
        <v>0</v>
      </c>
      <c r="BP91" s="5"/>
      <c r="BQ91" s="5"/>
      <c r="BR91" s="5"/>
      <c r="BS91" s="5"/>
      <c r="BT91" s="5"/>
      <c r="BU91" s="5"/>
      <c r="BV91" s="5"/>
    </row>
    <row r="92" spans="1:74" ht="21.6">
      <c r="C92" s="2059" t="str">
        <f>'6.1stYrOpBudget'!A92</f>
        <v>Required Reserve Deposit/s, Commercial</v>
      </c>
      <c r="D92" s="126"/>
      <c r="E92" s="126"/>
      <c r="F92" s="126"/>
      <c r="G92" s="1661" t="str">
        <f>"from 'Commercial Op. Budget' Worksheet; Commercial to Residential allocation: "&amp; '5.CommOp.Budget'!$C$2 *100 &amp;"%"</f>
        <v>from 'Commercial Op. Budget' Worksheet; Commercial to Residential allocation: 100%</v>
      </c>
      <c r="H92" s="776">
        <f>'6.1stYrOpBudget'!D92</f>
        <v>0</v>
      </c>
      <c r="I92" s="776">
        <f>'6.1stYrOpBudget'!E92</f>
        <v>0</v>
      </c>
      <c r="J92" s="227">
        <f>'5.CommOp.Budget'!E78*'5.CommOp.Budget'!$C$2</f>
        <v>0</v>
      </c>
      <c r="K92" s="776">
        <f>$E$7*M92</f>
        <v>0</v>
      </c>
      <c r="L92" s="776">
        <f t="shared" si="209"/>
        <v>0</v>
      </c>
      <c r="M92" s="227">
        <f>'5.CommOp.Budget'!F78*'5.CommOp.Budget'!$C$2</f>
        <v>0</v>
      </c>
      <c r="N92" s="776">
        <f>$E$7*P92</f>
        <v>0</v>
      </c>
      <c r="O92" s="776">
        <f t="shared" si="211"/>
        <v>0</v>
      </c>
      <c r="P92" s="227">
        <f>'5.CommOp.Budget'!G78*'5.CommOp.Budget'!$C$2</f>
        <v>0</v>
      </c>
      <c r="Q92" s="776">
        <f>$E$7*S92</f>
        <v>0</v>
      </c>
      <c r="R92" s="776">
        <f t="shared" si="213"/>
        <v>0</v>
      </c>
      <c r="S92" s="227">
        <f>'5.CommOp.Budget'!H78*'5.CommOp.Budget'!$C$2</f>
        <v>0</v>
      </c>
      <c r="T92" s="776">
        <f>$E$7*V92</f>
        <v>0</v>
      </c>
      <c r="U92" s="776">
        <f t="shared" si="215"/>
        <v>0</v>
      </c>
      <c r="V92" s="227">
        <f>'5.CommOp.Budget'!I78*'5.CommOp.Budget'!$C$2</f>
        <v>0</v>
      </c>
      <c r="W92" s="776">
        <f>$E$7*Y92</f>
        <v>0</v>
      </c>
      <c r="X92" s="776">
        <f t="shared" si="217"/>
        <v>0</v>
      </c>
      <c r="Y92" s="227">
        <f>'5.CommOp.Budget'!J78*'5.CommOp.Budget'!$C$2</f>
        <v>0</v>
      </c>
      <c r="Z92" s="776">
        <f>$E$7*AB92</f>
        <v>0</v>
      </c>
      <c r="AA92" s="776">
        <f t="shared" si="219"/>
        <v>0</v>
      </c>
      <c r="AB92" s="227">
        <f>'5.CommOp.Budget'!K78*'5.CommOp.Budget'!$C$2</f>
        <v>0</v>
      </c>
      <c r="AC92" s="776">
        <f>$E$7*AE92</f>
        <v>0</v>
      </c>
      <c r="AD92" s="776">
        <f t="shared" si="221"/>
        <v>0</v>
      </c>
      <c r="AE92" s="227">
        <f>'5.CommOp.Budget'!L78*'5.CommOp.Budget'!$C$2</f>
        <v>0</v>
      </c>
      <c r="AF92" s="776">
        <f>$E$7*AH92</f>
        <v>0</v>
      </c>
      <c r="AG92" s="776">
        <f t="shared" si="223"/>
        <v>0</v>
      </c>
      <c r="AH92" s="227">
        <f>'5.CommOp.Budget'!M78*'5.CommOp.Budget'!$C$2</f>
        <v>0</v>
      </c>
      <c r="AI92" s="776">
        <f>$E$7*AK92</f>
        <v>0</v>
      </c>
      <c r="AJ92" s="776">
        <f t="shared" si="225"/>
        <v>0</v>
      </c>
      <c r="AK92" s="227">
        <f>'5.CommOp.Budget'!N78*'5.CommOp.Budget'!$C$2</f>
        <v>0</v>
      </c>
      <c r="AL92" s="776">
        <f>$E$7*AN92</f>
        <v>0</v>
      </c>
      <c r="AM92" s="776">
        <f t="shared" si="227"/>
        <v>0</v>
      </c>
      <c r="AN92" s="227">
        <f>'5.CommOp.Budget'!O78*'5.CommOp.Budget'!$C$2</f>
        <v>0</v>
      </c>
      <c r="AO92" s="776">
        <f>$E$7*AQ92</f>
        <v>0</v>
      </c>
      <c r="AP92" s="776">
        <f t="shared" si="229"/>
        <v>0</v>
      </c>
      <c r="AQ92" s="227">
        <f>'5.CommOp.Budget'!P78*'5.CommOp.Budget'!$C$2</f>
        <v>0</v>
      </c>
      <c r="AR92" s="776">
        <f>$E$7*AT92</f>
        <v>0</v>
      </c>
      <c r="AS92" s="776">
        <f t="shared" si="231"/>
        <v>0</v>
      </c>
      <c r="AT92" s="227">
        <f>'5.CommOp.Budget'!Q78*'5.CommOp.Budget'!$C$2</f>
        <v>0</v>
      </c>
      <c r="AU92" s="776">
        <f>$E$7*AW92</f>
        <v>0</v>
      </c>
      <c r="AV92" s="776">
        <f t="shared" si="233"/>
        <v>0</v>
      </c>
      <c r="AW92" s="227">
        <f>'5.CommOp.Budget'!R78*'5.CommOp.Budget'!$C$2</f>
        <v>0</v>
      </c>
      <c r="AX92" s="776">
        <f>$E$7*AZ92</f>
        <v>0</v>
      </c>
      <c r="AY92" s="776">
        <f t="shared" si="235"/>
        <v>0</v>
      </c>
      <c r="AZ92" s="227">
        <f>'5.CommOp.Budget'!S78*'5.CommOp.Budget'!$C$2</f>
        <v>0</v>
      </c>
      <c r="BA92" s="776">
        <f>$E$7*BC92</f>
        <v>0</v>
      </c>
      <c r="BB92" s="776">
        <f t="shared" si="237"/>
        <v>0</v>
      </c>
      <c r="BC92" s="227">
        <f>'5.CommOp.Budget'!T78*'5.CommOp.Budget'!$C$2</f>
        <v>0</v>
      </c>
      <c r="BD92" s="776">
        <f>$E$7*BF92</f>
        <v>0</v>
      </c>
      <c r="BE92" s="776">
        <f t="shared" si="239"/>
        <v>0</v>
      </c>
      <c r="BF92" s="227">
        <f>'5.CommOp.Budget'!U78*'5.CommOp.Budget'!$C$2</f>
        <v>0</v>
      </c>
      <c r="BG92" s="776">
        <f>$E$7*BI92</f>
        <v>0</v>
      </c>
      <c r="BH92" s="776">
        <f t="shared" si="241"/>
        <v>0</v>
      </c>
      <c r="BI92" s="227">
        <f>'5.CommOp.Budget'!V78*'5.CommOp.Budget'!$C$2</f>
        <v>0</v>
      </c>
      <c r="BJ92" s="776">
        <f>$E$7*BL92</f>
        <v>0</v>
      </c>
      <c r="BK92" s="776">
        <f t="shared" si="243"/>
        <v>0</v>
      </c>
      <c r="BL92" s="227">
        <f>'5.CommOp.Budget'!W78*'5.CommOp.Budget'!$C$2</f>
        <v>0</v>
      </c>
      <c r="BM92" s="776">
        <f>$E$7*BO92</f>
        <v>0</v>
      </c>
      <c r="BN92" s="776">
        <f t="shared" si="245"/>
        <v>0</v>
      </c>
      <c r="BO92" s="227">
        <f>'5.CommOp.Budget'!X78*'5.CommOp.Budget'!$C$2</f>
        <v>0</v>
      </c>
      <c r="BP92" s="5"/>
      <c r="BQ92" s="5"/>
      <c r="BR92" s="5"/>
      <c r="BS92" s="5"/>
      <c r="BT92" s="5"/>
      <c r="BU92" s="5"/>
      <c r="BV92" s="5"/>
    </row>
    <row r="93" spans="1:74" ht="14.4">
      <c r="C93" s="1082" t="str">
        <f>'6.1stYrOpBudget'!B93</f>
        <v>Sub-total Reserves/Ground Lease Base Rent/Bond Fees</v>
      </c>
      <c r="D93" s="126"/>
      <c r="E93" s="126"/>
      <c r="F93" s="126"/>
      <c r="G93" s="21"/>
      <c r="H93" s="235">
        <f>'6.1stYrOpBudget'!D93</f>
        <v>0</v>
      </c>
      <c r="I93" s="235">
        <f>'6.1stYrOpBudget'!E93</f>
        <v>0</v>
      </c>
      <c r="J93" s="175">
        <f>'6.1stYrOpBudget'!F93</f>
        <v>0</v>
      </c>
      <c r="K93" s="235">
        <f t="shared" ref="K93:AP93" si="247">SUM(K86:K91)</f>
        <v>0</v>
      </c>
      <c r="L93" s="235">
        <f t="shared" si="247"/>
        <v>0</v>
      </c>
      <c r="M93" s="175">
        <f t="shared" si="247"/>
        <v>0</v>
      </c>
      <c r="N93" s="235">
        <f t="shared" si="247"/>
        <v>0</v>
      </c>
      <c r="O93" s="235">
        <f t="shared" si="247"/>
        <v>0</v>
      </c>
      <c r="P93" s="175">
        <f t="shared" si="247"/>
        <v>0</v>
      </c>
      <c r="Q93" s="235">
        <f t="shared" si="247"/>
        <v>0</v>
      </c>
      <c r="R93" s="235">
        <f t="shared" si="247"/>
        <v>0</v>
      </c>
      <c r="S93" s="175">
        <f t="shared" si="247"/>
        <v>0</v>
      </c>
      <c r="T93" s="235">
        <f t="shared" si="247"/>
        <v>0</v>
      </c>
      <c r="U93" s="235">
        <f t="shared" si="247"/>
        <v>0</v>
      </c>
      <c r="V93" s="175">
        <f t="shared" si="247"/>
        <v>0</v>
      </c>
      <c r="W93" s="235">
        <f t="shared" si="247"/>
        <v>0</v>
      </c>
      <c r="X93" s="235">
        <f t="shared" si="247"/>
        <v>0</v>
      </c>
      <c r="Y93" s="175">
        <f t="shared" si="247"/>
        <v>0</v>
      </c>
      <c r="Z93" s="235">
        <f t="shared" si="247"/>
        <v>0</v>
      </c>
      <c r="AA93" s="235">
        <f t="shared" si="247"/>
        <v>0</v>
      </c>
      <c r="AB93" s="175">
        <f t="shared" si="247"/>
        <v>0</v>
      </c>
      <c r="AC93" s="235">
        <f t="shared" si="247"/>
        <v>0</v>
      </c>
      <c r="AD93" s="235">
        <f t="shared" si="247"/>
        <v>0</v>
      </c>
      <c r="AE93" s="175">
        <f t="shared" si="247"/>
        <v>0</v>
      </c>
      <c r="AF93" s="235">
        <f t="shared" si="247"/>
        <v>0</v>
      </c>
      <c r="AG93" s="235">
        <f t="shared" si="247"/>
        <v>0</v>
      </c>
      <c r="AH93" s="175">
        <f t="shared" si="247"/>
        <v>0</v>
      </c>
      <c r="AI93" s="235">
        <f t="shared" si="247"/>
        <v>0</v>
      </c>
      <c r="AJ93" s="235">
        <f t="shared" si="247"/>
        <v>0</v>
      </c>
      <c r="AK93" s="175">
        <f t="shared" si="247"/>
        <v>0</v>
      </c>
      <c r="AL93" s="235">
        <f t="shared" si="247"/>
        <v>0</v>
      </c>
      <c r="AM93" s="235">
        <f t="shared" si="247"/>
        <v>0</v>
      </c>
      <c r="AN93" s="175">
        <f t="shared" si="247"/>
        <v>0</v>
      </c>
      <c r="AO93" s="235">
        <f t="shared" si="247"/>
        <v>0</v>
      </c>
      <c r="AP93" s="235">
        <f t="shared" si="247"/>
        <v>0</v>
      </c>
      <c r="AQ93" s="175">
        <f t="shared" ref="AQ93:BO93" si="248">SUM(AQ86:AQ91)</f>
        <v>0</v>
      </c>
      <c r="AR93" s="235">
        <f t="shared" si="248"/>
        <v>0</v>
      </c>
      <c r="AS93" s="235">
        <f t="shared" si="248"/>
        <v>0</v>
      </c>
      <c r="AT93" s="175">
        <f t="shared" si="248"/>
        <v>0</v>
      </c>
      <c r="AU93" s="235">
        <f t="shared" si="248"/>
        <v>0</v>
      </c>
      <c r="AV93" s="235">
        <f t="shared" si="248"/>
        <v>0</v>
      </c>
      <c r="AW93" s="175">
        <f t="shared" si="248"/>
        <v>0</v>
      </c>
      <c r="AX93" s="235">
        <f t="shared" si="248"/>
        <v>0</v>
      </c>
      <c r="AY93" s="235">
        <f t="shared" si="248"/>
        <v>0</v>
      </c>
      <c r="AZ93" s="175">
        <f t="shared" si="248"/>
        <v>0</v>
      </c>
      <c r="BA93" s="235">
        <f t="shared" si="248"/>
        <v>0</v>
      </c>
      <c r="BB93" s="235">
        <f t="shared" si="248"/>
        <v>0</v>
      </c>
      <c r="BC93" s="175">
        <f t="shared" si="248"/>
        <v>0</v>
      </c>
      <c r="BD93" s="235">
        <f t="shared" si="248"/>
        <v>0</v>
      </c>
      <c r="BE93" s="235">
        <f t="shared" si="248"/>
        <v>0</v>
      </c>
      <c r="BF93" s="175">
        <f t="shared" si="248"/>
        <v>0</v>
      </c>
      <c r="BG93" s="235">
        <f t="shared" si="248"/>
        <v>0</v>
      </c>
      <c r="BH93" s="235">
        <f t="shared" si="248"/>
        <v>0</v>
      </c>
      <c r="BI93" s="175">
        <f t="shared" si="248"/>
        <v>0</v>
      </c>
      <c r="BJ93" s="235">
        <f t="shared" si="248"/>
        <v>0</v>
      </c>
      <c r="BK93" s="235">
        <f t="shared" si="248"/>
        <v>0</v>
      </c>
      <c r="BL93" s="175">
        <f t="shared" si="248"/>
        <v>0</v>
      </c>
      <c r="BM93" s="235">
        <f t="shared" si="248"/>
        <v>0</v>
      </c>
      <c r="BN93" s="235">
        <f t="shared" si="248"/>
        <v>0</v>
      </c>
      <c r="BO93" s="175">
        <f t="shared" si="248"/>
        <v>0</v>
      </c>
      <c r="BP93" s="5"/>
      <c r="BQ93" s="5"/>
      <c r="BR93" s="5"/>
      <c r="BS93" s="5"/>
      <c r="BT93" s="5"/>
      <c r="BU93" s="5"/>
      <c r="BV93" s="5"/>
    </row>
    <row r="94" spans="1:74" ht="8.1" customHeight="1">
      <c r="C94" s="129"/>
      <c r="D94" s="126"/>
      <c r="E94" s="126"/>
      <c r="F94" s="126"/>
      <c r="G94" s="21"/>
      <c r="H94" s="235"/>
      <c r="I94" s="235"/>
      <c r="J94" s="175"/>
      <c r="K94" s="235"/>
      <c r="L94" s="235"/>
      <c r="M94" s="125"/>
      <c r="N94" s="235"/>
      <c r="O94" s="235"/>
      <c r="P94" s="125"/>
      <c r="Q94" s="235"/>
      <c r="R94" s="235"/>
      <c r="S94" s="125"/>
      <c r="T94" s="235"/>
      <c r="U94" s="235"/>
      <c r="V94" s="125"/>
      <c r="W94" s="235"/>
      <c r="X94" s="235"/>
      <c r="Y94" s="125"/>
      <c r="Z94" s="235"/>
      <c r="AA94" s="235"/>
      <c r="AB94" s="125"/>
      <c r="AC94" s="235"/>
      <c r="AD94" s="235"/>
      <c r="AE94" s="125"/>
      <c r="AF94" s="235"/>
      <c r="AG94" s="235"/>
      <c r="AH94" s="125"/>
      <c r="AI94" s="235"/>
      <c r="AJ94" s="235"/>
      <c r="AK94" s="125"/>
      <c r="AL94" s="235"/>
      <c r="AM94" s="235"/>
      <c r="AN94" s="125"/>
      <c r="AO94" s="235"/>
      <c r="AP94" s="235"/>
      <c r="AQ94" s="125"/>
      <c r="AR94" s="235"/>
      <c r="AS94" s="235"/>
      <c r="AT94" s="125"/>
      <c r="AU94" s="235"/>
      <c r="AV94" s="235"/>
      <c r="AW94" s="125"/>
      <c r="AX94" s="235"/>
      <c r="AY94" s="235"/>
      <c r="AZ94" s="125"/>
      <c r="BA94" s="235"/>
      <c r="BB94" s="235"/>
      <c r="BC94" s="125"/>
      <c r="BD94" s="235"/>
      <c r="BE94" s="235"/>
      <c r="BF94" s="125"/>
      <c r="BG94" s="235"/>
      <c r="BH94" s="235"/>
      <c r="BI94" s="125"/>
      <c r="BJ94" s="235"/>
      <c r="BK94" s="235"/>
      <c r="BL94" s="125"/>
      <c r="BM94" s="235"/>
      <c r="BN94" s="235"/>
      <c r="BO94" s="125"/>
      <c r="BP94" s="5"/>
      <c r="BQ94" s="5"/>
      <c r="BR94" s="5"/>
      <c r="BS94" s="5"/>
      <c r="BT94" s="5"/>
      <c r="BU94" s="5"/>
      <c r="BV94" s="5"/>
    </row>
    <row r="95" spans="1:74" ht="14.4">
      <c r="C95" s="139" t="str">
        <f>'6.1stYrOpBudget'!A95</f>
        <v>TOTAL OPERATING EXPENSES (w/ Reserves/GL Base Rent/ Bond Fees)</v>
      </c>
      <c r="D95" s="126"/>
      <c r="E95" s="126"/>
      <c r="F95" s="126"/>
      <c r="G95" s="21"/>
      <c r="H95" s="235">
        <f>'6.1stYrOpBudget'!D95</f>
        <v>0</v>
      </c>
      <c r="I95" s="235">
        <f>'6.1stYrOpBudget'!E95</f>
        <v>0</v>
      </c>
      <c r="J95" s="175">
        <f>'6.1stYrOpBudget'!F95</f>
        <v>0</v>
      </c>
      <c r="K95" s="235">
        <f t="shared" ref="K95:AP95" si="249">K34+K41+K51+K57+K62+K68+K78+K80+K81+K93</f>
        <v>0</v>
      </c>
      <c r="L95" s="235">
        <f t="shared" si="249"/>
        <v>0</v>
      </c>
      <c r="M95" s="175">
        <f>M34+M41+M51+M57+M62+M68+M78+M80+M81+M93</f>
        <v>0</v>
      </c>
      <c r="N95" s="235">
        <f t="shared" si="249"/>
        <v>0</v>
      </c>
      <c r="O95" s="235">
        <f t="shared" si="249"/>
        <v>0</v>
      </c>
      <c r="P95" s="175">
        <f t="shared" si="249"/>
        <v>0</v>
      </c>
      <c r="Q95" s="235">
        <f t="shared" si="249"/>
        <v>0</v>
      </c>
      <c r="R95" s="235">
        <f t="shared" si="249"/>
        <v>0</v>
      </c>
      <c r="S95" s="175">
        <f t="shared" si="249"/>
        <v>0</v>
      </c>
      <c r="T95" s="235">
        <f t="shared" si="249"/>
        <v>0</v>
      </c>
      <c r="U95" s="235">
        <f t="shared" si="249"/>
        <v>0</v>
      </c>
      <c r="V95" s="175">
        <f t="shared" si="249"/>
        <v>0</v>
      </c>
      <c r="W95" s="235">
        <f t="shared" si="249"/>
        <v>0</v>
      </c>
      <c r="X95" s="235">
        <f t="shared" si="249"/>
        <v>0</v>
      </c>
      <c r="Y95" s="175">
        <f t="shared" si="249"/>
        <v>0</v>
      </c>
      <c r="Z95" s="235">
        <f t="shared" si="249"/>
        <v>0</v>
      </c>
      <c r="AA95" s="235">
        <f t="shared" si="249"/>
        <v>0</v>
      </c>
      <c r="AB95" s="175">
        <f t="shared" si="249"/>
        <v>0</v>
      </c>
      <c r="AC95" s="235">
        <f t="shared" si="249"/>
        <v>0</v>
      </c>
      <c r="AD95" s="235">
        <f t="shared" si="249"/>
        <v>0</v>
      </c>
      <c r="AE95" s="175">
        <f t="shared" si="249"/>
        <v>0</v>
      </c>
      <c r="AF95" s="235">
        <f t="shared" si="249"/>
        <v>0</v>
      </c>
      <c r="AG95" s="235">
        <f t="shared" si="249"/>
        <v>0</v>
      </c>
      <c r="AH95" s="175">
        <f t="shared" si="249"/>
        <v>0</v>
      </c>
      <c r="AI95" s="235">
        <f t="shared" si="249"/>
        <v>0</v>
      </c>
      <c r="AJ95" s="235">
        <f t="shared" si="249"/>
        <v>0</v>
      </c>
      <c r="AK95" s="175">
        <f t="shared" si="249"/>
        <v>0</v>
      </c>
      <c r="AL95" s="235">
        <f t="shared" si="249"/>
        <v>0</v>
      </c>
      <c r="AM95" s="235">
        <f t="shared" si="249"/>
        <v>0</v>
      </c>
      <c r="AN95" s="175">
        <f t="shared" si="249"/>
        <v>0</v>
      </c>
      <c r="AO95" s="235">
        <f t="shared" si="249"/>
        <v>0</v>
      </c>
      <c r="AP95" s="235">
        <f t="shared" si="249"/>
        <v>0</v>
      </c>
      <c r="AQ95" s="175">
        <f t="shared" ref="AQ95:BO95" si="250">AQ34+AQ41+AQ51+AQ57+AQ62+AQ68+AQ78+AQ80+AQ81+AQ93</f>
        <v>0</v>
      </c>
      <c r="AR95" s="235">
        <f t="shared" si="250"/>
        <v>0</v>
      </c>
      <c r="AS95" s="235">
        <f t="shared" si="250"/>
        <v>0</v>
      </c>
      <c r="AT95" s="175">
        <f t="shared" si="250"/>
        <v>0</v>
      </c>
      <c r="AU95" s="235">
        <f t="shared" si="250"/>
        <v>0</v>
      </c>
      <c r="AV95" s="235">
        <f t="shared" si="250"/>
        <v>0</v>
      </c>
      <c r="AW95" s="175">
        <f t="shared" si="250"/>
        <v>0</v>
      </c>
      <c r="AX95" s="235">
        <f t="shared" si="250"/>
        <v>0</v>
      </c>
      <c r="AY95" s="235">
        <f t="shared" si="250"/>
        <v>0</v>
      </c>
      <c r="AZ95" s="175">
        <f t="shared" si="250"/>
        <v>0</v>
      </c>
      <c r="BA95" s="235">
        <f t="shared" si="250"/>
        <v>0</v>
      </c>
      <c r="BB95" s="235">
        <f t="shared" si="250"/>
        <v>0</v>
      </c>
      <c r="BC95" s="175">
        <f t="shared" si="250"/>
        <v>0</v>
      </c>
      <c r="BD95" s="235">
        <f t="shared" si="250"/>
        <v>0</v>
      </c>
      <c r="BE95" s="235">
        <f t="shared" si="250"/>
        <v>0</v>
      </c>
      <c r="BF95" s="175">
        <f t="shared" si="250"/>
        <v>0</v>
      </c>
      <c r="BG95" s="235">
        <f t="shared" si="250"/>
        <v>0</v>
      </c>
      <c r="BH95" s="235">
        <f t="shared" si="250"/>
        <v>0</v>
      </c>
      <c r="BI95" s="175">
        <f t="shared" si="250"/>
        <v>0</v>
      </c>
      <c r="BJ95" s="235">
        <f t="shared" si="250"/>
        <v>0</v>
      </c>
      <c r="BK95" s="235">
        <f t="shared" si="250"/>
        <v>0</v>
      </c>
      <c r="BL95" s="175">
        <f t="shared" si="250"/>
        <v>0</v>
      </c>
      <c r="BM95" s="235">
        <f t="shared" si="250"/>
        <v>0</v>
      </c>
      <c r="BN95" s="235">
        <f t="shared" si="250"/>
        <v>0</v>
      </c>
      <c r="BO95" s="175">
        <f t="shared" si="250"/>
        <v>0</v>
      </c>
      <c r="BP95" s="5"/>
      <c r="BQ95" s="5"/>
      <c r="BR95" s="5"/>
      <c r="BS95" s="5"/>
      <c r="BT95" s="5"/>
      <c r="BU95" s="5"/>
      <c r="BV95" s="5"/>
    </row>
    <row r="96" spans="1:74" ht="13.8">
      <c r="C96" s="1082" t="s">
        <v>1236</v>
      </c>
      <c r="D96" s="328"/>
      <c r="E96" s="328"/>
      <c r="F96" s="328"/>
      <c r="G96" s="234"/>
      <c r="H96" s="235"/>
      <c r="I96" s="235"/>
      <c r="J96" s="235" t="str">
        <f>IF($J$95=0,"",$J$95/$F$3)</f>
        <v/>
      </c>
      <c r="K96" s="235"/>
      <c r="L96" s="235"/>
      <c r="M96" s="236"/>
      <c r="N96" s="235"/>
      <c r="O96" s="235"/>
      <c r="P96" s="236"/>
      <c r="Q96" s="235"/>
      <c r="R96" s="235"/>
      <c r="S96" s="236"/>
      <c r="T96" s="235"/>
      <c r="U96" s="235"/>
      <c r="V96" s="236"/>
      <c r="W96" s="235"/>
      <c r="X96" s="235"/>
      <c r="Y96" s="236"/>
      <c r="Z96" s="235"/>
      <c r="AA96" s="235"/>
      <c r="AB96" s="236"/>
      <c r="AC96" s="235"/>
      <c r="AD96" s="235"/>
      <c r="AE96" s="236"/>
      <c r="AF96" s="235"/>
      <c r="AG96" s="235"/>
      <c r="AH96" s="236"/>
      <c r="AI96" s="235"/>
      <c r="AJ96" s="235"/>
      <c r="AK96" s="236"/>
      <c r="AL96" s="235"/>
      <c r="AM96" s="235"/>
      <c r="AN96" s="236"/>
      <c r="AO96" s="235"/>
      <c r="AP96" s="235"/>
      <c r="AQ96" s="236"/>
      <c r="AR96" s="235"/>
      <c r="AS96" s="235"/>
      <c r="AT96" s="236"/>
      <c r="AU96" s="235"/>
      <c r="AV96" s="235"/>
      <c r="AW96" s="236"/>
      <c r="AX96" s="235"/>
      <c r="AY96" s="235"/>
      <c r="AZ96" s="236"/>
      <c r="BA96" s="235"/>
      <c r="BB96" s="235"/>
      <c r="BC96" s="236"/>
      <c r="BD96" s="235"/>
      <c r="BE96" s="235"/>
      <c r="BF96" s="236"/>
      <c r="BG96" s="235"/>
      <c r="BH96" s="235"/>
      <c r="BI96" s="236"/>
      <c r="BJ96" s="235"/>
      <c r="BK96" s="235"/>
      <c r="BL96" s="236"/>
      <c r="BM96" s="235"/>
      <c r="BN96" s="235"/>
      <c r="BO96" s="236"/>
      <c r="BP96" s="82"/>
      <c r="BQ96" s="82"/>
      <c r="BR96" s="82"/>
      <c r="BS96" s="82"/>
      <c r="BT96" s="82"/>
      <c r="BU96" s="82"/>
      <c r="BV96" s="82"/>
    </row>
    <row r="97" spans="1:74" ht="13.8">
      <c r="C97" s="139" t="str">
        <f>'6.1stYrOpBudget'!A97</f>
        <v>NET OPERATING INCOME (INCOME minus OP EXPENSES)</v>
      </c>
      <c r="D97" s="124"/>
      <c r="E97" s="124"/>
      <c r="F97" s="124"/>
      <c r="G97" s="233"/>
      <c r="H97" s="784">
        <f>'6.1stYrOpBudget'!D97</f>
        <v>0</v>
      </c>
      <c r="I97" s="784">
        <f>'6.1stYrOpBudget'!E97</f>
        <v>0</v>
      </c>
      <c r="J97" s="222">
        <f>'6.1stYrOpBudget'!F97</f>
        <v>0</v>
      </c>
      <c r="K97" s="784">
        <f t="shared" ref="K97:AP97" si="251">K28-K95</f>
        <v>0</v>
      </c>
      <c r="L97" s="784">
        <f t="shared" si="251"/>
        <v>0</v>
      </c>
      <c r="M97" s="222">
        <f t="shared" si="251"/>
        <v>0</v>
      </c>
      <c r="N97" s="784">
        <f t="shared" si="251"/>
        <v>0</v>
      </c>
      <c r="O97" s="784">
        <f t="shared" si="251"/>
        <v>0</v>
      </c>
      <c r="P97" s="222">
        <f t="shared" si="251"/>
        <v>0</v>
      </c>
      <c r="Q97" s="784">
        <f t="shared" si="251"/>
        <v>0</v>
      </c>
      <c r="R97" s="784">
        <f t="shared" si="251"/>
        <v>0</v>
      </c>
      <c r="S97" s="222">
        <f t="shared" si="251"/>
        <v>0</v>
      </c>
      <c r="T97" s="784">
        <f t="shared" si="251"/>
        <v>0</v>
      </c>
      <c r="U97" s="784">
        <f t="shared" si="251"/>
        <v>0</v>
      </c>
      <c r="V97" s="222">
        <f t="shared" si="251"/>
        <v>0</v>
      </c>
      <c r="W97" s="784">
        <f t="shared" si="251"/>
        <v>0</v>
      </c>
      <c r="X97" s="784">
        <f t="shared" si="251"/>
        <v>0</v>
      </c>
      <c r="Y97" s="222">
        <f t="shared" si="251"/>
        <v>0</v>
      </c>
      <c r="Z97" s="784">
        <f t="shared" si="251"/>
        <v>0</v>
      </c>
      <c r="AA97" s="784">
        <f t="shared" si="251"/>
        <v>0</v>
      </c>
      <c r="AB97" s="222">
        <f t="shared" si="251"/>
        <v>0</v>
      </c>
      <c r="AC97" s="784">
        <f t="shared" si="251"/>
        <v>0</v>
      </c>
      <c r="AD97" s="784">
        <f t="shared" si="251"/>
        <v>0</v>
      </c>
      <c r="AE97" s="222">
        <f t="shared" si="251"/>
        <v>0</v>
      </c>
      <c r="AF97" s="784">
        <f t="shared" si="251"/>
        <v>0</v>
      </c>
      <c r="AG97" s="784">
        <f t="shared" si="251"/>
        <v>0</v>
      </c>
      <c r="AH97" s="222">
        <f t="shared" si="251"/>
        <v>0</v>
      </c>
      <c r="AI97" s="784">
        <f t="shared" si="251"/>
        <v>0</v>
      </c>
      <c r="AJ97" s="784">
        <f t="shared" si="251"/>
        <v>0</v>
      </c>
      <c r="AK97" s="222">
        <f t="shared" si="251"/>
        <v>0</v>
      </c>
      <c r="AL97" s="784">
        <f t="shared" si="251"/>
        <v>0</v>
      </c>
      <c r="AM97" s="784">
        <f t="shared" si="251"/>
        <v>0</v>
      </c>
      <c r="AN97" s="222">
        <f t="shared" si="251"/>
        <v>0</v>
      </c>
      <c r="AO97" s="784">
        <f t="shared" si="251"/>
        <v>0</v>
      </c>
      <c r="AP97" s="784">
        <f t="shared" si="251"/>
        <v>0</v>
      </c>
      <c r="AQ97" s="222">
        <f t="shared" ref="AQ97:BO97" si="252">AQ28-AQ95</f>
        <v>0</v>
      </c>
      <c r="AR97" s="784">
        <f t="shared" si="252"/>
        <v>0</v>
      </c>
      <c r="AS97" s="784">
        <f t="shared" si="252"/>
        <v>0</v>
      </c>
      <c r="AT97" s="222">
        <f t="shared" si="252"/>
        <v>0</v>
      </c>
      <c r="AU97" s="784">
        <f t="shared" si="252"/>
        <v>0</v>
      </c>
      <c r="AV97" s="784">
        <f t="shared" si="252"/>
        <v>0</v>
      </c>
      <c r="AW97" s="222">
        <f t="shared" si="252"/>
        <v>0</v>
      </c>
      <c r="AX97" s="784">
        <f t="shared" si="252"/>
        <v>0</v>
      </c>
      <c r="AY97" s="784">
        <f t="shared" si="252"/>
        <v>0</v>
      </c>
      <c r="AZ97" s="222">
        <f t="shared" si="252"/>
        <v>0</v>
      </c>
      <c r="BA97" s="784">
        <f t="shared" si="252"/>
        <v>0</v>
      </c>
      <c r="BB97" s="784">
        <f t="shared" si="252"/>
        <v>0</v>
      </c>
      <c r="BC97" s="222">
        <f t="shared" si="252"/>
        <v>0</v>
      </c>
      <c r="BD97" s="784">
        <f t="shared" si="252"/>
        <v>0</v>
      </c>
      <c r="BE97" s="784">
        <f t="shared" si="252"/>
        <v>0</v>
      </c>
      <c r="BF97" s="222">
        <f t="shared" si="252"/>
        <v>0</v>
      </c>
      <c r="BG97" s="784">
        <f t="shared" si="252"/>
        <v>0</v>
      </c>
      <c r="BH97" s="784">
        <f t="shared" si="252"/>
        <v>0</v>
      </c>
      <c r="BI97" s="222">
        <f t="shared" si="252"/>
        <v>0</v>
      </c>
      <c r="BJ97" s="784">
        <f t="shared" si="252"/>
        <v>0</v>
      </c>
      <c r="BK97" s="784">
        <f t="shared" si="252"/>
        <v>0</v>
      </c>
      <c r="BL97" s="222">
        <f t="shared" si="252"/>
        <v>0</v>
      </c>
      <c r="BM97" s="784">
        <f t="shared" si="252"/>
        <v>0</v>
      </c>
      <c r="BN97" s="784">
        <f t="shared" si="252"/>
        <v>0</v>
      </c>
      <c r="BO97" s="222">
        <f t="shared" si="252"/>
        <v>0</v>
      </c>
      <c r="BP97" s="5"/>
      <c r="BQ97" s="5"/>
      <c r="BR97" s="5"/>
      <c r="BS97" s="5"/>
      <c r="BT97" s="5"/>
      <c r="BU97" s="5"/>
      <c r="BV97" s="5"/>
    </row>
    <row r="98" spans="1:74" ht="8.1" customHeight="1">
      <c r="C98" s="319"/>
      <c r="D98" s="124"/>
      <c r="E98" s="124"/>
      <c r="F98" s="124"/>
      <c r="G98" s="21"/>
      <c r="H98" s="236"/>
      <c r="I98" s="236"/>
      <c r="J98" s="125"/>
      <c r="K98" s="236"/>
      <c r="L98" s="236"/>
      <c r="M98" s="125"/>
      <c r="N98" s="236"/>
      <c r="O98" s="236"/>
      <c r="P98" s="125"/>
      <c r="Q98" s="236"/>
      <c r="R98" s="236"/>
      <c r="S98" s="125"/>
      <c r="T98" s="236"/>
      <c r="U98" s="236"/>
      <c r="V98" s="125"/>
      <c r="W98" s="236"/>
      <c r="X98" s="236"/>
      <c r="Y98" s="125"/>
      <c r="Z98" s="236"/>
      <c r="AA98" s="236"/>
      <c r="AB98" s="125"/>
      <c r="AC98" s="236"/>
      <c r="AD98" s="236"/>
      <c r="AE98" s="125"/>
      <c r="AF98" s="236"/>
      <c r="AG98" s="236"/>
      <c r="AH98" s="125"/>
      <c r="AI98" s="236"/>
      <c r="AJ98" s="236"/>
      <c r="AK98" s="125"/>
      <c r="AL98" s="236"/>
      <c r="AM98" s="236"/>
      <c r="AN98" s="125"/>
      <c r="AO98" s="236"/>
      <c r="AP98" s="236"/>
      <c r="AQ98" s="125"/>
      <c r="AR98" s="236"/>
      <c r="AS98" s="236"/>
      <c r="AT98" s="125"/>
      <c r="AU98" s="236"/>
      <c r="AV98" s="236"/>
      <c r="AW98" s="125"/>
      <c r="AX98" s="236"/>
      <c r="AY98" s="236"/>
      <c r="AZ98" s="125"/>
      <c r="BA98" s="236"/>
      <c r="BB98" s="236"/>
      <c r="BC98" s="125"/>
      <c r="BD98" s="236"/>
      <c r="BE98" s="236"/>
      <c r="BF98" s="125"/>
      <c r="BG98" s="236"/>
      <c r="BH98" s="236"/>
      <c r="BI98" s="125"/>
      <c r="BJ98" s="236"/>
      <c r="BK98" s="236"/>
      <c r="BL98" s="125"/>
      <c r="BM98" s="236"/>
      <c r="BN98" s="236"/>
      <c r="BO98" s="125"/>
      <c r="BP98" s="5"/>
      <c r="BQ98" s="5"/>
      <c r="BR98" s="5"/>
      <c r="BS98" s="5"/>
      <c r="BT98" s="5"/>
      <c r="BU98" s="5"/>
      <c r="BV98" s="5"/>
    </row>
    <row r="99" spans="1:74" ht="13.8">
      <c r="C99" s="2056" t="str">
        <f>'6.1stYrOpBudget'!A99</f>
        <v>DEBT SERVICE/MUST PAY PAYMENTS ("hard debt"/amortized loans)</v>
      </c>
      <c r="D99" s="120"/>
      <c r="E99" s="120"/>
      <c r="F99" s="120"/>
      <c r="G99" s="21"/>
      <c r="H99" s="236"/>
      <c r="I99" s="236"/>
      <c r="J99" s="125"/>
      <c r="K99" s="236"/>
      <c r="L99" s="236"/>
      <c r="M99" s="637" t="s">
        <v>1093</v>
      </c>
      <c r="N99" s="236"/>
      <c r="O99" s="236"/>
      <c r="P99" s="125"/>
      <c r="Q99" s="236"/>
      <c r="R99" s="236"/>
      <c r="S99" s="125"/>
      <c r="T99" s="236"/>
      <c r="U99" s="236"/>
      <c r="V99" s="125"/>
      <c r="W99" s="236"/>
      <c r="X99" s="236"/>
      <c r="Y99" s="125"/>
      <c r="Z99" s="236"/>
      <c r="AA99" s="236"/>
      <c r="AB99" s="125"/>
      <c r="AC99" s="236"/>
      <c r="AD99" s="236"/>
      <c r="AE99" s="125"/>
      <c r="AF99" s="236"/>
      <c r="AG99" s="236"/>
      <c r="AH99" s="125"/>
      <c r="AI99" s="236"/>
      <c r="AJ99" s="236"/>
      <c r="AK99" s="125"/>
      <c r="AL99" s="236"/>
      <c r="AM99" s="236"/>
      <c r="AN99" s="125"/>
      <c r="AO99" s="236"/>
      <c r="AP99" s="236"/>
      <c r="AQ99" s="125"/>
      <c r="AR99" s="236"/>
      <c r="AS99" s="236"/>
      <c r="AT99" s="125"/>
      <c r="AU99" s="236"/>
      <c r="AV99" s="236"/>
      <c r="AW99" s="125"/>
      <c r="AX99" s="236"/>
      <c r="AY99" s="236"/>
      <c r="AZ99" s="125"/>
      <c r="BA99" s="236"/>
      <c r="BB99" s="236"/>
      <c r="BC99" s="125"/>
      <c r="BD99" s="236"/>
      <c r="BE99" s="236"/>
      <c r="BF99" s="125"/>
      <c r="BG99" s="236"/>
      <c r="BH99" s="236"/>
      <c r="BI99" s="125"/>
      <c r="BJ99" s="236"/>
      <c r="BK99" s="236"/>
      <c r="BL99" s="125"/>
      <c r="BM99" s="236"/>
      <c r="BN99" s="236"/>
      <c r="BO99" s="125"/>
      <c r="BP99" s="5"/>
      <c r="BQ99" s="5"/>
      <c r="BR99" s="5"/>
      <c r="BS99" s="5"/>
      <c r="BT99" s="5"/>
      <c r="BU99" s="5"/>
      <c r="BV99" s="5"/>
    </row>
    <row r="100" spans="1:74" ht="14.25" customHeight="1">
      <c r="A100" s="729">
        <f>IF('6.1stYrOpBudget'!K100&lt;&gt;"",'6.1stYrOpBudget'!K100,"")</f>
        <v>0</v>
      </c>
      <c r="B100" s="729">
        <f>'6.1stYrOpBudget'!L100</f>
        <v>1</v>
      </c>
      <c r="C100" s="144" t="str">
        <f>'6.1stYrOpBudget'!A100</f>
        <v>Hard Debt - First Lender</v>
      </c>
      <c r="D100" s="120"/>
      <c r="E100" s="120"/>
      <c r="F100" s="120"/>
      <c r="G100" s="63" t="s">
        <v>189</v>
      </c>
      <c r="H100" s="776">
        <f>'6.1stYrOpBudget'!D100</f>
        <v>0</v>
      </c>
      <c r="I100" s="776">
        <f>'6.1stYrOpBudget'!E100</f>
        <v>0</v>
      </c>
      <c r="J100" s="178">
        <f>'6.1stYrOpBudget'!F100</f>
        <v>0</v>
      </c>
      <c r="K100" s="776">
        <f>IF($A100&lt;&gt;"",$A100*M100,$E$7*M100)</f>
        <v>0</v>
      </c>
      <c r="L100" s="776">
        <f>M100-K100</f>
        <v>0</v>
      </c>
      <c r="M100" s="66">
        <f>IF('1.GeneralProjectInfo'!$N$16="FALSE",$J$100,IF(OR(M4&lt;'9d.Refi'!$B$21,'9d.Refi'!$B$21="",'9d.Refi'!$B$21=0),$J$100,'9d.Refi'!$B$22))</f>
        <v>0</v>
      </c>
      <c r="N100" s="776">
        <f>IF($A100&lt;&gt;"",$A100*P100,$E$7*P100)</f>
        <v>0</v>
      </c>
      <c r="O100" s="776">
        <f>P100-N100</f>
        <v>0</v>
      </c>
      <c r="P100" s="66">
        <f>IF('1.GeneralProjectInfo'!$N$16="FALSE",$J$100,IF(OR(P4&lt;'9d.Refi'!$B$21,'9d.Refi'!$B$21="",'9d.Refi'!$B$21=0),$J$100,'9d.Refi'!$B$22))</f>
        <v>0</v>
      </c>
      <c r="Q100" s="776">
        <f>IF($A100&lt;&gt;"",$A100*S100,$E$7*S100)</f>
        <v>0</v>
      </c>
      <c r="R100" s="776">
        <f>S100-Q100</f>
        <v>0</v>
      </c>
      <c r="S100" s="66">
        <f>IF('1.GeneralProjectInfo'!$N$16="FALSE",$J$100,IF(OR(S4&lt;'9d.Refi'!$B$21,'9d.Refi'!$B$21="",'9d.Refi'!$B$21=0),$J$100,'9d.Refi'!$B$22))</f>
        <v>0</v>
      </c>
      <c r="T100" s="776">
        <f>IF($A100&lt;&gt;"",$A100*V100,$E$7*V100)</f>
        <v>0</v>
      </c>
      <c r="U100" s="776">
        <f>V100-T100</f>
        <v>0</v>
      </c>
      <c r="V100" s="66">
        <f>IF('1.GeneralProjectInfo'!$N$16="FALSE",$J$100,IF(OR(V4&lt;'9d.Refi'!$B$21,'9d.Refi'!$B$21="",'9d.Refi'!$B$21=0),$J$100,'9d.Refi'!$B$22))</f>
        <v>0</v>
      </c>
      <c r="W100" s="776">
        <f>IF($A100&lt;&gt;"",$A100*Y100,$E$7*Y100)</f>
        <v>0</v>
      </c>
      <c r="X100" s="776">
        <f>Y100-W100</f>
        <v>0</v>
      </c>
      <c r="Y100" s="66">
        <f>IF('1.GeneralProjectInfo'!$N$16="FALSE",$J$100,IF(OR(Y4&lt;'9d.Refi'!$B$21,'9d.Refi'!$B$21="",'9d.Refi'!$B$21=0),$J$100,'9d.Refi'!$B$22))</f>
        <v>0</v>
      </c>
      <c r="Z100" s="776">
        <f>IF($A100&lt;&gt;"",$A100*AB100,$E$7*AB100)</f>
        <v>0</v>
      </c>
      <c r="AA100" s="776">
        <f>AB100-Z100</f>
        <v>0</v>
      </c>
      <c r="AB100" s="66">
        <f>IF('1.GeneralProjectInfo'!$N$16="FALSE",$J$100,IF(OR(AB4&lt;'9d.Refi'!$B$21,'9d.Refi'!$B$21="",'9d.Refi'!$B$21=0),$J$100,'9d.Refi'!$B$22))</f>
        <v>0</v>
      </c>
      <c r="AC100" s="776">
        <f>IF($A100&lt;&gt;"",$A100*AE100,$E$7*AE100)</f>
        <v>0</v>
      </c>
      <c r="AD100" s="776">
        <f>AE100-AC100</f>
        <v>0</v>
      </c>
      <c r="AE100" s="66">
        <f>IF('1.GeneralProjectInfo'!$N$16="FALSE",$J$100,IF(OR(AE4&lt;'9d.Refi'!$B$21,'9d.Refi'!$B$21="",'9d.Refi'!$B$21=0),$J$100,'9d.Refi'!$B$22))</f>
        <v>0</v>
      </c>
      <c r="AF100" s="776">
        <f>IF($A100&lt;&gt;"",$A100*AH100,$E$7*AH100)</f>
        <v>0</v>
      </c>
      <c r="AG100" s="776">
        <f>AH100-AF100</f>
        <v>0</v>
      </c>
      <c r="AH100" s="66">
        <f>IF('1.GeneralProjectInfo'!$N$16="FALSE",$J$100,IF(OR(AH4&lt;'9d.Refi'!$B$21,'9d.Refi'!$B$21="",'9d.Refi'!$B$21=0),$J$100,'9d.Refi'!$B$22))</f>
        <v>0</v>
      </c>
      <c r="AI100" s="776">
        <f>IF($A100&lt;&gt;"",$A100*AK100,$E$7*AK100)</f>
        <v>0</v>
      </c>
      <c r="AJ100" s="776">
        <f>AK100-AI100</f>
        <v>0</v>
      </c>
      <c r="AK100" s="66">
        <f>IF('1.GeneralProjectInfo'!$N$16="FALSE",$J$100,IF(OR(AK4&lt;'9d.Refi'!$B$21,'9d.Refi'!$B$21="",'9d.Refi'!$B$21=0),$J$100,'9d.Refi'!$B$22))</f>
        <v>0</v>
      </c>
      <c r="AL100" s="776">
        <f>IF($A100&lt;&gt;"",$A100*AN100,$E$7*AN100)</f>
        <v>0</v>
      </c>
      <c r="AM100" s="776">
        <f>AN100-AL100</f>
        <v>0</v>
      </c>
      <c r="AN100" s="66">
        <f>IF('1.GeneralProjectInfo'!$N$16="FALSE",$J$100,IF(OR(AN4&lt;'9d.Refi'!$B$21,'9d.Refi'!$B$21="",'9d.Refi'!$B$21=0),$J$100,'9d.Refi'!$B$22))</f>
        <v>0</v>
      </c>
      <c r="AO100" s="776">
        <f>IF($A100&lt;&gt;"",$A100*AQ100,$E$7*AQ100)</f>
        <v>0</v>
      </c>
      <c r="AP100" s="776">
        <f>AQ100-AO100</f>
        <v>0</v>
      </c>
      <c r="AQ100" s="66">
        <f>IF('1.GeneralProjectInfo'!$N$16="FALSE",$J$100,IF(OR(AQ4&lt;'9d.Refi'!$B$21,'9d.Refi'!$B$21="",'9d.Refi'!$B$21=0),$J$100,'9d.Refi'!$B$22))</f>
        <v>0</v>
      </c>
      <c r="AR100" s="776">
        <f>IF($A100&lt;&gt;"",$A100*AT100,$E$7*AT100)</f>
        <v>0</v>
      </c>
      <c r="AS100" s="776">
        <f>AT100-AR100</f>
        <v>0</v>
      </c>
      <c r="AT100" s="66">
        <f>IF('1.GeneralProjectInfo'!$N$16="FALSE",$J$100,IF(OR(AT4&lt;'9d.Refi'!$B$21,'9d.Refi'!$B$21="",'9d.Refi'!$B$21=0),$J$100,'9d.Refi'!$B$22))</f>
        <v>0</v>
      </c>
      <c r="AU100" s="776">
        <f>IF($A100&lt;&gt;"",$A100*AW100,$E$7*AW100)</f>
        <v>0</v>
      </c>
      <c r="AV100" s="776">
        <f>AW100-AU100</f>
        <v>0</v>
      </c>
      <c r="AW100" s="66">
        <f>IF('1.GeneralProjectInfo'!$N$16="FALSE",$J$100,IF(OR(AW4&lt;'9d.Refi'!$B$21,'9d.Refi'!$B$21="",'9d.Refi'!$B$21=0),$J$100,'9d.Refi'!$B$22))</f>
        <v>0</v>
      </c>
      <c r="AX100" s="776">
        <f>IF($A100&lt;&gt;"",$A100*AZ100,$E$7*AZ100)</f>
        <v>0</v>
      </c>
      <c r="AY100" s="776">
        <f>AZ100-AX100</f>
        <v>0</v>
      </c>
      <c r="AZ100" s="66">
        <f>IF('1.GeneralProjectInfo'!$N$16="FALSE",$J$100,IF(OR(AZ4&lt;'9d.Refi'!$B$21,'9d.Refi'!$B$21="",'9d.Refi'!$B$21=0),$J$100,'9d.Refi'!$B$22))</f>
        <v>0</v>
      </c>
      <c r="BA100" s="776">
        <f>IF($A100&lt;&gt;"",$A100*BC100,$E$7*BC100)</f>
        <v>0</v>
      </c>
      <c r="BB100" s="776">
        <f>BC100-BA100</f>
        <v>0</v>
      </c>
      <c r="BC100" s="66">
        <f>IF('1.GeneralProjectInfo'!$N$16="FALSE",$J$100,IF(OR(BC4&lt;'9d.Refi'!$B$21,'9d.Refi'!$B$21="",'9d.Refi'!$B$21=0),$J$100,'9d.Refi'!$B$22))</f>
        <v>0</v>
      </c>
      <c r="BD100" s="776">
        <f>IF($A100&lt;&gt;"",$A100*BF100,$E$7*BF100)</f>
        <v>0</v>
      </c>
      <c r="BE100" s="776">
        <f>BF100-BD100</f>
        <v>0</v>
      </c>
      <c r="BF100" s="66">
        <f>IF('1.GeneralProjectInfo'!$N$16="FALSE",$J$100,IF(OR(BF4&lt;'9d.Refi'!$B$21,'9d.Refi'!$B$21="",'9d.Refi'!$B$21=0),$J$100,'9d.Refi'!$B$22))</f>
        <v>0</v>
      </c>
      <c r="BG100" s="776">
        <f>IF($A100&lt;&gt;"",$A100*BI100,$E$7*BI100)</f>
        <v>0</v>
      </c>
      <c r="BH100" s="776">
        <f>BI100-BG100</f>
        <v>0</v>
      </c>
      <c r="BI100" s="66">
        <f>IF('1.GeneralProjectInfo'!$N$16="FALSE",$J$100,IF(OR(BI4&lt;'9d.Refi'!$B$21,'9d.Refi'!$B$21="",'9d.Refi'!$B$21=0),$J$100,'9d.Refi'!$B$22))</f>
        <v>0</v>
      </c>
      <c r="BJ100" s="776">
        <f>IF($A100&lt;&gt;"",$A100*BL100,$E$7*BL100)</f>
        <v>0</v>
      </c>
      <c r="BK100" s="776">
        <f>BL100-BJ100</f>
        <v>0</v>
      </c>
      <c r="BL100" s="66">
        <f>IF('1.GeneralProjectInfo'!$N$16="FALSE",$J$100,IF(OR(BL4&lt;'9d.Refi'!$B$21,'9d.Refi'!$B$21="",'9d.Refi'!$B$21=0),$J$100,'9d.Refi'!$B$22))</f>
        <v>0</v>
      </c>
      <c r="BM100" s="776">
        <f>IF($A100&lt;&gt;"",$A100*BO100,$E$7*BO100)</f>
        <v>0</v>
      </c>
      <c r="BN100" s="776">
        <f>BO100-BM100</f>
        <v>0</v>
      </c>
      <c r="BO100" s="66">
        <f>IF('1.GeneralProjectInfo'!$N$16="FALSE",$J$100,IF(OR(BO4&lt;'9d.Refi'!$B$21,'9d.Refi'!$B$21="",'9d.Refi'!$B$21=0),$J$100,'9d.Refi'!$B$22))</f>
        <v>0</v>
      </c>
      <c r="BP100" s="5"/>
      <c r="BQ100" s="5"/>
      <c r="BR100" s="5"/>
      <c r="BS100" s="5"/>
      <c r="BT100" s="5"/>
      <c r="BU100" s="5"/>
      <c r="BV100" s="5"/>
    </row>
    <row r="101" spans="1:74" ht="14.25" customHeight="1">
      <c r="A101" s="729" t="str">
        <f>IF('6.1stYrOpBudget'!K101&lt;&gt;"",'6.1stYrOpBudget'!K101,"")</f>
        <v/>
      </c>
      <c r="B101" s="729" t="str">
        <f>'6.1stYrOpBudget'!L101</f>
        <v/>
      </c>
      <c r="C101" s="144" t="str">
        <f>'6.1stYrOpBudget'!A101</f>
        <v>Hard Debt - Second Lender (HCD Program 0.42% pymt, or other 2nd Lender)</v>
      </c>
      <c r="D101" s="120"/>
      <c r="E101" s="120"/>
      <c r="F101" s="120"/>
      <c r="G101" s="63" t="s">
        <v>189</v>
      </c>
      <c r="H101" s="776">
        <f>'6.1stYrOpBudget'!D101</f>
        <v>0</v>
      </c>
      <c r="I101" s="776">
        <f>'6.1stYrOpBudget'!E101</f>
        <v>0</v>
      </c>
      <c r="J101" s="178">
        <f>'6.1stYrOpBudget'!F101</f>
        <v>0</v>
      </c>
      <c r="K101" s="776">
        <f>IF($A101&lt;&gt;"",$A101*M101,$E$7*M101)</f>
        <v>0</v>
      </c>
      <c r="L101" s="776">
        <f>M101-K101</f>
        <v>0</v>
      </c>
      <c r="M101" s="66">
        <f>J101</f>
        <v>0</v>
      </c>
      <c r="N101" s="776">
        <f>IF($A101&lt;&gt;"",$A101*P101,$E$7*P101)</f>
        <v>0</v>
      </c>
      <c r="O101" s="776">
        <f>P101-N101</f>
        <v>0</v>
      </c>
      <c r="P101" s="66">
        <f>M101</f>
        <v>0</v>
      </c>
      <c r="Q101" s="776">
        <f>IF($A101&lt;&gt;"",$A101*S101,$E$7*S101)</f>
        <v>0</v>
      </c>
      <c r="R101" s="776">
        <f>S101-Q101</f>
        <v>0</v>
      </c>
      <c r="S101" s="66">
        <f>P101</f>
        <v>0</v>
      </c>
      <c r="T101" s="776">
        <f>IF($A101&lt;&gt;"",$A101*V101,$E$7*V101)</f>
        <v>0</v>
      </c>
      <c r="U101" s="776">
        <f>V101-T101</f>
        <v>0</v>
      </c>
      <c r="V101" s="66">
        <f>S101</f>
        <v>0</v>
      </c>
      <c r="W101" s="776">
        <f>IF($A101&lt;&gt;"",$A101*Y101,$E$7*Y101)</f>
        <v>0</v>
      </c>
      <c r="X101" s="776">
        <f>Y101-W101</f>
        <v>0</v>
      </c>
      <c r="Y101" s="66">
        <f>V101</f>
        <v>0</v>
      </c>
      <c r="Z101" s="776">
        <f>IF($A101&lt;&gt;"",$A101*AB101,$E$7*AB101)</f>
        <v>0</v>
      </c>
      <c r="AA101" s="776">
        <f>AB101-Z101</f>
        <v>0</v>
      </c>
      <c r="AB101" s="66">
        <f>Y101</f>
        <v>0</v>
      </c>
      <c r="AC101" s="776">
        <f>IF($A101&lt;&gt;"",$A101*AE101,$E$7*AE101)</f>
        <v>0</v>
      </c>
      <c r="AD101" s="776">
        <f>AE101-AC101</f>
        <v>0</v>
      </c>
      <c r="AE101" s="66">
        <f>AB101</f>
        <v>0</v>
      </c>
      <c r="AF101" s="776">
        <f>IF($A101&lt;&gt;"",$A101*AH101,$E$7*AH101)</f>
        <v>0</v>
      </c>
      <c r="AG101" s="776">
        <f>AH101-AF101</f>
        <v>0</v>
      </c>
      <c r="AH101" s="66">
        <f>AE101</f>
        <v>0</v>
      </c>
      <c r="AI101" s="776">
        <f>IF($A101&lt;&gt;"",$A101*AK101,$E$7*AK101)</f>
        <v>0</v>
      </c>
      <c r="AJ101" s="776">
        <f>AK101-AI101</f>
        <v>0</v>
      </c>
      <c r="AK101" s="66">
        <f>AH101</f>
        <v>0</v>
      </c>
      <c r="AL101" s="776">
        <f>IF($A101&lt;&gt;"",$A101*AN101,$E$7*AN101)</f>
        <v>0</v>
      </c>
      <c r="AM101" s="776">
        <f>AN101-AL101</f>
        <v>0</v>
      </c>
      <c r="AN101" s="66">
        <f>AK101</f>
        <v>0</v>
      </c>
      <c r="AO101" s="776">
        <f>IF($A101&lt;&gt;"",$A101*AQ101,$E$7*AQ101)</f>
        <v>0</v>
      </c>
      <c r="AP101" s="776">
        <f>AQ101-AO101</f>
        <v>0</v>
      </c>
      <c r="AQ101" s="66">
        <f>AN101</f>
        <v>0</v>
      </c>
      <c r="AR101" s="776">
        <f>IF($A101&lt;&gt;"",$A101*AT101,$E$7*AT101)</f>
        <v>0</v>
      </c>
      <c r="AS101" s="776">
        <f>AT101-AR101</f>
        <v>0</v>
      </c>
      <c r="AT101" s="66">
        <f>AQ101</f>
        <v>0</v>
      </c>
      <c r="AU101" s="776">
        <f>IF($A101&lt;&gt;"",$A101*AW101,$E$7*AW101)</f>
        <v>0</v>
      </c>
      <c r="AV101" s="776">
        <f>AW101-AU101</f>
        <v>0</v>
      </c>
      <c r="AW101" s="66">
        <f>AT101</f>
        <v>0</v>
      </c>
      <c r="AX101" s="776">
        <f>IF($A101&lt;&gt;"",$A101*AZ101,$E$7*AZ101)</f>
        <v>0</v>
      </c>
      <c r="AY101" s="776">
        <f>AZ101-AX101</f>
        <v>0</v>
      </c>
      <c r="AZ101" s="66">
        <f>AW101</f>
        <v>0</v>
      </c>
      <c r="BA101" s="776">
        <f>IF($A101&lt;&gt;"",$A101*BC101,$E$7*BC101)</f>
        <v>0</v>
      </c>
      <c r="BB101" s="776">
        <f>BC101-BA101</f>
        <v>0</v>
      </c>
      <c r="BC101" s="66">
        <f>AZ101</f>
        <v>0</v>
      </c>
      <c r="BD101" s="776">
        <f>IF($A101&lt;&gt;"",$A101*BF101,$E$7*BF101)</f>
        <v>0</v>
      </c>
      <c r="BE101" s="776">
        <f>BF101-BD101</f>
        <v>0</v>
      </c>
      <c r="BF101" s="66">
        <f>BC101</f>
        <v>0</v>
      </c>
      <c r="BG101" s="776">
        <f>IF($A101&lt;&gt;"",$A101*BI101,$E$7*BI101)</f>
        <v>0</v>
      </c>
      <c r="BH101" s="776">
        <f>BI101-BG101</f>
        <v>0</v>
      </c>
      <c r="BI101" s="66">
        <f>BF101</f>
        <v>0</v>
      </c>
      <c r="BJ101" s="776">
        <f>IF($A101&lt;&gt;"",$A101*BL101,$E$7*BL101)</f>
        <v>0</v>
      </c>
      <c r="BK101" s="776">
        <f>BL101-BJ101</f>
        <v>0</v>
      </c>
      <c r="BL101" s="66">
        <f>BI101</f>
        <v>0</v>
      </c>
      <c r="BM101" s="776">
        <f>IF($A101&lt;&gt;"",$A101*BO101,$E$7*BO101)</f>
        <v>0</v>
      </c>
      <c r="BN101" s="776">
        <f>BO101-BM101</f>
        <v>0</v>
      </c>
      <c r="BO101" s="66">
        <f>BL101</f>
        <v>0</v>
      </c>
      <c r="BP101" s="5"/>
      <c r="BQ101" s="5"/>
      <c r="BR101" s="5"/>
      <c r="BS101" s="5"/>
      <c r="BT101" s="5"/>
      <c r="BU101" s="5"/>
      <c r="BV101" s="5"/>
    </row>
    <row r="102" spans="1:74" ht="14.25" customHeight="1">
      <c r="A102" s="729" t="str">
        <f>IF('6.1stYrOpBudget'!K102&lt;&gt;"",'6.1stYrOpBudget'!K102,"")</f>
        <v/>
      </c>
      <c r="B102" s="729" t="str">
        <f>'6.1stYrOpBudget'!L102</f>
        <v/>
      </c>
      <c r="C102" s="144" t="str">
        <f>'6.1stYrOpBudget'!A102</f>
        <v>Hard Debt - Third Lender (Other HCD Program, or other 3rd Lender)</v>
      </c>
      <c r="D102" s="120"/>
      <c r="E102" s="120"/>
      <c r="F102" s="120"/>
      <c r="G102" s="63" t="s">
        <v>189</v>
      </c>
      <c r="H102" s="793">
        <f>'6.1stYrOpBudget'!D102</f>
        <v>0</v>
      </c>
      <c r="I102" s="793">
        <f>'6.1stYrOpBudget'!E102</f>
        <v>0</v>
      </c>
      <c r="J102" s="178">
        <f>'6.1stYrOpBudget'!F102</f>
        <v>0</v>
      </c>
      <c r="K102" s="776">
        <f>IF($A102&lt;&gt;"",$A102*M102,$E$7*M102)</f>
        <v>0</v>
      </c>
      <c r="L102" s="776">
        <f>M102-K102</f>
        <v>0</v>
      </c>
      <c r="M102" s="66">
        <f>J102</f>
        <v>0</v>
      </c>
      <c r="N102" s="776">
        <f>IF($A102&lt;&gt;"",$A102*P102,$E$7*P102)</f>
        <v>0</v>
      </c>
      <c r="O102" s="776">
        <f>P102-N102</f>
        <v>0</v>
      </c>
      <c r="P102" s="66">
        <f>M102</f>
        <v>0</v>
      </c>
      <c r="Q102" s="776">
        <f>IF($A102&lt;&gt;"",$A102*S102,$E$7*S102)</f>
        <v>0</v>
      </c>
      <c r="R102" s="776">
        <f>S102-Q102</f>
        <v>0</v>
      </c>
      <c r="S102" s="66">
        <f>P102</f>
        <v>0</v>
      </c>
      <c r="T102" s="776">
        <f>IF($A102&lt;&gt;"",$A102*V102,$E$7*V102)</f>
        <v>0</v>
      </c>
      <c r="U102" s="776">
        <f>V102-T102</f>
        <v>0</v>
      </c>
      <c r="V102" s="66">
        <f>S102</f>
        <v>0</v>
      </c>
      <c r="W102" s="776">
        <f>IF($A102&lt;&gt;"",$A102*Y102,$E$7*Y102)</f>
        <v>0</v>
      </c>
      <c r="X102" s="776">
        <f>Y102-W102</f>
        <v>0</v>
      </c>
      <c r="Y102" s="66">
        <f>V102</f>
        <v>0</v>
      </c>
      <c r="Z102" s="776">
        <f>IF($A102&lt;&gt;"",$A102*AB102,$E$7*AB102)</f>
        <v>0</v>
      </c>
      <c r="AA102" s="776">
        <f>AB102-Z102</f>
        <v>0</v>
      </c>
      <c r="AB102" s="66">
        <f>Y102</f>
        <v>0</v>
      </c>
      <c r="AC102" s="776">
        <f>IF($A102&lt;&gt;"",$A102*AE102,$E$7*AE102)</f>
        <v>0</v>
      </c>
      <c r="AD102" s="776">
        <f>AE102-AC102</f>
        <v>0</v>
      </c>
      <c r="AE102" s="66">
        <f>AB102</f>
        <v>0</v>
      </c>
      <c r="AF102" s="776">
        <f>IF($A102&lt;&gt;"",$A102*AH102,$E$7*AH102)</f>
        <v>0</v>
      </c>
      <c r="AG102" s="776">
        <f>AH102-AF102</f>
        <v>0</v>
      </c>
      <c r="AH102" s="66">
        <f>AE102</f>
        <v>0</v>
      </c>
      <c r="AI102" s="776">
        <f>IF($A102&lt;&gt;"",$A102*AK102,$E$7*AK102)</f>
        <v>0</v>
      </c>
      <c r="AJ102" s="776">
        <f>AK102-AI102</f>
        <v>0</v>
      </c>
      <c r="AK102" s="66">
        <f>AH102</f>
        <v>0</v>
      </c>
      <c r="AL102" s="776">
        <f>IF($A102&lt;&gt;"",$A102*AN102,$E$7*AN102)</f>
        <v>0</v>
      </c>
      <c r="AM102" s="776">
        <f>AN102-AL102</f>
        <v>0</v>
      </c>
      <c r="AN102" s="66">
        <f>AK102</f>
        <v>0</v>
      </c>
      <c r="AO102" s="776">
        <f>IF($A102&lt;&gt;"",$A102*AQ102,$E$7*AQ102)</f>
        <v>0</v>
      </c>
      <c r="AP102" s="776">
        <f>AQ102-AO102</f>
        <v>0</v>
      </c>
      <c r="AQ102" s="66">
        <f>AN102</f>
        <v>0</v>
      </c>
      <c r="AR102" s="776">
        <f>IF($A102&lt;&gt;"",$A102*AT102,$E$7*AT102)</f>
        <v>0</v>
      </c>
      <c r="AS102" s="776">
        <f>AT102-AR102</f>
        <v>0</v>
      </c>
      <c r="AT102" s="66">
        <f>AQ102</f>
        <v>0</v>
      </c>
      <c r="AU102" s="776">
        <f>IF($A102&lt;&gt;"",$A102*AW102,$E$7*AW102)</f>
        <v>0</v>
      </c>
      <c r="AV102" s="776">
        <f>AW102-AU102</f>
        <v>0</v>
      </c>
      <c r="AW102" s="66">
        <f>AT102</f>
        <v>0</v>
      </c>
      <c r="AX102" s="776">
        <f>IF($A102&lt;&gt;"",$A102*AZ102,$E$7*AZ102)</f>
        <v>0</v>
      </c>
      <c r="AY102" s="776">
        <f>AZ102-AX102</f>
        <v>0</v>
      </c>
      <c r="AZ102" s="66">
        <f>AW102</f>
        <v>0</v>
      </c>
      <c r="BA102" s="776">
        <f>IF($A102&lt;&gt;"",$A102*BC102,$E$7*BC102)</f>
        <v>0</v>
      </c>
      <c r="BB102" s="776">
        <f>BC102-BA102</f>
        <v>0</v>
      </c>
      <c r="BC102" s="66">
        <f>AZ102</f>
        <v>0</v>
      </c>
      <c r="BD102" s="776">
        <f>IF($A102&lt;&gt;"",$A102*BF102,$E$7*BF102)</f>
        <v>0</v>
      </c>
      <c r="BE102" s="776">
        <f>BF102-BD102</f>
        <v>0</v>
      </c>
      <c r="BF102" s="66">
        <f>BC102</f>
        <v>0</v>
      </c>
      <c r="BG102" s="776">
        <f>IF($A102&lt;&gt;"",$A102*BI102,$E$7*BI102)</f>
        <v>0</v>
      </c>
      <c r="BH102" s="776">
        <f>BI102-BG102</f>
        <v>0</v>
      </c>
      <c r="BI102" s="66">
        <f>BF102</f>
        <v>0</v>
      </c>
      <c r="BJ102" s="776">
        <f>IF($A102&lt;&gt;"",$A102*BL102,$E$7*BL102)</f>
        <v>0</v>
      </c>
      <c r="BK102" s="776">
        <f>BL102-BJ102</f>
        <v>0</v>
      </c>
      <c r="BL102" s="66">
        <f>BI102</f>
        <v>0</v>
      </c>
      <c r="BM102" s="776">
        <f>IF($A102&lt;&gt;"",$A102*BO102,$E$7*BO102)</f>
        <v>0</v>
      </c>
      <c r="BN102" s="776">
        <f>BO102-BM102</f>
        <v>0</v>
      </c>
      <c r="BO102" s="66">
        <f>BL102</f>
        <v>0</v>
      </c>
      <c r="BP102" s="5"/>
      <c r="BQ102" s="5"/>
      <c r="BR102" s="5"/>
      <c r="BS102" s="5"/>
      <c r="BT102" s="5"/>
      <c r="BU102" s="5"/>
      <c r="BV102" s="5"/>
    </row>
    <row r="103" spans="1:74" ht="14.25" customHeight="1">
      <c r="A103" s="729" t="str">
        <f>IF('6.1stYrOpBudget'!K103&lt;&gt;"",'6.1stYrOpBudget'!K103,"")</f>
        <v/>
      </c>
      <c r="B103" s="729" t="str">
        <f>'6.1stYrOpBudget'!L103</f>
        <v/>
      </c>
      <c r="C103" s="144" t="str">
        <f>'6.1stYrOpBudget'!A103</f>
        <v xml:space="preserve">Hard Debt - Fourth Lender </v>
      </c>
      <c r="D103" s="120"/>
      <c r="E103" s="120"/>
      <c r="F103" s="120"/>
      <c r="G103" s="63" t="s">
        <v>189</v>
      </c>
      <c r="H103" s="793">
        <f>'6.1stYrOpBudget'!D103</f>
        <v>0</v>
      </c>
      <c r="I103" s="793">
        <f>'6.1stYrOpBudget'!E103</f>
        <v>0</v>
      </c>
      <c r="J103" s="178">
        <f>'6.1stYrOpBudget'!F103</f>
        <v>0</v>
      </c>
      <c r="K103" s="776">
        <f>IF($A103&lt;&gt;"",$A103*M103,$E$7*M103)</f>
        <v>0</v>
      </c>
      <c r="L103" s="776">
        <f>M103-K103</f>
        <v>0</v>
      </c>
      <c r="M103" s="66">
        <f>J103</f>
        <v>0</v>
      </c>
      <c r="N103" s="776">
        <f>IF($A103&lt;&gt;"",$A103*P103,$E$7*P103)</f>
        <v>0</v>
      </c>
      <c r="O103" s="776">
        <f>P103-N103</f>
        <v>0</v>
      </c>
      <c r="P103" s="66">
        <f>M103</f>
        <v>0</v>
      </c>
      <c r="Q103" s="776">
        <f>IF($A103&lt;&gt;"",$A103*S103,$E$7*S103)</f>
        <v>0</v>
      </c>
      <c r="R103" s="776">
        <f>S103-Q103</f>
        <v>0</v>
      </c>
      <c r="S103" s="66">
        <f>P103</f>
        <v>0</v>
      </c>
      <c r="T103" s="776">
        <f>IF($A103&lt;&gt;"",$A103*V103,$E$7*V103)</f>
        <v>0</v>
      </c>
      <c r="U103" s="776">
        <f>V103-T103</f>
        <v>0</v>
      </c>
      <c r="V103" s="66">
        <f>S103</f>
        <v>0</v>
      </c>
      <c r="W103" s="776">
        <f>IF($A103&lt;&gt;"",$A103*Y103,$E$7*Y103)</f>
        <v>0</v>
      </c>
      <c r="X103" s="776">
        <f>Y103-W103</f>
        <v>0</v>
      </c>
      <c r="Y103" s="66">
        <f>V103</f>
        <v>0</v>
      </c>
      <c r="Z103" s="776">
        <f>IF($A103&lt;&gt;"",$A103*AB103,$E$7*AB103)</f>
        <v>0</v>
      </c>
      <c r="AA103" s="776">
        <f>AB103-Z103</f>
        <v>0</v>
      </c>
      <c r="AB103" s="66">
        <f>Y103</f>
        <v>0</v>
      </c>
      <c r="AC103" s="776">
        <f>IF($A103&lt;&gt;"",$A103*AE103,$E$7*AE103)</f>
        <v>0</v>
      </c>
      <c r="AD103" s="776">
        <f>AE103-AC103</f>
        <v>0</v>
      </c>
      <c r="AE103" s="66">
        <f>AB103</f>
        <v>0</v>
      </c>
      <c r="AF103" s="776">
        <f>IF($A103&lt;&gt;"",$A103*AH103,$E$7*AH103)</f>
        <v>0</v>
      </c>
      <c r="AG103" s="776">
        <f>AH103-AF103</f>
        <v>0</v>
      </c>
      <c r="AH103" s="66">
        <f>AE103</f>
        <v>0</v>
      </c>
      <c r="AI103" s="776">
        <f>IF($A103&lt;&gt;"",$A103*AK103,$E$7*AK103)</f>
        <v>0</v>
      </c>
      <c r="AJ103" s="776">
        <f>AK103-AI103</f>
        <v>0</v>
      </c>
      <c r="AK103" s="66">
        <f>AH103</f>
        <v>0</v>
      </c>
      <c r="AL103" s="776">
        <f>IF($A103&lt;&gt;"",$A103*AN103,$E$7*AN103)</f>
        <v>0</v>
      </c>
      <c r="AM103" s="776">
        <f>AN103-AL103</f>
        <v>0</v>
      </c>
      <c r="AN103" s="66">
        <f>AK103</f>
        <v>0</v>
      </c>
      <c r="AO103" s="776">
        <f>IF($A103&lt;&gt;"",$A103*AQ103,$E$7*AQ103)</f>
        <v>0</v>
      </c>
      <c r="AP103" s="776">
        <f>AQ103-AO103</f>
        <v>0</v>
      </c>
      <c r="AQ103" s="66">
        <f>AN103</f>
        <v>0</v>
      </c>
      <c r="AR103" s="776">
        <f>IF($A103&lt;&gt;"",$A103*AT103,$E$7*AT103)</f>
        <v>0</v>
      </c>
      <c r="AS103" s="776">
        <f>AT103-AR103</f>
        <v>0</v>
      </c>
      <c r="AT103" s="66">
        <f>AQ103</f>
        <v>0</v>
      </c>
      <c r="AU103" s="776">
        <f>IF($A103&lt;&gt;"",$A103*AW103,$E$7*AW103)</f>
        <v>0</v>
      </c>
      <c r="AV103" s="776">
        <f>AW103-AU103</f>
        <v>0</v>
      </c>
      <c r="AW103" s="66">
        <f>AT103</f>
        <v>0</v>
      </c>
      <c r="AX103" s="776">
        <f>IF($A103&lt;&gt;"",$A103*AZ103,$E$7*AZ103)</f>
        <v>0</v>
      </c>
      <c r="AY103" s="776">
        <f>AZ103-AX103</f>
        <v>0</v>
      </c>
      <c r="AZ103" s="66">
        <f>AW103</f>
        <v>0</v>
      </c>
      <c r="BA103" s="776">
        <f>IF($A103&lt;&gt;"",$A103*BC103,$E$7*BC103)</f>
        <v>0</v>
      </c>
      <c r="BB103" s="776">
        <f>BC103-BA103</f>
        <v>0</v>
      </c>
      <c r="BC103" s="66">
        <f>AZ103</f>
        <v>0</v>
      </c>
      <c r="BD103" s="776">
        <f>IF($A103&lt;&gt;"",$A103*BF103,$E$7*BF103)</f>
        <v>0</v>
      </c>
      <c r="BE103" s="776">
        <f>BF103-BD103</f>
        <v>0</v>
      </c>
      <c r="BF103" s="66">
        <f>BC103</f>
        <v>0</v>
      </c>
      <c r="BG103" s="776">
        <f>IF($A103&lt;&gt;"",$A103*BI103,$E$7*BI103)</f>
        <v>0</v>
      </c>
      <c r="BH103" s="776">
        <f>BI103-BG103</f>
        <v>0</v>
      </c>
      <c r="BI103" s="66">
        <f>BF103</f>
        <v>0</v>
      </c>
      <c r="BJ103" s="776">
        <f>IF($A103&lt;&gt;"",$A103*BL103,$E$7*BL103)</f>
        <v>0</v>
      </c>
      <c r="BK103" s="776">
        <f>BL103-BJ103</f>
        <v>0</v>
      </c>
      <c r="BL103" s="66">
        <f>BI103</f>
        <v>0</v>
      </c>
      <c r="BM103" s="776">
        <f>IF($A103&lt;&gt;"",$A103*BO103,$E$7*BO103)</f>
        <v>0</v>
      </c>
      <c r="BN103" s="776">
        <f>BO103-BM103</f>
        <v>0</v>
      </c>
      <c r="BO103" s="66">
        <f>BL103</f>
        <v>0</v>
      </c>
      <c r="BP103" s="5"/>
      <c r="BQ103" s="5"/>
      <c r="BR103" s="5"/>
      <c r="BS103" s="5"/>
      <c r="BT103" s="5"/>
      <c r="BU103" s="5"/>
      <c r="BV103" s="5"/>
    </row>
    <row r="104" spans="1:74" ht="21">
      <c r="C104" s="144" t="str">
        <f>'6.1stYrOpBudget'!A104</f>
        <v>Commercial Hard Debt Service</v>
      </c>
      <c r="D104" s="120"/>
      <c r="E104" s="120"/>
      <c r="F104" s="120"/>
      <c r="G104" s="1661" t="str">
        <f>"from 'Commercial Op. Budget' Worksheet; Commercial to Residential allocation: "&amp; '5.CommOp.Budget'!$C$2 *100 &amp;"%"</f>
        <v>from 'Commercial Op. Budget' Worksheet; Commercial to Residential allocation: 100%</v>
      </c>
      <c r="H104" s="782"/>
      <c r="I104" s="782"/>
      <c r="J104" s="227">
        <f>'5.CommOp.Budget'!E90*'5.CommOp.Budget'!$C$2</f>
        <v>0</v>
      </c>
      <c r="K104" s="782"/>
      <c r="L104" s="782"/>
      <c r="M104" s="227">
        <f>'5.CommOp.Budget'!F90*'5.CommOp.Budget'!$C$2</f>
        <v>0</v>
      </c>
      <c r="N104" s="782"/>
      <c r="O104" s="782"/>
      <c r="P104" s="227">
        <f>'5.CommOp.Budget'!G90*'5.CommOp.Budget'!$C$2</f>
        <v>0</v>
      </c>
      <c r="Q104" s="782"/>
      <c r="R104" s="782"/>
      <c r="S104" s="227">
        <f>'5.CommOp.Budget'!H90*'5.CommOp.Budget'!$C$2</f>
        <v>0</v>
      </c>
      <c r="T104" s="782"/>
      <c r="U104" s="782"/>
      <c r="V104" s="227">
        <f>'5.CommOp.Budget'!I90*'5.CommOp.Budget'!$C$2</f>
        <v>0</v>
      </c>
      <c r="W104" s="782"/>
      <c r="X104" s="782"/>
      <c r="Y104" s="227">
        <f>'5.CommOp.Budget'!J90*'5.CommOp.Budget'!$C$2</f>
        <v>0</v>
      </c>
      <c r="Z104" s="782"/>
      <c r="AA104" s="782"/>
      <c r="AB104" s="227">
        <f>'5.CommOp.Budget'!K90*'5.CommOp.Budget'!$C$2</f>
        <v>0</v>
      </c>
      <c r="AC104" s="782"/>
      <c r="AD104" s="782"/>
      <c r="AE104" s="227">
        <f>'5.CommOp.Budget'!L90*'5.CommOp.Budget'!$C$2</f>
        <v>0</v>
      </c>
      <c r="AF104" s="782"/>
      <c r="AG104" s="782"/>
      <c r="AH104" s="227">
        <f>'5.CommOp.Budget'!M90*'5.CommOp.Budget'!$C$2</f>
        <v>0</v>
      </c>
      <c r="AI104" s="782"/>
      <c r="AJ104" s="782"/>
      <c r="AK104" s="227">
        <f>'5.CommOp.Budget'!N90*'5.CommOp.Budget'!$C$2</f>
        <v>0</v>
      </c>
      <c r="AL104" s="782"/>
      <c r="AM104" s="782"/>
      <c r="AN104" s="227">
        <f>'5.CommOp.Budget'!O90*'5.CommOp.Budget'!$C$2</f>
        <v>0</v>
      </c>
      <c r="AO104" s="782"/>
      <c r="AP104" s="782"/>
      <c r="AQ104" s="227">
        <f>'5.CommOp.Budget'!P90*'5.CommOp.Budget'!$C$2</f>
        <v>0</v>
      </c>
      <c r="AR104" s="782"/>
      <c r="AS104" s="782"/>
      <c r="AT104" s="227">
        <f>'5.CommOp.Budget'!Q90*'5.CommOp.Budget'!$C$2</f>
        <v>0</v>
      </c>
      <c r="AU104" s="782"/>
      <c r="AV104" s="782"/>
      <c r="AW104" s="227">
        <f>'5.CommOp.Budget'!R90*'5.CommOp.Budget'!$C$2</f>
        <v>0</v>
      </c>
      <c r="AX104" s="782"/>
      <c r="AY104" s="782"/>
      <c r="AZ104" s="227">
        <f>'5.CommOp.Budget'!S90*'5.CommOp.Budget'!$C$2</f>
        <v>0</v>
      </c>
      <c r="BA104" s="782"/>
      <c r="BB104" s="782"/>
      <c r="BC104" s="227">
        <f>'5.CommOp.Budget'!T90*'5.CommOp.Budget'!$C$2</f>
        <v>0</v>
      </c>
      <c r="BD104" s="782"/>
      <c r="BE104" s="782"/>
      <c r="BF104" s="227">
        <f>'5.CommOp.Budget'!U90*'5.CommOp.Budget'!$C$2</f>
        <v>0</v>
      </c>
      <c r="BG104" s="782"/>
      <c r="BH104" s="782"/>
      <c r="BI104" s="227">
        <f>'5.CommOp.Budget'!V90*'5.CommOp.Budget'!$C$2</f>
        <v>0</v>
      </c>
      <c r="BJ104" s="782"/>
      <c r="BK104" s="782"/>
      <c r="BL104" s="227">
        <f>'5.CommOp.Budget'!W90*'5.CommOp.Budget'!$C$2</f>
        <v>0</v>
      </c>
      <c r="BM104" s="782"/>
      <c r="BN104" s="782"/>
      <c r="BO104" s="227">
        <f>'5.CommOp.Budget'!X90*'5.CommOp.Budget'!$C$2</f>
        <v>0</v>
      </c>
      <c r="BP104" s="5"/>
      <c r="BQ104" s="5"/>
      <c r="BR104" s="5"/>
      <c r="BS104" s="5"/>
      <c r="BT104" s="5"/>
      <c r="BU104" s="5"/>
      <c r="BV104" s="5"/>
    </row>
    <row r="105" spans="1:74" ht="13.8">
      <c r="C105" s="1082" t="str">
        <f>'6.1stYrOpBudget'!B105</f>
        <v>TOTAL HARD DEBT SERVICE</v>
      </c>
      <c r="D105" s="120"/>
      <c r="E105" s="120"/>
      <c r="F105" s="120"/>
      <c r="G105" s="204"/>
      <c r="H105" s="235">
        <f>'6.1stYrOpBudget'!D105</f>
        <v>0</v>
      </c>
      <c r="I105" s="235">
        <f>'6.1stYrOpBudget'!E105</f>
        <v>0</v>
      </c>
      <c r="J105" s="175">
        <f>'6.1stYrOpBudget'!F105</f>
        <v>0</v>
      </c>
      <c r="K105" s="235">
        <f>SUM(K100:K104)</f>
        <v>0</v>
      </c>
      <c r="L105" s="235">
        <f t="shared" ref="L105:BO105" si="253">SUM(L100:L104)</f>
        <v>0</v>
      </c>
      <c r="M105" s="175">
        <f t="shared" si="253"/>
        <v>0</v>
      </c>
      <c r="N105" s="235">
        <f t="shared" si="253"/>
        <v>0</v>
      </c>
      <c r="O105" s="235">
        <f t="shared" si="253"/>
        <v>0</v>
      </c>
      <c r="P105" s="175">
        <f t="shared" si="253"/>
        <v>0</v>
      </c>
      <c r="Q105" s="235">
        <f t="shared" si="253"/>
        <v>0</v>
      </c>
      <c r="R105" s="235">
        <f t="shared" si="253"/>
        <v>0</v>
      </c>
      <c r="S105" s="175">
        <f t="shared" si="253"/>
        <v>0</v>
      </c>
      <c r="T105" s="235">
        <f t="shared" si="253"/>
        <v>0</v>
      </c>
      <c r="U105" s="235">
        <f t="shared" si="253"/>
        <v>0</v>
      </c>
      <c r="V105" s="175">
        <f t="shared" si="253"/>
        <v>0</v>
      </c>
      <c r="W105" s="235">
        <f t="shared" si="253"/>
        <v>0</v>
      </c>
      <c r="X105" s="235">
        <f t="shared" si="253"/>
        <v>0</v>
      </c>
      <c r="Y105" s="175">
        <f t="shared" si="253"/>
        <v>0</v>
      </c>
      <c r="Z105" s="235">
        <f t="shared" si="253"/>
        <v>0</v>
      </c>
      <c r="AA105" s="235">
        <f t="shared" si="253"/>
        <v>0</v>
      </c>
      <c r="AB105" s="175">
        <f t="shared" si="253"/>
        <v>0</v>
      </c>
      <c r="AC105" s="235">
        <f t="shared" si="253"/>
        <v>0</v>
      </c>
      <c r="AD105" s="235">
        <f t="shared" si="253"/>
        <v>0</v>
      </c>
      <c r="AE105" s="175">
        <f t="shared" si="253"/>
        <v>0</v>
      </c>
      <c r="AF105" s="235">
        <f t="shared" si="253"/>
        <v>0</v>
      </c>
      <c r="AG105" s="235">
        <f t="shared" si="253"/>
        <v>0</v>
      </c>
      <c r="AH105" s="175">
        <f t="shared" si="253"/>
        <v>0</v>
      </c>
      <c r="AI105" s="235">
        <f t="shared" si="253"/>
        <v>0</v>
      </c>
      <c r="AJ105" s="235">
        <f t="shared" si="253"/>
        <v>0</v>
      </c>
      <c r="AK105" s="175">
        <f t="shared" si="253"/>
        <v>0</v>
      </c>
      <c r="AL105" s="235">
        <f t="shared" si="253"/>
        <v>0</v>
      </c>
      <c r="AM105" s="235">
        <f t="shared" si="253"/>
        <v>0</v>
      </c>
      <c r="AN105" s="175">
        <f t="shared" si="253"/>
        <v>0</v>
      </c>
      <c r="AO105" s="235">
        <f t="shared" si="253"/>
        <v>0</v>
      </c>
      <c r="AP105" s="235">
        <f t="shared" si="253"/>
        <v>0</v>
      </c>
      <c r="AQ105" s="175">
        <f t="shared" si="253"/>
        <v>0</v>
      </c>
      <c r="AR105" s="235">
        <f t="shared" si="253"/>
        <v>0</v>
      </c>
      <c r="AS105" s="235">
        <f t="shared" si="253"/>
        <v>0</v>
      </c>
      <c r="AT105" s="175">
        <f t="shared" si="253"/>
        <v>0</v>
      </c>
      <c r="AU105" s="235">
        <f t="shared" si="253"/>
        <v>0</v>
      </c>
      <c r="AV105" s="235">
        <f t="shared" si="253"/>
        <v>0</v>
      </c>
      <c r="AW105" s="175">
        <f t="shared" si="253"/>
        <v>0</v>
      </c>
      <c r="AX105" s="235">
        <f t="shared" si="253"/>
        <v>0</v>
      </c>
      <c r="AY105" s="235">
        <f t="shared" si="253"/>
        <v>0</v>
      </c>
      <c r="AZ105" s="175">
        <f t="shared" si="253"/>
        <v>0</v>
      </c>
      <c r="BA105" s="235">
        <f t="shared" si="253"/>
        <v>0</v>
      </c>
      <c r="BB105" s="235">
        <f t="shared" si="253"/>
        <v>0</v>
      </c>
      <c r="BC105" s="175">
        <f t="shared" si="253"/>
        <v>0</v>
      </c>
      <c r="BD105" s="235">
        <f t="shared" si="253"/>
        <v>0</v>
      </c>
      <c r="BE105" s="235">
        <f t="shared" si="253"/>
        <v>0</v>
      </c>
      <c r="BF105" s="175">
        <f t="shared" si="253"/>
        <v>0</v>
      </c>
      <c r="BG105" s="235">
        <f t="shared" si="253"/>
        <v>0</v>
      </c>
      <c r="BH105" s="235">
        <f t="shared" si="253"/>
        <v>0</v>
      </c>
      <c r="BI105" s="175">
        <f t="shared" si="253"/>
        <v>0</v>
      </c>
      <c r="BJ105" s="235">
        <f t="shared" si="253"/>
        <v>0</v>
      </c>
      <c r="BK105" s="235">
        <f t="shared" si="253"/>
        <v>0</v>
      </c>
      <c r="BL105" s="175">
        <f t="shared" si="253"/>
        <v>0</v>
      </c>
      <c r="BM105" s="235">
        <f t="shared" si="253"/>
        <v>0</v>
      </c>
      <c r="BN105" s="235">
        <f t="shared" si="253"/>
        <v>0</v>
      </c>
      <c r="BO105" s="175">
        <f t="shared" si="253"/>
        <v>0</v>
      </c>
      <c r="BP105" s="5"/>
      <c r="BQ105" s="5"/>
      <c r="BR105" s="5"/>
      <c r="BS105" s="5"/>
      <c r="BT105" s="5"/>
      <c r="BU105" s="5"/>
      <c r="BV105" s="5"/>
    </row>
    <row r="106" spans="1:74" ht="5.0999999999999996" customHeight="1">
      <c r="C106" s="129"/>
      <c r="D106" s="124"/>
      <c r="E106" s="124"/>
      <c r="F106" s="124"/>
      <c r="G106" s="21"/>
      <c r="H106" s="236"/>
      <c r="I106" s="236"/>
      <c r="J106" s="125"/>
      <c r="K106" s="236"/>
      <c r="L106" s="236"/>
      <c r="M106" s="125"/>
      <c r="N106" s="236"/>
      <c r="O106" s="236"/>
      <c r="P106" s="125"/>
      <c r="Q106" s="236"/>
      <c r="R106" s="236"/>
      <c r="S106" s="125"/>
      <c r="T106" s="236"/>
      <c r="U106" s="236"/>
      <c r="V106" s="125"/>
      <c r="W106" s="236"/>
      <c r="X106" s="236"/>
      <c r="Y106" s="125"/>
      <c r="Z106" s="236"/>
      <c r="AA106" s="236"/>
      <c r="AB106" s="125"/>
      <c r="AC106" s="236"/>
      <c r="AD106" s="236"/>
      <c r="AE106" s="125"/>
      <c r="AF106" s="236"/>
      <c r="AG106" s="236"/>
      <c r="AH106" s="125"/>
      <c r="AI106" s="236"/>
      <c r="AJ106" s="236"/>
      <c r="AK106" s="125"/>
      <c r="AL106" s="236"/>
      <c r="AM106" s="236"/>
      <c r="AN106" s="125"/>
      <c r="AO106" s="236"/>
      <c r="AP106" s="236"/>
      <c r="AQ106" s="125"/>
      <c r="AR106" s="236"/>
      <c r="AS106" s="236"/>
      <c r="AT106" s="125"/>
      <c r="AU106" s="236"/>
      <c r="AV106" s="236"/>
      <c r="AW106" s="125"/>
      <c r="AX106" s="236"/>
      <c r="AY106" s="236"/>
      <c r="AZ106" s="125"/>
      <c r="BA106" s="236"/>
      <c r="BB106" s="236"/>
      <c r="BC106" s="125"/>
      <c r="BD106" s="236"/>
      <c r="BE106" s="236"/>
      <c r="BF106" s="125"/>
      <c r="BG106" s="236"/>
      <c r="BH106" s="236"/>
      <c r="BI106" s="125"/>
      <c r="BJ106" s="236"/>
      <c r="BK106" s="236"/>
      <c r="BL106" s="125"/>
      <c r="BM106" s="236"/>
      <c r="BN106" s="236"/>
      <c r="BO106" s="125"/>
      <c r="BP106" s="5"/>
      <c r="BQ106" s="5"/>
      <c r="BR106" s="5"/>
      <c r="BS106" s="5"/>
      <c r="BT106" s="5"/>
      <c r="BU106" s="5"/>
      <c r="BV106" s="5"/>
    </row>
    <row r="107" spans="1:74" ht="13.8">
      <c r="C107" s="319" t="str">
        <f>'6.1stYrOpBudget'!A107</f>
        <v>CASH FLOW (NOI minus DEBT SERVICE)</v>
      </c>
      <c r="D107" s="124"/>
      <c r="E107" s="124"/>
      <c r="F107" s="124"/>
      <c r="G107" s="21"/>
      <c r="H107" s="785">
        <f>'6.1stYrOpBudget'!D107</f>
        <v>0</v>
      </c>
      <c r="I107" s="785">
        <f>'6.1stYrOpBudget'!E107</f>
        <v>0</v>
      </c>
      <c r="J107" s="226">
        <f>'6.1stYrOpBudget'!F107</f>
        <v>0</v>
      </c>
      <c r="K107" s="785">
        <f>K97-K105</f>
        <v>0</v>
      </c>
      <c r="L107" s="785">
        <f>L97-L105</f>
        <v>0</v>
      </c>
      <c r="M107" s="226">
        <f>M97-M105</f>
        <v>0</v>
      </c>
      <c r="N107" s="785">
        <f>N97-N105</f>
        <v>0</v>
      </c>
      <c r="O107" s="785">
        <f>O97-O105</f>
        <v>0</v>
      </c>
      <c r="P107" s="226">
        <f t="shared" ref="P107:BO107" si="254">P97-P105</f>
        <v>0</v>
      </c>
      <c r="Q107" s="785">
        <f t="shared" si="254"/>
        <v>0</v>
      </c>
      <c r="R107" s="785">
        <f t="shared" si="254"/>
        <v>0</v>
      </c>
      <c r="S107" s="226">
        <f t="shared" si="254"/>
        <v>0</v>
      </c>
      <c r="T107" s="785">
        <f t="shared" si="254"/>
        <v>0</v>
      </c>
      <c r="U107" s="785">
        <f t="shared" si="254"/>
        <v>0</v>
      </c>
      <c r="V107" s="226">
        <f t="shared" si="254"/>
        <v>0</v>
      </c>
      <c r="W107" s="785">
        <f t="shared" si="254"/>
        <v>0</v>
      </c>
      <c r="X107" s="785">
        <f t="shared" si="254"/>
        <v>0</v>
      </c>
      <c r="Y107" s="226">
        <f t="shared" si="254"/>
        <v>0</v>
      </c>
      <c r="Z107" s="785">
        <f t="shared" si="254"/>
        <v>0</v>
      </c>
      <c r="AA107" s="785">
        <f t="shared" si="254"/>
        <v>0</v>
      </c>
      <c r="AB107" s="226">
        <f t="shared" si="254"/>
        <v>0</v>
      </c>
      <c r="AC107" s="785">
        <f t="shared" si="254"/>
        <v>0</v>
      </c>
      <c r="AD107" s="785">
        <f t="shared" si="254"/>
        <v>0</v>
      </c>
      <c r="AE107" s="226">
        <f t="shared" si="254"/>
        <v>0</v>
      </c>
      <c r="AF107" s="785">
        <f t="shared" si="254"/>
        <v>0</v>
      </c>
      <c r="AG107" s="785">
        <f t="shared" si="254"/>
        <v>0</v>
      </c>
      <c r="AH107" s="226">
        <f t="shared" si="254"/>
        <v>0</v>
      </c>
      <c r="AI107" s="785">
        <f t="shared" si="254"/>
        <v>0</v>
      </c>
      <c r="AJ107" s="785">
        <f t="shared" si="254"/>
        <v>0</v>
      </c>
      <c r="AK107" s="226">
        <f t="shared" si="254"/>
        <v>0</v>
      </c>
      <c r="AL107" s="785">
        <f t="shared" si="254"/>
        <v>0</v>
      </c>
      <c r="AM107" s="785">
        <f t="shared" si="254"/>
        <v>0</v>
      </c>
      <c r="AN107" s="226">
        <f t="shared" si="254"/>
        <v>0</v>
      </c>
      <c r="AO107" s="785">
        <f t="shared" si="254"/>
        <v>0</v>
      </c>
      <c r="AP107" s="785">
        <f t="shared" si="254"/>
        <v>0</v>
      </c>
      <c r="AQ107" s="226">
        <f t="shared" si="254"/>
        <v>0</v>
      </c>
      <c r="AR107" s="785">
        <f t="shared" si="254"/>
        <v>0</v>
      </c>
      <c r="AS107" s="785">
        <f t="shared" si="254"/>
        <v>0</v>
      </c>
      <c r="AT107" s="226">
        <f t="shared" si="254"/>
        <v>0</v>
      </c>
      <c r="AU107" s="785">
        <f t="shared" si="254"/>
        <v>0</v>
      </c>
      <c r="AV107" s="785">
        <f t="shared" si="254"/>
        <v>0</v>
      </c>
      <c r="AW107" s="226">
        <f t="shared" si="254"/>
        <v>0</v>
      </c>
      <c r="AX107" s="785">
        <f t="shared" si="254"/>
        <v>0</v>
      </c>
      <c r="AY107" s="785">
        <f t="shared" si="254"/>
        <v>0</v>
      </c>
      <c r="AZ107" s="226">
        <f t="shared" si="254"/>
        <v>0</v>
      </c>
      <c r="BA107" s="785">
        <f t="shared" si="254"/>
        <v>0</v>
      </c>
      <c r="BB107" s="785">
        <f t="shared" si="254"/>
        <v>0</v>
      </c>
      <c r="BC107" s="226">
        <f t="shared" si="254"/>
        <v>0</v>
      </c>
      <c r="BD107" s="785">
        <f t="shared" si="254"/>
        <v>0</v>
      </c>
      <c r="BE107" s="785">
        <f t="shared" si="254"/>
        <v>0</v>
      </c>
      <c r="BF107" s="226">
        <f t="shared" si="254"/>
        <v>0</v>
      </c>
      <c r="BG107" s="785">
        <f t="shared" si="254"/>
        <v>0</v>
      </c>
      <c r="BH107" s="785">
        <f t="shared" si="254"/>
        <v>0</v>
      </c>
      <c r="BI107" s="226">
        <f t="shared" si="254"/>
        <v>0</v>
      </c>
      <c r="BJ107" s="785">
        <f t="shared" si="254"/>
        <v>0</v>
      </c>
      <c r="BK107" s="785">
        <f t="shared" si="254"/>
        <v>0</v>
      </c>
      <c r="BL107" s="226">
        <f t="shared" si="254"/>
        <v>0</v>
      </c>
      <c r="BM107" s="785">
        <f t="shared" si="254"/>
        <v>0</v>
      </c>
      <c r="BN107" s="785">
        <f t="shared" si="254"/>
        <v>0</v>
      </c>
      <c r="BO107" s="226">
        <f t="shared" si="254"/>
        <v>0</v>
      </c>
      <c r="BP107" s="5"/>
      <c r="BQ107" s="5"/>
      <c r="BR107" s="5"/>
      <c r="BS107" s="5"/>
      <c r="BT107" s="5"/>
      <c r="BU107" s="5"/>
      <c r="BV107" s="5"/>
    </row>
    <row r="108" spans="1:74" ht="5.0999999999999996" hidden="1" customHeight="1">
      <c r="C108" s="319"/>
      <c r="D108" s="124"/>
      <c r="E108" s="124"/>
      <c r="F108" s="124"/>
      <c r="G108" s="21"/>
      <c r="H108" s="783"/>
      <c r="I108" s="783"/>
      <c r="J108" s="141"/>
      <c r="K108" s="783"/>
      <c r="L108" s="783"/>
      <c r="M108" s="141"/>
      <c r="N108" s="783"/>
      <c r="O108" s="783"/>
      <c r="P108" s="141"/>
      <c r="Q108" s="783"/>
      <c r="R108" s="783"/>
      <c r="S108" s="141"/>
      <c r="T108" s="783"/>
      <c r="U108" s="783"/>
      <c r="V108" s="141"/>
      <c r="W108" s="783"/>
      <c r="X108" s="783"/>
      <c r="Y108" s="141"/>
      <c r="Z108" s="783"/>
      <c r="AA108" s="783"/>
      <c r="AB108" s="141"/>
      <c r="AC108" s="783"/>
      <c r="AD108" s="783"/>
      <c r="AE108" s="141"/>
      <c r="AF108" s="783"/>
      <c r="AG108" s="783"/>
      <c r="AH108" s="141"/>
      <c r="AI108" s="783"/>
      <c r="AJ108" s="783"/>
      <c r="AK108" s="141"/>
      <c r="AL108" s="783"/>
      <c r="AM108" s="783"/>
      <c r="AN108" s="141"/>
      <c r="AO108" s="783"/>
      <c r="AP108" s="783"/>
      <c r="AQ108" s="141"/>
      <c r="AR108" s="783"/>
      <c r="AS108" s="783"/>
      <c r="AT108" s="141"/>
      <c r="AU108" s="783"/>
      <c r="AV108" s="783"/>
      <c r="AW108" s="141"/>
      <c r="AX108" s="783"/>
      <c r="AY108" s="783"/>
      <c r="AZ108" s="141"/>
      <c r="BA108" s="783"/>
      <c r="BB108" s="783"/>
      <c r="BC108" s="141"/>
      <c r="BD108" s="783"/>
      <c r="BE108" s="783"/>
      <c r="BF108" s="141"/>
      <c r="BG108" s="783"/>
      <c r="BH108" s="783"/>
      <c r="BI108" s="141"/>
      <c r="BJ108" s="783"/>
      <c r="BK108" s="783"/>
      <c r="BL108" s="141"/>
      <c r="BM108" s="783"/>
      <c r="BN108" s="783"/>
      <c r="BO108" s="141"/>
      <c r="BP108" s="5"/>
      <c r="BQ108" s="5"/>
      <c r="BR108" s="5"/>
      <c r="BS108" s="5"/>
      <c r="BT108" s="5"/>
      <c r="BU108" s="5"/>
      <c r="BV108" s="5"/>
    </row>
    <row r="109" spans="1:74" ht="13.8" hidden="1">
      <c r="C109" s="2061" t="str">
        <f>'6.1stYrOpBudget'!A109</f>
        <v>Commercial Only Cash Flow</v>
      </c>
      <c r="D109" s="124"/>
      <c r="E109" s="124"/>
      <c r="F109" s="124"/>
      <c r="G109" s="21"/>
      <c r="H109" s="785"/>
      <c r="I109" s="785"/>
      <c r="J109" s="226">
        <f>'6.1stYrOpBudget'!$F$109</f>
        <v>0</v>
      </c>
      <c r="K109" s="785"/>
      <c r="L109" s="785"/>
      <c r="M109" s="226">
        <f>'5.CommOp.Budget'!F98*'5.CommOp.Budget'!$C$2</f>
        <v>0</v>
      </c>
      <c r="N109" s="785"/>
      <c r="O109" s="785"/>
      <c r="P109" s="226">
        <f>'5.CommOp.Budget'!G98*'5.CommOp.Budget'!$C$2</f>
        <v>0</v>
      </c>
      <c r="Q109" s="785"/>
      <c r="R109" s="785"/>
      <c r="S109" s="226">
        <f>'5.CommOp.Budget'!H98*'5.CommOp.Budget'!$C$2</f>
        <v>0</v>
      </c>
      <c r="T109" s="785"/>
      <c r="U109" s="785"/>
      <c r="V109" s="226">
        <f>'5.CommOp.Budget'!I98*'5.CommOp.Budget'!$C$2</f>
        <v>0</v>
      </c>
      <c r="W109" s="785"/>
      <c r="X109" s="785"/>
      <c r="Y109" s="226">
        <f>'5.CommOp.Budget'!J98*'5.CommOp.Budget'!$C$2</f>
        <v>0</v>
      </c>
      <c r="Z109" s="785"/>
      <c r="AA109" s="785"/>
      <c r="AB109" s="226">
        <f>'5.CommOp.Budget'!K98*'5.CommOp.Budget'!$C$2</f>
        <v>0</v>
      </c>
      <c r="AC109" s="785"/>
      <c r="AD109" s="785"/>
      <c r="AE109" s="226">
        <f>'5.CommOp.Budget'!L98*'5.CommOp.Budget'!$C$2</f>
        <v>0</v>
      </c>
      <c r="AF109" s="785"/>
      <c r="AG109" s="785"/>
      <c r="AH109" s="226">
        <f>'5.CommOp.Budget'!M98*'5.CommOp.Budget'!$C$2</f>
        <v>0</v>
      </c>
      <c r="AI109" s="785"/>
      <c r="AJ109" s="785"/>
      <c r="AK109" s="226">
        <f>'5.CommOp.Budget'!N98*'5.CommOp.Budget'!$C$2</f>
        <v>0</v>
      </c>
      <c r="AL109" s="785"/>
      <c r="AM109" s="785"/>
      <c r="AN109" s="226">
        <f>'5.CommOp.Budget'!O98*'5.CommOp.Budget'!$C$2</f>
        <v>0</v>
      </c>
      <c r="AO109" s="785"/>
      <c r="AP109" s="785"/>
      <c r="AQ109" s="226">
        <f>'5.CommOp.Budget'!P98*'5.CommOp.Budget'!$C$2</f>
        <v>0</v>
      </c>
      <c r="AR109" s="785"/>
      <c r="AS109" s="785"/>
      <c r="AT109" s="226">
        <f>'5.CommOp.Budget'!Q98*'5.CommOp.Budget'!$C$2</f>
        <v>0</v>
      </c>
      <c r="AU109" s="785"/>
      <c r="AV109" s="785"/>
      <c r="AW109" s="226">
        <f>'5.CommOp.Budget'!R98*'5.CommOp.Budget'!$C$2</f>
        <v>0</v>
      </c>
      <c r="AX109" s="785"/>
      <c r="AY109" s="785"/>
      <c r="AZ109" s="226">
        <f>'5.CommOp.Budget'!S98*'5.CommOp.Budget'!$C$2</f>
        <v>0</v>
      </c>
      <c r="BA109" s="785"/>
      <c r="BB109" s="785"/>
      <c r="BC109" s="226">
        <f>'5.CommOp.Budget'!T98*'5.CommOp.Budget'!$C$2</f>
        <v>0</v>
      </c>
      <c r="BD109" s="785"/>
      <c r="BE109" s="785"/>
      <c r="BF109" s="226">
        <f>'5.CommOp.Budget'!U98*'5.CommOp.Budget'!$C$2</f>
        <v>0</v>
      </c>
      <c r="BG109" s="785"/>
      <c r="BH109" s="785"/>
      <c r="BI109" s="226">
        <f>'5.CommOp.Budget'!V98*'5.CommOp.Budget'!$C$2</f>
        <v>0</v>
      </c>
      <c r="BJ109" s="785"/>
      <c r="BK109" s="785"/>
      <c r="BL109" s="226">
        <f>'5.CommOp.Budget'!W98*'5.CommOp.Budget'!$C$2</f>
        <v>0</v>
      </c>
      <c r="BM109" s="785"/>
      <c r="BN109" s="785"/>
      <c r="BO109" s="226">
        <f>'5.CommOp.Budget'!X98*'5.CommOp.Budget'!$C$2</f>
        <v>0</v>
      </c>
      <c r="BP109" s="5"/>
      <c r="BQ109" s="5"/>
      <c r="BR109" s="5"/>
      <c r="BS109" s="5"/>
      <c r="BT109" s="5"/>
      <c r="BU109" s="5"/>
      <c r="BV109" s="5"/>
    </row>
    <row r="110" spans="1:74" ht="5.0999999999999996" hidden="1" customHeight="1">
      <c r="C110" s="129"/>
      <c r="D110" s="124"/>
      <c r="E110" s="124"/>
      <c r="F110" s="124"/>
      <c r="G110" s="21"/>
      <c r="H110" s="786"/>
      <c r="I110" s="786"/>
      <c r="J110" s="237"/>
      <c r="K110" s="786"/>
      <c r="L110" s="786"/>
      <c r="M110" s="237"/>
      <c r="N110" s="786"/>
      <c r="O110" s="786"/>
      <c r="P110" s="237"/>
      <c r="Q110" s="786"/>
      <c r="R110" s="786"/>
      <c r="S110" s="237"/>
      <c r="T110" s="786"/>
      <c r="U110" s="786"/>
      <c r="V110" s="237"/>
      <c r="W110" s="786"/>
      <c r="X110" s="786"/>
      <c r="Y110" s="237"/>
      <c r="Z110" s="786"/>
      <c r="AA110" s="786"/>
      <c r="AB110" s="237"/>
      <c r="AC110" s="786"/>
      <c r="AD110" s="786"/>
      <c r="AE110" s="237"/>
      <c r="AF110" s="786"/>
      <c r="AG110" s="786"/>
      <c r="AH110" s="237"/>
      <c r="AI110" s="786"/>
      <c r="AJ110" s="786"/>
      <c r="AK110" s="237"/>
      <c r="AL110" s="786"/>
      <c r="AM110" s="786"/>
      <c r="AN110" s="237"/>
      <c r="AO110" s="786"/>
      <c r="AP110" s="786"/>
      <c r="AQ110" s="237"/>
      <c r="AR110" s="786"/>
      <c r="AS110" s="786"/>
      <c r="AT110" s="237"/>
      <c r="AU110" s="786"/>
      <c r="AV110" s="786"/>
      <c r="AW110" s="237"/>
      <c r="AX110" s="786"/>
      <c r="AY110" s="786"/>
      <c r="AZ110" s="237"/>
      <c r="BA110" s="786"/>
      <c r="BB110" s="786"/>
      <c r="BC110" s="237"/>
      <c r="BD110" s="786"/>
      <c r="BE110" s="786"/>
      <c r="BF110" s="237"/>
      <c r="BG110" s="786"/>
      <c r="BH110" s="786"/>
      <c r="BI110" s="237"/>
      <c r="BJ110" s="786"/>
      <c r="BK110" s="786"/>
      <c r="BL110" s="237"/>
      <c r="BM110" s="786"/>
      <c r="BN110" s="786"/>
      <c r="BO110" s="237"/>
      <c r="BP110" s="5"/>
      <c r="BQ110" s="5"/>
      <c r="BR110" s="5"/>
      <c r="BS110" s="5"/>
      <c r="BT110" s="5"/>
      <c r="BU110" s="5"/>
      <c r="BV110" s="5"/>
    </row>
    <row r="111" spans="1:74" ht="13.8" hidden="1">
      <c r="A111" s="729" t="str">
        <f>IF('6.1stYrOpBudget'!K111&lt;&gt;"",'6.1stYrOpBudget'!K111,"")</f>
        <v/>
      </c>
      <c r="B111" s="729" t="str">
        <f>'6.1stYrOpBudget'!L111</f>
        <v/>
      </c>
      <c r="C111" s="2061" t="str">
        <f>'6.1stYrOpBudget'!A111</f>
        <v>Allocation of Commercial Surplus to LOPS/non-LOSP (residual income)</v>
      </c>
      <c r="D111" s="124"/>
      <c r="E111" s="124"/>
      <c r="F111" s="124"/>
      <c r="G111" s="21"/>
      <c r="H111" s="793">
        <f>'6.1stYrOpBudget'!D111</f>
        <v>0</v>
      </c>
      <c r="I111" s="793">
        <f>'6.1stYrOpBudget'!E111</f>
        <v>0</v>
      </c>
      <c r="J111" s="237"/>
      <c r="K111" s="793">
        <f>IF($A$111&lt;&gt;"",$A$111*M$109,$E$7*M$109)</f>
        <v>0</v>
      </c>
      <c r="L111" s="793">
        <f>M109-K111</f>
        <v>0</v>
      </c>
      <c r="M111" s="237"/>
      <c r="N111" s="793">
        <f>IF($A$111&lt;&gt;"",$A$111*P$109,$E$7*P$109)</f>
        <v>0</v>
      </c>
      <c r="O111" s="793">
        <f>P109-N111</f>
        <v>0</v>
      </c>
      <c r="P111" s="237"/>
      <c r="Q111" s="793">
        <f>IF($A$111&lt;&gt;"",$A$111*S$109,$E$7*S$109)</f>
        <v>0</v>
      </c>
      <c r="R111" s="793">
        <f>S109-Q111</f>
        <v>0</v>
      </c>
      <c r="S111" s="237"/>
      <c r="T111" s="793">
        <f>IF($A$111&lt;&gt;"",$A$111*V$109,$E$7*V$109)</f>
        <v>0</v>
      </c>
      <c r="U111" s="793">
        <f>V109-T111</f>
        <v>0</v>
      </c>
      <c r="V111" s="237"/>
      <c r="W111" s="793">
        <f>IF($A$111&lt;&gt;"",$A$111*Y$109,$E$7*Y$109)</f>
        <v>0</v>
      </c>
      <c r="X111" s="793">
        <f>Y109-W111</f>
        <v>0</v>
      </c>
      <c r="Y111" s="237"/>
      <c r="Z111" s="793">
        <f>IF($A$111&lt;&gt;"",$A$111*AB$109,$E$7*AB$109)</f>
        <v>0</v>
      </c>
      <c r="AA111" s="793">
        <f>AB109-Z111</f>
        <v>0</v>
      </c>
      <c r="AB111" s="237"/>
      <c r="AC111" s="793">
        <f>IF($A$111&lt;&gt;"",$A$111*AE$109,$E$7*AE$109)</f>
        <v>0</v>
      </c>
      <c r="AD111" s="793">
        <f>AE109-AC111</f>
        <v>0</v>
      </c>
      <c r="AE111" s="237"/>
      <c r="AF111" s="793">
        <f>IF($A$111&lt;&gt;"",$A$111*AH$109,$E$7*AH$109)</f>
        <v>0</v>
      </c>
      <c r="AG111" s="793">
        <f>AH109-AF111</f>
        <v>0</v>
      </c>
      <c r="AH111" s="237"/>
      <c r="AI111" s="793">
        <f>IF($A$111&lt;&gt;"",$A$111*AK$109,$E$7*AK$109)</f>
        <v>0</v>
      </c>
      <c r="AJ111" s="793">
        <f>AK109-AI111</f>
        <v>0</v>
      </c>
      <c r="AK111" s="237"/>
      <c r="AL111" s="793">
        <f>IF($A$111&lt;&gt;"",$A$111*AN$109,$E$7*AN$109)</f>
        <v>0</v>
      </c>
      <c r="AM111" s="793">
        <f>AN109-AL111</f>
        <v>0</v>
      </c>
      <c r="AN111" s="237"/>
      <c r="AO111" s="793">
        <f>IF($A$111&lt;&gt;"",$A$111*AQ$109,$E$7*AQ$109)</f>
        <v>0</v>
      </c>
      <c r="AP111" s="793">
        <f>AQ109-AO111</f>
        <v>0</v>
      </c>
      <c r="AQ111" s="237"/>
      <c r="AR111" s="793">
        <f>IF($A$111&lt;&gt;"",$A$111*AT$109,$E$7*AT$109)</f>
        <v>0</v>
      </c>
      <c r="AS111" s="793">
        <f>AT109-AR111</f>
        <v>0</v>
      </c>
      <c r="AT111" s="237"/>
      <c r="AU111" s="793">
        <f>IF($A$111&lt;&gt;"",$A$111*AW$109,$E$7*AW$109)</f>
        <v>0</v>
      </c>
      <c r="AV111" s="793">
        <f>AW109-AU111</f>
        <v>0</v>
      </c>
      <c r="AW111" s="237"/>
      <c r="AX111" s="793">
        <f>IF($A$111&lt;&gt;"",$A$111*AZ$109,$E$7*AZ$109)</f>
        <v>0</v>
      </c>
      <c r="AY111" s="793">
        <f>AZ109-AX111</f>
        <v>0</v>
      </c>
      <c r="AZ111" s="237"/>
      <c r="BA111" s="793">
        <f>IF($A$111&lt;&gt;"",$A$111*BC$109,$E$7*BC$109)</f>
        <v>0</v>
      </c>
      <c r="BB111" s="793">
        <f>BC109-BA111</f>
        <v>0</v>
      </c>
      <c r="BC111" s="237"/>
      <c r="BD111" s="793">
        <f>IF($A$111&lt;&gt;"",$A$111*BF$109,$E$7*BF$109)</f>
        <v>0</v>
      </c>
      <c r="BE111" s="793">
        <f>BF109-BD111</f>
        <v>0</v>
      </c>
      <c r="BF111" s="237"/>
      <c r="BG111" s="793">
        <f>IF($A$111&lt;&gt;"",$A$111*BI$109,$E$7*BI$109)</f>
        <v>0</v>
      </c>
      <c r="BH111" s="793">
        <f>BI109-BG111</f>
        <v>0</v>
      </c>
      <c r="BI111" s="237"/>
      <c r="BJ111" s="793">
        <f>IF($A$111&lt;&gt;"",$A$111*BL$109,$E$7*BL$109)</f>
        <v>0</v>
      </c>
      <c r="BK111" s="793">
        <f>BL109-BJ111</f>
        <v>0</v>
      </c>
      <c r="BL111" s="237"/>
      <c r="BM111" s="793">
        <f>IF($A$111&lt;&gt;"",$A$111*BO$109,$E$7*BO$109)</f>
        <v>0</v>
      </c>
      <c r="BN111" s="793">
        <f>BO109-BM111</f>
        <v>0</v>
      </c>
      <c r="BO111" s="237"/>
      <c r="BP111" s="5"/>
      <c r="BQ111" s="5"/>
      <c r="BR111" s="5"/>
      <c r="BS111" s="5"/>
      <c r="BT111" s="5"/>
      <c r="BU111" s="5"/>
      <c r="BV111" s="5"/>
    </row>
    <row r="112" spans="1:74" s="6" customFormat="1" ht="13.8" hidden="1">
      <c r="A112" s="903"/>
      <c r="B112" s="903"/>
      <c r="C112" s="2062" t="s">
        <v>876</v>
      </c>
      <c r="D112" s="120"/>
      <c r="E112" s="120"/>
      <c r="F112" s="120"/>
      <c r="G112" s="233"/>
      <c r="H112" s="785">
        <f>'6.1stYrOpBudget'!D112</f>
        <v>0</v>
      </c>
      <c r="I112" s="785">
        <f>'6.1stYrOpBudget'!E112</f>
        <v>0</v>
      </c>
      <c r="J112" s="228">
        <f>'6.1stYrOpBudget'!F112</f>
        <v>0</v>
      </c>
      <c r="K112" s="785">
        <f>K107+K111</f>
        <v>0</v>
      </c>
      <c r="L112" s="785">
        <f>L107+L111</f>
        <v>0</v>
      </c>
      <c r="M112" s="228">
        <f>M107</f>
        <v>0</v>
      </c>
      <c r="N112" s="785">
        <f>N107+N111</f>
        <v>0</v>
      </c>
      <c r="O112" s="785">
        <f>O107+O111</f>
        <v>0</v>
      </c>
      <c r="P112" s="228">
        <f>P107</f>
        <v>0</v>
      </c>
      <c r="Q112" s="785">
        <f>Q107+Q111</f>
        <v>0</v>
      </c>
      <c r="R112" s="785">
        <f>R107+R111</f>
        <v>0</v>
      </c>
      <c r="S112" s="228">
        <f>S107</f>
        <v>0</v>
      </c>
      <c r="T112" s="785">
        <f>T107+T111</f>
        <v>0</v>
      </c>
      <c r="U112" s="785">
        <f>U107+U111</f>
        <v>0</v>
      </c>
      <c r="V112" s="228">
        <f>V107</f>
        <v>0</v>
      </c>
      <c r="W112" s="785">
        <f>W107+W111</f>
        <v>0</v>
      </c>
      <c r="X112" s="785">
        <f>X107+X111</f>
        <v>0</v>
      </c>
      <c r="Y112" s="228">
        <f>Y107</f>
        <v>0</v>
      </c>
      <c r="Z112" s="785">
        <f>Z107+Z111</f>
        <v>0</v>
      </c>
      <c r="AA112" s="785">
        <f>AA107+AA111</f>
        <v>0</v>
      </c>
      <c r="AB112" s="228">
        <f>AB107</f>
        <v>0</v>
      </c>
      <c r="AC112" s="785">
        <f>AC107+AC111</f>
        <v>0</v>
      </c>
      <c r="AD112" s="785">
        <f>AD107+AD111</f>
        <v>0</v>
      </c>
      <c r="AE112" s="228">
        <f>AE107</f>
        <v>0</v>
      </c>
      <c r="AF112" s="785">
        <f>AF107+AF111</f>
        <v>0</v>
      </c>
      <c r="AG112" s="785">
        <f>AG107+AG111</f>
        <v>0</v>
      </c>
      <c r="AH112" s="228">
        <f>AH107</f>
        <v>0</v>
      </c>
      <c r="AI112" s="785">
        <f>AI107+AI111</f>
        <v>0</v>
      </c>
      <c r="AJ112" s="785">
        <f>AJ107+AJ111</f>
        <v>0</v>
      </c>
      <c r="AK112" s="228">
        <f>AK107</f>
        <v>0</v>
      </c>
      <c r="AL112" s="785">
        <f>AL107+AL111</f>
        <v>0</v>
      </c>
      <c r="AM112" s="785">
        <f>AM107+AM111</f>
        <v>0</v>
      </c>
      <c r="AN112" s="228">
        <f>AN107</f>
        <v>0</v>
      </c>
      <c r="AO112" s="785">
        <f>AO107+AO111</f>
        <v>0</v>
      </c>
      <c r="AP112" s="785">
        <f>AP107+AP111</f>
        <v>0</v>
      </c>
      <c r="AQ112" s="228">
        <f>AQ107</f>
        <v>0</v>
      </c>
      <c r="AR112" s="785">
        <f>AR107+AR111</f>
        <v>0</v>
      </c>
      <c r="AS112" s="785">
        <f>AS107+AS111</f>
        <v>0</v>
      </c>
      <c r="AT112" s="228">
        <f>AT107</f>
        <v>0</v>
      </c>
      <c r="AU112" s="785">
        <f>AU107+AU111</f>
        <v>0</v>
      </c>
      <c r="AV112" s="785">
        <f>AV107+AV111</f>
        <v>0</v>
      </c>
      <c r="AW112" s="228">
        <f>AW107</f>
        <v>0</v>
      </c>
      <c r="AX112" s="785">
        <f>AX107+AX111</f>
        <v>0</v>
      </c>
      <c r="AY112" s="785">
        <f>AY107+AY111</f>
        <v>0</v>
      </c>
      <c r="AZ112" s="228">
        <f>AZ107</f>
        <v>0</v>
      </c>
      <c r="BA112" s="785">
        <f>BA107+BA111</f>
        <v>0</v>
      </c>
      <c r="BB112" s="785">
        <f>BB107+BB111</f>
        <v>0</v>
      </c>
      <c r="BC112" s="228">
        <f>BC107</f>
        <v>0</v>
      </c>
      <c r="BD112" s="785">
        <f>BD107+BD111</f>
        <v>0</v>
      </c>
      <c r="BE112" s="785">
        <f>BE107+BE111</f>
        <v>0</v>
      </c>
      <c r="BF112" s="228">
        <f>BF107</f>
        <v>0</v>
      </c>
      <c r="BG112" s="785">
        <f>BG107+BG111</f>
        <v>0</v>
      </c>
      <c r="BH112" s="785">
        <f>BH107+BH111</f>
        <v>0</v>
      </c>
      <c r="BI112" s="228">
        <f>BI107</f>
        <v>0</v>
      </c>
      <c r="BJ112" s="785">
        <f>BJ107+BJ111</f>
        <v>0</v>
      </c>
      <c r="BK112" s="785">
        <f>BK107+BK111</f>
        <v>0</v>
      </c>
      <c r="BL112" s="228">
        <f>BL107</f>
        <v>0</v>
      </c>
      <c r="BM112" s="785">
        <f>BM107+BM111</f>
        <v>0</v>
      </c>
      <c r="BN112" s="785">
        <f>BN107+BN111</f>
        <v>0</v>
      </c>
      <c r="BO112" s="228">
        <f>BO107</f>
        <v>0</v>
      </c>
    </row>
    <row r="113" spans="1:74" ht="5.0999999999999996" customHeight="1">
      <c r="A113" s="731"/>
      <c r="B113" s="731"/>
      <c r="C113" s="2061"/>
      <c r="D113" s="124"/>
      <c r="E113" s="124"/>
      <c r="F113" s="124"/>
      <c r="G113" s="21"/>
      <c r="H113" s="783"/>
      <c r="I113" s="783"/>
      <c r="J113" s="237"/>
      <c r="K113" s="783"/>
      <c r="L113" s="783"/>
      <c r="M113" s="237"/>
      <c r="N113" s="783"/>
      <c r="O113" s="783"/>
      <c r="P113" s="237"/>
      <c r="Q113" s="783"/>
      <c r="R113" s="783"/>
      <c r="S113" s="237"/>
      <c r="T113" s="783"/>
      <c r="U113" s="783"/>
      <c r="V113" s="237"/>
      <c r="W113" s="783"/>
      <c r="X113" s="783"/>
      <c r="Y113" s="237"/>
      <c r="Z113" s="783"/>
      <c r="AA113" s="783"/>
      <c r="AB113" s="237"/>
      <c r="AC113" s="783"/>
      <c r="AD113" s="783"/>
      <c r="AE113" s="237"/>
      <c r="AF113" s="783"/>
      <c r="AG113" s="783"/>
      <c r="AH113" s="237"/>
      <c r="AI113" s="783"/>
      <c r="AJ113" s="783"/>
      <c r="AK113" s="237"/>
      <c r="AL113" s="783"/>
      <c r="AM113" s="783"/>
      <c r="AN113" s="237"/>
      <c r="AO113" s="783"/>
      <c r="AP113" s="783"/>
      <c r="AQ113" s="237"/>
      <c r="AR113" s="783"/>
      <c r="AS113" s="783"/>
      <c r="AT113" s="237"/>
      <c r="AU113" s="783"/>
      <c r="AV113" s="783"/>
      <c r="AW113" s="237"/>
      <c r="AX113" s="783"/>
      <c r="AY113" s="783"/>
      <c r="AZ113" s="237"/>
      <c r="BA113" s="783"/>
      <c r="BB113" s="783"/>
      <c r="BC113" s="237"/>
      <c r="BD113" s="783"/>
      <c r="BE113" s="783"/>
      <c r="BF113" s="237"/>
      <c r="BG113" s="783"/>
      <c r="BH113" s="783"/>
      <c r="BI113" s="237"/>
      <c r="BJ113" s="783"/>
      <c r="BK113" s="783"/>
      <c r="BL113" s="237"/>
      <c r="BM113" s="783"/>
      <c r="BN113" s="783"/>
      <c r="BO113" s="237"/>
      <c r="BP113" s="5"/>
      <c r="BQ113" s="5"/>
      <c r="BR113" s="5"/>
      <c r="BS113" s="5"/>
      <c r="BT113" s="5"/>
      <c r="BU113" s="5"/>
      <c r="BV113" s="5"/>
    </row>
    <row r="114" spans="1:74" ht="13.8">
      <c r="C114" s="319" t="str">
        <f>'6.1stYrOpBudget'!A114</f>
        <v xml:space="preserve">USES OF CASH FLOW BELOW  (This row also shows DSCR.)                       </v>
      </c>
      <c r="D114" s="124"/>
      <c r="E114" s="124"/>
      <c r="F114" s="124"/>
      <c r="G114" s="393" t="s">
        <v>300</v>
      </c>
      <c r="H114" s="786"/>
      <c r="I114" s="786"/>
      <c r="J114" s="1990" t="str">
        <f>'6.1stYrOpBudget'!F$114</f>
        <v/>
      </c>
      <c r="K114" s="786"/>
      <c r="L114" s="786"/>
      <c r="M114" s="11" t="str">
        <f>IF(SUM(M$105)&gt;0,ROUND(M$97/SUM(M$105),3),"")</f>
        <v/>
      </c>
      <c r="N114" s="786"/>
      <c r="O114" s="786"/>
      <c r="P114" s="11" t="str">
        <f>IF(SUM(P$105)&gt;0,ROUND(P$97/SUM(P$105),3),"")</f>
        <v/>
      </c>
      <c r="Q114" s="786"/>
      <c r="R114" s="786"/>
      <c r="S114" s="11" t="str">
        <f>IF(SUM(S$105)&gt;0,ROUND(S$97/SUM(S$105),3),"")</f>
        <v/>
      </c>
      <c r="T114" s="786"/>
      <c r="U114" s="786"/>
      <c r="V114" s="11" t="str">
        <f>IF(SUM(V$105)&gt;0,ROUND(V$97/SUM(V$105),3),"")</f>
        <v/>
      </c>
      <c r="W114" s="786"/>
      <c r="X114" s="786"/>
      <c r="Y114" s="11" t="str">
        <f>IF(SUM(Y$105)&gt;0,ROUND(Y$97/SUM(Y$105),3),"")</f>
        <v/>
      </c>
      <c r="Z114" s="786"/>
      <c r="AA114" s="786"/>
      <c r="AB114" s="11" t="str">
        <f>IF(SUM(AB$105)&gt;0,ROUND(AB$97/SUM(AB$105),3),"")</f>
        <v/>
      </c>
      <c r="AC114" s="786"/>
      <c r="AD114" s="786"/>
      <c r="AE114" s="11" t="str">
        <f>IF(SUM(AE$105)&gt;0,ROUND(AE$97/SUM(AE$105),3),"")</f>
        <v/>
      </c>
      <c r="AF114" s="786"/>
      <c r="AG114" s="786"/>
      <c r="AH114" s="11" t="str">
        <f>IF(SUM(AH$105)&gt;0,ROUND(AH$97/SUM(AH$105),3),"")</f>
        <v/>
      </c>
      <c r="AI114" s="786"/>
      <c r="AJ114" s="786"/>
      <c r="AK114" s="11" t="str">
        <f>IF(SUM(AK$105)&gt;0,ROUND(AK$97/SUM(AK$105),3),"")</f>
        <v/>
      </c>
      <c r="AL114" s="786"/>
      <c r="AM114" s="786"/>
      <c r="AN114" s="11" t="str">
        <f>IF(SUM(AN$105)&gt;0,ROUND(AN$97/SUM(AN$105),3),"")</f>
        <v/>
      </c>
      <c r="AO114" s="786"/>
      <c r="AP114" s="786"/>
      <c r="AQ114" s="11" t="str">
        <f>IF(SUM(AQ$105)&gt;0,ROUND(AQ$97/SUM(AQ$105),3),"")</f>
        <v/>
      </c>
      <c r="AR114" s="786"/>
      <c r="AS114" s="786"/>
      <c r="AT114" s="11" t="str">
        <f>IF(SUM(AT$105)&gt;0,ROUND(AT$97/SUM(AT$105),3),"")</f>
        <v/>
      </c>
      <c r="AU114" s="786"/>
      <c r="AV114" s="786"/>
      <c r="AW114" s="11" t="str">
        <f>IF(SUM(AW$105)&gt;0,ROUND(AW$97/SUM(AW$105),3),"")</f>
        <v/>
      </c>
      <c r="AX114" s="786"/>
      <c r="AY114" s="786"/>
      <c r="AZ114" s="11" t="str">
        <f>IF(SUM(AZ$105)&gt;0,ROUND(AZ$97/SUM(AZ$105),3),"")</f>
        <v/>
      </c>
      <c r="BA114" s="786"/>
      <c r="BB114" s="786"/>
      <c r="BC114" s="11" t="str">
        <f>IF(SUM(BC$105)&gt;0,ROUND(BC$97/SUM(BC$105),3),"")</f>
        <v/>
      </c>
      <c r="BD114" s="786"/>
      <c r="BE114" s="786"/>
      <c r="BF114" s="11" t="str">
        <f>IF(SUM(BF$105)&gt;0,ROUND(BF$97/SUM(BF$105),3),"")</f>
        <v/>
      </c>
      <c r="BG114" s="786"/>
      <c r="BH114" s="786"/>
      <c r="BI114" s="11" t="str">
        <f>IF(SUM(BI$105)&gt;0,ROUND(BI$97/SUM(BI$105),3),"")</f>
        <v/>
      </c>
      <c r="BJ114" s="786"/>
      <c r="BK114" s="786"/>
      <c r="BL114" s="11" t="str">
        <f>IF(SUM(BL$105)&gt;0,ROUND(BL$97/SUM(BL$105),3),"")</f>
        <v/>
      </c>
      <c r="BM114" s="786"/>
      <c r="BN114" s="786"/>
      <c r="BO114" s="11" t="str">
        <f>IF(SUM(BO$105)&gt;0,ROUND(BO$97/SUM(BO$105),3),"")</f>
        <v/>
      </c>
      <c r="BP114" s="5"/>
      <c r="BQ114" s="5"/>
      <c r="BR114" s="5"/>
      <c r="BS114" s="5"/>
      <c r="BT114" s="5"/>
      <c r="BU114" s="5"/>
      <c r="BV114" s="5"/>
    </row>
    <row r="115" spans="1:74" ht="13.8">
      <c r="C115" s="139" t="str">
        <f>'6.1stYrOpBudget'!A115</f>
        <v>USES THAT PRECEDE MOHCD DEBT SERVICE IN WATERFALL</v>
      </c>
      <c r="D115" s="124"/>
      <c r="E115" s="124"/>
      <c r="F115" s="124"/>
      <c r="G115" s="21"/>
      <c r="H115" s="236"/>
      <c r="I115" s="236"/>
      <c r="J115" s="125"/>
      <c r="K115" s="236"/>
      <c r="L115" s="236"/>
      <c r="M115" s="637" t="s">
        <v>1093</v>
      </c>
      <c r="N115" s="236"/>
      <c r="O115" s="236"/>
      <c r="P115" s="125"/>
      <c r="Q115" s="236"/>
      <c r="R115" s="236"/>
      <c r="S115" s="125"/>
      <c r="T115" s="236"/>
      <c r="U115" s="236"/>
      <c r="V115" s="125"/>
      <c r="W115" s="236"/>
      <c r="X115" s="236"/>
      <c r="Y115" s="125"/>
      <c r="Z115" s="236"/>
      <c r="AA115" s="236"/>
      <c r="AB115" s="125"/>
      <c r="AC115" s="236"/>
      <c r="AD115" s="236"/>
      <c r="AE115" s="125"/>
      <c r="AF115" s="236"/>
      <c r="AG115" s="236"/>
      <c r="AH115" s="125"/>
      <c r="AI115" s="236"/>
      <c r="AJ115" s="236"/>
      <c r="AK115" s="125"/>
      <c r="AL115" s="236"/>
      <c r="AM115" s="236"/>
      <c r="AN115" s="125"/>
      <c r="AO115" s="236"/>
      <c r="AP115" s="236"/>
      <c r="AQ115" s="125"/>
      <c r="AR115" s="236"/>
      <c r="AS115" s="236"/>
      <c r="AT115" s="125"/>
      <c r="AU115" s="236"/>
      <c r="AV115" s="236"/>
      <c r="AW115" s="125"/>
      <c r="AX115" s="236"/>
      <c r="AY115" s="236"/>
      <c r="AZ115" s="125"/>
      <c r="BA115" s="236"/>
      <c r="BB115" s="236"/>
      <c r="BC115" s="125"/>
      <c r="BD115" s="236"/>
      <c r="BE115" s="236"/>
      <c r="BF115" s="125"/>
      <c r="BG115" s="236"/>
      <c r="BH115" s="236"/>
      <c r="BI115" s="125"/>
      <c r="BJ115" s="236"/>
      <c r="BK115" s="236"/>
      <c r="BL115" s="125"/>
      <c r="BM115" s="236"/>
      <c r="BN115" s="236"/>
      <c r="BO115" s="125"/>
      <c r="BP115" s="5"/>
      <c r="BQ115" s="5"/>
      <c r="BR115" s="5"/>
      <c r="BS115" s="5"/>
      <c r="BT115" s="5"/>
      <c r="BU115" s="5"/>
      <c r="BV115" s="5"/>
    </row>
    <row r="116" spans="1:74" ht="13.8">
      <c r="C116" s="144" t="str">
        <f>'6.1stYrOpBudget'!A116</f>
        <v>"Below-the-line" Asset Mgt fee (uncommon in new projects, see policy)</v>
      </c>
      <c r="D116" s="124"/>
      <c r="E116" s="1058">
        <f>F116</f>
        <v>3.5000000000000003E-2</v>
      </c>
      <c r="F116" s="1056">
        <v>3.5000000000000003E-2</v>
      </c>
      <c r="G116" s="105" t="s">
        <v>196</v>
      </c>
      <c r="H116" s="776">
        <f>'6.1stYrOpBudget'!D116</f>
        <v>0</v>
      </c>
      <c r="I116" s="776">
        <f>'6.1stYrOpBudget'!E116</f>
        <v>0</v>
      </c>
      <c r="J116" s="178">
        <f>'6.1stYrOpBudget'!F116</f>
        <v>0</v>
      </c>
      <c r="K116" s="776">
        <f t="shared" ref="K116:K121" si="255">$E$7*M116</f>
        <v>0</v>
      </c>
      <c r="L116" s="776">
        <f t="shared" ref="L116:L121" si="256">M116-K116</f>
        <v>0</v>
      </c>
      <c r="M116" s="66"/>
      <c r="N116" s="776">
        <f>$E$7*P116</f>
        <v>0</v>
      </c>
      <c r="O116" s="776">
        <f t="shared" ref="O116:O121" si="257">P116-N116</f>
        <v>0</v>
      </c>
      <c r="P116" s="66"/>
      <c r="Q116" s="776">
        <f>$E$7*S116</f>
        <v>0</v>
      </c>
      <c r="R116" s="776">
        <f t="shared" ref="R116:R121" si="258">S116-Q116</f>
        <v>0</v>
      </c>
      <c r="S116" s="66"/>
      <c r="T116" s="776">
        <f>$E$7*V116</f>
        <v>0</v>
      </c>
      <c r="U116" s="776">
        <f t="shared" ref="U116:U121" si="259">V116-T116</f>
        <v>0</v>
      </c>
      <c r="V116" s="66"/>
      <c r="W116" s="776">
        <f>$E$7*Y116</f>
        <v>0</v>
      </c>
      <c r="X116" s="776">
        <f t="shared" ref="X116:X121" si="260">Y116-W116</f>
        <v>0</v>
      </c>
      <c r="Y116" s="66"/>
      <c r="Z116" s="776">
        <f>$E$7*AB116</f>
        <v>0</v>
      </c>
      <c r="AA116" s="776">
        <f t="shared" ref="AA116:AA121" si="261">AB116-Z116</f>
        <v>0</v>
      </c>
      <c r="AB116" s="66"/>
      <c r="AC116" s="776">
        <f>$E$7*AE116</f>
        <v>0</v>
      </c>
      <c r="AD116" s="776">
        <f t="shared" ref="AD116:AD121" si="262">AE116-AC116</f>
        <v>0</v>
      </c>
      <c r="AE116" s="66"/>
      <c r="AF116" s="776">
        <f>$E$7*AH116</f>
        <v>0</v>
      </c>
      <c r="AG116" s="776">
        <f t="shared" ref="AG116:AG121" si="263">AH116-AF116</f>
        <v>0</v>
      </c>
      <c r="AH116" s="66"/>
      <c r="AI116" s="776">
        <f>$E$7*AK116</f>
        <v>0</v>
      </c>
      <c r="AJ116" s="776">
        <f t="shared" ref="AJ116:AJ121" si="264">AK116-AI116</f>
        <v>0</v>
      </c>
      <c r="AK116" s="66"/>
      <c r="AL116" s="776">
        <f>$E$7*AN116</f>
        <v>0</v>
      </c>
      <c r="AM116" s="776">
        <f t="shared" ref="AM116:AM121" si="265">AN116-AL116</f>
        <v>0</v>
      </c>
      <c r="AN116" s="66"/>
      <c r="AO116" s="776">
        <f>$E$7*AQ116</f>
        <v>0</v>
      </c>
      <c r="AP116" s="776">
        <f t="shared" ref="AP116:AP121" si="266">AQ116-AO116</f>
        <v>0</v>
      </c>
      <c r="AQ116" s="66"/>
      <c r="AR116" s="776">
        <f>$E$7*AT116</f>
        <v>0</v>
      </c>
      <c r="AS116" s="776">
        <f t="shared" ref="AS116:AS121" si="267">AT116-AR116</f>
        <v>0</v>
      </c>
      <c r="AT116" s="66"/>
      <c r="AU116" s="776">
        <f>$E$7*AW116</f>
        <v>0</v>
      </c>
      <c r="AV116" s="776">
        <f t="shared" ref="AV116:AV121" si="268">AW116-AU116</f>
        <v>0</v>
      </c>
      <c r="AW116" s="66"/>
      <c r="AX116" s="776">
        <f>$E$7*AZ116</f>
        <v>0</v>
      </c>
      <c r="AY116" s="776">
        <f t="shared" ref="AY116:AY121" si="269">AZ116-AX116</f>
        <v>0</v>
      </c>
      <c r="AZ116" s="66"/>
      <c r="BA116" s="776">
        <f>$E$7*BC116</f>
        <v>0</v>
      </c>
      <c r="BB116" s="776">
        <f t="shared" ref="BB116:BB121" si="270">BC116-BA116</f>
        <v>0</v>
      </c>
      <c r="BC116" s="66"/>
      <c r="BD116" s="776">
        <f>$E$7*BF116</f>
        <v>0</v>
      </c>
      <c r="BE116" s="776">
        <f t="shared" ref="BE116:BE121" si="271">BF116-BD116</f>
        <v>0</v>
      </c>
      <c r="BF116" s="66"/>
      <c r="BG116" s="776">
        <f>$E$7*BI116</f>
        <v>0</v>
      </c>
      <c r="BH116" s="776">
        <f t="shared" ref="BH116:BH121" si="272">BI116-BG116</f>
        <v>0</v>
      </c>
      <c r="BI116" s="66"/>
      <c r="BJ116" s="776">
        <f>$E$7*BL116</f>
        <v>0</v>
      </c>
      <c r="BK116" s="776">
        <f t="shared" ref="BK116:BK121" si="273">BL116-BJ116</f>
        <v>0</v>
      </c>
      <c r="BL116" s="66"/>
      <c r="BM116" s="776">
        <f>$E$7*BO116</f>
        <v>0</v>
      </c>
      <c r="BN116" s="776">
        <f t="shared" ref="BN116:BN121" si="274">BO116-BM116</f>
        <v>0</v>
      </c>
      <c r="BO116" s="66"/>
      <c r="BP116" s="5"/>
      <c r="BQ116" s="5"/>
      <c r="BR116" s="5"/>
      <c r="BS116" s="5"/>
      <c r="BT116" s="5"/>
      <c r="BU116" s="5"/>
      <c r="BV116" s="5"/>
    </row>
    <row r="117" spans="1:74" ht="13.8">
      <c r="C117" s="144" t="str">
        <f>'6.1stYrOpBudget'!A117</f>
        <v>Partnership Management Fee (see policy for limits)</v>
      </c>
      <c r="D117" s="124"/>
      <c r="E117" s="1058">
        <f>F117</f>
        <v>3.5000000000000003E-2</v>
      </c>
      <c r="F117" s="1056">
        <v>3.5000000000000003E-2</v>
      </c>
      <c r="G117" s="105" t="s">
        <v>196</v>
      </c>
      <c r="H117" s="776">
        <f>'6.1stYrOpBudget'!D117</f>
        <v>0</v>
      </c>
      <c r="I117" s="776">
        <f>'6.1stYrOpBudget'!E117</f>
        <v>0</v>
      </c>
      <c r="J117" s="178">
        <f>'6.1stYrOpBudget'!F117</f>
        <v>0</v>
      </c>
      <c r="K117" s="776">
        <f t="shared" si="255"/>
        <v>0</v>
      </c>
      <c r="L117" s="776">
        <f t="shared" si="256"/>
        <v>0</v>
      </c>
      <c r="M117" s="66"/>
      <c r="N117" s="776">
        <f>$E$7*P117</f>
        <v>0</v>
      </c>
      <c r="O117" s="776">
        <f t="shared" si="257"/>
        <v>0</v>
      </c>
      <c r="P117" s="66"/>
      <c r="Q117" s="776">
        <f>$E$7*S117</f>
        <v>0</v>
      </c>
      <c r="R117" s="776">
        <f t="shared" si="258"/>
        <v>0</v>
      </c>
      <c r="S117" s="66"/>
      <c r="T117" s="776">
        <f>$E$7*V117</f>
        <v>0</v>
      </c>
      <c r="U117" s="776">
        <f t="shared" si="259"/>
        <v>0</v>
      </c>
      <c r="V117" s="66"/>
      <c r="W117" s="776">
        <f>$E$7*Y117</f>
        <v>0</v>
      </c>
      <c r="X117" s="776">
        <f t="shared" si="260"/>
        <v>0</v>
      </c>
      <c r="Y117" s="66"/>
      <c r="Z117" s="776">
        <f>$E$7*AB117</f>
        <v>0</v>
      </c>
      <c r="AA117" s="776">
        <f t="shared" si="261"/>
        <v>0</v>
      </c>
      <c r="AB117" s="66"/>
      <c r="AC117" s="776">
        <f>$E$7*AE117</f>
        <v>0</v>
      </c>
      <c r="AD117" s="776">
        <f t="shared" si="262"/>
        <v>0</v>
      </c>
      <c r="AE117" s="66"/>
      <c r="AF117" s="776">
        <f>$E$7*AH117</f>
        <v>0</v>
      </c>
      <c r="AG117" s="776">
        <f t="shared" si="263"/>
        <v>0</v>
      </c>
      <c r="AH117" s="66"/>
      <c r="AI117" s="776">
        <f>$E$7*AK117</f>
        <v>0</v>
      </c>
      <c r="AJ117" s="776">
        <f t="shared" si="264"/>
        <v>0</v>
      </c>
      <c r="AK117" s="66"/>
      <c r="AL117" s="776">
        <f>$E$7*AN117</f>
        <v>0</v>
      </c>
      <c r="AM117" s="776">
        <f t="shared" si="265"/>
        <v>0</v>
      </c>
      <c r="AN117" s="66"/>
      <c r="AO117" s="776">
        <f>$E$7*AQ117</f>
        <v>0</v>
      </c>
      <c r="AP117" s="776">
        <f t="shared" si="266"/>
        <v>0</v>
      </c>
      <c r="AQ117" s="66"/>
      <c r="AR117" s="776">
        <f>$E$7*AT117</f>
        <v>0</v>
      </c>
      <c r="AS117" s="776">
        <f t="shared" si="267"/>
        <v>0</v>
      </c>
      <c r="AT117" s="66"/>
      <c r="AU117" s="776">
        <f>$E$7*AW117</f>
        <v>0</v>
      </c>
      <c r="AV117" s="776">
        <f t="shared" si="268"/>
        <v>0</v>
      </c>
      <c r="AW117" s="66"/>
      <c r="AX117" s="776">
        <f>$E$7*AZ117</f>
        <v>0</v>
      </c>
      <c r="AY117" s="776">
        <f t="shared" si="269"/>
        <v>0</v>
      </c>
      <c r="AZ117" s="66"/>
      <c r="BA117" s="776">
        <f>$E$7*BC117</f>
        <v>0</v>
      </c>
      <c r="BB117" s="776">
        <f t="shared" si="270"/>
        <v>0</v>
      </c>
      <c r="BC117" s="66"/>
      <c r="BD117" s="776">
        <f>$E$7*BF117</f>
        <v>0</v>
      </c>
      <c r="BE117" s="776">
        <f t="shared" si="271"/>
        <v>0</v>
      </c>
      <c r="BF117" s="66"/>
      <c r="BG117" s="776">
        <f>$E$7*BI117</f>
        <v>0</v>
      </c>
      <c r="BH117" s="776">
        <f t="shared" si="272"/>
        <v>0</v>
      </c>
      <c r="BI117" s="66"/>
      <c r="BJ117" s="776">
        <f>$E$7*BL117</f>
        <v>0</v>
      </c>
      <c r="BK117" s="776">
        <f t="shared" si="273"/>
        <v>0</v>
      </c>
      <c r="BL117" s="66"/>
      <c r="BM117" s="776">
        <f>$E$7*BO117</f>
        <v>0</v>
      </c>
      <c r="BN117" s="776">
        <f t="shared" si="274"/>
        <v>0</v>
      </c>
      <c r="BO117" s="66"/>
      <c r="BP117" s="5"/>
      <c r="BQ117" s="5"/>
      <c r="BR117" s="5"/>
      <c r="BS117" s="5"/>
      <c r="BT117" s="5"/>
      <c r="BU117" s="5"/>
      <c r="BV117" s="5"/>
    </row>
    <row r="118" spans="1:74" ht="14.25" customHeight="1">
      <c r="C118" s="419" t="str">
        <f>'6.1stYrOpBudget'!A118</f>
        <v>Investor Service Fee (aka "LP Asset Mgt Fee") (see policy for limits)</v>
      </c>
      <c r="D118" s="124"/>
      <c r="E118" s="124"/>
      <c r="F118" s="1069"/>
      <c r="G118" s="318" t="s">
        <v>237</v>
      </c>
      <c r="H118" s="776">
        <f>'6.1stYrOpBudget'!D118</f>
        <v>0</v>
      </c>
      <c r="I118" s="776">
        <f>'6.1stYrOpBudget'!E118</f>
        <v>0</v>
      </c>
      <c r="J118" s="178">
        <f>'6.1stYrOpBudget'!F118</f>
        <v>0</v>
      </c>
      <c r="K118" s="776">
        <f t="shared" si="255"/>
        <v>0</v>
      </c>
      <c r="L118" s="776">
        <f t="shared" si="256"/>
        <v>0</v>
      </c>
      <c r="M118" s="66"/>
      <c r="N118" s="776">
        <f>$E$7*P118</f>
        <v>0</v>
      </c>
      <c r="O118" s="776">
        <f t="shared" si="257"/>
        <v>0</v>
      </c>
      <c r="P118" s="66"/>
      <c r="Q118" s="776">
        <f>$E$7*S118</f>
        <v>0</v>
      </c>
      <c r="R118" s="776">
        <f t="shared" si="258"/>
        <v>0</v>
      </c>
      <c r="S118" s="66"/>
      <c r="T118" s="776">
        <f>$E$7*V118</f>
        <v>0</v>
      </c>
      <c r="U118" s="776">
        <f t="shared" si="259"/>
        <v>0</v>
      </c>
      <c r="V118" s="66"/>
      <c r="W118" s="776">
        <f>$E$7*Y118</f>
        <v>0</v>
      </c>
      <c r="X118" s="776">
        <f t="shared" si="260"/>
        <v>0</v>
      </c>
      <c r="Y118" s="66"/>
      <c r="Z118" s="776">
        <f>$E$7*AB118</f>
        <v>0</v>
      </c>
      <c r="AA118" s="776">
        <f t="shared" si="261"/>
        <v>0</v>
      </c>
      <c r="AB118" s="66"/>
      <c r="AC118" s="776">
        <f>$E$7*AE118</f>
        <v>0</v>
      </c>
      <c r="AD118" s="776">
        <f t="shared" si="262"/>
        <v>0</v>
      </c>
      <c r="AE118" s="66"/>
      <c r="AF118" s="776">
        <f>$E$7*AH118</f>
        <v>0</v>
      </c>
      <c r="AG118" s="776">
        <f t="shared" si="263"/>
        <v>0</v>
      </c>
      <c r="AH118" s="66"/>
      <c r="AI118" s="776">
        <f>$E$7*AK118</f>
        <v>0</v>
      </c>
      <c r="AJ118" s="776">
        <f t="shared" si="264"/>
        <v>0</v>
      </c>
      <c r="AK118" s="66"/>
      <c r="AL118" s="776">
        <f>$E$7*AN118</f>
        <v>0</v>
      </c>
      <c r="AM118" s="776">
        <f t="shared" si="265"/>
        <v>0</v>
      </c>
      <c r="AN118" s="66"/>
      <c r="AO118" s="776">
        <f>$E$7*AQ118</f>
        <v>0</v>
      </c>
      <c r="AP118" s="776">
        <f t="shared" si="266"/>
        <v>0</v>
      </c>
      <c r="AQ118" s="66"/>
      <c r="AR118" s="776">
        <f>$E$7*AT118</f>
        <v>0</v>
      </c>
      <c r="AS118" s="776">
        <f t="shared" si="267"/>
        <v>0</v>
      </c>
      <c r="AT118" s="66"/>
      <c r="AU118" s="776">
        <f>$E$7*AW118</f>
        <v>0</v>
      </c>
      <c r="AV118" s="776">
        <f t="shared" si="268"/>
        <v>0</v>
      </c>
      <c r="AW118" s="66"/>
      <c r="AX118" s="776">
        <f>$E$7*AZ118</f>
        <v>0</v>
      </c>
      <c r="AY118" s="776">
        <f t="shared" si="269"/>
        <v>0</v>
      </c>
      <c r="AZ118" s="66"/>
      <c r="BA118" s="776">
        <f>$E$7*BC118</f>
        <v>0</v>
      </c>
      <c r="BB118" s="776">
        <f t="shared" si="270"/>
        <v>0</v>
      </c>
      <c r="BC118" s="66"/>
      <c r="BD118" s="776">
        <f>$E$7*BF118</f>
        <v>0</v>
      </c>
      <c r="BE118" s="776">
        <f t="shared" si="271"/>
        <v>0</v>
      </c>
      <c r="BF118" s="66"/>
      <c r="BG118" s="776">
        <f>$E$7*BI118</f>
        <v>0</v>
      </c>
      <c r="BH118" s="776">
        <f t="shared" si="272"/>
        <v>0</v>
      </c>
      <c r="BI118" s="66"/>
      <c r="BJ118" s="776">
        <f>$E$7*BL118</f>
        <v>0</v>
      </c>
      <c r="BK118" s="776">
        <f t="shared" si="273"/>
        <v>0</v>
      </c>
      <c r="BL118" s="66"/>
      <c r="BM118" s="776">
        <f>$E$7*BO118</f>
        <v>0</v>
      </c>
      <c r="BN118" s="776">
        <f t="shared" si="274"/>
        <v>0</v>
      </c>
      <c r="BO118" s="66"/>
      <c r="BP118" s="5"/>
      <c r="BQ118" s="5"/>
      <c r="BR118" s="5"/>
      <c r="BS118" s="5"/>
      <c r="BT118" s="5"/>
      <c r="BU118" s="5"/>
      <c r="BV118" s="5"/>
    </row>
    <row r="119" spans="1:74" ht="14.25" customHeight="1">
      <c r="A119" s="729" t="str">
        <f>IF('6.1stYrOpBudget'!K119&lt;&gt;"",'6.1stYrOpBudget'!K119,"")</f>
        <v/>
      </c>
      <c r="B119" s="729" t="str">
        <f>'6.1stYrOpBudget'!L119</f>
        <v/>
      </c>
      <c r="C119" s="144" t="str">
        <f>'6.1stYrOpBudget'!A119</f>
        <v>Other Payments</v>
      </c>
      <c r="D119" s="124"/>
      <c r="E119" s="124"/>
      <c r="F119" s="124"/>
      <c r="G119" s="63"/>
      <c r="H119" s="776">
        <f>'6.1stYrOpBudget'!D119</f>
        <v>0</v>
      </c>
      <c r="I119" s="776">
        <f>'6.1stYrOpBudget'!E119</f>
        <v>0</v>
      </c>
      <c r="J119" s="178">
        <f>'6.1stYrOpBudget'!F119</f>
        <v>0</v>
      </c>
      <c r="K119" s="776">
        <f>IF($A119&lt;&gt;"",$A119*M119,$E$7*M119)</f>
        <v>0</v>
      </c>
      <c r="L119" s="776">
        <f t="shared" si="256"/>
        <v>0</v>
      </c>
      <c r="M119" s="66"/>
      <c r="N119" s="776">
        <f>IF($A119&lt;&gt;"",$A119*P119,$E$7*P119)</f>
        <v>0</v>
      </c>
      <c r="O119" s="776">
        <f t="shared" si="257"/>
        <v>0</v>
      </c>
      <c r="P119" s="66"/>
      <c r="Q119" s="776">
        <f>IF($A119&lt;&gt;"",$A119*S119,$E$7*S119)</f>
        <v>0</v>
      </c>
      <c r="R119" s="776">
        <f t="shared" si="258"/>
        <v>0</v>
      </c>
      <c r="S119" s="66"/>
      <c r="T119" s="776">
        <f>IF($A119&lt;&gt;"",$A119*V119,$E$7*V119)</f>
        <v>0</v>
      </c>
      <c r="U119" s="776">
        <f t="shared" si="259"/>
        <v>0</v>
      </c>
      <c r="V119" s="66"/>
      <c r="W119" s="776">
        <f>IF($A119&lt;&gt;"",$A119*Y119,$E$7*Y119)</f>
        <v>0</v>
      </c>
      <c r="X119" s="776">
        <f t="shared" si="260"/>
        <v>0</v>
      </c>
      <c r="Y119" s="66"/>
      <c r="Z119" s="776">
        <f>IF($A119&lt;&gt;"",$A119*AB119,$E$7*AB119)</f>
        <v>0</v>
      </c>
      <c r="AA119" s="776">
        <f t="shared" si="261"/>
        <v>0</v>
      </c>
      <c r="AB119" s="66"/>
      <c r="AC119" s="776">
        <f>IF($A119&lt;&gt;"",$A119*AE119,$E$7*AE119)</f>
        <v>0</v>
      </c>
      <c r="AD119" s="776">
        <f t="shared" si="262"/>
        <v>0</v>
      </c>
      <c r="AE119" s="66"/>
      <c r="AF119" s="776">
        <f>IF($A119&lt;&gt;"",$A119*AH119,$E$7*AH119)</f>
        <v>0</v>
      </c>
      <c r="AG119" s="776">
        <f t="shared" si="263"/>
        <v>0</v>
      </c>
      <c r="AH119" s="66"/>
      <c r="AI119" s="776">
        <f>IF($A119&lt;&gt;"",$A119*AK119,$E$7*AK119)</f>
        <v>0</v>
      </c>
      <c r="AJ119" s="776">
        <f t="shared" si="264"/>
        <v>0</v>
      </c>
      <c r="AK119" s="66"/>
      <c r="AL119" s="776">
        <f>IF($A119&lt;&gt;"",$A119*AN119,$E$7*AN119)</f>
        <v>0</v>
      </c>
      <c r="AM119" s="776">
        <f t="shared" si="265"/>
        <v>0</v>
      </c>
      <c r="AN119" s="66"/>
      <c r="AO119" s="776">
        <f>IF($A119&lt;&gt;"",$A119*AQ119,$E$7*AQ119)</f>
        <v>0</v>
      </c>
      <c r="AP119" s="776">
        <f t="shared" si="266"/>
        <v>0</v>
      </c>
      <c r="AQ119" s="66"/>
      <c r="AR119" s="776">
        <f>IF($A119&lt;&gt;"",$A119*AT119,$E$7*AT119)</f>
        <v>0</v>
      </c>
      <c r="AS119" s="776">
        <f t="shared" si="267"/>
        <v>0</v>
      </c>
      <c r="AT119" s="66"/>
      <c r="AU119" s="776">
        <f>IF($A119&lt;&gt;"",$A119*AW119,$E$7*AW119)</f>
        <v>0</v>
      </c>
      <c r="AV119" s="776">
        <f t="shared" si="268"/>
        <v>0</v>
      </c>
      <c r="AW119" s="66"/>
      <c r="AX119" s="776">
        <f>IF($A119&lt;&gt;"",$A119*AZ119,$E$7*AZ119)</f>
        <v>0</v>
      </c>
      <c r="AY119" s="776">
        <f t="shared" si="269"/>
        <v>0</v>
      </c>
      <c r="AZ119" s="66"/>
      <c r="BA119" s="776">
        <f>IF($A119&lt;&gt;"",$A119*BC119,$E$7*BC119)</f>
        <v>0</v>
      </c>
      <c r="BB119" s="776">
        <f t="shared" si="270"/>
        <v>0</v>
      </c>
      <c r="BC119" s="66"/>
      <c r="BD119" s="776">
        <f>IF($A119&lt;&gt;"",$A119*BF119,$E$7*BF119)</f>
        <v>0</v>
      </c>
      <c r="BE119" s="776">
        <f t="shared" si="271"/>
        <v>0</v>
      </c>
      <c r="BF119" s="66"/>
      <c r="BG119" s="776">
        <f>IF($A119&lt;&gt;"",$A119*BI119,$E$7*BI119)</f>
        <v>0</v>
      </c>
      <c r="BH119" s="776">
        <f t="shared" si="272"/>
        <v>0</v>
      </c>
      <c r="BI119" s="66"/>
      <c r="BJ119" s="776">
        <f>IF($A119&lt;&gt;"",$A119*BL119,$E$7*BL119)</f>
        <v>0</v>
      </c>
      <c r="BK119" s="776">
        <f t="shared" si="273"/>
        <v>0</v>
      </c>
      <c r="BL119" s="66"/>
      <c r="BM119" s="776">
        <f>IF($A119&lt;&gt;"",$A119*BO119,$E$7*BO119)</f>
        <v>0</v>
      </c>
      <c r="BN119" s="776">
        <f t="shared" si="274"/>
        <v>0</v>
      </c>
      <c r="BO119" s="66"/>
      <c r="BP119" s="5"/>
      <c r="BQ119" s="5"/>
      <c r="BR119" s="5"/>
      <c r="BS119" s="5"/>
      <c r="BT119" s="5"/>
      <c r="BU119" s="5"/>
      <c r="BV119" s="5"/>
    </row>
    <row r="120" spans="1:74" ht="14.25" customHeight="1">
      <c r="A120" s="729" t="str">
        <f>IF('6.1stYrOpBudget'!K120&lt;&gt;"",'6.1stYrOpBudget'!K120,"")</f>
        <v/>
      </c>
      <c r="B120" s="729" t="str">
        <f>'6.1stYrOpBudget'!L120</f>
        <v/>
      </c>
      <c r="C120" s="144" t="s">
        <v>302</v>
      </c>
      <c r="D120" s="124"/>
      <c r="E120" s="124"/>
      <c r="F120" s="124"/>
      <c r="G120" s="63" t="s">
        <v>189</v>
      </c>
      <c r="H120" s="776">
        <f>'6.1stYrOpBudget'!D120</f>
        <v>0</v>
      </c>
      <c r="I120" s="776">
        <f>'6.1stYrOpBudget'!E120</f>
        <v>0</v>
      </c>
      <c r="J120" s="178">
        <f>'6.1stYrOpBudget'!F120</f>
        <v>0</v>
      </c>
      <c r="K120" s="776">
        <f>IF($A120&lt;&gt;"",$A120*M120,$E$7*M120)</f>
        <v>0</v>
      </c>
      <c r="L120" s="776">
        <f t="shared" si="256"/>
        <v>0</v>
      </c>
      <c r="M120" s="66"/>
      <c r="N120" s="776">
        <f>IF($A120&lt;&gt;"",$A120*P120,$E$7*P120)</f>
        <v>0</v>
      </c>
      <c r="O120" s="776">
        <f t="shared" si="257"/>
        <v>0</v>
      </c>
      <c r="P120" s="66"/>
      <c r="Q120" s="776">
        <f>IF($A120&lt;&gt;"",$A120*S120,$E$7*S120)</f>
        <v>0</v>
      </c>
      <c r="R120" s="776">
        <f t="shared" si="258"/>
        <v>0</v>
      </c>
      <c r="S120" s="66"/>
      <c r="T120" s="776">
        <f>IF($A120&lt;&gt;"",$A120*V120,$E$7*V120)</f>
        <v>0</v>
      </c>
      <c r="U120" s="776">
        <f t="shared" si="259"/>
        <v>0</v>
      </c>
      <c r="V120" s="66"/>
      <c r="W120" s="776">
        <f>IF($A120&lt;&gt;"",$A120*Y120,$E$7*Y120)</f>
        <v>0</v>
      </c>
      <c r="X120" s="776">
        <f t="shared" si="260"/>
        <v>0</v>
      </c>
      <c r="Y120" s="66"/>
      <c r="Z120" s="776">
        <f>IF($A120&lt;&gt;"",$A120*AB120,$E$7*AB120)</f>
        <v>0</v>
      </c>
      <c r="AA120" s="776">
        <f t="shared" si="261"/>
        <v>0</v>
      </c>
      <c r="AB120" s="66"/>
      <c r="AC120" s="776">
        <f>IF($A120&lt;&gt;"",$A120*AE120,$E$7*AE120)</f>
        <v>0</v>
      </c>
      <c r="AD120" s="776">
        <f t="shared" si="262"/>
        <v>0</v>
      </c>
      <c r="AE120" s="66"/>
      <c r="AF120" s="776">
        <f>IF($A120&lt;&gt;"",$A120*AH120,$E$7*AH120)</f>
        <v>0</v>
      </c>
      <c r="AG120" s="776">
        <f t="shared" si="263"/>
        <v>0</v>
      </c>
      <c r="AH120" s="66"/>
      <c r="AI120" s="776">
        <f>IF($A120&lt;&gt;"",$A120*AK120,$E$7*AK120)</f>
        <v>0</v>
      </c>
      <c r="AJ120" s="776">
        <f t="shared" si="264"/>
        <v>0</v>
      </c>
      <c r="AK120" s="66"/>
      <c r="AL120" s="776">
        <f>IF($A120&lt;&gt;"",$A120*AN120,$E$7*AN120)</f>
        <v>0</v>
      </c>
      <c r="AM120" s="776">
        <f t="shared" si="265"/>
        <v>0</v>
      </c>
      <c r="AN120" s="66"/>
      <c r="AO120" s="776">
        <f>IF($A120&lt;&gt;"",$A120*AQ120,$E$7*AQ120)</f>
        <v>0</v>
      </c>
      <c r="AP120" s="776">
        <f t="shared" si="266"/>
        <v>0</v>
      </c>
      <c r="AQ120" s="66"/>
      <c r="AR120" s="776">
        <f>IF($A120&lt;&gt;"",$A120*AT120,$E$7*AT120)</f>
        <v>0</v>
      </c>
      <c r="AS120" s="776">
        <f t="shared" si="267"/>
        <v>0</v>
      </c>
      <c r="AT120" s="66"/>
      <c r="AU120" s="776">
        <f>IF($A120&lt;&gt;"",$A120*AW120,$E$7*AW120)</f>
        <v>0</v>
      </c>
      <c r="AV120" s="776">
        <f t="shared" si="268"/>
        <v>0</v>
      </c>
      <c r="AW120" s="66"/>
      <c r="AX120" s="776">
        <f>IF($A120&lt;&gt;"",$A120*AZ120,$E$7*AZ120)</f>
        <v>0</v>
      </c>
      <c r="AY120" s="776">
        <f t="shared" si="269"/>
        <v>0</v>
      </c>
      <c r="AZ120" s="66"/>
      <c r="BA120" s="776">
        <f>IF($A120&lt;&gt;"",$A120*BC120,$E$7*BC120)</f>
        <v>0</v>
      </c>
      <c r="BB120" s="776">
        <f t="shared" si="270"/>
        <v>0</v>
      </c>
      <c r="BC120" s="66"/>
      <c r="BD120" s="776">
        <f>IF($A120&lt;&gt;"",$A120*BF120,$E$7*BF120)</f>
        <v>0</v>
      </c>
      <c r="BE120" s="776">
        <f t="shared" si="271"/>
        <v>0</v>
      </c>
      <c r="BF120" s="66"/>
      <c r="BG120" s="776">
        <f>IF($A120&lt;&gt;"",$A120*BI120,$E$7*BI120)</f>
        <v>0</v>
      </c>
      <c r="BH120" s="776">
        <f t="shared" si="272"/>
        <v>0</v>
      </c>
      <c r="BI120" s="66"/>
      <c r="BJ120" s="776">
        <f>IF($A120&lt;&gt;"",$A120*BL120,$E$7*BL120)</f>
        <v>0</v>
      </c>
      <c r="BK120" s="776">
        <f t="shared" si="273"/>
        <v>0</v>
      </c>
      <c r="BL120" s="66"/>
      <c r="BM120" s="776">
        <f>IF($A120&lt;&gt;"",$A120*BO120,$E$7*BO120)</f>
        <v>0</v>
      </c>
      <c r="BN120" s="776">
        <f t="shared" si="274"/>
        <v>0</v>
      </c>
      <c r="BO120" s="66"/>
      <c r="BP120" s="5"/>
      <c r="BQ120" s="5"/>
      <c r="BR120" s="5"/>
      <c r="BS120" s="5"/>
      <c r="BT120" s="5"/>
      <c r="BU120" s="5"/>
      <c r="BV120" s="5"/>
    </row>
    <row r="121" spans="1:74" ht="14.25" customHeight="1">
      <c r="C121" s="144" t="s">
        <v>303</v>
      </c>
      <c r="D121" s="124"/>
      <c r="E121" s="124"/>
      <c r="F121" s="124"/>
      <c r="G121" s="63" t="s">
        <v>189</v>
      </c>
      <c r="H121" s="776">
        <f>'6.1stYrOpBudget'!D121</f>
        <v>0</v>
      </c>
      <c r="I121" s="776">
        <f>'6.1stYrOpBudget'!E121</f>
        <v>0</v>
      </c>
      <c r="J121" s="178">
        <f>'6.1stYrOpBudget'!F121</f>
        <v>0</v>
      </c>
      <c r="K121" s="776">
        <f t="shared" si="255"/>
        <v>0</v>
      </c>
      <c r="L121" s="776">
        <f t="shared" si="256"/>
        <v>0</v>
      </c>
      <c r="M121" s="66"/>
      <c r="N121" s="776">
        <f>$E$7*P121</f>
        <v>0</v>
      </c>
      <c r="O121" s="776">
        <f t="shared" si="257"/>
        <v>0</v>
      </c>
      <c r="P121" s="66"/>
      <c r="Q121" s="776">
        <f>$E$7*S121</f>
        <v>0</v>
      </c>
      <c r="R121" s="776">
        <f t="shared" si="258"/>
        <v>0</v>
      </c>
      <c r="S121" s="66"/>
      <c r="T121" s="776">
        <f>$E$7*V121</f>
        <v>0</v>
      </c>
      <c r="U121" s="776">
        <f t="shared" si="259"/>
        <v>0</v>
      </c>
      <c r="V121" s="66"/>
      <c r="W121" s="776">
        <f>$E$7*Y121</f>
        <v>0</v>
      </c>
      <c r="X121" s="776">
        <f t="shared" si="260"/>
        <v>0</v>
      </c>
      <c r="Y121" s="66"/>
      <c r="Z121" s="776">
        <f>$E$7*AB121</f>
        <v>0</v>
      </c>
      <c r="AA121" s="776">
        <f t="shared" si="261"/>
        <v>0</v>
      </c>
      <c r="AB121" s="66"/>
      <c r="AC121" s="776">
        <f>$E$7*AE121</f>
        <v>0</v>
      </c>
      <c r="AD121" s="776">
        <f t="shared" si="262"/>
        <v>0</v>
      </c>
      <c r="AE121" s="66"/>
      <c r="AF121" s="776">
        <f>$E$7*AH121</f>
        <v>0</v>
      </c>
      <c r="AG121" s="776">
        <f t="shared" si="263"/>
        <v>0</v>
      </c>
      <c r="AH121" s="66"/>
      <c r="AI121" s="776">
        <f>$E$7*AK121</f>
        <v>0</v>
      </c>
      <c r="AJ121" s="776">
        <f t="shared" si="264"/>
        <v>0</v>
      </c>
      <c r="AK121" s="66"/>
      <c r="AL121" s="776">
        <f>$E$7*AN121</f>
        <v>0</v>
      </c>
      <c r="AM121" s="776">
        <f t="shared" si="265"/>
        <v>0</v>
      </c>
      <c r="AN121" s="66"/>
      <c r="AO121" s="776">
        <f>$E$7*AQ121</f>
        <v>0</v>
      </c>
      <c r="AP121" s="776">
        <f t="shared" si="266"/>
        <v>0</v>
      </c>
      <c r="AQ121" s="66"/>
      <c r="AR121" s="776">
        <f>$E$7*AT121</f>
        <v>0</v>
      </c>
      <c r="AS121" s="776">
        <f t="shared" si="267"/>
        <v>0</v>
      </c>
      <c r="AT121" s="66"/>
      <c r="AU121" s="776">
        <f>$E$7*AW121</f>
        <v>0</v>
      </c>
      <c r="AV121" s="776">
        <f t="shared" si="268"/>
        <v>0</v>
      </c>
      <c r="AW121" s="66"/>
      <c r="AX121" s="776">
        <f>$E$7*AZ121</f>
        <v>0</v>
      </c>
      <c r="AY121" s="776">
        <f t="shared" si="269"/>
        <v>0</v>
      </c>
      <c r="AZ121" s="66"/>
      <c r="BA121" s="776">
        <f>$E$7*BC121</f>
        <v>0</v>
      </c>
      <c r="BB121" s="776">
        <f t="shared" si="270"/>
        <v>0</v>
      </c>
      <c r="BC121" s="66"/>
      <c r="BD121" s="776">
        <f>$E$7*BF121</f>
        <v>0</v>
      </c>
      <c r="BE121" s="776">
        <f t="shared" si="271"/>
        <v>0</v>
      </c>
      <c r="BF121" s="66"/>
      <c r="BG121" s="776">
        <f>$E$7*BI121</f>
        <v>0</v>
      </c>
      <c r="BH121" s="776">
        <f t="shared" si="272"/>
        <v>0</v>
      </c>
      <c r="BI121" s="66"/>
      <c r="BJ121" s="776">
        <f>$E$7*BL121</f>
        <v>0</v>
      </c>
      <c r="BK121" s="776">
        <f t="shared" si="273"/>
        <v>0</v>
      </c>
      <c r="BL121" s="66"/>
      <c r="BM121" s="776">
        <f>$E$7*BO121</f>
        <v>0</v>
      </c>
      <c r="BN121" s="776">
        <f t="shared" si="274"/>
        <v>0</v>
      </c>
      <c r="BO121" s="66"/>
      <c r="BP121" s="5"/>
      <c r="BQ121" s="5"/>
      <c r="BR121" s="5"/>
      <c r="BS121" s="5"/>
      <c r="BT121" s="5"/>
      <c r="BU121" s="5"/>
      <c r="BV121" s="5"/>
    </row>
    <row r="122" spans="1:74" ht="13.8">
      <c r="A122" s="729">
        <f>IF('6.1stYrOpBudget'!K122&lt;&gt;"",'6.1stYrOpBudget'!K122,"")</f>
        <v>0</v>
      </c>
      <c r="B122" s="729">
        <f>'6.1stYrOpBudget'!L122</f>
        <v>1</v>
      </c>
      <c r="C122" s="144" t="s">
        <v>880</v>
      </c>
      <c r="D122" s="124"/>
      <c r="E122" s="124"/>
      <c r="F122" s="124"/>
      <c r="G122" s="70"/>
      <c r="H122" s="776">
        <f>'6.1stYrOpBudget'!D122</f>
        <v>0</v>
      </c>
      <c r="I122" s="776">
        <f>'6.1stYrOpBudget'!E122</f>
        <v>0</v>
      </c>
      <c r="J122" s="178">
        <f>'6.1stYrOpBudget'!F122</f>
        <v>0</v>
      </c>
      <c r="K122" s="776">
        <f>IF($A122&lt;&gt;"",$A122*M122,$E$7*M122)</f>
        <v>0</v>
      </c>
      <c r="L122" s="776">
        <f>M122-K122</f>
        <v>0</v>
      </c>
      <c r="M122" s="66"/>
      <c r="N122" s="776">
        <f>IF($A122&lt;&gt;"",$A122*P122,$E$7*P122)</f>
        <v>0</v>
      </c>
      <c r="O122" s="776">
        <f>P122-N122</f>
        <v>0</v>
      </c>
      <c r="P122" s="66"/>
      <c r="Q122" s="776">
        <f>IF($A122&lt;&gt;"",$A122*S122,$E$7*S122)</f>
        <v>0</v>
      </c>
      <c r="R122" s="776">
        <f>S122-Q122</f>
        <v>0</v>
      </c>
      <c r="S122" s="66"/>
      <c r="T122" s="776">
        <f>IF($A122&lt;&gt;"",$A122*V122,$E$7*V122)</f>
        <v>0</v>
      </c>
      <c r="U122" s="776">
        <f>V122-T122</f>
        <v>0</v>
      </c>
      <c r="V122" s="66"/>
      <c r="W122" s="776">
        <f>IF($A122&lt;&gt;"",$A122*Y122,$E$7*Y122)</f>
        <v>0</v>
      </c>
      <c r="X122" s="776">
        <f>Y122-W122</f>
        <v>0</v>
      </c>
      <c r="Y122" s="66"/>
      <c r="Z122" s="776">
        <f>IF($A122&lt;&gt;"",$A122*AB122,$E$7*AB122)</f>
        <v>0</v>
      </c>
      <c r="AA122" s="776">
        <f>AB122-Z122</f>
        <v>0</v>
      </c>
      <c r="AB122" s="66"/>
      <c r="AC122" s="776">
        <f>IF($A122&lt;&gt;"",$A122*AE122,$E$7*AE122)</f>
        <v>0</v>
      </c>
      <c r="AD122" s="776">
        <f>AE122-AC122</f>
        <v>0</v>
      </c>
      <c r="AE122" s="66"/>
      <c r="AF122" s="776">
        <f>IF($A122&lt;&gt;"",$A122*AH122,$E$7*AH122)</f>
        <v>0</v>
      </c>
      <c r="AG122" s="776">
        <f>AH122-AF122</f>
        <v>0</v>
      </c>
      <c r="AH122" s="66"/>
      <c r="AI122" s="776">
        <f>IF($A122&lt;&gt;"",$A122*AK122,$E$7*AK122)</f>
        <v>0</v>
      </c>
      <c r="AJ122" s="776">
        <f>AK122-AI122</f>
        <v>0</v>
      </c>
      <c r="AK122" s="66"/>
      <c r="AL122" s="776">
        <f>IF($A122&lt;&gt;"",$A122*AN122,$E$7*AN122)</f>
        <v>0</v>
      </c>
      <c r="AM122" s="776">
        <f>AN122-AL122</f>
        <v>0</v>
      </c>
      <c r="AN122" s="66"/>
      <c r="AO122" s="776">
        <f>IF($A122&lt;&gt;"",$A122*AQ122,$E$7*AQ122)</f>
        <v>0</v>
      </c>
      <c r="AP122" s="776">
        <f>AQ122-AO122</f>
        <v>0</v>
      </c>
      <c r="AQ122" s="66"/>
      <c r="AR122" s="776">
        <f>IF($A122&lt;&gt;"",$A122*AT122,$E$7*AT122)</f>
        <v>0</v>
      </c>
      <c r="AS122" s="776">
        <f>AT122-AR122</f>
        <v>0</v>
      </c>
      <c r="AT122" s="66"/>
      <c r="AU122" s="776">
        <f>IF($A122&lt;&gt;"",$A122*AW122,$E$7*AW122)</f>
        <v>0</v>
      </c>
      <c r="AV122" s="776">
        <f>AW122-AU122</f>
        <v>0</v>
      </c>
      <c r="AW122" s="66"/>
      <c r="AX122" s="776">
        <f>IF($A122&lt;&gt;"",$A122*AZ122,$E$7*AZ122)</f>
        <v>0</v>
      </c>
      <c r="AY122" s="776">
        <f>AZ122-AX122</f>
        <v>0</v>
      </c>
      <c r="AZ122" s="66"/>
      <c r="BA122" s="776">
        <f>IF($A122&lt;&gt;"",$A122*BC122,$E$7*BC122)</f>
        <v>0</v>
      </c>
      <c r="BB122" s="776">
        <f>BC122-BA122</f>
        <v>0</v>
      </c>
      <c r="BC122" s="66"/>
      <c r="BD122" s="776">
        <f>IF($A122&lt;&gt;"",$A122*BF122,$E$7*BF122)</f>
        <v>0</v>
      </c>
      <c r="BE122" s="776">
        <f>BF122-BD122</f>
        <v>0</v>
      </c>
      <c r="BF122" s="66"/>
      <c r="BG122" s="776">
        <f>IF($A122&lt;&gt;"",$A122*BI122,$E$7*BI122)</f>
        <v>0</v>
      </c>
      <c r="BH122" s="776">
        <f>BI122-BG122</f>
        <v>0</v>
      </c>
      <c r="BI122" s="66"/>
      <c r="BJ122" s="776">
        <f>IF($A122&lt;&gt;"",$A122*BL122,$E$7*BL122)</f>
        <v>0</v>
      </c>
      <c r="BK122" s="776">
        <f>BL122-BJ122</f>
        <v>0</v>
      </c>
      <c r="BL122" s="66"/>
      <c r="BM122" s="776">
        <f>IF($A122&lt;&gt;"",$A122*BO122,$E$7*BO122)</f>
        <v>0</v>
      </c>
      <c r="BN122" s="776">
        <f>BO122-BM122</f>
        <v>0</v>
      </c>
      <c r="BO122" s="66"/>
      <c r="BP122" s="5"/>
      <c r="BQ122" s="5"/>
      <c r="BR122" s="5"/>
      <c r="BS122" s="5"/>
      <c r="BT122" s="5"/>
      <c r="BU122" s="5"/>
      <c r="BV122" s="5"/>
    </row>
    <row r="123" spans="1:74" ht="5.25" customHeight="1">
      <c r="A123" s="731"/>
      <c r="B123" s="731"/>
      <c r="C123" s="128"/>
      <c r="D123" s="124"/>
      <c r="E123" s="124"/>
      <c r="F123" s="124"/>
      <c r="G123" s="1048"/>
      <c r="H123" s="783"/>
      <c r="I123" s="783"/>
      <c r="J123" s="141"/>
      <c r="K123" s="783"/>
      <c r="L123" s="783"/>
      <c r="M123" s="400"/>
      <c r="N123" s="783"/>
      <c r="O123" s="783"/>
      <c r="P123" s="400"/>
      <c r="Q123" s="783"/>
      <c r="R123" s="783"/>
      <c r="S123" s="400"/>
      <c r="T123" s="783"/>
      <c r="U123" s="783"/>
      <c r="V123" s="400"/>
      <c r="W123" s="783"/>
      <c r="X123" s="783"/>
      <c r="Y123" s="400"/>
      <c r="Z123" s="783"/>
      <c r="AA123" s="783"/>
      <c r="AB123" s="400"/>
      <c r="AC123" s="783"/>
      <c r="AD123" s="783"/>
      <c r="AE123" s="400"/>
      <c r="AF123" s="783"/>
      <c r="AG123" s="783"/>
      <c r="AH123" s="400"/>
      <c r="AI123" s="783"/>
      <c r="AJ123" s="783"/>
      <c r="AK123" s="400"/>
      <c r="AL123" s="783"/>
      <c r="AM123" s="783"/>
      <c r="AN123" s="400"/>
      <c r="AO123" s="783"/>
      <c r="AP123" s="783"/>
      <c r="AQ123" s="400"/>
      <c r="AR123" s="783"/>
      <c r="AS123" s="783"/>
      <c r="AT123" s="400"/>
      <c r="AU123" s="783"/>
      <c r="AV123" s="783"/>
      <c r="AW123" s="400"/>
      <c r="AX123" s="783"/>
      <c r="AY123" s="783"/>
      <c r="AZ123" s="400"/>
      <c r="BA123" s="783"/>
      <c r="BB123" s="783"/>
      <c r="BC123" s="400"/>
      <c r="BD123" s="783"/>
      <c r="BE123" s="783"/>
      <c r="BF123" s="400"/>
      <c r="BG123" s="783"/>
      <c r="BH123" s="783"/>
      <c r="BI123" s="400"/>
      <c r="BJ123" s="783"/>
      <c r="BK123" s="783"/>
      <c r="BL123" s="400"/>
      <c r="BM123" s="783"/>
      <c r="BN123" s="783"/>
      <c r="BO123" s="400"/>
      <c r="BP123" s="5"/>
      <c r="BQ123" s="5"/>
      <c r="BR123" s="5"/>
      <c r="BS123" s="5"/>
      <c r="BT123" s="5"/>
      <c r="BU123" s="5"/>
      <c r="BV123" s="5"/>
    </row>
    <row r="124" spans="1:74" ht="17.399999999999999">
      <c r="C124" s="1082" t="str">
        <f>'6.1stYrOpBudget'!B124</f>
        <v>TOTAL PAYMENTS PRECEDING MOHCD</v>
      </c>
      <c r="D124" s="124"/>
      <c r="E124" s="124"/>
      <c r="F124" s="124"/>
      <c r="G124" s="21"/>
      <c r="H124" s="787">
        <f>'6.1stYrOpBudget'!D124</f>
        <v>0</v>
      </c>
      <c r="I124" s="787">
        <f>'6.1stYrOpBudget'!E124</f>
        <v>0</v>
      </c>
      <c r="J124" s="209">
        <f>'6.1stYrOpBudget'!F124</f>
        <v>0</v>
      </c>
      <c r="K124" s="787">
        <f>SUM(K116:K122)</f>
        <v>0</v>
      </c>
      <c r="L124" s="787">
        <f>SUM(L116:L122)</f>
        <v>0</v>
      </c>
      <c r="M124" s="787">
        <f>SUM(M116:M122)</f>
        <v>0</v>
      </c>
      <c r="N124" s="787">
        <f>SUM(N116:N122)</f>
        <v>0</v>
      </c>
      <c r="O124" s="787">
        <f>SUM(O116:O122)</f>
        <v>0</v>
      </c>
      <c r="P124" s="787">
        <f t="shared" ref="P124:BO124" si="275">SUM(P116:P122)</f>
        <v>0</v>
      </c>
      <c r="Q124" s="787">
        <f t="shared" si="275"/>
        <v>0</v>
      </c>
      <c r="R124" s="787">
        <f t="shared" si="275"/>
        <v>0</v>
      </c>
      <c r="S124" s="787">
        <f t="shared" si="275"/>
        <v>0</v>
      </c>
      <c r="T124" s="787">
        <f t="shared" si="275"/>
        <v>0</v>
      </c>
      <c r="U124" s="787">
        <f t="shared" si="275"/>
        <v>0</v>
      </c>
      <c r="V124" s="787">
        <f t="shared" si="275"/>
        <v>0</v>
      </c>
      <c r="W124" s="787">
        <f t="shared" si="275"/>
        <v>0</v>
      </c>
      <c r="X124" s="787">
        <f t="shared" si="275"/>
        <v>0</v>
      </c>
      <c r="Y124" s="787">
        <f t="shared" si="275"/>
        <v>0</v>
      </c>
      <c r="Z124" s="787">
        <f t="shared" si="275"/>
        <v>0</v>
      </c>
      <c r="AA124" s="787">
        <f t="shared" si="275"/>
        <v>0</v>
      </c>
      <c r="AB124" s="787">
        <f t="shared" si="275"/>
        <v>0</v>
      </c>
      <c r="AC124" s="787">
        <f t="shared" si="275"/>
        <v>0</v>
      </c>
      <c r="AD124" s="787">
        <f t="shared" si="275"/>
        <v>0</v>
      </c>
      <c r="AE124" s="787">
        <f t="shared" si="275"/>
        <v>0</v>
      </c>
      <c r="AF124" s="787">
        <f t="shared" si="275"/>
        <v>0</v>
      </c>
      <c r="AG124" s="787">
        <f t="shared" si="275"/>
        <v>0</v>
      </c>
      <c r="AH124" s="787">
        <f t="shared" si="275"/>
        <v>0</v>
      </c>
      <c r="AI124" s="787">
        <f t="shared" si="275"/>
        <v>0</v>
      </c>
      <c r="AJ124" s="787">
        <f t="shared" si="275"/>
        <v>0</v>
      </c>
      <c r="AK124" s="787">
        <f t="shared" si="275"/>
        <v>0</v>
      </c>
      <c r="AL124" s="787">
        <f t="shared" si="275"/>
        <v>0</v>
      </c>
      <c r="AM124" s="787">
        <f t="shared" si="275"/>
        <v>0</v>
      </c>
      <c r="AN124" s="787">
        <f t="shared" si="275"/>
        <v>0</v>
      </c>
      <c r="AO124" s="787">
        <f t="shared" si="275"/>
        <v>0</v>
      </c>
      <c r="AP124" s="787">
        <f t="shared" si="275"/>
        <v>0</v>
      </c>
      <c r="AQ124" s="787">
        <f t="shared" si="275"/>
        <v>0</v>
      </c>
      <c r="AR124" s="787">
        <f t="shared" si="275"/>
        <v>0</v>
      </c>
      <c r="AS124" s="787">
        <f t="shared" si="275"/>
        <v>0</v>
      </c>
      <c r="AT124" s="787">
        <f t="shared" si="275"/>
        <v>0</v>
      </c>
      <c r="AU124" s="787">
        <f t="shared" si="275"/>
        <v>0</v>
      </c>
      <c r="AV124" s="787">
        <f t="shared" si="275"/>
        <v>0</v>
      </c>
      <c r="AW124" s="787">
        <f t="shared" si="275"/>
        <v>0</v>
      </c>
      <c r="AX124" s="787">
        <f t="shared" si="275"/>
        <v>0</v>
      </c>
      <c r="AY124" s="787">
        <f t="shared" si="275"/>
        <v>0</v>
      </c>
      <c r="AZ124" s="787">
        <f t="shared" si="275"/>
        <v>0</v>
      </c>
      <c r="BA124" s="787">
        <f t="shared" si="275"/>
        <v>0</v>
      </c>
      <c r="BB124" s="787">
        <f t="shared" si="275"/>
        <v>0</v>
      </c>
      <c r="BC124" s="787">
        <f t="shared" si="275"/>
        <v>0</v>
      </c>
      <c r="BD124" s="787">
        <f t="shared" si="275"/>
        <v>0</v>
      </c>
      <c r="BE124" s="787">
        <f t="shared" si="275"/>
        <v>0</v>
      </c>
      <c r="BF124" s="787">
        <f t="shared" si="275"/>
        <v>0</v>
      </c>
      <c r="BG124" s="787">
        <f t="shared" si="275"/>
        <v>0</v>
      </c>
      <c r="BH124" s="787">
        <f t="shared" si="275"/>
        <v>0</v>
      </c>
      <c r="BI124" s="787">
        <f t="shared" si="275"/>
        <v>0</v>
      </c>
      <c r="BJ124" s="787">
        <f t="shared" si="275"/>
        <v>0</v>
      </c>
      <c r="BK124" s="787">
        <f t="shared" si="275"/>
        <v>0</v>
      </c>
      <c r="BL124" s="787">
        <f t="shared" si="275"/>
        <v>0</v>
      </c>
      <c r="BM124" s="787">
        <f t="shared" si="275"/>
        <v>0</v>
      </c>
      <c r="BN124" s="787">
        <f t="shared" si="275"/>
        <v>0</v>
      </c>
      <c r="BO124" s="787">
        <f t="shared" si="275"/>
        <v>0</v>
      </c>
      <c r="BP124" s="5"/>
      <c r="BQ124" s="5"/>
      <c r="BR124" s="5"/>
      <c r="BS124" s="5"/>
      <c r="BT124" s="5"/>
      <c r="BU124" s="5"/>
      <c r="BV124" s="5"/>
    </row>
    <row r="125" spans="1:74" ht="5.0999999999999996" customHeight="1">
      <c r="C125" s="129"/>
      <c r="D125" s="124"/>
      <c r="E125" s="124"/>
      <c r="F125" s="124"/>
      <c r="G125" s="21"/>
      <c r="H125" s="787"/>
      <c r="I125" s="787"/>
      <c r="J125" s="209"/>
      <c r="K125" s="787"/>
      <c r="L125" s="787"/>
      <c r="M125" s="209"/>
      <c r="N125" s="787"/>
      <c r="O125" s="787"/>
      <c r="P125" s="209"/>
      <c r="Q125" s="787"/>
      <c r="R125" s="787"/>
      <c r="S125" s="209"/>
      <c r="T125" s="787"/>
      <c r="U125" s="787"/>
      <c r="V125" s="209"/>
      <c r="W125" s="787"/>
      <c r="X125" s="787"/>
      <c r="Y125" s="209"/>
      <c r="Z125" s="787"/>
      <c r="AA125" s="787"/>
      <c r="AB125" s="209"/>
      <c r="AC125" s="787"/>
      <c r="AD125" s="787"/>
      <c r="AE125" s="209"/>
      <c r="AF125" s="787"/>
      <c r="AG125" s="787"/>
      <c r="AH125" s="209"/>
      <c r="AI125" s="787"/>
      <c r="AJ125" s="787"/>
      <c r="AK125" s="209"/>
      <c r="AL125" s="787"/>
      <c r="AM125" s="787"/>
      <c r="AN125" s="209"/>
      <c r="AO125" s="787"/>
      <c r="AP125" s="787"/>
      <c r="AQ125" s="209"/>
      <c r="AR125" s="787"/>
      <c r="AS125" s="787"/>
      <c r="AT125" s="209"/>
      <c r="AU125" s="787"/>
      <c r="AV125" s="787"/>
      <c r="AW125" s="209"/>
      <c r="AX125" s="787"/>
      <c r="AY125" s="787"/>
      <c r="AZ125" s="209"/>
      <c r="BA125" s="787"/>
      <c r="BB125" s="787"/>
      <c r="BC125" s="209"/>
      <c r="BD125" s="787"/>
      <c r="BE125" s="787"/>
      <c r="BF125" s="209"/>
      <c r="BG125" s="787"/>
      <c r="BH125" s="787"/>
      <c r="BI125" s="209"/>
      <c r="BJ125" s="787"/>
      <c r="BK125" s="787"/>
      <c r="BL125" s="209"/>
      <c r="BM125" s="787"/>
      <c r="BN125" s="787"/>
      <c r="BO125" s="209"/>
      <c r="BP125" s="5"/>
      <c r="BQ125" s="5"/>
      <c r="BR125" s="5"/>
      <c r="BS125" s="5"/>
      <c r="BT125" s="5"/>
      <c r="BU125" s="5"/>
      <c r="BV125" s="5"/>
    </row>
    <row r="126" spans="1:74" ht="12.75" customHeight="1">
      <c r="C126" s="319" t="str">
        <f>'6.1stYrOpBudget'!A126</f>
        <v>RESIDUAL RECEIPTS (CASH FLOW minus PAYMENTS PRECEDING MOHCD)</v>
      </c>
      <c r="D126" s="124"/>
      <c r="E126" s="124"/>
      <c r="F126" s="124"/>
      <c r="G126" s="21"/>
      <c r="H126" s="125">
        <f>'6.1stYrOpBudget'!D126</f>
        <v>0</v>
      </c>
      <c r="I126" s="125">
        <f>'6.1stYrOpBudget'!E126</f>
        <v>0</v>
      </c>
      <c r="J126" s="175">
        <f>'6.1stYrOpBudget'!F126</f>
        <v>0</v>
      </c>
      <c r="K126" s="33">
        <f>K112-K124</f>
        <v>0</v>
      </c>
      <c r="L126" s="33">
        <f>L112-L124</f>
        <v>0</v>
      </c>
      <c r="M126" s="175">
        <f>M107-M124</f>
        <v>0</v>
      </c>
      <c r="N126" s="33">
        <f>N112-N124</f>
        <v>0</v>
      </c>
      <c r="O126" s="33">
        <f>O112-O124</f>
        <v>0</v>
      </c>
      <c r="P126" s="175">
        <f>P107-P124</f>
        <v>0</v>
      </c>
      <c r="Q126" s="33">
        <f>Q112-Q124</f>
        <v>0</v>
      </c>
      <c r="R126" s="33">
        <f>R112-R124</f>
        <v>0</v>
      </c>
      <c r="S126" s="175">
        <f>S107-S124</f>
        <v>0</v>
      </c>
      <c r="T126" s="33">
        <f>T112-T124</f>
        <v>0</v>
      </c>
      <c r="U126" s="33">
        <f>U112-U124</f>
        <v>0</v>
      </c>
      <c r="V126" s="175">
        <f>V107-V124</f>
        <v>0</v>
      </c>
      <c r="W126" s="33">
        <f>W112-W124</f>
        <v>0</v>
      </c>
      <c r="X126" s="33">
        <f>X112-X124</f>
        <v>0</v>
      </c>
      <c r="Y126" s="175">
        <f>Y107-Y124</f>
        <v>0</v>
      </c>
      <c r="Z126" s="33">
        <f>Z112-Z124</f>
        <v>0</v>
      </c>
      <c r="AA126" s="33">
        <f>AA112-AA124</f>
        <v>0</v>
      </c>
      <c r="AB126" s="175">
        <f>AB107-AB124</f>
        <v>0</v>
      </c>
      <c r="AC126" s="33">
        <f>AC112-AC124</f>
        <v>0</v>
      </c>
      <c r="AD126" s="33">
        <f>AD112-AD124</f>
        <v>0</v>
      </c>
      <c r="AE126" s="175">
        <f>AE107-AE124</f>
        <v>0</v>
      </c>
      <c r="AF126" s="33">
        <f>AF112-AF124</f>
        <v>0</v>
      </c>
      <c r="AG126" s="33">
        <f>AG112-AG124</f>
        <v>0</v>
      </c>
      <c r="AH126" s="175">
        <f>AH107-AH124</f>
        <v>0</v>
      </c>
      <c r="AI126" s="33">
        <f>AI112-AI124</f>
        <v>0</v>
      </c>
      <c r="AJ126" s="33">
        <f>AJ112-AJ124</f>
        <v>0</v>
      </c>
      <c r="AK126" s="175">
        <f>AK107-AK124</f>
        <v>0</v>
      </c>
      <c r="AL126" s="33">
        <f>AL112-AL124</f>
        <v>0</v>
      </c>
      <c r="AM126" s="33">
        <f>AM112-AM124</f>
        <v>0</v>
      </c>
      <c r="AN126" s="175">
        <f>AN107-AN124</f>
        <v>0</v>
      </c>
      <c r="AO126" s="33">
        <f>AO112-AO124</f>
        <v>0</v>
      </c>
      <c r="AP126" s="33">
        <f>AP112-AP124</f>
        <v>0</v>
      </c>
      <c r="AQ126" s="175">
        <f>AQ107-AQ124</f>
        <v>0</v>
      </c>
      <c r="AR126" s="33">
        <f>AR112-AR124</f>
        <v>0</v>
      </c>
      <c r="AS126" s="33">
        <f>AS112-AS124</f>
        <v>0</v>
      </c>
      <c r="AT126" s="175">
        <f>AT107-AT124</f>
        <v>0</v>
      </c>
      <c r="AU126" s="33">
        <f>AU112-AU124</f>
        <v>0</v>
      </c>
      <c r="AV126" s="33">
        <f>AV112-AV124</f>
        <v>0</v>
      </c>
      <c r="AW126" s="175">
        <f>AW107-AW124</f>
        <v>0</v>
      </c>
      <c r="AX126" s="33">
        <f>AX112-AX124</f>
        <v>0</v>
      </c>
      <c r="AY126" s="33">
        <f>AY112-AY124</f>
        <v>0</v>
      </c>
      <c r="AZ126" s="175">
        <f>AZ107-AZ124</f>
        <v>0</v>
      </c>
      <c r="BA126" s="33">
        <f>BA112-BA124</f>
        <v>0</v>
      </c>
      <c r="BB126" s="33">
        <f>BB112-BB124</f>
        <v>0</v>
      </c>
      <c r="BC126" s="175">
        <f>BC107-BC124</f>
        <v>0</v>
      </c>
      <c r="BD126" s="33">
        <f>BD112-BD124</f>
        <v>0</v>
      </c>
      <c r="BE126" s="33">
        <f>BE112-BE124</f>
        <v>0</v>
      </c>
      <c r="BF126" s="175">
        <f>BF107-BF124</f>
        <v>0</v>
      </c>
      <c r="BG126" s="33">
        <f>BG112-BG124</f>
        <v>0</v>
      </c>
      <c r="BH126" s="33">
        <f>BH112-BH124</f>
        <v>0</v>
      </c>
      <c r="BI126" s="175">
        <f>BI107-BI124</f>
        <v>0</v>
      </c>
      <c r="BJ126" s="33">
        <f>BJ112-BJ124</f>
        <v>0</v>
      </c>
      <c r="BK126" s="33">
        <f>BK112-BK124</f>
        <v>0</v>
      </c>
      <c r="BL126" s="175">
        <f>BL107-BL124</f>
        <v>0</v>
      </c>
      <c r="BM126" s="33">
        <f>BM112-BM124</f>
        <v>0</v>
      </c>
      <c r="BN126" s="33">
        <f>BN112-BN124</f>
        <v>0</v>
      </c>
      <c r="BO126" s="175">
        <f>BO107-BO124</f>
        <v>0</v>
      </c>
      <c r="BP126" s="5"/>
      <c r="BQ126" s="5"/>
      <c r="BR126" s="5"/>
      <c r="BS126" s="5"/>
      <c r="BT126" s="5"/>
      <c r="BU126" s="5"/>
      <c r="BV126" s="5"/>
    </row>
    <row r="127" spans="1:74" ht="4.5" customHeight="1">
      <c r="C127" s="155"/>
      <c r="D127" s="124"/>
      <c r="E127" s="124"/>
      <c r="F127" s="124"/>
      <c r="G127" s="21"/>
      <c r="H127" s="788"/>
      <c r="I127" s="788"/>
      <c r="J127" s="175"/>
      <c r="L127" s="1173"/>
      <c r="M127" s="175"/>
      <c r="N127" s="2331"/>
      <c r="O127" s="2331"/>
      <c r="P127" s="175"/>
      <c r="Q127" s="2331"/>
      <c r="R127" s="2331"/>
      <c r="S127" s="175"/>
      <c r="T127" s="2331"/>
      <c r="U127" s="2331"/>
      <c r="V127" s="175"/>
      <c r="W127" s="2331"/>
      <c r="X127" s="2331"/>
      <c r="Y127" s="175"/>
      <c r="Z127" s="2331"/>
      <c r="AA127" s="2331"/>
      <c r="AB127" s="175"/>
      <c r="AC127" s="2331"/>
      <c r="AD127" s="2331"/>
      <c r="AE127" s="175"/>
      <c r="AF127" s="2331"/>
      <c r="AG127" s="2331"/>
      <c r="AH127" s="175"/>
      <c r="AI127" s="2331"/>
      <c r="AJ127" s="2331"/>
      <c r="AK127" s="175"/>
      <c r="AL127" s="2331"/>
      <c r="AM127" s="2331"/>
      <c r="AN127" s="175"/>
      <c r="AO127" s="2331"/>
      <c r="AP127" s="2331"/>
      <c r="AQ127" s="175"/>
      <c r="AR127" s="2331"/>
      <c r="AS127" s="2331"/>
      <c r="AT127" s="175"/>
      <c r="AU127" s="2331"/>
      <c r="AV127" s="2331"/>
      <c r="AW127" s="175"/>
      <c r="AX127" s="2331"/>
      <c r="AY127" s="2331"/>
      <c r="AZ127" s="175"/>
      <c r="BA127" s="788"/>
      <c r="BB127" s="788"/>
      <c r="BC127" s="175"/>
      <c r="BD127" s="788"/>
      <c r="BE127" s="788"/>
      <c r="BF127" s="175"/>
      <c r="BG127" s="788"/>
      <c r="BH127" s="788"/>
      <c r="BI127" s="175"/>
      <c r="BJ127" s="788"/>
      <c r="BK127" s="788"/>
      <c r="BL127" s="175"/>
      <c r="BM127" s="788"/>
      <c r="BN127" s="788"/>
      <c r="BO127" s="175"/>
      <c r="BP127" s="5"/>
      <c r="BQ127" s="5"/>
      <c r="BR127" s="5"/>
      <c r="BS127" s="5"/>
      <c r="BT127" s="5"/>
      <c r="BU127" s="5"/>
      <c r="BV127" s="5"/>
    </row>
    <row r="128" spans="1:74" ht="12.75" hidden="1" customHeight="1">
      <c r="C128" s="155" t="s">
        <v>204</v>
      </c>
      <c r="D128" s="124"/>
      <c r="E128" s="124"/>
      <c r="F128" s="124"/>
      <c r="G128" s="21"/>
      <c r="H128" s="788"/>
      <c r="I128" s="788"/>
      <c r="J128" s="175"/>
      <c r="K128" s="1173"/>
      <c r="L128" s="1173"/>
      <c r="M128" s="175"/>
      <c r="N128" s="2331"/>
      <c r="O128" s="2331"/>
      <c r="P128" s="175"/>
      <c r="Q128" s="2331"/>
      <c r="R128" s="2331"/>
      <c r="S128" s="175"/>
      <c r="T128" s="2331"/>
      <c r="U128" s="2331"/>
      <c r="V128" s="175"/>
      <c r="W128" s="2331"/>
      <c r="X128" s="2331"/>
      <c r="Y128" s="175"/>
      <c r="Z128" s="2331"/>
      <c r="AA128" s="2331"/>
      <c r="AB128" s="175"/>
      <c r="AC128" s="2331"/>
      <c r="AD128" s="2331"/>
      <c r="AE128" s="175"/>
      <c r="AF128" s="2331"/>
      <c r="AG128" s="2331"/>
      <c r="AH128" s="175"/>
      <c r="AI128" s="2331"/>
      <c r="AJ128" s="2331"/>
      <c r="AK128" s="175"/>
      <c r="AL128" s="2331"/>
      <c r="AM128" s="2331"/>
      <c r="AN128" s="175"/>
      <c r="AO128" s="2331"/>
      <c r="AP128" s="2331"/>
      <c r="AQ128" s="175"/>
      <c r="AR128" s="2331"/>
      <c r="AS128" s="2331"/>
      <c r="AT128" s="175"/>
      <c r="AU128" s="2331"/>
      <c r="AV128" s="2331"/>
      <c r="AW128" s="175"/>
      <c r="AX128" s="2331"/>
      <c r="AY128" s="2331"/>
      <c r="AZ128" s="175"/>
      <c r="BA128" s="788"/>
      <c r="BB128" s="788"/>
      <c r="BC128" s="175"/>
      <c r="BD128" s="788"/>
      <c r="BE128" s="788"/>
      <c r="BF128" s="175"/>
      <c r="BG128" s="788"/>
      <c r="BH128" s="788"/>
      <c r="BI128" s="175"/>
      <c r="BJ128" s="788"/>
      <c r="BK128" s="788"/>
      <c r="BL128" s="175"/>
      <c r="BM128" s="788"/>
      <c r="BN128" s="788"/>
      <c r="BO128" s="175"/>
      <c r="BP128" s="5"/>
      <c r="BQ128" s="5"/>
      <c r="BR128" s="5"/>
      <c r="BS128" s="5"/>
      <c r="BT128" s="5"/>
      <c r="BU128" s="5"/>
      <c r="BV128" s="5"/>
    </row>
    <row r="129" spans="3:74" ht="13.8">
      <c r="C129" s="128" t="str">
        <f>'6.1stYrOpBudget'!$A129</f>
        <v>Does Project have a MOHCD Residual Receipt Obligation?</v>
      </c>
      <c r="D129" s="124"/>
      <c r="E129" s="124"/>
      <c r="F129" s="1072">
        <f>'6.1stYrOpBudget'!$F129</f>
        <v>0</v>
      </c>
      <c r="G129" s="833" t="str">
        <f>IF(AND($F$129="yes",$F$130="yes",LOSP=FALSE),"Year 15 is year indicated below:",IF(AND($F$129="yes",$F$130="yes",LOSP=TRUE),"Year 15 is year indicated below:",""))</f>
        <v/>
      </c>
      <c r="H129" s="788"/>
      <c r="I129" s="788"/>
      <c r="J129" s="5"/>
      <c r="K129" s="1173"/>
      <c r="L129" s="1173"/>
      <c r="M129" s="175"/>
      <c r="N129" s="2331"/>
      <c r="O129" s="2331"/>
      <c r="P129" s="175"/>
      <c r="Q129" s="2331"/>
      <c r="R129" s="2331"/>
      <c r="S129" s="175"/>
      <c r="T129" s="2331"/>
      <c r="U129" s="2331"/>
      <c r="V129" s="175"/>
      <c r="W129" s="2331"/>
      <c r="X129" s="2331"/>
      <c r="Y129" s="175"/>
      <c r="Z129" s="2331"/>
      <c r="AA129" s="2331"/>
      <c r="AB129" s="175"/>
      <c r="AC129" s="2331"/>
      <c r="AD129" s="2331"/>
      <c r="AE129" s="175"/>
      <c r="AF129" s="2331"/>
      <c r="AG129" s="2331"/>
      <c r="AH129" s="175"/>
      <c r="AI129" s="2331"/>
      <c r="AJ129" s="2331"/>
      <c r="AK129" s="175"/>
      <c r="AL129" s="2331"/>
      <c r="AM129" s="2331"/>
      <c r="AN129" s="175"/>
      <c r="AO129" s="2331"/>
      <c r="AP129" s="2331"/>
      <c r="AQ129" s="175"/>
      <c r="AR129" s="2331"/>
      <c r="AS129" s="2331"/>
      <c r="AT129" s="175"/>
      <c r="AU129" s="2331"/>
      <c r="AV129" s="2331"/>
      <c r="AW129" s="175"/>
      <c r="AX129" s="2331"/>
      <c r="AY129" s="2331"/>
      <c r="AZ129" s="175"/>
      <c r="BA129" s="788"/>
      <c r="BB129" s="788"/>
      <c r="BC129" s="175"/>
      <c r="BD129" s="788"/>
      <c r="BE129" s="788"/>
      <c r="BF129" s="175"/>
      <c r="BG129" s="788"/>
      <c r="BH129" s="788"/>
      <c r="BI129" s="175"/>
      <c r="BJ129" s="788"/>
      <c r="BK129" s="788"/>
      <c r="BL129" s="175"/>
      <c r="BM129" s="788"/>
      <c r="BN129" s="788"/>
      <c r="BO129" s="175"/>
      <c r="BP129" s="5"/>
      <c r="BQ129" s="5"/>
      <c r="BR129" s="5"/>
      <c r="BS129" s="5"/>
      <c r="BT129" s="5"/>
      <c r="BU129" s="5"/>
      <c r="BV129" s="5"/>
    </row>
    <row r="130" spans="3:74" ht="14.25" customHeight="1">
      <c r="C130" s="128" t="str">
        <f>'6.1stYrOpBudget'!$A130</f>
        <v xml:space="preserve">Will Project Defer Developer Fee? </v>
      </c>
      <c r="D130" s="124"/>
      <c r="E130" s="124"/>
      <c r="F130" s="1072" t="str">
        <f>'6.1stYrOpBudget'!$F130</f>
        <v>TBD</v>
      </c>
      <c r="G130" s="834" t="str">
        <f>IF(OR(G129="",'1.GeneralProjectInfo'!$D$4=""),"",IF(AND(G129&lt;&gt;"",LOSP=TRUE),$J$5+14,$J$5+14))</f>
        <v/>
      </c>
      <c r="I130" s="788"/>
      <c r="J130" s="2331" t="str">
        <f>IF(SmallSites=TRUE,"",IF(J193&lt;0,"Def Dev Fee Exceeds Limit!",""))</f>
        <v/>
      </c>
      <c r="K130" s="1173"/>
      <c r="L130" s="1173"/>
      <c r="M130" s="2329" t="str">
        <f>IF(SmallSites=TRUE,"",IF(M133="","",IF(OR(ROUND(M122,0)&gt;ROUND(M133,0),ROUND(M193,0)&lt;0),"Def Dev Fee Exceeds Annual Limit!","")))</f>
        <v/>
      </c>
      <c r="N130" s="2331"/>
      <c r="O130" s="2331"/>
      <c r="P130" s="2331" t="str">
        <f>IF(SmallSites=TRUE,"",IF(P133="","",IF(OR(ROUND(P122,0)&gt;ROUND(P133,0),ROUND(P193,0)&lt;0),"Def Dev Fee Exceeds Annual Limit!","")))</f>
        <v/>
      </c>
      <c r="Q130" s="2331"/>
      <c r="R130" s="2331"/>
      <c r="S130" s="2331" t="str">
        <f>IF(S133="","",IF(OR(ROUND(S122,0)&gt;ROUND(S133,0),ROUND(S193,0)&lt;0),"Def Dev Fee Exceeds Annual Limit!",""))</f>
        <v/>
      </c>
      <c r="T130" s="2331"/>
      <c r="U130" s="2331"/>
      <c r="V130" s="2331" t="str">
        <f>IF(V133="","",IF(OR(ROUND(V122,0)&gt;ROUND(V133,0),ROUND(V193,0)&lt;0),"Def Dev Fee Exceeds Annual Limit!",""))</f>
        <v/>
      </c>
      <c r="W130" s="2331"/>
      <c r="X130" s="2331"/>
      <c r="Y130" s="2331" t="str">
        <f>IF(Y133="","",IF(OR(ROUND(Y122,0)&gt;ROUND(Y133,0),ROUND(Y193,0)&lt;0),"Def Dev Fee Exceeds Annual Limit!",""))</f>
        <v/>
      </c>
      <c r="Z130" s="2331"/>
      <c r="AA130" s="2331"/>
      <c r="AB130" s="2331" t="str">
        <f>IF(AB133="","",IF(OR(ROUND(AB122,0)&gt;ROUND(AB133,0),ROUND(AB193,0)&lt;0),"Def Dev Fee Exceeds Annual Limit!",""))</f>
        <v/>
      </c>
      <c r="AC130" s="2331"/>
      <c r="AD130" s="2331"/>
      <c r="AE130" s="2331" t="str">
        <f>IF(AE133="","",IF(OR(ROUND(AE122,0)&gt;ROUND(AE133,0),ROUND(AE193,0)&lt;0),"Def Dev Fee Exceeds Annual Limit!",""))</f>
        <v/>
      </c>
      <c r="AF130" s="2331"/>
      <c r="AG130" s="2331"/>
      <c r="AH130" s="2331" t="str">
        <f>IF(AH133="","",IF(OR(ROUND(AH122,0)&gt;ROUND(AH133,0),ROUND(AH193,0)&lt;0),"Def Dev Fee Exceeds Annual Limit!",""))</f>
        <v/>
      </c>
      <c r="AI130" s="2331"/>
      <c r="AJ130" s="2331"/>
      <c r="AK130" s="2331" t="str">
        <f>IF(AK133="","",IF(OR(ROUND(AK122,0)&gt;ROUND(AK133,0),ROUND(AK193,0)&lt;0),"Def Dev Fee Exceeds Annual Limit!",""))</f>
        <v/>
      </c>
      <c r="AL130" s="2331"/>
      <c r="AM130" s="2331"/>
      <c r="AN130" s="2331" t="str">
        <f>IF(AN133="","",IF(OR(ROUND(AN122,0)&gt;ROUND(AN133,0),ROUND(AN193,0)&lt;0),"Def Dev Fee Exceeds Annual Limit!",""))</f>
        <v/>
      </c>
      <c r="AO130" s="2331"/>
      <c r="AP130" s="2331"/>
      <c r="AQ130" s="2331" t="str">
        <f>IF(AQ133="","",IF(OR(ROUND(AQ122,0)&gt;ROUND(AQ133,0),ROUND(AQ193,0)&lt;0),"Def Dev Fee Exceeds Annual Limit!",""))</f>
        <v/>
      </c>
      <c r="AR130" s="2331"/>
      <c r="AS130" s="2331"/>
      <c r="AT130" s="2331" t="str">
        <f>IF(AT133="","",IF(OR(ROUND(AT122,0)&gt;ROUND(AT133,0),ROUND(AT193,0)&lt;0),"Def Dev Fee Exceeds Annual Limit!",""))</f>
        <v/>
      </c>
      <c r="AU130" s="2331"/>
      <c r="AV130" s="2331"/>
      <c r="AW130" s="2331" t="str">
        <f>IF(AW133="","",IF(OR(ROUND(AW122,0)&gt;ROUND(AW133,0),ROUND(AW193,0)&lt;0),"Def Dev Fee Exceeds Annual Limit!",""))</f>
        <v/>
      </c>
      <c r="AX130" s="2331"/>
      <c r="AY130" s="2331"/>
      <c r="AZ130" s="2331" t="str">
        <f>IF(AZ133="","",IF(OR(ROUND(AZ122,0)&gt;ROUND(AZ133,0),ROUND(AZ193,0)&lt;0),"Def Dev Fee Exceeds Annual Limit!",""))</f>
        <v/>
      </c>
      <c r="BA130" s="788"/>
      <c r="BB130" s="788"/>
      <c r="BC130" s="2331" t="str">
        <f>IF(BC133="","",IF(OR(ROUND(BC122,0)&gt;ROUND(BC133,0),ROUND(BC193,0)&lt;0),"Def Dev Fee Exceeds Annual Limit!",""))</f>
        <v/>
      </c>
      <c r="BD130" s="788"/>
      <c r="BE130" s="788"/>
      <c r="BF130" s="2331" t="str">
        <f>IF(BF133="","",IF(OR(ROUND(BF122,0)&gt;ROUND(BF133,0),ROUND(BF193,0)&lt;0),"Def Dev Fee Exceeds Annual Limit!",""))</f>
        <v/>
      </c>
      <c r="BG130" s="788"/>
      <c r="BH130" s="788"/>
      <c r="BI130" s="2331" t="str">
        <f>IF(BI133="","",IF(OR(ROUND(BI122,0)&gt;ROUND(BI133,0),ROUND(BI193,0)&lt;0),"Def Dev Fee Exceeds Annual Limit!",""))</f>
        <v/>
      </c>
      <c r="BJ130" s="788"/>
      <c r="BK130" s="788"/>
      <c r="BL130" s="2331" t="str">
        <f>IF(BL133="","",IF(OR(ROUND(BL122,0)&gt;ROUND(BL133,0),ROUND(BL193,0)&lt;0),"Def Dev Fee Exceeds Annual Limit!",""))</f>
        <v/>
      </c>
      <c r="BM130" s="788"/>
      <c r="BN130" s="788"/>
      <c r="BO130" s="2331" t="str">
        <f>IF(BO133="","",IF(OR(ROUND(BO122,0)&gt;ROUND(BO133,0),ROUND(BO193,0)&lt;0),"Def Dev Fee Exceeds Annual Limit!",""))</f>
        <v/>
      </c>
      <c r="BP130" s="5"/>
      <c r="BQ130" s="5"/>
      <c r="BR130" s="5"/>
      <c r="BS130" s="5"/>
      <c r="BT130" s="5"/>
      <c r="BU130" s="5"/>
      <c r="BV130" s="5"/>
    </row>
    <row r="131" spans="3:74" ht="14.4">
      <c r="C131" s="128" t="str">
        <f>IF($F$130="Yes",'1.GeneralProjectInfo'!$F$61&amp;" - Lender/Deferred Developer Fee",'1.GeneralProjectInfo'!$F$61&amp;" - Lender/Owner")</f>
        <v>Residual Receipts split for all years. - Lender/Owner</v>
      </c>
      <c r="D131" s="124"/>
      <c r="E131" s="1073"/>
      <c r="F131" s="1073" t="str">
        <f>ROUND('1.GeneralProjectInfo'!$L$62*100,0)&amp;"% / "&amp;ROUND('1.GeneralProjectInfo'!$L$63*100,0)&amp;"%"</f>
        <v>0% / 100%</v>
      </c>
      <c r="G131" s="835" t="str">
        <f>IF(G129="","","2nd Residual Receipts Split Begins:")</f>
        <v/>
      </c>
      <c r="I131" s="788"/>
      <c r="J131" s="2331"/>
      <c r="K131" s="1173"/>
      <c r="L131" s="1173"/>
      <c r="M131" s="2329"/>
      <c r="N131" s="2331"/>
      <c r="O131" s="2331"/>
      <c r="P131" s="2331"/>
      <c r="Q131" s="2331"/>
      <c r="R131" s="2331"/>
      <c r="S131" s="2331"/>
      <c r="T131" s="2331"/>
      <c r="U131" s="2331"/>
      <c r="V131" s="2331"/>
      <c r="W131" s="2331"/>
      <c r="X131" s="2331"/>
      <c r="Y131" s="2331"/>
      <c r="Z131" s="2331"/>
      <c r="AA131" s="2331"/>
      <c r="AB131" s="2331"/>
      <c r="AC131" s="2331"/>
      <c r="AD131" s="2331"/>
      <c r="AE131" s="2331"/>
      <c r="AF131" s="2331"/>
      <c r="AG131" s="2331"/>
      <c r="AH131" s="2331"/>
      <c r="AI131" s="2331"/>
      <c r="AJ131" s="2331"/>
      <c r="AK131" s="2331"/>
      <c r="AL131" s="2331"/>
      <c r="AM131" s="2331"/>
      <c r="AN131" s="2331"/>
      <c r="AO131" s="2331"/>
      <c r="AP131" s="2331"/>
      <c r="AQ131" s="2331"/>
      <c r="AR131" s="2331"/>
      <c r="AS131" s="2331"/>
      <c r="AT131" s="2331"/>
      <c r="AU131" s="2331"/>
      <c r="AV131" s="2331"/>
      <c r="AW131" s="2331"/>
      <c r="AX131" s="2331"/>
      <c r="AY131" s="2331"/>
      <c r="AZ131" s="2331"/>
      <c r="BA131" s="788"/>
      <c r="BB131" s="788"/>
      <c r="BC131" s="2331"/>
      <c r="BD131" s="788"/>
      <c r="BE131" s="788"/>
      <c r="BF131" s="2331"/>
      <c r="BG131" s="788"/>
      <c r="BH131" s="788"/>
      <c r="BI131" s="2331"/>
      <c r="BJ131" s="788"/>
      <c r="BK131" s="788"/>
      <c r="BL131" s="2331"/>
      <c r="BM131" s="788"/>
      <c r="BN131" s="788"/>
      <c r="BO131" s="2331"/>
      <c r="BP131" s="5"/>
      <c r="BQ131" s="5"/>
      <c r="BR131" s="5"/>
      <c r="BS131" s="5"/>
      <c r="BT131" s="5"/>
      <c r="BU131" s="5"/>
      <c r="BV131" s="5"/>
    </row>
    <row r="132" spans="3:74" ht="14.4">
      <c r="C132" s="128" t="str">
        <f>IF($F$130="yes",'1.GeneralProjectInfo'!F64&amp;" - Lender/Owner","")</f>
        <v/>
      </c>
      <c r="D132" s="124"/>
      <c r="E132" s="1074"/>
      <c r="F132" s="1075" t="str">
        <f>IF($F$130="yes",ROUND('1.GeneralProjectInfo'!$L$65*100,0)&amp;"% / "&amp;ROUND('1.GeneralProjectInfo'!$L$66*100,0)&amp;"%","")</f>
        <v/>
      </c>
      <c r="G132" s="834" t="str">
        <f>IF($G$130="","",IF(HLOOKUP($G$130,$J$208:$AC$209,2,FALSE)&gt;0,$G$130+1,IF(ISNA(INDEX($J$208:$AC$209,2,MATCH(0,$J$209:$AC$209,0))),"",INDEX($J$208:$AC$209,1,MATCH(0,$J$209:$AC$209,0))+1)))</f>
        <v/>
      </c>
      <c r="I132" s="788"/>
      <c r="J132" s="2331"/>
      <c r="K132" s="788"/>
      <c r="L132" s="788"/>
      <c r="M132" s="2329"/>
      <c r="N132" s="788"/>
      <c r="O132" s="788"/>
      <c r="P132" s="2331"/>
      <c r="Q132" s="788"/>
      <c r="R132" s="788"/>
      <c r="S132" s="2331"/>
      <c r="T132" s="788"/>
      <c r="U132" s="788"/>
      <c r="V132" s="2331"/>
      <c r="W132" s="788"/>
      <c r="X132" s="788"/>
      <c r="Y132" s="2331"/>
      <c r="Z132" s="788"/>
      <c r="AA132" s="788"/>
      <c r="AB132" s="2331"/>
      <c r="AC132" s="788"/>
      <c r="AD132" s="788"/>
      <c r="AE132" s="2331"/>
      <c r="AF132" s="788"/>
      <c r="AG132" s="788"/>
      <c r="AH132" s="2331"/>
      <c r="AI132" s="788"/>
      <c r="AJ132" s="788"/>
      <c r="AK132" s="2331"/>
      <c r="AL132" s="788"/>
      <c r="AM132" s="788"/>
      <c r="AN132" s="2331"/>
      <c r="AO132" s="788"/>
      <c r="AP132" s="788"/>
      <c r="AQ132" s="2331"/>
      <c r="AR132" s="788"/>
      <c r="AS132" s="788"/>
      <c r="AT132" s="2331"/>
      <c r="AU132" s="788"/>
      <c r="AV132" s="788"/>
      <c r="AW132" s="2331"/>
      <c r="AX132" s="788"/>
      <c r="AY132" s="788"/>
      <c r="AZ132" s="2331"/>
      <c r="BA132" s="788"/>
      <c r="BB132" s="788"/>
      <c r="BC132" s="2331"/>
      <c r="BD132" s="788"/>
      <c r="BE132" s="788"/>
      <c r="BF132" s="2331"/>
      <c r="BG132" s="788"/>
      <c r="BH132" s="788"/>
      <c r="BI132" s="2331"/>
      <c r="BJ132" s="788"/>
      <c r="BK132" s="788"/>
      <c r="BL132" s="2331"/>
      <c r="BM132" s="788"/>
      <c r="BN132" s="788"/>
      <c r="BO132" s="2331"/>
      <c r="BP132" s="5"/>
      <c r="BQ132" s="5"/>
      <c r="BR132" s="5"/>
      <c r="BS132" s="5"/>
      <c r="BT132" s="5"/>
      <c r="BU132" s="5"/>
      <c r="BV132" s="5"/>
    </row>
    <row r="133" spans="3:74" ht="15" thickBot="1">
      <c r="C133" s="128"/>
      <c r="D133" s="124"/>
      <c r="E133" s="124"/>
      <c r="F133" s="699"/>
      <c r="G133" s="759" t="str">
        <f>'6.1stYrOpBudget'!$G$131</f>
        <v/>
      </c>
      <c r="H133" s="1174" t="s">
        <v>1068</v>
      </c>
      <c r="I133" s="788"/>
      <c r="J133" s="125" t="str">
        <f>'6.1stYrOpBudget'!$I$131</f>
        <v/>
      </c>
      <c r="K133" s="788"/>
      <c r="L133" s="788"/>
      <c r="M133" s="125" t="str">
        <f>IF(AND($F$130="yes",M$107-SUM(M$116:M$121)&gt;0,M$5&lt;=$G$130,'1.GeneralProjectInfo'!$L$63*(M$107-SUM(M$116:M$121))&lt;J$193),'1.GeneralProjectInfo'!$L$63*(M$107-SUM(M$116:M$121)),IF(AND($F$130="yes",M$126&gt;0,M$5&lt;=$G$130,'1.GeneralProjectInfo'!$L$63*(M$107-SUM(M$116:M$121))&gt;J$193),J$193,""))</f>
        <v/>
      </c>
      <c r="N133" s="788"/>
      <c r="O133" s="788"/>
      <c r="P133" s="125" t="str">
        <f>IF(AND($F$130="yes",P$107-SUM(P$116:P$121)&gt;0,P$5&lt;=$G$130,'1.GeneralProjectInfo'!$L$63*(P$107-SUM(P$116:P$121))&lt;M$193),'1.GeneralProjectInfo'!$L$63*(P$107-SUM(P$116:P$121)),IF(AND($F$130="yes",P$126&gt;0,P$5&lt;=$G$130,'1.GeneralProjectInfo'!$L$63*(P$107-SUM(P$116:P$121))&gt;M$193),M$193,""))</f>
        <v/>
      </c>
      <c r="Q133" s="788"/>
      <c r="R133" s="788"/>
      <c r="S133" s="125" t="str">
        <f>IF(SmallSites=TRUE,"",IF(AND($F$130="yes",S$107-SUM(S$116:S$121)&gt;0,S$5&lt;=$G$130,'1.GeneralProjectInfo'!$L$63*(S$107-SUM(S$116:S$121))&lt;P$193),'1.GeneralProjectInfo'!$L$63*(S$107-SUM(S$116:S$121)),IF(AND($F$130="yes",S$126&gt;0,S$5&lt;=$G$130,'1.GeneralProjectInfo'!$L$63*(S$107-SUM(S$116:S$121))&gt;P$193),P$193,"")))</f>
        <v/>
      </c>
      <c r="T133" s="788"/>
      <c r="U133" s="788"/>
      <c r="V133" s="125" t="str">
        <f>IF(SmallSites=TRUE,"",IF(AND($F$130="yes",V$107-SUM(V$116:V$121)&gt;0,V$5&lt;=$G$130,'1.GeneralProjectInfo'!$L$63*(V$107-SUM(V$116:V$121))&lt;S$193),'1.GeneralProjectInfo'!$L$63*(V$107-SUM(V$116:V$121)),IF(AND($F$130="yes",V$126&gt;0,V$5&lt;=$G$130,'1.GeneralProjectInfo'!$L$63*(V$107-SUM(V$116:V$121))&gt;S$193),S$193,"")))</f>
        <v/>
      </c>
      <c r="W133" s="788"/>
      <c r="X133" s="788"/>
      <c r="Y133" s="125" t="str">
        <f>IF(SmallSites=TRUE,"",IF(AND($F$130="yes",Y$107-SUM(Y$116:Y$121)&gt;0,Y$5&lt;=$G$130,'1.GeneralProjectInfo'!$L$63*(Y$107-SUM(Y$116:Y$121))&lt;V$193),'1.GeneralProjectInfo'!$L$63*(Y$107-SUM(Y$116:Y$121)),IF(AND($F$130="yes",Y$126&gt;0,Y$5&lt;=$G$130,'1.GeneralProjectInfo'!$L$63*(Y$107-SUM(Y$116:Y$121))&gt;V$193),V$193,"")))</f>
        <v/>
      </c>
      <c r="Z133" s="788"/>
      <c r="AA133" s="788"/>
      <c r="AB133" s="125" t="str">
        <f>IF(SmallSites=TRUE,"",IF(AND($F$130="yes",AB$107-SUM(AB$116:AB$121)&gt;0,AB$5&lt;=$G$130,'1.GeneralProjectInfo'!$L$63*(AB$107-SUM(AB$116:AB$121))&lt;Y$193),'1.GeneralProjectInfo'!$L$63*(AB$107-SUM(AB$116:AB$121)),IF(AND($F$130="yes",AB$126&gt;0,AB$5&lt;=$G$130,'1.GeneralProjectInfo'!$L$63*(AB$107-SUM(AB$116:AB$121))&gt;Y$193),Y$193,"")))</f>
        <v/>
      </c>
      <c r="AC133" s="788"/>
      <c r="AD133" s="788"/>
      <c r="AE133" s="125" t="str">
        <f>IF(SmallSites=TRUE,"",IF(AND($F$130="yes",AE$107-SUM(AE$116:AE$121)&gt;0,AE$5&lt;=$G$130,'1.GeneralProjectInfo'!$L$63*(AE$107-SUM(AE$116:AE$121))&lt;AB$193),'1.GeneralProjectInfo'!$L$63*(AE$107-SUM(AE$116:AE$121)),IF(AND($F$130="yes",AE$126&gt;0,AE$5&lt;=$G$130,'1.GeneralProjectInfo'!$L$63*(AE$107-SUM(AE$116:AE$121))&gt;AB$193),AB$193,"")))</f>
        <v/>
      </c>
      <c r="AF133" s="788"/>
      <c r="AG133" s="788"/>
      <c r="AH133" s="125" t="str">
        <f>IF(SmallSites=TRUE,"",IF(AND($F$130="yes",AH$107-SUM(AH$116:AH$121)&gt;0,AH$5&lt;=$G$130,'1.GeneralProjectInfo'!$L$63*(AH$107-SUM(AH$116:AH$121))&lt;AE$193),'1.GeneralProjectInfo'!$L$63*(AH$107-SUM(AH$116:AH$121)),IF(AND($F$130="yes",AH$126&gt;0,AH$5&lt;=$G$130,'1.GeneralProjectInfo'!$L$63*(AH$107-SUM(AH$116:AH$121))&gt;AE$193),AE$193,"")))</f>
        <v/>
      </c>
      <c r="AI133" s="788"/>
      <c r="AJ133" s="788"/>
      <c r="AK133" s="125" t="str">
        <f>IF(SmallSites=TRUE,"",IF(AND($F$130="yes",AK$107-SUM(AK$116:AK$121)&gt;0,AK$5&lt;=$G$130,'1.GeneralProjectInfo'!$L$63*(AK$107-SUM(AK$116:AK$121))&lt;AH$193),'1.GeneralProjectInfo'!$L$63*(AK$107-SUM(AK$116:AK$121)),IF(AND($F$130="yes",AK$126&gt;0,AK$5&lt;=$G$130,'1.GeneralProjectInfo'!$L$63*(AK$107-SUM(AK$116:AK$121))&gt;AH$193),AH$193,"")))</f>
        <v/>
      </c>
      <c r="AL133" s="788"/>
      <c r="AM133" s="788"/>
      <c r="AN133" s="125" t="str">
        <f>IF(SmallSites=TRUE,"",IF(AND($F$130="yes",AN$107-SUM(AN$116:AN$121)&gt;0,AN$5&lt;=$G$130,'1.GeneralProjectInfo'!$L$63*(AN$107-SUM(AN$116:AN$121))&lt;AK$193),'1.GeneralProjectInfo'!$L$63*(AN$107-SUM(AN$116:AN$121)),IF(AND($F$130="yes",AN$126&gt;0,AN$5&lt;=$G$130,'1.GeneralProjectInfo'!$L$63*(AN$107-SUM(AN$116:AN$121))&gt;AK$193),AK$193,"")))</f>
        <v/>
      </c>
      <c r="AO133" s="788"/>
      <c r="AP133" s="788"/>
      <c r="AQ133" s="125" t="str">
        <f>IF(SmallSites=TRUE,"",IF(AND($F$130="yes",AQ$107-SUM(AQ$116:AQ$121)&gt;0,AQ$5&lt;=$G$130,'1.GeneralProjectInfo'!$L$63*(AQ$107-SUM(AQ$116:AQ$121))&lt;AN$193),'1.GeneralProjectInfo'!$L$63*(AQ$107-SUM(AQ$116:AQ$121)),IF(AND($F$130="yes",AQ$126&gt;0,AQ$5&lt;=$G$130,'1.GeneralProjectInfo'!$L$63*(AQ$107-SUM(AQ$116:AQ$121))&gt;AN$193),AN$193,"")))</f>
        <v/>
      </c>
      <c r="AR133" s="788"/>
      <c r="AS133" s="788"/>
      <c r="AT133" s="125" t="str">
        <f>IF(SmallSites=TRUE,"",IF(AND($F$130="yes",AT$107-SUM(AT$116:AT$121)&gt;0,AT$5&lt;=$G$130,'1.GeneralProjectInfo'!$L$63*(AT$107-SUM(AT$116:AT$121))&lt;AQ$193),'1.GeneralProjectInfo'!$L$63*(AT$107-SUM(AT$116:AT$121)),IF(AND($F$130="yes",AT$126&gt;0,AT$5&lt;=$G$130,'1.GeneralProjectInfo'!$L$63*(AT$107-SUM(AT$116:AT$121))&gt;AQ$193),AQ$193,"")))</f>
        <v/>
      </c>
      <c r="AU133" s="788"/>
      <c r="AV133" s="788"/>
      <c r="AW133" s="125" t="str">
        <f>IF(SmallSites=TRUE,"",IF(AND($F$130="yes",AW$107-SUM(AW$116:AW$121)&gt;0,AW$5&lt;=$G$130,'1.GeneralProjectInfo'!$L$63*(AW$107-SUM(AW$116:AW$121))&lt;AT$193),'1.GeneralProjectInfo'!$L$63*(AW$107-SUM(AW$116:AW$121)),IF(AND($F$130="yes",AW$126&gt;0,AW$5&lt;=$G$130,'1.GeneralProjectInfo'!$L$63*(AW$107-SUM(AW$116:AW$121))&gt;AT$193),AT$193,"")))</f>
        <v/>
      </c>
      <c r="AX133" s="788"/>
      <c r="AY133" s="788"/>
      <c r="AZ133" s="125" t="str">
        <f>IF(SmallSites=TRUE,"",IF(AND($F$130="yes",AZ$107-SUM(AZ$116:AZ$121)&gt;0,AZ$5&lt;=$G$130,'1.GeneralProjectInfo'!$L$63*(AZ$107-SUM(AZ$116:AZ$121))&lt;AW$193),'1.GeneralProjectInfo'!$L$63*(AZ$107-SUM(AZ$116:AZ$121)),IF(AND($F$130="yes",AZ$126&gt;0,AZ$5&lt;=$G$130,'1.GeneralProjectInfo'!$L$63*(AZ$107-SUM(AZ$116:AZ$121))&gt;AW$193),AW$193,"")))</f>
        <v/>
      </c>
      <c r="BA133" s="788"/>
      <c r="BB133" s="788"/>
      <c r="BC133" s="125" t="str">
        <f>IF(AND($F$130="yes",BC$126&gt;0,BC$5&lt;=$G$130,'1.GeneralProjectInfo'!$L$63*(BC$107-SUM(BC$116:BC$121))&lt;AZ$193),'1.GeneralProjectInfo'!$L$63*(BC$107-SUM(BC$116:BC$121)),IF(AND($F$130="yes",BC$126&gt;0,BC$5&lt;=$G$130,'1.GeneralProjectInfo'!$L$63*(BC$107-SUM(BC$116:BC$121))&gt;AZ$193),AZ$193,""))</f>
        <v/>
      </c>
      <c r="BD133" s="788"/>
      <c r="BE133" s="788"/>
      <c r="BF133" s="125" t="str">
        <f>IF(AND($F$130="yes",BF$126&gt;0,BF$5&lt;=$G$130,'1.GeneralProjectInfo'!$L$63*(BF$107-SUM(BF$116:BF$121))&lt;BC$193),'1.GeneralProjectInfo'!$L$63*(BF$107-SUM(BF$116:BF$121)),IF(AND($F$130="yes",BF$126&gt;0,BF$5&lt;=$G$130,'1.GeneralProjectInfo'!$L$63*(BF$107-SUM(BF$116:BF$121))&gt;BC$193),BC$193,""))</f>
        <v/>
      </c>
      <c r="BG133" s="788"/>
      <c r="BH133" s="788"/>
      <c r="BI133" s="125" t="str">
        <f>IF(AND($F$130="yes",BI$126&gt;0,BI$5&lt;=$G$130,'1.GeneralProjectInfo'!$L$63*(BI$107-SUM(BI$116:BI$121))&lt;BF$193),'1.GeneralProjectInfo'!$L$63*(BI$107-SUM(BI$116:BI$121)),IF(AND($F$130="yes",BI$126&gt;0,BI$5&lt;=$G$130,'1.GeneralProjectInfo'!$L$63*(BI$107-SUM(BI$116:BI$121))&gt;BF$193),BF$193,""))</f>
        <v/>
      </c>
      <c r="BJ133" s="788"/>
      <c r="BK133" s="788"/>
      <c r="BL133" s="125" t="str">
        <f>IF(AND($F$130="yes",BL$126&gt;0,BL$5&lt;=$G$130,'1.GeneralProjectInfo'!$L$63*(BL$107-SUM(BL$116:BL$121))&lt;BI$193),'1.GeneralProjectInfo'!$L$63*(BL$107-SUM(BL$116:BL$121)),IF(AND($F$130="yes",BL$126&gt;0,BL$5&lt;=$G$130,'1.GeneralProjectInfo'!$L$63*(BL$107-SUM(BL$116:BL$121))&gt;BI$193),BI$193,""))</f>
        <v/>
      </c>
      <c r="BM133" s="788"/>
      <c r="BN133" s="788"/>
      <c r="BO133" s="125" t="str">
        <f>IF(AND($F$130="yes",BO$126&gt;0,BO$5&lt;=$G$130,'1.GeneralProjectInfo'!$L$63*(BO$107-SUM(BO$116:BO$121))&lt;BL$193),'1.GeneralProjectInfo'!$L$63*(BO$107-SUM(BO$116:BO$121)),IF(AND($F$130="yes",BO$126&gt;0,BO$5&lt;=$G$130,'1.GeneralProjectInfo'!$L$63*(BO$107-SUM(BO$116:BO$121))&gt;BL$193),BL$193,""))</f>
        <v/>
      </c>
      <c r="BP133" s="5"/>
      <c r="BQ133" s="5"/>
      <c r="BR133" s="5"/>
      <c r="BS133" s="5"/>
      <c r="BT133" s="5"/>
      <c r="BU133" s="5"/>
      <c r="BV133" s="5"/>
    </row>
    <row r="134" spans="3:74" ht="14.4">
      <c r="C134" s="128"/>
      <c r="D134" s="124"/>
      <c r="E134" s="124"/>
      <c r="F134" s="1077" t="s">
        <v>206</v>
      </c>
      <c r="G134" s="759" t="str">
        <f>IF(G133="","","Cumulative Deferred Developer Fee Earned")</f>
        <v/>
      </c>
      <c r="H134" s="1174" t="s">
        <v>1069</v>
      </c>
      <c r="I134" s="788"/>
      <c r="J134" s="125">
        <f>IF(SmallSites=TRUE,"",J122)</f>
        <v>0</v>
      </c>
      <c r="K134" s="788"/>
      <c r="L134" s="788"/>
      <c r="M134" s="125">
        <f>IF(SmallSites=TRUE,"",J134+M122)</f>
        <v>0</v>
      </c>
      <c r="N134" s="788"/>
      <c r="O134" s="788"/>
      <c r="P134" s="125">
        <f>IF(SmallSites=TRUE,"",M134+P122)</f>
        <v>0</v>
      </c>
      <c r="Q134" s="788"/>
      <c r="R134" s="788"/>
      <c r="S134" s="125">
        <f>IF(SmallSites=TRUE,"",P134+S122)</f>
        <v>0</v>
      </c>
      <c r="T134" s="788"/>
      <c r="U134" s="788"/>
      <c r="V134" s="125">
        <f>IF(SmallSites=TRUE,"",S134+V122)</f>
        <v>0</v>
      </c>
      <c r="W134" s="788"/>
      <c r="X134" s="788"/>
      <c r="Y134" s="125">
        <f>IF(SmallSites=TRUE,"",V134+Y122)</f>
        <v>0</v>
      </c>
      <c r="Z134" s="788"/>
      <c r="AA134" s="788"/>
      <c r="AB134" s="125">
        <f>IF(SmallSites=TRUE,"",Y134+AB122)</f>
        <v>0</v>
      </c>
      <c r="AC134" s="788"/>
      <c r="AD134" s="788"/>
      <c r="AE134" s="125">
        <f>IF(SmallSites=TRUE,"",AB134+AE122)</f>
        <v>0</v>
      </c>
      <c r="AF134" s="788"/>
      <c r="AG134" s="788"/>
      <c r="AH134" s="125">
        <f>IF(SmallSites=TRUE,"",AE134+AH122)</f>
        <v>0</v>
      </c>
      <c r="AI134" s="788"/>
      <c r="AJ134" s="788"/>
      <c r="AK134" s="125">
        <f>IF(SmallSites=TRUE,"",AH134+AK122)</f>
        <v>0</v>
      </c>
      <c r="AL134" s="788"/>
      <c r="AM134" s="788"/>
      <c r="AN134" s="125">
        <f>IF(SmallSites=TRUE,"",AK134+AN122)</f>
        <v>0</v>
      </c>
      <c r="AO134" s="788"/>
      <c r="AP134" s="788"/>
      <c r="AQ134" s="125">
        <f>IF(SmallSites=TRUE,"",AN134+AQ122)</f>
        <v>0</v>
      </c>
      <c r="AR134" s="788"/>
      <c r="AS134" s="788"/>
      <c r="AT134" s="125">
        <f>IF(SmallSites=TRUE,"",AQ134+AT122)</f>
        <v>0</v>
      </c>
      <c r="AU134" s="788"/>
      <c r="AV134" s="788"/>
      <c r="AW134" s="125">
        <f>IF(SmallSites=TRUE,"",AT134+AW122)</f>
        <v>0</v>
      </c>
      <c r="AX134" s="788"/>
      <c r="AY134" s="788"/>
      <c r="AZ134" s="125">
        <f>IF(SmallSites=TRUE,"",AW134+AZ122)</f>
        <v>0</v>
      </c>
      <c r="BA134" s="788"/>
      <c r="BB134" s="788"/>
      <c r="BC134" s="125"/>
      <c r="BD134" s="788"/>
      <c r="BE134" s="788"/>
      <c r="BF134" s="125"/>
      <c r="BG134" s="788"/>
      <c r="BH134" s="788"/>
      <c r="BI134" s="125"/>
      <c r="BJ134" s="788"/>
      <c r="BK134" s="788"/>
      <c r="BL134" s="125"/>
      <c r="BM134" s="788"/>
      <c r="BN134" s="788"/>
      <c r="BO134" s="125"/>
      <c r="BP134" s="5"/>
      <c r="BQ134" s="5"/>
      <c r="BR134" s="5"/>
      <c r="BS134" s="5"/>
      <c r="BT134" s="5"/>
      <c r="BU134" s="5"/>
      <c r="BV134" s="5"/>
    </row>
    <row r="135" spans="3:74" ht="14.25" hidden="1" customHeight="1">
      <c r="C135" s="155" t="s">
        <v>204</v>
      </c>
      <c r="D135" s="124"/>
      <c r="E135" s="124"/>
      <c r="F135" s="699"/>
      <c r="G135" s="21"/>
      <c r="H135" s="788"/>
      <c r="I135" s="788"/>
      <c r="J135" s="125"/>
      <c r="K135" s="788"/>
      <c r="L135" s="788"/>
      <c r="M135" s="125"/>
      <c r="N135" s="788"/>
      <c r="O135" s="788"/>
      <c r="P135" s="125"/>
      <c r="Q135" s="788"/>
      <c r="R135" s="788"/>
      <c r="S135" s="125"/>
      <c r="T135" s="788"/>
      <c r="U135" s="788"/>
      <c r="V135" s="125"/>
      <c r="W135" s="788"/>
      <c r="X135" s="788"/>
      <c r="Y135" s="125"/>
      <c r="Z135" s="788"/>
      <c r="AA135" s="788"/>
      <c r="AB135" s="125"/>
      <c r="AC135" s="788"/>
      <c r="AD135" s="788"/>
      <c r="AE135" s="125"/>
      <c r="AF135" s="788"/>
      <c r="AG135" s="788"/>
      <c r="AH135" s="125"/>
      <c r="AI135" s="788"/>
      <c r="AJ135" s="788"/>
      <c r="AK135" s="125"/>
      <c r="AL135" s="788"/>
      <c r="AM135" s="788"/>
      <c r="AN135" s="125"/>
      <c r="AO135" s="788"/>
      <c r="AP135" s="788"/>
      <c r="AQ135" s="125"/>
      <c r="AR135" s="788"/>
      <c r="AS135" s="788"/>
      <c r="AT135" s="125"/>
      <c r="AU135" s="788"/>
      <c r="AV135" s="788"/>
      <c r="AW135" s="125"/>
      <c r="AX135" s="788"/>
      <c r="AY135" s="788"/>
      <c r="AZ135" s="125"/>
      <c r="BA135" s="788"/>
      <c r="BB135" s="788"/>
      <c r="BC135" s="125"/>
      <c r="BD135" s="788"/>
      <c r="BE135" s="788"/>
      <c r="BF135" s="125"/>
      <c r="BG135" s="788"/>
      <c r="BH135" s="788"/>
      <c r="BI135" s="125"/>
      <c r="BJ135" s="788"/>
      <c r="BK135" s="788"/>
      <c r="BL135" s="125"/>
      <c r="BM135" s="788"/>
      <c r="BN135" s="788"/>
      <c r="BO135" s="125"/>
      <c r="BP135" s="5"/>
      <c r="BQ135" s="5"/>
      <c r="BR135" s="5"/>
      <c r="BS135" s="5"/>
      <c r="BT135" s="5"/>
      <c r="BU135" s="5"/>
      <c r="BV135" s="5"/>
    </row>
    <row r="136" spans="3:74" ht="14.25" hidden="1" customHeight="1">
      <c r="C136" s="155" t="s">
        <v>204</v>
      </c>
      <c r="D136" s="124"/>
      <c r="E136" s="124"/>
      <c r="F136" s="699"/>
      <c r="G136" s="21"/>
      <c r="H136" s="788"/>
      <c r="I136" s="788"/>
      <c r="J136" s="125"/>
      <c r="K136" s="788"/>
      <c r="L136" s="788"/>
      <c r="M136" s="125"/>
      <c r="N136" s="788"/>
      <c r="O136" s="788"/>
      <c r="P136" s="125"/>
      <c r="Q136" s="788"/>
      <c r="R136" s="788"/>
      <c r="S136" s="125"/>
      <c r="T136" s="788"/>
      <c r="U136" s="788"/>
      <c r="V136" s="125"/>
      <c r="W136" s="788"/>
      <c r="X136" s="788"/>
      <c r="Y136" s="125"/>
      <c r="Z136" s="788"/>
      <c r="AA136" s="788"/>
      <c r="AB136" s="125"/>
      <c r="AC136" s="788"/>
      <c r="AD136" s="788"/>
      <c r="AE136" s="125"/>
      <c r="AF136" s="788"/>
      <c r="AG136" s="788"/>
      <c r="AH136" s="125"/>
      <c r="AI136" s="788"/>
      <c r="AJ136" s="788"/>
      <c r="AK136" s="125"/>
      <c r="AL136" s="788"/>
      <c r="AM136" s="788"/>
      <c r="AN136" s="125"/>
      <c r="AO136" s="788"/>
      <c r="AP136" s="788"/>
      <c r="AQ136" s="125"/>
      <c r="AR136" s="788"/>
      <c r="AS136" s="788"/>
      <c r="AT136" s="125"/>
      <c r="AU136" s="788"/>
      <c r="AV136" s="788"/>
      <c r="AW136" s="125"/>
      <c r="AX136" s="788"/>
      <c r="AY136" s="788"/>
      <c r="AZ136" s="125"/>
      <c r="BA136" s="788"/>
      <c r="BB136" s="788"/>
      <c r="BC136" s="125"/>
      <c r="BD136" s="788"/>
      <c r="BE136" s="788"/>
      <c r="BF136" s="125"/>
      <c r="BG136" s="788"/>
      <c r="BH136" s="788"/>
      <c r="BI136" s="125"/>
      <c r="BJ136" s="788"/>
      <c r="BK136" s="788"/>
      <c r="BL136" s="125"/>
      <c r="BM136" s="788"/>
      <c r="BN136" s="788"/>
      <c r="BO136" s="125"/>
      <c r="BP136" s="5"/>
      <c r="BQ136" s="5"/>
      <c r="BR136" s="5"/>
      <c r="BS136" s="5"/>
      <c r="BT136" s="5"/>
      <c r="BU136" s="5"/>
      <c r="BV136" s="5"/>
    </row>
    <row r="137" spans="3:74" ht="14.25" hidden="1" customHeight="1">
      <c r="C137" s="155" t="s">
        <v>204</v>
      </c>
      <c r="D137" s="124"/>
      <c r="E137" s="124"/>
      <c r="F137" s="699"/>
      <c r="G137" s="21"/>
      <c r="H137" s="788"/>
      <c r="I137" s="788"/>
      <c r="J137" s="125"/>
      <c r="K137" s="788"/>
      <c r="L137" s="788"/>
      <c r="M137" s="175"/>
      <c r="N137" s="788"/>
      <c r="O137" s="788"/>
      <c r="P137" s="175"/>
      <c r="Q137" s="788"/>
      <c r="R137" s="788"/>
      <c r="S137" s="175"/>
      <c r="T137" s="788"/>
      <c r="U137" s="788"/>
      <c r="V137" s="175"/>
      <c r="W137" s="788"/>
      <c r="X137" s="788"/>
      <c r="Y137" s="175"/>
      <c r="Z137" s="788"/>
      <c r="AA137" s="788"/>
      <c r="AB137" s="175"/>
      <c r="AC137" s="788"/>
      <c r="AD137" s="788"/>
      <c r="AE137" s="175"/>
      <c r="AF137" s="788"/>
      <c r="AG137" s="788"/>
      <c r="AH137" s="175"/>
      <c r="AI137" s="788"/>
      <c r="AJ137" s="788"/>
      <c r="AK137" s="175"/>
      <c r="AL137" s="788"/>
      <c r="AM137" s="788"/>
      <c r="AN137" s="175"/>
      <c r="AO137" s="788"/>
      <c r="AP137" s="788"/>
      <c r="AQ137" s="175"/>
      <c r="AR137" s="788"/>
      <c r="AS137" s="788"/>
      <c r="AT137" s="175"/>
      <c r="AU137" s="788"/>
      <c r="AV137" s="788"/>
      <c r="AW137" s="175"/>
      <c r="AX137" s="788"/>
      <c r="AY137" s="788"/>
      <c r="AZ137" s="175"/>
      <c r="BA137" s="788"/>
      <c r="BB137" s="788"/>
      <c r="BC137" s="175"/>
      <c r="BD137" s="788"/>
      <c r="BE137" s="788"/>
      <c r="BF137" s="175"/>
      <c r="BG137" s="788"/>
      <c r="BH137" s="788"/>
      <c r="BI137" s="175"/>
      <c r="BJ137" s="788"/>
      <c r="BK137" s="788"/>
      <c r="BL137" s="175"/>
      <c r="BM137" s="788"/>
      <c r="BN137" s="788"/>
      <c r="BO137" s="175"/>
      <c r="BP137" s="5"/>
      <c r="BQ137" s="5"/>
      <c r="BR137" s="5"/>
      <c r="BS137" s="5"/>
      <c r="BT137" s="5"/>
      <c r="BU137" s="5"/>
      <c r="BV137" s="5"/>
    </row>
    <row r="138" spans="3:74" ht="14.25" hidden="1" customHeight="1">
      <c r="C138" s="155" t="s">
        <v>204</v>
      </c>
      <c r="D138" s="124"/>
      <c r="E138" s="124"/>
      <c r="F138" s="699"/>
      <c r="G138" s="21"/>
      <c r="H138" s="788"/>
      <c r="I138" s="788"/>
      <c r="J138" s="125"/>
      <c r="K138" s="788"/>
      <c r="L138" s="788"/>
      <c r="M138" s="175"/>
      <c r="N138" s="788"/>
      <c r="O138" s="788"/>
      <c r="P138" s="175"/>
      <c r="Q138" s="788"/>
      <c r="R138" s="788"/>
      <c r="S138" s="175"/>
      <c r="T138" s="788"/>
      <c r="U138" s="788"/>
      <c r="V138" s="175"/>
      <c r="W138" s="788"/>
      <c r="X138" s="788"/>
      <c r="Y138" s="175"/>
      <c r="Z138" s="788"/>
      <c r="AA138" s="788"/>
      <c r="AB138" s="175"/>
      <c r="AC138" s="788"/>
      <c r="AD138" s="788"/>
      <c r="AE138" s="175"/>
      <c r="AF138" s="788"/>
      <c r="AG138" s="788"/>
      <c r="AH138" s="175"/>
      <c r="AI138" s="788"/>
      <c r="AJ138" s="788"/>
      <c r="AK138" s="175"/>
      <c r="AL138" s="788"/>
      <c r="AM138" s="788"/>
      <c r="AN138" s="175"/>
      <c r="AO138" s="788"/>
      <c r="AP138" s="788"/>
      <c r="AQ138" s="175"/>
      <c r="AR138" s="788"/>
      <c r="AS138" s="788"/>
      <c r="AT138" s="175"/>
      <c r="AU138" s="788"/>
      <c r="AV138" s="788"/>
      <c r="AW138" s="175"/>
      <c r="AX138" s="788"/>
      <c r="AY138" s="788"/>
      <c r="AZ138" s="175"/>
      <c r="BA138" s="788"/>
      <c r="BB138" s="788"/>
      <c r="BC138" s="175"/>
      <c r="BD138" s="788"/>
      <c r="BE138" s="788"/>
      <c r="BF138" s="175"/>
      <c r="BG138" s="788"/>
      <c r="BH138" s="788"/>
      <c r="BI138" s="175"/>
      <c r="BJ138" s="788"/>
      <c r="BK138" s="788"/>
      <c r="BL138" s="175"/>
      <c r="BM138" s="788"/>
      <c r="BN138" s="788"/>
      <c r="BO138" s="175"/>
      <c r="BP138" s="5"/>
      <c r="BQ138" s="5"/>
      <c r="BR138" s="5"/>
      <c r="BS138" s="5"/>
      <c r="BT138" s="5"/>
      <c r="BU138" s="5"/>
      <c r="BV138" s="5"/>
    </row>
    <row r="139" spans="3:74" ht="15" hidden="1" customHeight="1" thickBot="1">
      <c r="C139" s="155" t="s">
        <v>204</v>
      </c>
      <c r="D139" s="124"/>
      <c r="E139" s="124"/>
      <c r="F139" s="1076"/>
      <c r="G139" s="21"/>
      <c r="H139" s="788"/>
      <c r="I139" s="788"/>
      <c r="J139" s="175"/>
      <c r="K139" s="788"/>
      <c r="L139" s="788"/>
      <c r="M139" s="175"/>
      <c r="N139" s="788"/>
      <c r="O139" s="788"/>
      <c r="P139" s="175"/>
      <c r="Q139" s="788"/>
      <c r="R139" s="788"/>
      <c r="S139" s="175"/>
      <c r="T139" s="788"/>
      <c r="U139" s="788"/>
      <c r="V139" s="175"/>
      <c r="W139" s="788"/>
      <c r="X139" s="788"/>
      <c r="Y139" s="175"/>
      <c r="Z139" s="788"/>
      <c r="AA139" s="788"/>
      <c r="AB139" s="175"/>
      <c r="AC139" s="788"/>
      <c r="AD139" s="788"/>
      <c r="AE139" s="175"/>
      <c r="AF139" s="788"/>
      <c r="AG139" s="788"/>
      <c r="AH139" s="175"/>
      <c r="AI139" s="788"/>
      <c r="AJ139" s="788"/>
      <c r="AK139" s="175"/>
      <c r="AL139" s="788"/>
      <c r="AM139" s="788"/>
      <c r="AN139" s="175"/>
      <c r="AO139" s="788"/>
      <c r="AP139" s="788"/>
      <c r="AQ139" s="175"/>
      <c r="AR139" s="788"/>
      <c r="AS139" s="788"/>
      <c r="AT139" s="175"/>
      <c r="AU139" s="788"/>
      <c r="AV139" s="788"/>
      <c r="AW139" s="175"/>
      <c r="AX139" s="788"/>
      <c r="AY139" s="788"/>
      <c r="AZ139" s="175"/>
      <c r="BA139" s="788"/>
      <c r="BB139" s="788"/>
      <c r="BC139" s="175"/>
      <c r="BD139" s="788"/>
      <c r="BE139" s="788"/>
      <c r="BF139" s="175"/>
      <c r="BG139" s="788"/>
      <c r="BH139" s="788"/>
      <c r="BI139" s="175"/>
      <c r="BJ139" s="788"/>
      <c r="BK139" s="788"/>
      <c r="BL139" s="175"/>
      <c r="BM139" s="788"/>
      <c r="BN139" s="788"/>
      <c r="BO139" s="175"/>
      <c r="BP139" s="5"/>
      <c r="BQ139" s="5"/>
      <c r="BR139" s="5"/>
      <c r="BS139" s="5"/>
      <c r="BT139" s="5"/>
      <c r="BU139" s="5"/>
      <c r="BV139" s="5"/>
    </row>
    <row r="140" spans="3:74" ht="14.25" hidden="1" customHeight="1">
      <c r="C140" s="155"/>
      <c r="D140" s="124"/>
      <c r="E140" s="124"/>
      <c r="F140" s="1077" t="s">
        <v>206</v>
      </c>
      <c r="G140" s="21"/>
      <c r="H140" s="788"/>
      <c r="I140" s="788"/>
      <c r="J140" s="175"/>
      <c r="K140" s="788"/>
      <c r="L140" s="788"/>
      <c r="M140" s="2329" t="str">
        <f>IF(SmallSites=TRUE,"",IF(M134&gt;'1.GeneralProjectInfo'!$L$69,"Cumulative DFF &gt; Total!",""))</f>
        <v/>
      </c>
      <c r="N140" s="788"/>
      <c r="O140" s="788"/>
      <c r="P140" s="2331" t="str">
        <f>IF(SmallSites=TRUE,"",IF(P134&gt;'1.GeneralProjectInfo'!$L$69,"Cumulative DFF &gt; Total!",""))</f>
        <v/>
      </c>
      <c r="Q140" s="788"/>
      <c r="R140" s="788"/>
      <c r="S140" s="2331" t="str">
        <f>IF(SmallSites=TRUE,"",IF(S134&gt;'1.GeneralProjectInfo'!$L$69,"Cumulative DFF &gt; Total!",""))</f>
        <v/>
      </c>
      <c r="T140" s="788"/>
      <c r="U140" s="788"/>
      <c r="V140" s="2331" t="str">
        <f>IF(SmallSites=TRUE,"",IF(V134&gt;'1.GeneralProjectInfo'!$L$69,"Cumulative DFF &gt; Total!",""))</f>
        <v/>
      </c>
      <c r="W140" s="788"/>
      <c r="X140" s="788"/>
      <c r="Y140" s="2331" t="str">
        <f>IF(SmallSites=TRUE,"",IF(Y134&gt;'1.GeneralProjectInfo'!$L$69,"Cumulative DFF &gt; Total!",""))</f>
        <v/>
      </c>
      <c r="Z140" s="788"/>
      <c r="AA140" s="788"/>
      <c r="AB140" s="2331" t="str">
        <f>IF(SmallSites=TRUE,"",IF(AB134&gt;'1.GeneralProjectInfo'!$L$69,"Cumulative DFF &gt; Total!",""))</f>
        <v/>
      </c>
      <c r="AC140" s="788"/>
      <c r="AD140" s="788"/>
      <c r="AE140" s="2331" t="str">
        <f>IF(SmallSites=TRUE,"",IF(AE134&gt;'1.GeneralProjectInfo'!$L$69,"Cumulative DFF &gt; Total!",""))</f>
        <v/>
      </c>
      <c r="AF140" s="788"/>
      <c r="AG140" s="788"/>
      <c r="AH140" s="2331" t="str">
        <f>IF(SmallSites=TRUE,"",IF(AH134&gt;'1.GeneralProjectInfo'!$L$69,"Cumulative DFF &gt; Total!",""))</f>
        <v/>
      </c>
      <c r="AI140" s="788"/>
      <c r="AJ140" s="788"/>
      <c r="AK140" s="2331" t="str">
        <f>IF(SmallSites=TRUE,"",IF(AK134&gt;'1.GeneralProjectInfo'!$L$69,"Cumulative DFF &gt; Total!",""))</f>
        <v/>
      </c>
      <c r="AL140" s="788"/>
      <c r="AM140" s="788"/>
      <c r="AN140" s="2331" t="str">
        <f>IF(SmallSites=TRUE,"",IF(AN134&gt;'1.GeneralProjectInfo'!$L$69,"Cumulative DFF &gt; Total!",""))</f>
        <v/>
      </c>
      <c r="AO140" s="788"/>
      <c r="AP140" s="788"/>
      <c r="AQ140" s="2331" t="str">
        <f>IF(SmallSites=TRUE,"",IF(AQ134&gt;'1.GeneralProjectInfo'!$L$69,"Cumulative DFF &gt; Total!",""))</f>
        <v/>
      </c>
      <c r="AR140" s="788"/>
      <c r="AS140" s="788"/>
      <c r="AT140" s="2331" t="str">
        <f>IF(SmallSites=TRUE,"",IF(AT134&gt;'1.GeneralProjectInfo'!$L$69,"Cumulative DFF &gt; Total!",""))</f>
        <v/>
      </c>
      <c r="AU140" s="788"/>
      <c r="AV140" s="788"/>
      <c r="AW140" s="2331" t="str">
        <f>IF(SmallSites=TRUE,"",IF(AW134&gt;'1.GeneralProjectInfo'!$L$69,"Cumulative DFF &gt; Total!",""))</f>
        <v/>
      </c>
      <c r="AX140" s="788"/>
      <c r="AY140" s="788"/>
      <c r="AZ140" s="2331" t="str">
        <f>IF(SmallSites=TRUE,"",IF(AZ134&gt;'1.GeneralProjectInfo'!$L$69,"Cumulative DFF &gt; Total!",""))</f>
        <v/>
      </c>
      <c r="BA140" s="788"/>
      <c r="BB140" s="788"/>
      <c r="BC140" s="175"/>
      <c r="BD140" s="788"/>
      <c r="BE140" s="788"/>
      <c r="BF140" s="175"/>
      <c r="BG140" s="788"/>
      <c r="BH140" s="788"/>
      <c r="BI140" s="175"/>
      <c r="BJ140" s="788"/>
      <c r="BK140" s="788"/>
      <c r="BL140" s="175"/>
      <c r="BM140" s="788"/>
      <c r="BN140" s="788"/>
      <c r="BO140" s="175"/>
      <c r="BP140" s="5"/>
      <c r="BQ140" s="5"/>
      <c r="BR140" s="5"/>
      <c r="BS140" s="5"/>
      <c r="BT140" s="5"/>
      <c r="BU140" s="5"/>
      <c r="BV140" s="5"/>
    </row>
    <row r="141" spans="3:74" ht="14.4">
      <c r="C141" s="120" t="str">
        <f>'6.1stYrOpBudget'!A141</f>
        <v>MOHCD RESIDUAL RECEIPTS DEBT SERVICE</v>
      </c>
      <c r="D141" s="124"/>
      <c r="E141" s="124"/>
      <c r="F141" s="1078" t="s">
        <v>205</v>
      </c>
      <c r="G141" s="21"/>
      <c r="H141" s="788"/>
      <c r="I141" s="788"/>
      <c r="J141" s="175"/>
      <c r="K141" s="788"/>
      <c r="L141" s="788"/>
      <c r="M141" s="2330"/>
      <c r="N141" s="788"/>
      <c r="O141" s="788"/>
      <c r="P141" s="2332"/>
      <c r="Q141" s="788"/>
      <c r="R141" s="788"/>
      <c r="S141" s="2332"/>
      <c r="T141" s="788"/>
      <c r="U141" s="788"/>
      <c r="V141" s="2332"/>
      <c r="W141" s="788"/>
      <c r="X141" s="788"/>
      <c r="Y141" s="2332"/>
      <c r="Z141" s="788"/>
      <c r="AA141" s="788"/>
      <c r="AB141" s="2332"/>
      <c r="AC141" s="788"/>
      <c r="AD141" s="788"/>
      <c r="AE141" s="2332"/>
      <c r="AF141" s="788"/>
      <c r="AG141" s="788"/>
      <c r="AH141" s="2332"/>
      <c r="AI141" s="788"/>
      <c r="AJ141" s="788"/>
      <c r="AK141" s="2332"/>
      <c r="AL141" s="788"/>
      <c r="AM141" s="788"/>
      <c r="AN141" s="2332"/>
      <c r="AO141" s="788"/>
      <c r="AP141" s="788"/>
      <c r="AQ141" s="2332"/>
      <c r="AR141" s="788"/>
      <c r="AS141" s="788"/>
      <c r="AT141" s="2332"/>
      <c r="AU141" s="788"/>
      <c r="AV141" s="788"/>
      <c r="AW141" s="2332"/>
      <c r="AX141" s="788"/>
      <c r="AY141" s="788"/>
      <c r="AZ141" s="2332"/>
      <c r="BA141" s="788"/>
      <c r="BB141" s="788"/>
      <c r="BC141" s="125"/>
      <c r="BD141" s="788"/>
      <c r="BE141" s="788"/>
      <c r="BF141" s="125"/>
      <c r="BG141" s="788"/>
      <c r="BH141" s="788"/>
      <c r="BI141" s="125"/>
      <c r="BJ141" s="788"/>
      <c r="BK141" s="788"/>
      <c r="BL141" s="125"/>
      <c r="BM141" s="788"/>
      <c r="BN141" s="788"/>
      <c r="BO141" s="125"/>
      <c r="BP141" s="5"/>
      <c r="BQ141" s="5"/>
      <c r="BR141" s="5"/>
      <c r="BS141" s="5"/>
      <c r="BT141" s="5"/>
      <c r="BU141" s="5"/>
      <c r="BV141" s="5"/>
    </row>
    <row r="142" spans="3:74" ht="24">
      <c r="C142" s="2063" t="str">
        <f>'6.1stYrOpBudget'!A142</f>
        <v>MOHCD Residual Receipts Amount Due</v>
      </c>
      <c r="D142" s="124"/>
      <c r="E142" s="124"/>
      <c r="F142" s="1079">
        <f>'6.1stYrOpBudget'!$I$135+'6.1stYrOpBudget'!I136</f>
        <v>1</v>
      </c>
      <c r="G142" s="240" t="s">
        <v>210</v>
      </c>
      <c r="H142" s="788"/>
      <c r="I142" s="788"/>
      <c r="J142" s="178">
        <f>'6.1stYrOpBudget'!F142</f>
        <v>0</v>
      </c>
      <c r="K142" s="788"/>
      <c r="L142" s="788"/>
      <c r="M142" s="178">
        <f>IF(AND(M$126&gt;0,$F$129="Yes",$F$130="Yes",K$7&lt;=$G$130,K$7&lt;$G$132),M$126*$F142,IF(OR(AND(M$126&gt;0,$F$129="Yes",$F$130="yes",K$7&gt;$G$130),AND(M$126&gt;0,$F$129="Yes",$F$130="yes",K$7&gt;=$G$132)),M$126*'1.GeneralProjectInfo'!$L$65*$F142,IF(AND(M$126&gt;0,$F$129="Yes",$F$130="no"),M$126*'1.GeneralProjectInfo'!$L$62*$F142,0)))</f>
        <v>0</v>
      </c>
      <c r="N142" s="788"/>
      <c r="O142" s="788"/>
      <c r="P142" s="178">
        <f>IF(AND(P$126&gt;0,$F$129="Yes",$F$130="Yes",N$7&lt;=$G$130,N$7&lt;$G$132),P$126*$F142,IF(OR(AND(P$126&gt;0,$F$129="Yes",$F$130="yes",N$7&gt;$G$130),AND(P$126&gt;0,$F$129="Yes",$F$130="yes",N$7&gt;=$G$132)),P$126*'1.GeneralProjectInfo'!$L$65*$F142,IF(AND(P$126&gt;0,$F$129="Yes",$F$130="no"),P$126*'1.GeneralProjectInfo'!$L$62*$F142,0)))</f>
        <v>0</v>
      </c>
      <c r="Q142" s="788"/>
      <c r="R142" s="788"/>
      <c r="S142" s="178">
        <f>IF(AND(S$126&gt;0,$F$129="Yes",$F$130="Yes",Q$7&lt;=$G$130,Q$7&lt;$G$132),S$126*$F142,IF(OR(AND(S$126&gt;0,$F$129="Yes",$F$130="yes",Q$7&gt;$G$130),AND(S$126&gt;0,$F$129="Yes",$F$130="yes",Q$7&gt;=$G$132)),S$126*'1.GeneralProjectInfo'!$L$65*$F142,IF(AND(S$126&gt;0,$F$129="Yes",$F$130="no"),S$126*'1.GeneralProjectInfo'!$L$62*$F142,0)))</f>
        <v>0</v>
      </c>
      <c r="T142" s="788"/>
      <c r="U142" s="788"/>
      <c r="V142" s="178">
        <f>IF(AND(V$126&gt;0,$F$129="Yes",$F$130="Yes",T$7&lt;=$G$130,T$7&lt;$G$132),V$126*$F142,IF(OR(AND(V$126&gt;0,$F$129="Yes",$F$130="yes",T$7&gt;$G$130),AND(V$126&gt;0,$F$129="Yes",$F$130="yes",T$7&gt;=$G$132)),V$126*'1.GeneralProjectInfo'!$L$65*$F142,IF(AND(V$126&gt;0,$F$129="Yes",$F$130="no"),V$126*'1.GeneralProjectInfo'!$L$62*$F142,0)))</f>
        <v>0</v>
      </c>
      <c r="W142" s="788"/>
      <c r="X142" s="788"/>
      <c r="Y142" s="178">
        <f>IF(AND(Y$126&gt;0,$F$129="Yes",$F$130="Yes",W$7&lt;=$G$130,W$7&lt;$G$132),Y$126*$F142,IF(OR(AND(Y$126&gt;0,$F$129="Yes",$F$130="yes",W$7&gt;$G$130),AND(Y$126&gt;0,$F$129="Yes",$F$130="yes",W$7&gt;=$G$132)),Y$126*'1.GeneralProjectInfo'!$L$65*$F142,IF(AND(Y$126&gt;0,$F$129="Yes",$F$130="no"),Y$126*'1.GeneralProjectInfo'!$L$62*$F142,0)))</f>
        <v>0</v>
      </c>
      <c r="Z142" s="788"/>
      <c r="AA142" s="788"/>
      <c r="AB142" s="178">
        <f>IF(AND(AB$126&gt;0,$F$129="Yes",$F$130="Yes",Z$7&lt;=$G$130,Z$7&lt;$G$132),AB$126*$F142,IF(OR(AND(AB$126&gt;0,$F$129="Yes",$F$130="yes",Z$7&gt;$G$130),AND(AB$126&gt;0,$F$129="Yes",$F$130="yes",Z$7&gt;=$G$132)),AB$126*'1.GeneralProjectInfo'!$L$65*$F142,IF(AND(AB$126&gt;0,$F$129="Yes",$F$130="no"),AB$126*'1.GeneralProjectInfo'!$L$62*$F142,0)))</f>
        <v>0</v>
      </c>
      <c r="AC142" s="788"/>
      <c r="AD142" s="788"/>
      <c r="AE142" s="178">
        <f>IF(AND(AE$126&gt;0,$F$129="Yes",$F$130="Yes",AC$7&lt;=$G$130,AC$7&lt;$G$132),AE$126*$F142,IF(OR(AND(AE$126&gt;0,$F$129="Yes",$F$130="yes",AC$7&gt;$G$130),AND(AE$126&gt;0,$F$129="Yes",$F$130="yes",AC$7&gt;=$G$132)),AE$126*'1.GeneralProjectInfo'!$L$65*$F142,IF(AND(AE$126&gt;0,$F$129="Yes",$F$130="no"),AE$126*'1.GeneralProjectInfo'!$L$62*$F142,0)))</f>
        <v>0</v>
      </c>
      <c r="AF142" s="788"/>
      <c r="AG142" s="788"/>
      <c r="AH142" s="178">
        <f>IF(AND(AH$126&gt;0,$F$129="Yes",$F$130="Yes",AF$7&lt;=$G$130,AF$7&lt;$G$132),AH$126*$F142,IF(OR(AND(AH$126&gt;0,$F$129="Yes",$F$130="yes",AF$7&gt;$G$130),AND(AH$126&gt;0,$F$129="Yes",$F$130="yes",AF$7&gt;=$G$132)),AH$126*'1.GeneralProjectInfo'!$L$65*$F142,IF(AND(AH$126&gt;0,$F$129="Yes",$F$130="no"),AH$126*'1.GeneralProjectInfo'!$L$62*$F142,0)))</f>
        <v>0</v>
      </c>
      <c r="AI142" s="788"/>
      <c r="AJ142" s="788"/>
      <c r="AK142" s="178">
        <f>IF(AND(AK$126&gt;0,$F$129="Yes",$F$130="Yes",AI$7&lt;=$G$130,AI$7&lt;$G$132),AK$126*$F142,IF(OR(AND(AK$126&gt;0,$F$129="Yes",$F$130="yes",AI$7&gt;$G$130),AND(AK$126&gt;0,$F$129="Yes",$F$130="yes",AI$7&gt;=$G$132)),AK$126*'1.GeneralProjectInfo'!$L$65*$F142,IF(AND(AK$126&gt;0,$F$129="Yes",$F$130="no"),AK$126*'1.GeneralProjectInfo'!$L$62*$F142,0)))</f>
        <v>0</v>
      </c>
      <c r="AL142" s="788"/>
      <c r="AM142" s="788"/>
      <c r="AN142" s="178">
        <f>IF(AND(AN$126&gt;0,$F$129="Yes",$F$130="Yes",AL$7&lt;=$G$130,AL$7&lt;$G$132),AN$126*$F142,IF(OR(AND(AN$126&gt;0,$F$129="Yes",$F$130="yes",AL$7&gt;$G$130),AND(AN$126&gt;0,$F$129="Yes",$F$130="yes",AL$7&gt;=$G$132)),AN$126*'1.GeneralProjectInfo'!$L$65*$F142,IF(AND(AN$126&gt;0,$F$129="Yes",$F$130="no"),AN$126*'1.GeneralProjectInfo'!$L$62*$F142,0)))</f>
        <v>0</v>
      </c>
      <c r="AO142" s="788"/>
      <c r="AP142" s="788"/>
      <c r="AQ142" s="178">
        <f>IF(AND(AQ$126&gt;0,$F$129="Yes",$F$130="Yes",AO$7&lt;=$G$130,AO$7&lt;$G$132),AQ$126*$F142,IF(OR(AND(AQ$126&gt;0,$F$129="Yes",$F$130="yes",AO$7&gt;$G$130),AND(AQ$126&gt;0,$F$129="Yes",$F$130="yes",AO$7&gt;=$G$132)),AQ$126*'1.GeneralProjectInfo'!$L$65*$F142,IF(AND(AQ$126&gt;0,$F$129="Yes",$F$130="no"),AQ$126*'1.GeneralProjectInfo'!$L$62*$F142,0)))</f>
        <v>0</v>
      </c>
      <c r="AR142" s="788"/>
      <c r="AS142" s="788"/>
      <c r="AT142" s="178">
        <f>IF(AND(AT$126&gt;0,$F$129="Yes",$F$130="Yes",AR$7&lt;=$G$130,AR$7&lt;$G$132),AT$126*$F142,IF(OR(AND(AT$126&gt;0,$F$129="Yes",$F$130="yes",AR$7&gt;$G$130),AND(AT$126&gt;0,$F$129="Yes",$F$130="yes",AR$7&gt;=$G$132)),AT$126*'1.GeneralProjectInfo'!$L$65*$F142,IF(AND(AT$126&gt;0,$F$129="Yes",$F$130="no"),AT$126*'1.GeneralProjectInfo'!$L$62*$F142,0)))</f>
        <v>0</v>
      </c>
      <c r="AU142" s="788"/>
      <c r="AV142" s="788"/>
      <c r="AW142" s="178">
        <f>IF(AND(AW$126&gt;0,$F$129="Yes",$F$130="Yes",AU$7&lt;=$G$130,AU$7&lt;$G$132),AW$126*$F142,IF(OR(AND(AW$126&gt;0,$F$129="Yes",$F$130="yes",AU$7&gt;$G$130),AND(AW$126&gt;0,$F$129="Yes",$F$130="yes",AU$7&gt;=$G$132)),AW$126*'1.GeneralProjectInfo'!$L$65*$F142,IF(AND(AW$126&gt;0,$F$129="Yes",$F$130="no"),AW$126*'1.GeneralProjectInfo'!$L$62*$F142,0)))</f>
        <v>0</v>
      </c>
      <c r="AX142" s="788"/>
      <c r="AY142" s="788"/>
      <c r="AZ142" s="178">
        <f>IF(AND(AZ$126&gt;0,$F$129="Yes",$F$130="Yes",AX$7&lt;=$G$130,AX$7&lt;$G$132),AZ$126*$F142,IF(OR(AND(AZ$126&gt;0,$F$129="Yes",$F$130="yes",AX$7&gt;$G$130),AND(AZ$126&gt;0,$F$129="Yes",$F$130="yes",AX$7&gt;=$G$132)),AZ$126*'1.GeneralProjectInfo'!$L$65*$F142,IF(AND(AZ$126&gt;0,$F$129="Yes",$F$130="no"),AZ$126*'1.GeneralProjectInfo'!$L$62*$F142,0)))</f>
        <v>0</v>
      </c>
      <c r="BA142" s="788"/>
      <c r="BB142" s="788"/>
      <c r="BC142" s="178">
        <f>IF(AND(BC$126&gt;0,$F$129="Yes",$F$130="Yes",BA$7&lt;=$G$130,BA$7&lt;$G$132),BC$126*$F142,IF(OR(AND(BC$126&gt;0,$F$129="Yes",$F$130="yes",BA$7&gt;$G$130),AND(BC$126&gt;0,$F$129="Yes",$F$130="yes",BA$7&gt;=$G$132)),BC$126*'1.GeneralProjectInfo'!$L$65*$F142,IF(AND(BC$126&gt;0,$F$129="Yes",$F$130="no"),BC$126*'1.GeneralProjectInfo'!$L$62*$F142,0)))</f>
        <v>0</v>
      </c>
      <c r="BD142" s="788"/>
      <c r="BE142" s="788"/>
      <c r="BF142" s="178">
        <f>IF(AND(BF$126&gt;0,$F$129="Yes",$F$130="Yes",BD$7&lt;=$G$130,BD$7&lt;$G$132),BF$126*$F142,IF(OR(AND(BF$126&gt;0,$F$129="Yes",$F$130="yes",BD$7&gt;$G$130),AND(BF$126&gt;0,$F$129="Yes",$F$130="yes",BD$7&gt;=$G$132)),BF$126*'1.GeneralProjectInfo'!$L$65*$F142,IF(AND(BF$126&gt;0,$F$129="Yes",$F$130="no"),BF$126*'1.GeneralProjectInfo'!$L$62*$F142,0)))</f>
        <v>0</v>
      </c>
      <c r="BG142" s="788"/>
      <c r="BH142" s="788"/>
      <c r="BI142" s="178">
        <f>IF(AND(BI$126&gt;0,$F$129="Yes",$F$130="Yes",BG$7&lt;=$G$130,BG$7&lt;$G$132),BI$126*$F142,IF(OR(AND(BI$126&gt;0,$F$129="Yes",$F$130="yes",BG$7&gt;$G$130),AND(BI$126&gt;0,$F$129="Yes",$F$130="yes",BG$7&gt;=$G$132)),BI$126*'1.GeneralProjectInfo'!$L$65*$F142,IF(AND(BI$126&gt;0,$F$129="Yes",$F$130="no"),BI$126*'1.GeneralProjectInfo'!$L$62*$F142,0)))</f>
        <v>0</v>
      </c>
      <c r="BJ142" s="788"/>
      <c r="BK142" s="788"/>
      <c r="BL142" s="178">
        <f>IF(AND(BL$126&gt;0,$F$129="Yes",$F$130="Yes",BJ$7&lt;=$G$130,BJ$7&lt;$G$132),BL$126*$F142,IF(OR(AND(BL$126&gt;0,$F$129="Yes",$F$130="yes",BJ$7&gt;$G$130),AND(BL$126&gt;0,$F$129="Yes",$F$130="yes",BJ$7&gt;=$G$132)),BL$126*'1.GeneralProjectInfo'!$L$65*$F142,IF(AND(BL$126&gt;0,$F$129="Yes",$F$130="no"),BL$126*'1.GeneralProjectInfo'!$L$62*$F142,0)))</f>
        <v>0</v>
      </c>
      <c r="BM142" s="788"/>
      <c r="BN142" s="788"/>
      <c r="BO142" s="178">
        <f>IF(AND(BO$126&gt;0,$F$129="Yes",$F$130="Yes",BM$7&lt;=$G$130,BM$7&lt;$G$132),BO$126*$F142,IF(OR(AND(BO$126&gt;0,$F$129="Yes",$F$130="yes",BM$7&gt;$G$130),AND(BO$126&gt;0,$F$129="Yes",$F$130="yes",BM$7&gt;=$G$132)),BO$126*'1.GeneralProjectInfo'!$L$65*$F142,IF(AND(BO$126&gt;0,$F$129="Yes",$F$130="no"),BO$126*'1.GeneralProjectInfo'!$L$62*$F142,0)))</f>
        <v>0</v>
      </c>
      <c r="BP142" s="242"/>
      <c r="BQ142" s="5"/>
      <c r="BR142" s="242"/>
      <c r="BS142" s="5"/>
      <c r="BT142" s="5"/>
      <c r="BU142" s="5"/>
      <c r="BV142" s="5"/>
    </row>
    <row r="143" spans="3:74" ht="14.4">
      <c r="C143" s="2064" t="str">
        <f>'6.1stYrOpBudget'!A143</f>
        <v>Proposed MOHCD Residual Receipts Amount to Loan Repayment</v>
      </c>
      <c r="D143" s="124"/>
      <c r="E143" s="124"/>
      <c r="F143" s="1078"/>
      <c r="G143" s="240"/>
      <c r="H143" s="788"/>
      <c r="I143" s="788"/>
      <c r="J143" s="178">
        <f>'6.1stYrOpBudget'!F143</f>
        <v>0</v>
      </c>
      <c r="K143" s="788"/>
      <c r="L143" s="788"/>
      <c r="M143" s="66">
        <f>IF(AND(SmallSites=TRUE,M$167&lt;1.5*$J$160),0,M142)</f>
        <v>0</v>
      </c>
      <c r="N143" s="788"/>
      <c r="O143" s="788"/>
      <c r="P143" s="66">
        <f>IF(AND(SmallSites=TRUE,P$167&lt;1.5*$J$160),0,P142)</f>
        <v>0</v>
      </c>
      <c r="Q143" s="788"/>
      <c r="R143" s="788"/>
      <c r="S143" s="66">
        <f>IF(AND(SmallSites=TRUE,S$167&lt;1.5*$J$160),0,S142)</f>
        <v>0</v>
      </c>
      <c r="T143" s="788"/>
      <c r="U143" s="788"/>
      <c r="V143" s="66">
        <f>IF(AND(SmallSites=TRUE,V$167&lt;1.5*$J$160),0,V142)</f>
        <v>0</v>
      </c>
      <c r="W143" s="788"/>
      <c r="X143" s="788"/>
      <c r="Y143" s="66">
        <f>IF(AND(SmallSites=TRUE,Y$167&lt;1.5*$J$160),0,Y142)</f>
        <v>0</v>
      </c>
      <c r="Z143" s="788"/>
      <c r="AA143" s="788"/>
      <c r="AB143" s="66">
        <f>IF(AND(SmallSites=TRUE,AB$167&lt;1.5*$J$160),0,AB142)</f>
        <v>0</v>
      </c>
      <c r="AC143" s="788"/>
      <c r="AD143" s="788"/>
      <c r="AE143" s="66">
        <f>IF(AND(SmallSites=TRUE,AE$167&lt;1.5*$J$160),0,AE142)</f>
        <v>0</v>
      </c>
      <c r="AF143" s="788"/>
      <c r="AG143" s="788"/>
      <c r="AH143" s="66">
        <f>IF(AND(SmallSites=TRUE,AH$167&lt;1.5*$J$160),0,AH142)</f>
        <v>0</v>
      </c>
      <c r="AI143" s="788"/>
      <c r="AJ143" s="788"/>
      <c r="AK143" s="66">
        <f>IF(AND(SmallSites=TRUE,AK$167&lt;1.5*$J$160),0,AK142)</f>
        <v>0</v>
      </c>
      <c r="AL143" s="788"/>
      <c r="AM143" s="788"/>
      <c r="AN143" s="66">
        <f>IF(AND(SmallSites=TRUE,AN$167&lt;1.5*$J$160),0,AN142)</f>
        <v>0</v>
      </c>
      <c r="AO143" s="788"/>
      <c r="AP143" s="788"/>
      <c r="AQ143" s="66">
        <f>IF(AND(SmallSites=TRUE,AQ$167&lt;1.5*$J$160),0,AQ142)</f>
        <v>0</v>
      </c>
      <c r="AR143" s="788"/>
      <c r="AS143" s="788"/>
      <c r="AT143" s="66">
        <f>IF(AND(SmallSites=TRUE,AT$167&lt;1.5*$J$160),0,AT142)</f>
        <v>0</v>
      </c>
      <c r="AU143" s="788"/>
      <c r="AV143" s="788"/>
      <c r="AW143" s="66">
        <f>IF(AND(SmallSites=TRUE,AW$167&lt;1.5*$J$160),0,AW142)</f>
        <v>0</v>
      </c>
      <c r="AX143" s="788"/>
      <c r="AY143" s="788"/>
      <c r="AZ143" s="66">
        <f>IF(AND(SmallSites=TRUE,AZ$167&lt;1.5*$J$160),0,AZ142)</f>
        <v>0</v>
      </c>
      <c r="BA143" s="788"/>
      <c r="BB143" s="788"/>
      <c r="BC143" s="66">
        <f>IF(AND(SmallSites=TRUE,BC$167&lt;1.5*$J$160),0,BC142)</f>
        <v>0</v>
      </c>
      <c r="BD143" s="788"/>
      <c r="BE143" s="788"/>
      <c r="BF143" s="66">
        <f>IF(AND(SmallSites=TRUE,BF$167&lt;1.5*$J$160),0,BF142)</f>
        <v>0</v>
      </c>
      <c r="BG143" s="788"/>
      <c r="BH143" s="788"/>
      <c r="BI143" s="66">
        <f>IF(AND(SmallSites=TRUE,BI$167&lt;1.5*$J$160),0,BI142)</f>
        <v>0</v>
      </c>
      <c r="BJ143" s="788"/>
      <c r="BK143" s="788"/>
      <c r="BL143" s="66">
        <f>IF(AND(SmallSites=TRUE,BL$167&lt;1.5*$J$160),0,BL142)</f>
        <v>0</v>
      </c>
      <c r="BM143" s="788"/>
      <c r="BN143" s="788"/>
      <c r="BO143" s="66">
        <f>IF(AND(SmallSites=TRUE,BO$167&lt;1.5*$J$160),0,BO142)</f>
        <v>0</v>
      </c>
      <c r="BP143" s="5"/>
      <c r="BQ143" s="5"/>
      <c r="BR143" s="5"/>
      <c r="BS143" s="5"/>
      <c r="BT143" s="5"/>
      <c r="BU143" s="5"/>
      <c r="BV143" s="5"/>
    </row>
    <row r="144" spans="3:74" ht="28.2" hidden="1">
      <c r="C144" s="2065" t="str">
        <f>'6.1stYrOpBudget'!A144</f>
        <v>Proposed MOHCD Residual Receipts Amount to Residual Ground Lease</v>
      </c>
      <c r="D144" s="124"/>
      <c r="E144" s="124"/>
      <c r="F144" s="1078"/>
      <c r="G144" s="240" t="s">
        <v>211</v>
      </c>
      <c r="H144" s="788"/>
      <c r="I144" s="788"/>
      <c r="J144" s="178">
        <f>'6.1stYrOpBudget'!F144</f>
        <v>0</v>
      </c>
      <c r="K144" s="788"/>
      <c r="L144" s="788"/>
      <c r="M144" s="178">
        <f>IF(SmallSites=TRUE,0,IF('6.1stYrOpBudget'!$I$129="No",0, IF(M142-M143&lt;'1.GeneralProjectInfo'!$I$75,M142-M143,'1.GeneralProjectInfo'!$I$75)))</f>
        <v>0</v>
      </c>
      <c r="N144" s="788"/>
      <c r="O144" s="788"/>
      <c r="P144" s="178">
        <f>IF(SmallSites=TRUE,0,IF('6.1stYrOpBudget'!$I$129="No",0, IF(P142-P143&lt;'1.GeneralProjectInfo'!$I$75,P142-P143,'1.GeneralProjectInfo'!$I$75)))</f>
        <v>0</v>
      </c>
      <c r="Q144" s="788"/>
      <c r="R144" s="788"/>
      <c r="S144" s="178">
        <f>IF(SmallSites=TRUE,0,IF('6.1stYrOpBudget'!$I$129="No",0, IF(S142-S143&lt;'1.GeneralProjectInfo'!$I$75,S142-S143,'1.GeneralProjectInfo'!$I$75)))</f>
        <v>0</v>
      </c>
      <c r="T144" s="788"/>
      <c r="U144" s="788"/>
      <c r="V144" s="178">
        <f>IF(SmallSites=TRUE,0,IF('6.1stYrOpBudget'!$I$129="No",0, IF(V142-V143&lt;'1.GeneralProjectInfo'!$I$75,V142-V143,'1.GeneralProjectInfo'!$I$75)))</f>
        <v>0</v>
      </c>
      <c r="W144" s="788"/>
      <c r="X144" s="788"/>
      <c r="Y144" s="178">
        <f>IF(SmallSites=TRUE,0,IF('6.1stYrOpBudget'!$I$129="No",0, IF(Y142-Y143&lt;'1.GeneralProjectInfo'!$I$75,Y142-Y143,'1.GeneralProjectInfo'!$I$75)))</f>
        <v>0</v>
      </c>
      <c r="Z144" s="788"/>
      <c r="AA144" s="788"/>
      <c r="AB144" s="178">
        <f>IF(SmallSites=TRUE,0,IF('6.1stYrOpBudget'!$I$129="No",0, IF(AB142-AB143&lt;'1.GeneralProjectInfo'!$I$75,AB142-AB143,'1.GeneralProjectInfo'!$I$75)))</f>
        <v>0</v>
      </c>
      <c r="AC144" s="788"/>
      <c r="AD144" s="788"/>
      <c r="AE144" s="178">
        <f>IF(SmallSites=TRUE,0,IF('6.1stYrOpBudget'!$I$129="No",0, IF(AE142-AE143&lt;'1.GeneralProjectInfo'!$I$75,AE142-AE143,'1.GeneralProjectInfo'!$I$75)))</f>
        <v>0</v>
      </c>
      <c r="AF144" s="788"/>
      <c r="AG144" s="788"/>
      <c r="AH144" s="178">
        <f>IF(SmallSites=TRUE,0,IF('6.1stYrOpBudget'!$I$129="No",0, IF(AH142-AH143&lt;'1.GeneralProjectInfo'!$I$75,AH142-AH143,'1.GeneralProjectInfo'!$I$75)))</f>
        <v>0</v>
      </c>
      <c r="AI144" s="788"/>
      <c r="AJ144" s="788"/>
      <c r="AK144" s="178">
        <f>IF(SmallSites=TRUE,0,IF('6.1stYrOpBudget'!$I$129="No",0, IF(AK142-AK143&lt;'1.GeneralProjectInfo'!$I$75,AK142-AK143,'1.GeneralProjectInfo'!$I$75)))</f>
        <v>0</v>
      </c>
      <c r="AL144" s="788"/>
      <c r="AM144" s="788"/>
      <c r="AN144" s="178">
        <f>IF(SmallSites=TRUE,0,IF('6.1stYrOpBudget'!$I$129="No",0, IF(AN142-AN143&lt;'1.GeneralProjectInfo'!$I$75,AN142-AN143,'1.GeneralProjectInfo'!$I$75)))</f>
        <v>0</v>
      </c>
      <c r="AO144" s="788"/>
      <c r="AP144" s="788"/>
      <c r="AQ144" s="178">
        <f>IF(SmallSites=TRUE,0,IF('6.1stYrOpBudget'!$I$129="No",0, IF(AQ142-AQ143&lt;'1.GeneralProjectInfo'!$I$75,AQ142-AQ143,'1.GeneralProjectInfo'!$I$75)))</f>
        <v>0</v>
      </c>
      <c r="AR144" s="788"/>
      <c r="AS144" s="788"/>
      <c r="AT144" s="178">
        <f>IF(SmallSites=TRUE,0,IF('6.1stYrOpBudget'!$I$129="No",0, IF(AT142-AT143&lt;'1.GeneralProjectInfo'!$I$75,AT142-AT143,'1.GeneralProjectInfo'!$I$75)))</f>
        <v>0</v>
      </c>
      <c r="AU144" s="788"/>
      <c r="AV144" s="788"/>
      <c r="AW144" s="178">
        <f>IF(SmallSites=TRUE,0,IF('6.1stYrOpBudget'!$I$129="No",0, IF(AW142-AW143&lt;'1.GeneralProjectInfo'!$I$75,AW142-AW143,'1.GeneralProjectInfo'!$I$75)))</f>
        <v>0</v>
      </c>
      <c r="AX144" s="788"/>
      <c r="AY144" s="788"/>
      <c r="AZ144" s="178">
        <f>IF(SmallSites=TRUE,0,IF('6.1stYrOpBudget'!$I$129="No",0, IF(AZ142-AZ143&lt;'1.GeneralProjectInfo'!$I$75,AZ142-AZ143,'1.GeneralProjectInfo'!$I$75)))</f>
        <v>0</v>
      </c>
      <c r="BA144" s="788"/>
      <c r="BB144" s="788"/>
      <c r="BC144" s="178">
        <f>IF(SmallSites=TRUE,0,IF('6.1stYrOpBudget'!$I$129="No",0, IF(BC142-BC143&lt;'1.GeneralProjectInfo'!$I$75,BC142-BC143,'1.GeneralProjectInfo'!$I$75)))</f>
        <v>0</v>
      </c>
      <c r="BD144" s="788"/>
      <c r="BE144" s="788"/>
      <c r="BF144" s="178">
        <f>IF(SmallSites=TRUE,0,IF('6.1stYrOpBudget'!$I$129="No",0, IF(BF142-BF143&lt;'1.GeneralProjectInfo'!$I$75,BF142-BF143,'1.GeneralProjectInfo'!$I$75)))</f>
        <v>0</v>
      </c>
      <c r="BG144" s="788"/>
      <c r="BH144" s="788"/>
      <c r="BI144" s="178">
        <f>IF(SmallSites=TRUE,0,IF('6.1stYrOpBudget'!$I$129="No",0, IF(BI142-BI143&lt;'1.GeneralProjectInfo'!$I$75,BI142-BI143,'1.GeneralProjectInfo'!$I$75)))</f>
        <v>0</v>
      </c>
      <c r="BJ144" s="788"/>
      <c r="BK144" s="788"/>
      <c r="BL144" s="178">
        <f>IF(SmallSites=TRUE,0,IF('6.1stYrOpBudget'!$I$129="No",0, IF(BL142-BL143&lt;'1.GeneralProjectInfo'!$I$75,BL142-BL143,'1.GeneralProjectInfo'!$I$75)))</f>
        <v>0</v>
      </c>
      <c r="BM144" s="788"/>
      <c r="BN144" s="788"/>
      <c r="BO144" s="178">
        <f>IF(SmallSites=TRUE,0,IF('6.1stYrOpBudget'!$I$129="No",0, IF(BO142-BO143&lt;'1.GeneralProjectInfo'!$I$75,BO142-BO143,'1.GeneralProjectInfo'!$I$75)))</f>
        <v>0</v>
      </c>
      <c r="BP144" s="5"/>
      <c r="BQ144" s="5"/>
      <c r="BR144" s="5"/>
      <c r="BS144" s="5"/>
      <c r="BT144" s="5"/>
      <c r="BU144" s="5"/>
      <c r="BV144" s="5"/>
    </row>
    <row r="145" spans="3:74" ht="28.2" hidden="1">
      <c r="C145" s="2065" t="str">
        <f>'6.1stYrOpBudget'!A145</f>
        <v>Proposed MOHCD Residual Receipts Amount to Replacement Reserve</v>
      </c>
      <c r="D145" s="124"/>
      <c r="E145" s="124"/>
      <c r="F145" s="1078"/>
      <c r="G145" s="21"/>
      <c r="H145" s="788"/>
      <c r="I145" s="788"/>
      <c r="J145" s="178">
        <f>'6.1stYrOpBudget'!F145</f>
        <v>0</v>
      </c>
      <c r="K145" s="788"/>
      <c r="L145" s="788"/>
      <c r="M145" s="178">
        <f>IF(AND(SmallSites=TRUE,M167&lt;1.5*$J$160),M142,0)</f>
        <v>0</v>
      </c>
      <c r="N145" s="788"/>
      <c r="O145" s="788"/>
      <c r="P145" s="178">
        <f>IF(AND(SmallSites=TRUE,P167&lt;1.5*$J$160),P142,0)</f>
        <v>0</v>
      </c>
      <c r="Q145" s="788"/>
      <c r="R145" s="788"/>
      <c r="S145" s="178">
        <f>IF(AND(SmallSites=TRUE,S167&lt;1.5*$J$160),S142,0)</f>
        <v>0</v>
      </c>
      <c r="T145" s="788"/>
      <c r="U145" s="788"/>
      <c r="V145" s="178">
        <f>IF(AND(SmallSites=TRUE,V167&lt;1.5*$J$160),V142,0)</f>
        <v>0</v>
      </c>
      <c r="W145" s="788"/>
      <c r="X145" s="788"/>
      <c r="Y145" s="178">
        <f>IF(AND(SmallSites=TRUE,Y167&lt;1.5*$J$160),Y142,0)</f>
        <v>0</v>
      </c>
      <c r="Z145" s="788"/>
      <c r="AA145" s="788"/>
      <c r="AB145" s="178">
        <f>IF(AND(SmallSites=TRUE,AB167&lt;1.5*$J$160),AB142,0)</f>
        <v>0</v>
      </c>
      <c r="AC145" s="788"/>
      <c r="AD145" s="788"/>
      <c r="AE145" s="178">
        <f>IF(AND(SmallSites=TRUE,AE167&lt;1.5*$J$160),AE142,0)</f>
        <v>0</v>
      </c>
      <c r="AF145" s="788"/>
      <c r="AG145" s="788"/>
      <c r="AH145" s="178">
        <f>IF(AND(SmallSites=TRUE,AH167&lt;1.5*$J$160),AH142,0)</f>
        <v>0</v>
      </c>
      <c r="AI145" s="788"/>
      <c r="AJ145" s="788"/>
      <c r="AK145" s="178">
        <f>IF(AND(SmallSites=TRUE,AK167&lt;1.5*$J$160),AK142,0)</f>
        <v>0</v>
      </c>
      <c r="AL145" s="788"/>
      <c r="AM145" s="788"/>
      <c r="AN145" s="178">
        <f>IF(AND(SmallSites=TRUE,AN167&lt;1.5*$J$160),AN142,0)</f>
        <v>0</v>
      </c>
      <c r="AO145" s="788"/>
      <c r="AP145" s="788"/>
      <c r="AQ145" s="178">
        <f>IF(AND(SmallSites=TRUE,AQ167&lt;1.5*$J$160),AQ142,0)</f>
        <v>0</v>
      </c>
      <c r="AR145" s="788"/>
      <c r="AS145" s="788"/>
      <c r="AT145" s="178">
        <f>IF(AND(SmallSites=TRUE,AT167&lt;1.5*$J$160),AT142,0)</f>
        <v>0</v>
      </c>
      <c r="AU145" s="788"/>
      <c r="AV145" s="788"/>
      <c r="AW145" s="178">
        <f>IF(AND(SmallSites=TRUE,AW167&lt;1.5*$J$160),AW142,0)</f>
        <v>0</v>
      </c>
      <c r="AX145" s="788"/>
      <c r="AY145" s="788"/>
      <c r="AZ145" s="178">
        <f>IF(AND(SmallSites=TRUE,AZ167&lt;1.5*$J$160),AZ142,0)</f>
        <v>0</v>
      </c>
      <c r="BA145" s="788"/>
      <c r="BB145" s="788"/>
      <c r="BC145" s="178">
        <f>IF(AND(SmallSites=TRUE,BC167&lt;1.5*$J$160),BC142,0)</f>
        <v>0</v>
      </c>
      <c r="BD145" s="788"/>
      <c r="BE145" s="788"/>
      <c r="BF145" s="178">
        <f>IF(AND(SmallSites=TRUE,BF167&lt;1.5*$J$160),BF142,0)</f>
        <v>0</v>
      </c>
      <c r="BG145" s="788"/>
      <c r="BH145" s="788"/>
      <c r="BI145" s="178">
        <f>IF(AND(SmallSites=TRUE,BI167&lt;1.5*$J$160),BI142,0)</f>
        <v>0</v>
      </c>
      <c r="BJ145" s="788"/>
      <c r="BK145" s="788"/>
      <c r="BL145" s="178">
        <f>IF(AND(SmallSites=TRUE,BL167&lt;1.5*$J$160),BL142,0)</f>
        <v>0</v>
      </c>
      <c r="BM145" s="788"/>
      <c r="BN145" s="788"/>
      <c r="BO145" s="178">
        <f>IF(AND(SmallSites=TRUE,BO167&lt;1.5*$J$160),BO142,0)</f>
        <v>0</v>
      </c>
      <c r="BP145" s="5"/>
      <c r="BQ145" s="5"/>
      <c r="BR145" s="5"/>
      <c r="BS145" s="5"/>
      <c r="BT145" s="5"/>
      <c r="BU145" s="5"/>
      <c r="BV145" s="5"/>
    </row>
    <row r="146" spans="3:74" ht="14.4" hidden="1">
      <c r="C146" s="129" t="str">
        <f>'6.1stYrOpBudget'!A146</f>
        <v>REMAINING BALANCE AFTER MOHCD RESIDUAL RECEIPTS DEBT SERVICE</v>
      </c>
      <c r="D146" s="124"/>
      <c r="E146" s="124"/>
      <c r="F146" s="1078"/>
      <c r="G146" s="21"/>
      <c r="H146" s="788"/>
      <c r="I146" s="788"/>
      <c r="J146" s="175">
        <f>'6.1stYrOpBudget'!F146</f>
        <v>0</v>
      </c>
      <c r="K146" s="788"/>
      <c r="L146" s="788"/>
      <c r="M146" s="175">
        <f>IF(M126&gt;=0,M126-M142,0)</f>
        <v>0</v>
      </c>
      <c r="N146" s="788"/>
      <c r="O146" s="788"/>
      <c r="P146" s="175">
        <f>IF(P126&gt;=0,P126-P142,0)</f>
        <v>0</v>
      </c>
      <c r="Q146" s="788"/>
      <c r="R146" s="788"/>
      <c r="S146" s="175">
        <f>IF(S126&gt;=0,S126-S142,0)</f>
        <v>0</v>
      </c>
      <c r="T146" s="788"/>
      <c r="U146" s="788"/>
      <c r="V146" s="175">
        <f>IF(V126&gt;=0,V126-V142,0)</f>
        <v>0</v>
      </c>
      <c r="W146" s="788"/>
      <c r="X146" s="788"/>
      <c r="Y146" s="175">
        <f>IF(Y126&gt;=0,Y126-Y142,0)</f>
        <v>0</v>
      </c>
      <c r="Z146" s="788"/>
      <c r="AA146" s="788"/>
      <c r="AB146" s="175">
        <f>IF(AB126&gt;=0,AB126-AB142,0)</f>
        <v>0</v>
      </c>
      <c r="AC146" s="788"/>
      <c r="AD146" s="788"/>
      <c r="AE146" s="175">
        <f>IF(AE126&gt;=0,AE126-AE142,0)</f>
        <v>0</v>
      </c>
      <c r="AF146" s="788"/>
      <c r="AG146" s="788"/>
      <c r="AH146" s="175">
        <f>IF(AH126&gt;=0,AH126-AH142,0)</f>
        <v>0</v>
      </c>
      <c r="AI146" s="788"/>
      <c r="AJ146" s="788"/>
      <c r="AK146" s="175">
        <f>IF(AK126&gt;=0,AK126-AK142,0)</f>
        <v>0</v>
      </c>
      <c r="AL146" s="788"/>
      <c r="AM146" s="788"/>
      <c r="AN146" s="175">
        <f>IF(AN126&gt;=0,AN126-AN142,0)</f>
        <v>0</v>
      </c>
      <c r="AO146" s="788"/>
      <c r="AP146" s="788"/>
      <c r="AQ146" s="175">
        <f>IF(AQ126&gt;=0,AQ126-AQ142,0)</f>
        <v>0</v>
      </c>
      <c r="AR146" s="788"/>
      <c r="AS146" s="788"/>
      <c r="AT146" s="175">
        <f>IF(AT126&gt;=0,AT126-AT142,0)</f>
        <v>0</v>
      </c>
      <c r="AU146" s="788"/>
      <c r="AV146" s="788"/>
      <c r="AW146" s="175">
        <f>IF(AW126&gt;=0,AW126-AW142,0)</f>
        <v>0</v>
      </c>
      <c r="AX146" s="788"/>
      <c r="AY146" s="788"/>
      <c r="AZ146" s="175">
        <f>IF(AZ126&gt;=0,AZ126-AZ142,0)</f>
        <v>0</v>
      </c>
      <c r="BA146" s="788"/>
      <c r="BB146" s="788"/>
      <c r="BC146" s="175">
        <f>IF(BC126&gt;=0,BC126-BC142,0)</f>
        <v>0</v>
      </c>
      <c r="BD146" s="788"/>
      <c r="BE146" s="788"/>
      <c r="BF146" s="175">
        <f>IF(BF126&gt;=0,BF126-BF142,0)</f>
        <v>0</v>
      </c>
      <c r="BG146" s="788"/>
      <c r="BH146" s="788"/>
      <c r="BI146" s="175">
        <f>IF(BI126&gt;=0,BI126-BI142,0)</f>
        <v>0</v>
      </c>
      <c r="BJ146" s="788"/>
      <c r="BK146" s="788"/>
      <c r="BL146" s="175">
        <f>IF(BL126&gt;=0,BL126-BL142,0)</f>
        <v>0</v>
      </c>
      <c r="BM146" s="788"/>
      <c r="BN146" s="788"/>
      <c r="BO146" s="175">
        <f>IF(BO126&gt;=0,BO126-BO142,0)</f>
        <v>0</v>
      </c>
      <c r="BP146" s="5"/>
      <c r="BQ146" s="5"/>
      <c r="BR146" s="5"/>
      <c r="BS146" s="5"/>
      <c r="BT146" s="5"/>
      <c r="BU146" s="5"/>
      <c r="BV146" s="5"/>
    </row>
    <row r="147" spans="3:74" ht="8.1" customHeight="1">
      <c r="C147" s="129"/>
      <c r="D147" s="124"/>
      <c r="E147" s="124"/>
      <c r="F147" s="1078"/>
      <c r="G147" s="21"/>
      <c r="H147" s="788"/>
      <c r="I147" s="788"/>
      <c r="J147" s="175"/>
      <c r="K147" s="788"/>
      <c r="L147" s="788"/>
      <c r="M147" s="175"/>
      <c r="N147" s="788"/>
      <c r="O147" s="788"/>
      <c r="P147" s="175"/>
      <c r="Q147" s="788"/>
      <c r="R147" s="788"/>
      <c r="S147" s="175"/>
      <c r="T147" s="788"/>
      <c r="U147" s="788"/>
      <c r="V147" s="175"/>
      <c r="W147" s="788"/>
      <c r="X147" s="788"/>
      <c r="Y147" s="175"/>
      <c r="Z147" s="788"/>
      <c r="AA147" s="788"/>
      <c r="AB147" s="175"/>
      <c r="AC147" s="788"/>
      <c r="AD147" s="788"/>
      <c r="AE147" s="175"/>
      <c r="AF147" s="788"/>
      <c r="AG147" s="788"/>
      <c r="AH147" s="175"/>
      <c r="AI147" s="788"/>
      <c r="AJ147" s="788"/>
      <c r="AK147" s="175"/>
      <c r="AL147" s="788"/>
      <c r="AM147" s="788"/>
      <c r="AN147" s="175"/>
      <c r="AO147" s="788"/>
      <c r="AP147" s="788"/>
      <c r="AQ147" s="175"/>
      <c r="AR147" s="788"/>
      <c r="AS147" s="788"/>
      <c r="AT147" s="175"/>
      <c r="AU147" s="788"/>
      <c r="AV147" s="788"/>
      <c r="AW147" s="175"/>
      <c r="AX147" s="788"/>
      <c r="AY147" s="788"/>
      <c r="AZ147" s="175"/>
      <c r="BA147" s="788"/>
      <c r="BB147" s="788"/>
      <c r="BC147" s="175"/>
      <c r="BD147" s="788"/>
      <c r="BE147" s="788"/>
      <c r="BF147" s="175"/>
      <c r="BG147" s="788"/>
      <c r="BH147" s="788"/>
      <c r="BI147" s="175"/>
      <c r="BJ147" s="788"/>
      <c r="BK147" s="788"/>
      <c r="BL147" s="175"/>
      <c r="BM147" s="788"/>
      <c r="BN147" s="788"/>
      <c r="BO147" s="175"/>
      <c r="BP147" s="5"/>
      <c r="BQ147" s="5"/>
      <c r="BR147" s="5"/>
      <c r="BS147" s="5"/>
      <c r="BT147" s="5"/>
      <c r="BU147" s="5"/>
      <c r="BV147" s="5"/>
    </row>
    <row r="148" spans="3:74" ht="14.4">
      <c r="C148" s="120" t="str">
        <f>'6.1stYrOpBudget'!A148</f>
        <v>NON-MOHCD RESIDUAL RECEIPTS DEBT SERVICE</v>
      </c>
      <c r="D148" s="124"/>
      <c r="E148" s="124"/>
      <c r="F148" s="1078"/>
      <c r="G148" s="21"/>
      <c r="H148" s="788"/>
      <c r="I148" s="788"/>
      <c r="J148" s="175"/>
      <c r="K148" s="788"/>
      <c r="L148" s="788"/>
      <c r="M148" s="175"/>
      <c r="N148" s="788"/>
      <c r="O148" s="788"/>
      <c r="P148" s="175"/>
      <c r="Q148" s="788"/>
      <c r="R148" s="788"/>
      <c r="S148" s="175"/>
      <c r="T148" s="788"/>
      <c r="U148" s="788"/>
      <c r="V148" s="175"/>
      <c r="W148" s="788"/>
      <c r="X148" s="788"/>
      <c r="Y148" s="175"/>
      <c r="Z148" s="788"/>
      <c r="AA148" s="788"/>
      <c r="AB148" s="175"/>
      <c r="AC148" s="788"/>
      <c r="AD148" s="788"/>
      <c r="AE148" s="175"/>
      <c r="AF148" s="788"/>
      <c r="AG148" s="788"/>
      <c r="AH148" s="175"/>
      <c r="AI148" s="788"/>
      <c r="AJ148" s="788"/>
      <c r="AK148" s="175"/>
      <c r="AL148" s="788"/>
      <c r="AM148" s="788"/>
      <c r="AN148" s="175"/>
      <c r="AO148" s="788"/>
      <c r="AP148" s="788"/>
      <c r="AQ148" s="175"/>
      <c r="AR148" s="788"/>
      <c r="AS148" s="788"/>
      <c r="AT148" s="175"/>
      <c r="AU148" s="788"/>
      <c r="AV148" s="788"/>
      <c r="AW148" s="175"/>
      <c r="AX148" s="788"/>
      <c r="AY148" s="788"/>
      <c r="AZ148" s="175"/>
      <c r="BA148" s="788"/>
      <c r="BB148" s="788"/>
      <c r="BC148" s="175"/>
      <c r="BD148" s="788"/>
      <c r="BE148" s="788"/>
      <c r="BF148" s="175"/>
      <c r="BG148" s="788"/>
      <c r="BH148" s="788"/>
      <c r="BI148" s="175"/>
      <c r="BJ148" s="788"/>
      <c r="BK148" s="788"/>
      <c r="BL148" s="175"/>
      <c r="BM148" s="788"/>
      <c r="BN148" s="788"/>
      <c r="BO148" s="175"/>
      <c r="BP148" s="5"/>
      <c r="BQ148" s="5"/>
      <c r="BR148" s="5"/>
      <c r="BS148" s="5"/>
      <c r="BT148" s="5"/>
      <c r="BU148" s="5"/>
      <c r="BV148" s="5"/>
    </row>
    <row r="149" spans="3:74" ht="12" customHeight="1">
      <c r="C149" s="2059" t="str">
        <f>'6.1stYrOpBudget'!A149</f>
        <v>HCD Residual Receipts Amount Due</v>
      </c>
      <c r="D149" s="124"/>
      <c r="E149" s="124"/>
      <c r="F149" s="1079">
        <f>'6.1stYrOpBudget'!I137</f>
        <v>0</v>
      </c>
      <c r="G149" s="243" t="str">
        <f>IF(F149&gt;0,"Allocation per pro rata share of all soft debt loans, and HCD residual receipt policy.", "No HCD Financing")</f>
        <v>No HCD Financing</v>
      </c>
      <c r="H149" s="788"/>
      <c r="I149" s="788"/>
      <c r="J149" s="178">
        <f>'6.1stYrOpBudget'!F149</f>
        <v>0</v>
      </c>
      <c r="K149" s="788"/>
      <c r="L149" s="788"/>
      <c r="M149" s="178">
        <f>IF(AND(M$126&gt;0,$F$129="Yes",$F$130="Yes",K$7&lt;=$G$130,K$7&lt;$G$132),M$126*$F149,IF(OR(AND(M$126&gt;0,$F$129="Yes",$F$130="yes",K$7&gt;$G$130),AND(M$126&gt;0,$F$129="Yes",$F$130="yes",K$7&gt;=$G$132)),M$126*'1.GeneralProjectInfo'!$L$65*$F149,IF(AND(M$126&gt;0,$F$129="Yes",$F$130="no"),M$126*'1.GeneralProjectInfo'!$L$62*$F149,0)))</f>
        <v>0</v>
      </c>
      <c r="N149" s="788"/>
      <c r="O149" s="788"/>
      <c r="P149" s="178">
        <f>IF(AND(P$126&gt;0,$F$129="Yes",$F$130="Yes",N$7&lt;=$G$130,N$7&lt;$G$132),P$126*$F149,IF(OR(AND(P$126&gt;0,$F$129="Yes",$F$130="yes",N$7&gt;$G$130),AND(P$126&gt;0,$F$129="Yes",$F$130="yes",N$7&gt;=$G$132)),P$126*'1.GeneralProjectInfo'!$L$65*$F149,IF(AND(P$126&gt;0,$F$129="Yes",$F$130="no"),P$126*'1.GeneralProjectInfo'!$L$62*$F149,0)))</f>
        <v>0</v>
      </c>
      <c r="Q149" s="788"/>
      <c r="R149" s="788"/>
      <c r="S149" s="178">
        <f>IF(AND(S$126&gt;0,$F$129="Yes",$F$130="Yes",Q$7&lt;=$G$130,Q$7&lt;$G$132),S$126*$F149,IF(OR(AND(S$126&gt;0,$F$129="Yes",$F$130="yes",Q$7&gt;$G$130),AND(S$126&gt;0,$F$129="Yes",$F$130="yes",Q$7&gt;=$G$132)),S$126*'1.GeneralProjectInfo'!$L$65*$F149,IF(AND(S$126&gt;0,$F$129="Yes",$F$130="no"),S$126*'1.GeneralProjectInfo'!$L$62*$F149,0)))</f>
        <v>0</v>
      </c>
      <c r="T149" s="788"/>
      <c r="U149" s="788"/>
      <c r="V149" s="178">
        <f>IF(AND(V$126&gt;0,$F$129="Yes",$F$130="Yes",T$7&lt;=$G$130,T$7&lt;$G$132),V$126*$F149,IF(OR(AND(V$126&gt;0,$F$129="Yes",$F$130="yes",T$7&gt;$G$130),AND(V$126&gt;0,$F$129="Yes",$F$130="yes",T$7&gt;=$G$132)),V$126*'1.GeneralProjectInfo'!$L$65*$F149,IF(AND(V$126&gt;0,$F$129="Yes",$F$130="no"),V$126*'1.GeneralProjectInfo'!$L$62*$F149,0)))</f>
        <v>0</v>
      </c>
      <c r="W149" s="788"/>
      <c r="X149" s="788"/>
      <c r="Y149" s="178">
        <f>IF(AND(Y$126&gt;0,$F$129="Yes",$F$130="Yes",W$7&lt;=$G$130,W$7&lt;$G$132),Y$126*$F149,IF(OR(AND(Y$126&gt;0,$F$129="Yes",$F$130="yes",W$7&gt;$G$130),AND(Y$126&gt;0,$F$129="Yes",$F$130="yes",W$7&gt;=$G$132)),Y$126*'1.GeneralProjectInfo'!$L$65*$F149,IF(AND(Y$126&gt;0,$F$129="Yes",$F$130="no"),Y$126*'1.GeneralProjectInfo'!$L$62*$F149,0)))</f>
        <v>0</v>
      </c>
      <c r="Z149" s="788"/>
      <c r="AA149" s="788"/>
      <c r="AB149" s="178">
        <f>IF(AND(AB$126&gt;0,$F$129="Yes",$F$130="Yes",Z$7&lt;=$G$130,Z$7&lt;$G$132),AB$126*$F149,IF(OR(AND(AB$126&gt;0,$F$129="Yes",$F$130="yes",Z$7&gt;$G$130),AND(AB$126&gt;0,$F$129="Yes",$F$130="yes",Z$7&gt;=$G$132)),AB$126*'1.GeneralProjectInfo'!$L$65*$F149,IF(AND(AB$126&gt;0,$F$129="Yes",$F$130="no"),AB$126*'1.GeneralProjectInfo'!$L$62*$F149,0)))</f>
        <v>0</v>
      </c>
      <c r="AC149" s="788"/>
      <c r="AD149" s="788"/>
      <c r="AE149" s="178">
        <f>IF(AND(AE$126&gt;0,$F$129="Yes",$F$130="Yes",AC$7&lt;=$G$130,AC$7&lt;$G$132),AE$126*$F149,IF(OR(AND(AE$126&gt;0,$F$129="Yes",$F$130="yes",AC$7&gt;$G$130),AND(AE$126&gt;0,$F$129="Yes",$F$130="yes",AC$7&gt;=$G$132)),AE$126*'1.GeneralProjectInfo'!$L$65*$F149,IF(AND(AE$126&gt;0,$F$129="Yes",$F$130="no"),AE$126*'1.GeneralProjectInfo'!$L$62*$F149,0)))</f>
        <v>0</v>
      </c>
      <c r="AF149" s="788"/>
      <c r="AG149" s="788"/>
      <c r="AH149" s="178">
        <f>IF(AND(AH$126&gt;0,$F$129="Yes",$F$130="Yes",AF$7&lt;=$G$130,AF$7&lt;$G$132),AH$126*$F149,IF(OR(AND(AH$126&gt;0,$F$129="Yes",$F$130="yes",AF$7&gt;$G$130),AND(AH$126&gt;0,$F$129="Yes",$F$130="yes",AF$7&gt;=$G$132)),AH$126*'1.GeneralProjectInfo'!$L$65*$F149,IF(AND(AH$126&gt;0,$F$129="Yes",$F$130="no"),AH$126*'1.GeneralProjectInfo'!$L$62*$F149,0)))</f>
        <v>0</v>
      </c>
      <c r="AI149" s="788"/>
      <c r="AJ149" s="788"/>
      <c r="AK149" s="178">
        <f>IF(AND(AK$126&gt;0,$F$129="Yes",$F$130="Yes",AI$7&lt;=$G$130,AI$7&lt;$G$132),AK$126*$F149,IF(OR(AND(AK$126&gt;0,$F$129="Yes",$F$130="yes",AI$7&gt;$G$130),AND(AK$126&gt;0,$F$129="Yes",$F$130="yes",AI$7&gt;=$G$132)),AK$126*'1.GeneralProjectInfo'!$L$65*$F149,IF(AND(AK$126&gt;0,$F$129="Yes",$F$130="no"),AK$126*'1.GeneralProjectInfo'!$L$62*$F149,0)))</f>
        <v>0</v>
      </c>
      <c r="AL149" s="788"/>
      <c r="AM149" s="788"/>
      <c r="AN149" s="178">
        <f>IF(AND(AN$126&gt;0,$F$129="Yes",$F$130="Yes",AL$7&lt;=$G$130,AL$7&lt;$G$132),AN$126*$F149,IF(OR(AND(AN$126&gt;0,$F$129="Yes",$F$130="yes",AL$7&gt;$G$130),AND(AN$126&gt;0,$F$129="Yes",$F$130="yes",AL$7&gt;=$G$132)),AN$126*'1.GeneralProjectInfo'!$L$65*$F149,IF(AND(AN$126&gt;0,$F$129="Yes",$F$130="no"),AN$126*'1.GeneralProjectInfo'!$L$62*$F149,0)))</f>
        <v>0</v>
      </c>
      <c r="AO149" s="788"/>
      <c r="AP149" s="788"/>
      <c r="AQ149" s="178">
        <f>IF(AND(AQ$126&gt;0,$F$129="Yes",$F$130="Yes",AO$7&lt;=$G$130,AO$7&lt;$G$132),AQ$126*$F149,IF(OR(AND(AQ$126&gt;0,$F$129="Yes",$F$130="yes",AO$7&gt;$G$130),AND(AQ$126&gt;0,$F$129="Yes",$F$130="yes",AO$7&gt;=$G$132)),AQ$126*'1.GeneralProjectInfo'!$L$65*$F149,IF(AND(AQ$126&gt;0,$F$129="Yes",$F$130="no"),AQ$126*'1.GeneralProjectInfo'!$L$62*$F149,0)))</f>
        <v>0</v>
      </c>
      <c r="AR149" s="788"/>
      <c r="AS149" s="788"/>
      <c r="AT149" s="178">
        <f>IF(AND(AT$126&gt;0,$F$129="Yes",$F$130="Yes",AR$7&lt;=$G$130,AR$7&lt;$G$132),AT$126*$F149,IF(OR(AND(AT$126&gt;0,$F$129="Yes",$F$130="yes",AR$7&gt;$G$130),AND(AT$126&gt;0,$F$129="Yes",$F$130="yes",AR$7&gt;=$G$132)),AT$126*'1.GeneralProjectInfo'!$L$65*$F149,IF(AND(AT$126&gt;0,$F$129="Yes",$F$130="no"),AT$126*'1.GeneralProjectInfo'!$L$62*$F149,0)))</f>
        <v>0</v>
      </c>
      <c r="AU149" s="788"/>
      <c r="AV149" s="788"/>
      <c r="AW149" s="178">
        <f>IF(AND(AW$126&gt;0,$F$129="Yes",$F$130="Yes",AU$7&lt;=$G$130,AU$7&lt;$G$132),AW$126*$F149,IF(OR(AND(AW$126&gt;0,$F$129="Yes",$F$130="yes",AU$7&gt;$G$130),AND(AW$126&gt;0,$F$129="Yes",$F$130="yes",AU$7&gt;=$G$132)),AW$126*'1.GeneralProjectInfo'!$L$65*$F149,IF(AND(AW$126&gt;0,$F$129="Yes",$F$130="no"),AW$126*'1.GeneralProjectInfo'!$L$62*$F149,0)))</f>
        <v>0</v>
      </c>
      <c r="AX149" s="788"/>
      <c r="AY149" s="788"/>
      <c r="AZ149" s="178">
        <f>IF(AND(AZ$126&gt;0,$F$129="Yes",$F$130="Yes",AX$7&lt;=$G$130,AX$7&lt;$G$132),AZ$126*$F149,IF(OR(AND(AZ$126&gt;0,$F$129="Yes",$F$130="yes",AX$7&gt;$G$130),AND(AZ$126&gt;0,$F$129="Yes",$F$130="yes",AX$7&gt;=$G$132)),AZ$126*'1.GeneralProjectInfo'!$L$65*$F149,IF(AND(AZ$126&gt;0,$F$129="Yes",$F$130="no"),AZ$126*'1.GeneralProjectInfo'!$L$62*$F149,0)))</f>
        <v>0</v>
      </c>
      <c r="BA149" s="788"/>
      <c r="BB149" s="788"/>
      <c r="BC149" s="178">
        <f>IF(AND(BC$126&gt;0,$F$129="Yes",$F$130="Yes",BA$7&lt;=$G$130,BA$7&lt;$G$132),BC$126*$F149,IF(OR(AND(BC$126&gt;0,$F$129="Yes",$F$130="yes",BA$7&gt;$G$130),AND(BC$126&gt;0,$F$129="Yes",$F$130="yes",BA$7&gt;=$G$132)),BC$126*'1.GeneralProjectInfo'!$L$65*$F149,IF(AND(BC$126&gt;0,$F$129="Yes",$F$130="no"),BC$126*'1.GeneralProjectInfo'!$L$62*$F149,0)))</f>
        <v>0</v>
      </c>
      <c r="BD149" s="788"/>
      <c r="BE149" s="788"/>
      <c r="BF149" s="178">
        <f>IF(AND(BF$126&gt;0,$F$129="Yes",$F$130="Yes",BD$7&lt;=$G$130,BD$7&lt;$G$132),BF$126*$F149,IF(OR(AND(BF$126&gt;0,$F$129="Yes",$F$130="yes",BD$7&gt;$G$130),AND(BF$126&gt;0,$F$129="Yes",$F$130="yes",BD$7&gt;=$G$132)),BF$126*'1.GeneralProjectInfo'!$L$65*$F149,IF(AND(BF$126&gt;0,$F$129="Yes",$F$130="no"),BF$126*'1.GeneralProjectInfo'!$L$62*$F149,0)))</f>
        <v>0</v>
      </c>
      <c r="BG149" s="788"/>
      <c r="BH149" s="788"/>
      <c r="BI149" s="178">
        <f>IF(AND(BI$126&gt;0,$F$129="Yes",$F$130="Yes",BG$7&lt;=$G$130,BG$7&lt;$G$132),BI$126*$F149,IF(OR(AND(BI$126&gt;0,$F$129="Yes",$F$130="yes",BG$7&gt;$G$130),AND(BI$126&gt;0,$F$129="Yes",$F$130="yes",BG$7&gt;=$G$132)),BI$126*'1.GeneralProjectInfo'!$L$65*$F149,IF(AND(BI$126&gt;0,$F$129="Yes",$F$130="no"),BI$126*'1.GeneralProjectInfo'!$L$62*$F149,0)))</f>
        <v>0</v>
      </c>
      <c r="BJ149" s="788"/>
      <c r="BK149" s="788"/>
      <c r="BL149" s="178">
        <f>IF(AND(BL$126&gt;0,$F$129="Yes",$F$130="Yes",BJ$7&lt;=$G$130,BJ$7&lt;$G$132),BL$126*$F149,IF(OR(AND(BL$126&gt;0,$F$129="Yes",$F$130="yes",BJ$7&gt;$G$130),AND(BL$126&gt;0,$F$129="Yes",$F$130="yes",BJ$7&gt;=$G$132)),BL$126*'1.GeneralProjectInfo'!$L$65*$F149,IF(AND(BL$126&gt;0,$F$129="Yes",$F$130="no"),BL$126*'1.GeneralProjectInfo'!$L$62*$F149,0)))</f>
        <v>0</v>
      </c>
      <c r="BM149" s="788"/>
      <c r="BN149" s="788"/>
      <c r="BO149" s="178">
        <f>IF(AND(BO$126&gt;0,$F$129="Yes",$F$130="Yes",BM$7&lt;=$G$130,BM$7&lt;$G$132),BO$126*$F149,IF(OR(AND(BO$126&gt;0,$F$129="Yes",$F$130="yes",BM$7&gt;$G$130),AND(BO$126&gt;0,$F$129="Yes",$F$130="yes",BM$7&gt;=$G$132)),BO$126*'1.GeneralProjectInfo'!$L$65*$F149,IF(AND(BO$126&gt;0,$F$129="Yes",$F$130="no"),BO$126*'1.GeneralProjectInfo'!$L$62*$F149,0)))</f>
        <v>0</v>
      </c>
      <c r="BP149" s="5"/>
      <c r="BQ149" s="5"/>
      <c r="BR149" s="5"/>
      <c r="BS149" s="5"/>
      <c r="BT149" s="5"/>
      <c r="BU149" s="5"/>
      <c r="BV149" s="5"/>
    </row>
    <row r="150" spans="3:74" ht="14.4">
      <c r="C150" s="2059" t="str">
        <f>'6.1stYrOpBudget'!A150</f>
        <v>Lender 4 Residual Receipts Due</v>
      </c>
      <c r="D150" s="124"/>
      <c r="E150" s="124"/>
      <c r="F150" s="1079">
        <f>'6.1stYrOpBudget'!I138</f>
        <v>0</v>
      </c>
      <c r="G150" s="243" t="str">
        <f>IF(F150&gt;0,"Allocation per pro rata share of all soft debt loans, and MOHCD residual receipts policy.","")</f>
        <v/>
      </c>
      <c r="H150" s="788"/>
      <c r="I150" s="788"/>
      <c r="J150" s="178">
        <f>'6.1stYrOpBudget'!F150</f>
        <v>0</v>
      </c>
      <c r="K150" s="788"/>
      <c r="L150" s="788"/>
      <c r="M150" s="178">
        <f>IF(AND(M$126&gt;0,$F$129="Yes",$F$130="Yes",K$7&lt;=$G$130,K$7&lt;$G$132),M$126*$F150,IF(OR(AND(M$126&gt;0,$F$129="Yes",$F$130="yes",K$7&gt;$G$130),AND(M$126&gt;0,$F$129="Yes",$F$130="yes",K$7&gt;=$G$132)),M$126*'1.GeneralProjectInfo'!$L$65*$F150,IF(AND(M$126&gt;0,$F$129="Yes",$F$130="no"),M$126*'1.GeneralProjectInfo'!$L$62*$F150,0)))</f>
        <v>0</v>
      </c>
      <c r="N150" s="788"/>
      <c r="O150" s="788"/>
      <c r="P150" s="178">
        <f>IF(AND(P$126&gt;0,$F$129="Yes",$F$130="Yes",N$7&lt;=$G$130,N$7&lt;$G$132),P$126*$F150,IF(OR(AND(P$126&gt;0,$F$129="Yes",$F$130="yes",N$7&gt;$G$130),AND(P$126&gt;0,$F$129="Yes",$F$130="yes",N$7&gt;=$G$132)),P$126*'1.GeneralProjectInfo'!$L$65*$F150,IF(AND(P$126&gt;0,$F$129="Yes",$F$130="no"),P$126*'1.GeneralProjectInfo'!$L$62*$F150,0)))</f>
        <v>0</v>
      </c>
      <c r="Q150" s="788"/>
      <c r="R150" s="788"/>
      <c r="S150" s="178">
        <f>IF(AND(S$126&gt;0,$F$129="Yes",$F$130="Yes",Q$7&lt;=$G$130,Q$7&lt;$G$132),S$126*$F150,IF(OR(AND(S$126&gt;0,$F$129="Yes",$F$130="yes",Q$7&gt;$G$130),AND(S$126&gt;0,$F$129="Yes",$F$130="yes",Q$7&gt;=$G$132)),S$126*'1.GeneralProjectInfo'!$L$65*$F150,IF(AND(S$126&gt;0,$F$129="Yes",$F$130="no"),S$126*'1.GeneralProjectInfo'!$L$62*$F150,0)))</f>
        <v>0</v>
      </c>
      <c r="T150" s="788"/>
      <c r="U150" s="788"/>
      <c r="V150" s="178">
        <f>IF(AND(V$126&gt;0,$F$129="Yes",$F$130="Yes",T$7&lt;=$G$130,T$7&lt;$G$132),V$126*$F150,IF(OR(AND(V$126&gt;0,$F$129="Yes",$F$130="yes",T$7&gt;$G$130),AND(V$126&gt;0,$F$129="Yes",$F$130="yes",T$7&gt;=$G$132)),V$126*'1.GeneralProjectInfo'!$L$65*$F150,IF(AND(V$126&gt;0,$F$129="Yes",$F$130="no"),V$126*'1.GeneralProjectInfo'!$L$62*$F150,0)))</f>
        <v>0</v>
      </c>
      <c r="W150" s="788"/>
      <c r="X150" s="788"/>
      <c r="Y150" s="178">
        <f>IF(AND(Y$126&gt;0,$F$129="Yes",$F$130="Yes",W$7&lt;=$G$130,W$7&lt;$G$132),Y$126*$F150,IF(OR(AND(Y$126&gt;0,$F$129="Yes",$F$130="yes",W$7&gt;$G$130),AND(Y$126&gt;0,$F$129="Yes",$F$130="yes",W$7&gt;=$G$132)),Y$126*'1.GeneralProjectInfo'!$L$65*$F150,IF(AND(Y$126&gt;0,$F$129="Yes",$F$130="no"),Y$126*'1.GeneralProjectInfo'!$L$62*$F150,0)))</f>
        <v>0</v>
      </c>
      <c r="Z150" s="788"/>
      <c r="AA150" s="788"/>
      <c r="AB150" s="178">
        <f>IF(AND(AB$126&gt;0,$F$129="Yes",$F$130="Yes",Z$7&lt;=$G$130,Z$7&lt;$G$132),AB$126*$F150,IF(OR(AND(AB$126&gt;0,$F$129="Yes",$F$130="yes",Z$7&gt;$G$130),AND(AB$126&gt;0,$F$129="Yes",$F$130="yes",Z$7&gt;=$G$132)),AB$126*'1.GeneralProjectInfo'!$L$65*$F150,IF(AND(AB$126&gt;0,$F$129="Yes",$F$130="no"),AB$126*'1.GeneralProjectInfo'!$L$62*$F150,0)))</f>
        <v>0</v>
      </c>
      <c r="AC150" s="788"/>
      <c r="AD150" s="788"/>
      <c r="AE150" s="178">
        <f>IF(AND(AE$126&gt;0,$F$129="Yes",$F$130="Yes",AC$7&lt;=$G$130,AC$7&lt;$G$132),AE$126*$F150,IF(OR(AND(AE$126&gt;0,$F$129="Yes",$F$130="yes",AC$7&gt;$G$130),AND(AE$126&gt;0,$F$129="Yes",$F$130="yes",AC$7&gt;=$G$132)),AE$126*'1.GeneralProjectInfo'!$L$65*$F150,IF(AND(AE$126&gt;0,$F$129="Yes",$F$130="no"),AE$126*'1.GeneralProjectInfo'!$L$62*$F150,0)))</f>
        <v>0</v>
      </c>
      <c r="AF150" s="788"/>
      <c r="AG150" s="788"/>
      <c r="AH150" s="178">
        <f>IF(AND(AH$126&gt;0,$F$129="Yes",$F$130="Yes",AF$7&lt;=$G$130,AF$7&lt;$G$132),AH$126*$F150,IF(OR(AND(AH$126&gt;0,$F$129="Yes",$F$130="yes",AF$7&gt;$G$130),AND(AH$126&gt;0,$F$129="Yes",$F$130="yes",AF$7&gt;=$G$132)),AH$126*'1.GeneralProjectInfo'!$L$65*$F150,IF(AND(AH$126&gt;0,$F$129="Yes",$F$130="no"),AH$126*'1.GeneralProjectInfo'!$L$62*$F150,0)))</f>
        <v>0</v>
      </c>
      <c r="AI150" s="788"/>
      <c r="AJ150" s="788"/>
      <c r="AK150" s="178">
        <f>IF(AND(AK$126&gt;0,$F$129="Yes",$F$130="Yes",AI$7&lt;=$G$130,AI$7&lt;$G$132),AK$126*$F150,IF(OR(AND(AK$126&gt;0,$F$129="Yes",$F$130="yes",AI$7&gt;$G$130),AND(AK$126&gt;0,$F$129="Yes",$F$130="yes",AI$7&gt;=$G$132)),AK$126*'1.GeneralProjectInfo'!$L$65*$F150,IF(AND(AK$126&gt;0,$F$129="Yes",$F$130="no"),AK$126*'1.GeneralProjectInfo'!$L$62*$F150,0)))</f>
        <v>0</v>
      </c>
      <c r="AL150" s="788"/>
      <c r="AM150" s="788"/>
      <c r="AN150" s="178">
        <f>IF(AND(AN$126&gt;0,$F$129="Yes",$F$130="Yes",AL$7&lt;=$G$130,AL$7&lt;$G$132),AN$126*$F150,IF(OR(AND(AN$126&gt;0,$F$129="Yes",$F$130="yes",AL$7&gt;$G$130),AND(AN$126&gt;0,$F$129="Yes",$F$130="yes",AL$7&gt;=$G$132)),AN$126*'1.GeneralProjectInfo'!$L$65*$F150,IF(AND(AN$126&gt;0,$F$129="Yes",$F$130="no"),AN$126*'1.GeneralProjectInfo'!$L$62*$F150,0)))</f>
        <v>0</v>
      </c>
      <c r="AO150" s="788"/>
      <c r="AP150" s="788"/>
      <c r="AQ150" s="178">
        <f>IF(AND(AQ$126&gt;0,$F$129="Yes",$F$130="Yes",AO$7&lt;=$G$130,AO$7&lt;$G$132),AQ$126*$F150,IF(OR(AND(AQ$126&gt;0,$F$129="Yes",$F$130="yes",AO$7&gt;$G$130),AND(AQ$126&gt;0,$F$129="Yes",$F$130="yes",AO$7&gt;=$G$132)),AQ$126*'1.GeneralProjectInfo'!$L$65*$F150,IF(AND(AQ$126&gt;0,$F$129="Yes",$F$130="no"),AQ$126*'1.GeneralProjectInfo'!$L$62*$F150,0)))</f>
        <v>0</v>
      </c>
      <c r="AR150" s="788"/>
      <c r="AS150" s="788"/>
      <c r="AT150" s="178">
        <f>IF(AND(AT$126&gt;0,$F$129="Yes",$F$130="Yes",AR$7&lt;=$G$130,AR$7&lt;$G$132),AT$126*$F150,IF(OR(AND(AT$126&gt;0,$F$129="Yes",$F$130="yes",AR$7&gt;$G$130),AND(AT$126&gt;0,$F$129="Yes",$F$130="yes",AR$7&gt;=$G$132)),AT$126*'1.GeneralProjectInfo'!$L$65*$F150,IF(AND(AT$126&gt;0,$F$129="Yes",$F$130="no"),AT$126*'1.GeneralProjectInfo'!$L$62*$F150,0)))</f>
        <v>0</v>
      </c>
      <c r="AU150" s="788"/>
      <c r="AV150" s="788"/>
      <c r="AW150" s="178">
        <f>IF(AND(AW$126&gt;0,$F$129="Yes",$F$130="Yes",AU$7&lt;=$G$130,AU$7&lt;$G$132),AW$126*$F150,IF(OR(AND(AW$126&gt;0,$F$129="Yes",$F$130="yes",AU$7&gt;$G$130),AND(AW$126&gt;0,$F$129="Yes",$F$130="yes",AU$7&gt;=$G$132)),AW$126*'1.GeneralProjectInfo'!$L$65*$F150,IF(AND(AW$126&gt;0,$F$129="Yes",$F$130="no"),AW$126*'1.GeneralProjectInfo'!$L$62*$F150,0)))</f>
        <v>0</v>
      </c>
      <c r="AX150" s="788"/>
      <c r="AY150" s="788"/>
      <c r="AZ150" s="178">
        <f>IF(AND(AZ$126&gt;0,$F$129="Yes",$F$130="Yes",AX$7&lt;=$G$130,AX$7&lt;$G$132),AZ$126*$F150,IF(OR(AND(AZ$126&gt;0,$F$129="Yes",$F$130="yes",AX$7&gt;$G$130),AND(AZ$126&gt;0,$F$129="Yes",$F$130="yes",AX$7&gt;=$G$132)),AZ$126*'1.GeneralProjectInfo'!$L$65*$F150,IF(AND(AZ$126&gt;0,$F$129="Yes",$F$130="no"),AZ$126*'1.GeneralProjectInfo'!$L$62*$F150,0)))</f>
        <v>0</v>
      </c>
      <c r="BA150" s="788"/>
      <c r="BB150" s="788"/>
      <c r="BC150" s="178">
        <f>IF(AND(BC$126&gt;0,$F$129="Yes",$F$130="Yes",BA$7&lt;=$G$130,BA$7&lt;$G$132),BC$126*$F150,IF(OR(AND(BC$126&gt;0,$F$129="Yes",$F$130="yes",BA$7&gt;$G$130),AND(BC$126&gt;0,$F$129="Yes",$F$130="yes",BA$7&gt;=$G$132)),BC$126*'1.GeneralProjectInfo'!$L$65*$F150,IF(AND(BC$126&gt;0,$F$129="Yes",$F$130="no"),BC$126*'1.GeneralProjectInfo'!$L$62*$F150,0)))</f>
        <v>0</v>
      </c>
      <c r="BD150" s="788"/>
      <c r="BE150" s="788"/>
      <c r="BF150" s="178">
        <f>IF(AND(BF$126&gt;0,$F$129="Yes",$F$130="Yes",BD$7&lt;=$G$130,BD$7&lt;$G$132),BF$126*$F150,IF(OR(AND(BF$126&gt;0,$F$129="Yes",$F$130="yes",BD$7&gt;$G$130),AND(BF$126&gt;0,$F$129="Yes",$F$130="yes",BD$7&gt;=$G$132)),BF$126*'1.GeneralProjectInfo'!$L$65*$F150,IF(AND(BF$126&gt;0,$F$129="Yes",$F$130="no"),BF$126*'1.GeneralProjectInfo'!$L$62*$F150,0)))</f>
        <v>0</v>
      </c>
      <c r="BG150" s="788"/>
      <c r="BH150" s="788"/>
      <c r="BI150" s="178">
        <f>IF(AND(BI$126&gt;0,$F$129="Yes",$F$130="Yes",BG$7&lt;=$G$130,BG$7&lt;$G$132),BI$126*$F150,IF(OR(AND(BI$126&gt;0,$F$129="Yes",$F$130="yes",BG$7&gt;$G$130),AND(BI$126&gt;0,$F$129="Yes",$F$130="yes",BG$7&gt;=$G$132)),BI$126*'1.GeneralProjectInfo'!$L$65*$F150,IF(AND(BI$126&gt;0,$F$129="Yes",$F$130="no"),BI$126*'1.GeneralProjectInfo'!$L$62*$F150,0)))</f>
        <v>0</v>
      </c>
      <c r="BJ150" s="788"/>
      <c r="BK150" s="788"/>
      <c r="BL150" s="178">
        <f>IF(AND(BL$126&gt;0,$F$129="Yes",$F$130="Yes",BJ$7&lt;=$G$130,BJ$7&lt;$G$132),BL$126*$F150,IF(OR(AND(BL$126&gt;0,$F$129="Yes",$F$130="yes",BJ$7&gt;$G$130),AND(BL$126&gt;0,$F$129="Yes",$F$130="yes",BJ$7&gt;=$G$132)),BL$126*'1.GeneralProjectInfo'!$L$65*$F150,IF(AND(BL$126&gt;0,$F$129="Yes",$F$130="no"),BL$126*'1.GeneralProjectInfo'!$L$62*$F150,0)))</f>
        <v>0</v>
      </c>
      <c r="BM150" s="788"/>
      <c r="BN150" s="788"/>
      <c r="BO150" s="178">
        <f>IF(AND(BO$126&gt;0,$F$129="Yes",$F$130="Yes",BM$7&lt;=$G$130,BM$7&lt;$G$132),BO$126*$F150,IF(OR(AND(BO$126&gt;0,$F$129="Yes",$F$130="yes",BM$7&gt;$G$130),AND(BO$126&gt;0,$F$129="Yes",$F$130="yes",BM$7&gt;=$G$132)),BO$126*'1.GeneralProjectInfo'!$L$65*$F150,IF(AND(BO$126&gt;0,$F$129="Yes",$F$130="no"),BO$126*'1.GeneralProjectInfo'!$L$62*$F150,0)))</f>
        <v>0</v>
      </c>
      <c r="BP150" s="5"/>
      <c r="BQ150" s="5"/>
      <c r="BR150" s="5"/>
      <c r="BS150" s="5"/>
      <c r="BT150" s="5"/>
      <c r="BU150" s="5"/>
      <c r="BV150" s="5"/>
    </row>
    <row r="151" spans="3:74" ht="15" thickBot="1">
      <c r="C151" s="2059" t="str">
        <f>'6.1stYrOpBudget'!A151</f>
        <v>Lender 5 Residual Receipts Due</v>
      </c>
      <c r="D151" s="124"/>
      <c r="E151" s="124"/>
      <c r="F151" s="1080">
        <f>'6.1stYrOpBudget'!I139</f>
        <v>0</v>
      </c>
      <c r="G151" s="243" t="str">
        <f>IF(F151&gt;0,"Allocation per pro rata share of all soft debt loans, and MOHCD residual receipts policy.","")</f>
        <v/>
      </c>
      <c r="H151" s="788"/>
      <c r="I151" s="788"/>
      <c r="J151" s="178">
        <f>'6.1stYrOpBudget'!F151</f>
        <v>0</v>
      </c>
      <c r="K151" s="788"/>
      <c r="L151" s="788"/>
      <c r="M151" s="178">
        <f>IF(AND(M$126&gt;0,$F$129="Yes",$F$130="Yes",K$7&lt;=$G$130,K$7&lt;$G$132),M$126*$F151,IF(OR(AND(M$126&gt;0,$F$129="Yes",$F$130="yes",K$7&gt;$G$130),AND(M$126&gt;0,$F$129="Yes",$F$130="yes",K$7&gt;=$G$132)),M$126*'1.GeneralProjectInfo'!$L$65*$F151,IF(AND(M$126&gt;0,$F$129="Yes",$F$130="no"),M$126*'1.GeneralProjectInfo'!$L$62*$F151,0)))</f>
        <v>0</v>
      </c>
      <c r="N151" s="788"/>
      <c r="O151" s="788"/>
      <c r="P151" s="178">
        <f>IF(AND(P$126&gt;0,$F$129="Yes",$F$130="Yes",N$7&lt;=$G$130,N$7&lt;$G$132),P$126*$F151,IF(OR(AND(P$126&gt;0,$F$129="Yes",$F$130="yes",N$7&gt;$G$130),AND(P$126&gt;0,$F$129="Yes",$F$130="yes",N$7&gt;=$G$132)),P$126*'1.GeneralProjectInfo'!$L$65*$F151,IF(AND(P$126&gt;0,$F$129="Yes",$F$130="no"),P$126*'1.GeneralProjectInfo'!$L$62*$F151,0)))</f>
        <v>0</v>
      </c>
      <c r="Q151" s="788"/>
      <c r="R151" s="788"/>
      <c r="S151" s="178">
        <f>IF(AND(S$126&gt;0,$F$129="Yes",$F$130="Yes",Q$7&lt;=$G$130,Q$7&lt;$G$132),S$126*$F151,IF(OR(AND(S$126&gt;0,$F$129="Yes",$F$130="yes",Q$7&gt;$G$130),AND(S$126&gt;0,$F$129="Yes",$F$130="yes",Q$7&gt;=$G$132)),S$126*'1.GeneralProjectInfo'!$L$65*$F151,IF(AND(S$126&gt;0,$F$129="Yes",$F$130="no"),S$126*'1.GeneralProjectInfo'!$L$62*$F151,0)))</f>
        <v>0</v>
      </c>
      <c r="T151" s="788"/>
      <c r="U151" s="788"/>
      <c r="V151" s="178">
        <f>IF(AND(V$126&gt;0,$F$129="Yes",$F$130="Yes",T$7&lt;=$G$130,T$7&lt;$G$132),V$126*$F151,IF(OR(AND(V$126&gt;0,$F$129="Yes",$F$130="yes",T$7&gt;$G$130),AND(V$126&gt;0,$F$129="Yes",$F$130="yes",T$7&gt;=$G$132)),V$126*'1.GeneralProjectInfo'!$L$65*$F151,IF(AND(V$126&gt;0,$F$129="Yes",$F$130="no"),V$126*'1.GeneralProjectInfo'!$L$62*$F151,0)))</f>
        <v>0</v>
      </c>
      <c r="W151" s="788"/>
      <c r="X151" s="788"/>
      <c r="Y151" s="178">
        <f>IF(AND(Y$126&gt;0,$F$129="Yes",$F$130="Yes",W$7&lt;=$G$130,W$7&lt;$G$132),Y$126*$F151,IF(OR(AND(Y$126&gt;0,$F$129="Yes",$F$130="yes",W$7&gt;$G$130),AND(Y$126&gt;0,$F$129="Yes",$F$130="yes",W$7&gt;=$G$132)),Y$126*'1.GeneralProjectInfo'!$L$65*$F151,IF(AND(Y$126&gt;0,$F$129="Yes",$F$130="no"),Y$126*'1.GeneralProjectInfo'!$L$62*$F151,0)))</f>
        <v>0</v>
      </c>
      <c r="Z151" s="788"/>
      <c r="AA151" s="788"/>
      <c r="AB151" s="178">
        <f>IF(AND(AB$126&gt;0,$F$129="Yes",$F$130="Yes",Z$7&lt;=$G$130,Z$7&lt;$G$132),AB$126*$F151,IF(OR(AND(AB$126&gt;0,$F$129="Yes",$F$130="yes",Z$7&gt;$G$130),AND(AB$126&gt;0,$F$129="Yes",$F$130="yes",Z$7&gt;=$G$132)),AB$126*'1.GeneralProjectInfo'!$L$65*$F151,IF(AND(AB$126&gt;0,$F$129="Yes",$F$130="no"),AB$126*'1.GeneralProjectInfo'!$L$62*$F151,0)))</f>
        <v>0</v>
      </c>
      <c r="AC151" s="788"/>
      <c r="AD151" s="788"/>
      <c r="AE151" s="178">
        <f>IF(AND(AE$126&gt;0,$F$129="Yes",$F$130="Yes",AC$7&lt;=$G$130,AC$7&lt;$G$132),AE$126*$F151,IF(OR(AND(AE$126&gt;0,$F$129="Yes",$F$130="yes",AC$7&gt;$G$130),AND(AE$126&gt;0,$F$129="Yes",$F$130="yes",AC$7&gt;=$G$132)),AE$126*'1.GeneralProjectInfo'!$L$65*$F151,IF(AND(AE$126&gt;0,$F$129="Yes",$F$130="no"),AE$126*'1.GeneralProjectInfo'!$L$62*$F151,0)))</f>
        <v>0</v>
      </c>
      <c r="AF151" s="788"/>
      <c r="AG151" s="788"/>
      <c r="AH151" s="178">
        <f>IF(AND(AH$126&gt;0,$F$129="Yes",$F$130="Yes",AF$7&lt;=$G$130,AF$7&lt;$G$132),AH$126*$F151,IF(OR(AND(AH$126&gt;0,$F$129="Yes",$F$130="yes",AF$7&gt;$G$130),AND(AH$126&gt;0,$F$129="Yes",$F$130="yes",AF$7&gt;=$G$132)),AH$126*'1.GeneralProjectInfo'!$L$65*$F151,IF(AND(AH$126&gt;0,$F$129="Yes",$F$130="no"),AH$126*'1.GeneralProjectInfo'!$L$62*$F151,0)))</f>
        <v>0</v>
      </c>
      <c r="AI151" s="788"/>
      <c r="AJ151" s="788"/>
      <c r="AK151" s="178">
        <f>IF(AND(AK$126&gt;0,$F$129="Yes",$F$130="Yes",AI$7&lt;=$G$130,AI$7&lt;$G$132),AK$126*$F151,IF(OR(AND(AK$126&gt;0,$F$129="Yes",$F$130="yes",AI$7&gt;$G$130),AND(AK$126&gt;0,$F$129="Yes",$F$130="yes",AI$7&gt;=$G$132)),AK$126*'1.GeneralProjectInfo'!$L$65*$F151,IF(AND(AK$126&gt;0,$F$129="Yes",$F$130="no"),AK$126*'1.GeneralProjectInfo'!$L$62*$F151,0)))</f>
        <v>0</v>
      </c>
      <c r="AL151" s="788"/>
      <c r="AM151" s="788"/>
      <c r="AN151" s="178">
        <f>IF(AND(AN$126&gt;0,$F$129="Yes",$F$130="Yes",AL$7&lt;=$G$130,AL$7&lt;$G$132),AN$126*$F151,IF(OR(AND(AN$126&gt;0,$F$129="Yes",$F$130="yes",AL$7&gt;$G$130),AND(AN$126&gt;0,$F$129="Yes",$F$130="yes",AL$7&gt;=$G$132)),AN$126*'1.GeneralProjectInfo'!$L$65*$F151,IF(AND(AN$126&gt;0,$F$129="Yes",$F$130="no"),AN$126*'1.GeneralProjectInfo'!$L$62*$F151,0)))</f>
        <v>0</v>
      </c>
      <c r="AO151" s="788"/>
      <c r="AP151" s="788"/>
      <c r="AQ151" s="178">
        <f>IF(AND(AQ$126&gt;0,$F$129="Yes",$F$130="Yes",AO$7&lt;=$G$130,AO$7&lt;$G$132),AQ$126*$F151,IF(OR(AND(AQ$126&gt;0,$F$129="Yes",$F$130="yes",AO$7&gt;$G$130),AND(AQ$126&gt;0,$F$129="Yes",$F$130="yes",AO$7&gt;=$G$132)),AQ$126*'1.GeneralProjectInfo'!$L$65*$F151,IF(AND(AQ$126&gt;0,$F$129="Yes",$F$130="no"),AQ$126*'1.GeneralProjectInfo'!$L$62*$F151,0)))</f>
        <v>0</v>
      </c>
      <c r="AR151" s="788"/>
      <c r="AS151" s="788"/>
      <c r="AT151" s="178">
        <f>IF(AND(AT$126&gt;0,$F$129="Yes",$F$130="Yes",AR$7&lt;=$G$130,AR$7&lt;$G$132),AT$126*$F151,IF(OR(AND(AT$126&gt;0,$F$129="Yes",$F$130="yes",AR$7&gt;$G$130),AND(AT$126&gt;0,$F$129="Yes",$F$130="yes",AR$7&gt;=$G$132)),AT$126*'1.GeneralProjectInfo'!$L$65*$F151,IF(AND(AT$126&gt;0,$F$129="Yes",$F$130="no"),AT$126*'1.GeneralProjectInfo'!$L$62*$F151,0)))</f>
        <v>0</v>
      </c>
      <c r="AU151" s="788"/>
      <c r="AV151" s="788"/>
      <c r="AW151" s="178">
        <f>IF(AND(AW$126&gt;0,$F$129="Yes",$F$130="Yes",AU$7&lt;=$G$130,AU$7&lt;$G$132),AW$126*$F151,IF(OR(AND(AW$126&gt;0,$F$129="Yes",$F$130="yes",AU$7&gt;$G$130),AND(AW$126&gt;0,$F$129="Yes",$F$130="yes",AU$7&gt;=$G$132)),AW$126*'1.GeneralProjectInfo'!$L$65*$F151,IF(AND(AW$126&gt;0,$F$129="Yes",$F$130="no"),AW$126*'1.GeneralProjectInfo'!$L$62*$F151,0)))</f>
        <v>0</v>
      </c>
      <c r="AX151" s="788"/>
      <c r="AY151" s="788"/>
      <c r="AZ151" s="178">
        <f>IF(AND(AZ$126&gt;0,$F$129="Yes",$F$130="Yes",AX$7&lt;=$G$130,AX$7&lt;$G$132),AZ$126*$F151,IF(OR(AND(AZ$126&gt;0,$F$129="Yes",$F$130="yes",AX$7&gt;$G$130),AND(AZ$126&gt;0,$F$129="Yes",$F$130="yes",AX$7&gt;=$G$132)),AZ$126*'1.GeneralProjectInfo'!$L$65*$F151,IF(AND(AZ$126&gt;0,$F$129="Yes",$F$130="no"),AZ$126*'1.GeneralProjectInfo'!$L$62*$F151,0)))</f>
        <v>0</v>
      </c>
      <c r="BA151" s="788"/>
      <c r="BB151" s="788"/>
      <c r="BC151" s="178">
        <f>IF(AND(BC$126&gt;0,$F$129="Yes",$F$130="Yes",BA$7&lt;=$G$130,BA$7&lt;$G$132),BC$126*$F151,IF(OR(AND(BC$126&gt;0,$F$129="Yes",$F$130="yes",BA$7&gt;$G$130),AND(BC$126&gt;0,$F$129="Yes",$F$130="yes",BA$7&gt;=$G$132)),BC$126*'1.GeneralProjectInfo'!$L$65*$F151,IF(AND(BC$126&gt;0,$F$129="Yes",$F$130="no"),BC$126*'1.GeneralProjectInfo'!$L$62*$F151,0)))</f>
        <v>0</v>
      </c>
      <c r="BD151" s="788"/>
      <c r="BE151" s="788"/>
      <c r="BF151" s="178">
        <f>IF(AND(BF$126&gt;0,$F$129="Yes",$F$130="Yes",BD$7&lt;=$G$130,BD$7&lt;$G$132),BF$126*$F151,IF(OR(AND(BF$126&gt;0,$F$129="Yes",$F$130="yes",BD$7&gt;$G$130),AND(BF$126&gt;0,$F$129="Yes",$F$130="yes",BD$7&gt;=$G$132)),BF$126*'1.GeneralProjectInfo'!$L$65*$F151,IF(AND(BF$126&gt;0,$F$129="Yes",$F$130="no"),BF$126*'1.GeneralProjectInfo'!$L$62*$F151,0)))</f>
        <v>0</v>
      </c>
      <c r="BG151" s="788"/>
      <c r="BH151" s="788"/>
      <c r="BI151" s="178">
        <f>IF(AND(BI$126&gt;0,$F$129="Yes",$F$130="Yes",BG$7&lt;=$G$130,BG$7&lt;$G$132),BI$126*$F151,IF(OR(AND(BI$126&gt;0,$F$129="Yes",$F$130="yes",BG$7&gt;$G$130),AND(BI$126&gt;0,$F$129="Yes",$F$130="yes",BG$7&gt;=$G$132)),BI$126*'1.GeneralProjectInfo'!$L$65*$F151,IF(AND(BI$126&gt;0,$F$129="Yes",$F$130="no"),BI$126*'1.GeneralProjectInfo'!$L$62*$F151,0)))</f>
        <v>0</v>
      </c>
      <c r="BJ151" s="788"/>
      <c r="BK151" s="788"/>
      <c r="BL151" s="178">
        <f>IF(AND(BL$126&gt;0,$F$129="Yes",$F$130="Yes",BJ$7&lt;=$G$130,BJ$7&lt;$G$132),BL$126*$F151,IF(OR(AND(BL$126&gt;0,$F$129="Yes",$F$130="yes",BJ$7&gt;$G$130),AND(BL$126&gt;0,$F$129="Yes",$F$130="yes",BJ$7&gt;=$G$132)),BL$126*'1.GeneralProjectInfo'!$L$65*$F151,IF(AND(BL$126&gt;0,$F$129="Yes",$F$130="no"),BL$126*'1.GeneralProjectInfo'!$L$62*$F151,0)))</f>
        <v>0</v>
      </c>
      <c r="BM151" s="788"/>
      <c r="BN151" s="788"/>
      <c r="BO151" s="178">
        <f>IF(AND(BO$126&gt;0,$F$129="Yes",$F$130="Yes",BM$7&lt;=$G$130,BM$7&lt;$G$132),BO$126*$F151,IF(OR(AND(BO$126&gt;0,$F$129="Yes",$F$130="yes",BM$7&gt;$G$130),AND(BO$126&gt;0,$F$129="Yes",$F$130="yes",BM$7&gt;=$G$132)),BO$126*'1.GeneralProjectInfo'!$L$65*$F151,IF(AND(BO$126&gt;0,$F$129="Yes",$F$130="no"),BO$126*'1.GeneralProjectInfo'!$L$62*$F151,0)))</f>
        <v>0</v>
      </c>
      <c r="BP151" s="5"/>
      <c r="BQ151" s="5"/>
      <c r="BR151" s="5"/>
      <c r="BS151" s="5"/>
      <c r="BT151" s="5"/>
      <c r="BU151" s="5"/>
      <c r="BV151" s="5"/>
    </row>
    <row r="152" spans="3:74" ht="14.4">
      <c r="C152" s="1082" t="str">
        <f>'6.1stYrOpBudget'!A152</f>
        <v>Total Non-MOHCD Residual Receipts Debt Service</v>
      </c>
      <c r="D152" s="124"/>
      <c r="E152" s="124"/>
      <c r="F152" s="126"/>
      <c r="G152" s="21"/>
      <c r="H152" s="788"/>
      <c r="I152" s="788"/>
      <c r="J152" s="175">
        <f>'6.1stYrOpBudget'!F152</f>
        <v>0</v>
      </c>
      <c r="K152" s="788"/>
      <c r="L152" s="788"/>
      <c r="M152" s="175">
        <f>SUM(M149:M151)</f>
        <v>0</v>
      </c>
      <c r="N152" s="788"/>
      <c r="O152" s="788"/>
      <c r="P152" s="175">
        <f>SUM(P149:P151)</f>
        <v>0</v>
      </c>
      <c r="Q152" s="788"/>
      <c r="R152" s="788"/>
      <c r="S152" s="175">
        <f>SUM(S149:S151)</f>
        <v>0</v>
      </c>
      <c r="T152" s="788"/>
      <c r="U152" s="788"/>
      <c r="V152" s="175">
        <f>SUM(V149:V151)</f>
        <v>0</v>
      </c>
      <c r="W152" s="788"/>
      <c r="X152" s="788"/>
      <c r="Y152" s="175">
        <f>SUM(Y149:Y151)</f>
        <v>0</v>
      </c>
      <c r="Z152" s="788"/>
      <c r="AA152" s="788"/>
      <c r="AB152" s="175">
        <f>SUM(AB149:AB151)</f>
        <v>0</v>
      </c>
      <c r="AC152" s="788"/>
      <c r="AD152" s="788"/>
      <c r="AE152" s="175">
        <f>SUM(AE149:AE151)</f>
        <v>0</v>
      </c>
      <c r="AF152" s="788"/>
      <c r="AG152" s="788"/>
      <c r="AH152" s="175">
        <f>SUM(AH149:AH151)</f>
        <v>0</v>
      </c>
      <c r="AI152" s="788"/>
      <c r="AJ152" s="788"/>
      <c r="AK152" s="175">
        <f>SUM(AK149:AK151)</f>
        <v>0</v>
      </c>
      <c r="AL152" s="788"/>
      <c r="AM152" s="788"/>
      <c r="AN152" s="175">
        <f>SUM(AN149:AN151)</f>
        <v>0</v>
      </c>
      <c r="AO152" s="788"/>
      <c r="AP152" s="788"/>
      <c r="AQ152" s="175">
        <f>SUM(AQ149:AQ151)</f>
        <v>0</v>
      </c>
      <c r="AR152" s="788"/>
      <c r="AS152" s="788"/>
      <c r="AT152" s="175">
        <f>SUM(AT149:AT151)</f>
        <v>0</v>
      </c>
      <c r="AU152" s="788"/>
      <c r="AV152" s="788"/>
      <c r="AW152" s="175">
        <f>SUM(AW149:AW151)</f>
        <v>0</v>
      </c>
      <c r="AX152" s="788"/>
      <c r="AY152" s="788"/>
      <c r="AZ152" s="175">
        <f>SUM(AZ149:AZ151)</f>
        <v>0</v>
      </c>
      <c r="BA152" s="788"/>
      <c r="BB152" s="788"/>
      <c r="BC152" s="175">
        <f>SUM(BC149:BC151)</f>
        <v>0</v>
      </c>
      <c r="BD152" s="788"/>
      <c r="BE152" s="788"/>
      <c r="BF152" s="175">
        <f>SUM(BF149:BF151)</f>
        <v>0</v>
      </c>
      <c r="BG152" s="788"/>
      <c r="BH152" s="788"/>
      <c r="BI152" s="175">
        <f>SUM(BI149:BI151)</f>
        <v>0</v>
      </c>
      <c r="BJ152" s="788"/>
      <c r="BK152" s="788"/>
      <c r="BL152" s="175">
        <f>SUM(BL149:BL151)</f>
        <v>0</v>
      </c>
      <c r="BM152" s="788"/>
      <c r="BN152" s="788"/>
      <c r="BO152" s="175">
        <f>SUM(BO149:BO151)</f>
        <v>0</v>
      </c>
      <c r="BP152" s="5"/>
      <c r="BQ152" s="5"/>
      <c r="BR152" s="5"/>
      <c r="BS152" s="5"/>
      <c r="BT152" s="5"/>
      <c r="BU152" s="5"/>
      <c r="BV152" s="5"/>
    </row>
    <row r="153" spans="3:74" ht="8.1" customHeight="1">
      <c r="C153" s="129"/>
      <c r="D153" s="124"/>
      <c r="E153" s="124"/>
      <c r="F153" s="126"/>
      <c r="G153" s="21"/>
      <c r="H153" s="788"/>
      <c r="I153" s="788"/>
      <c r="J153" s="125"/>
      <c r="K153" s="788"/>
      <c r="L153" s="788"/>
      <c r="M153" s="175"/>
      <c r="N153" s="788"/>
      <c r="O153" s="788"/>
      <c r="P153" s="175"/>
      <c r="Q153" s="788"/>
      <c r="R153" s="788"/>
      <c r="S153" s="175"/>
      <c r="T153" s="788"/>
      <c r="U153" s="788"/>
      <c r="V153" s="175"/>
      <c r="W153" s="788"/>
      <c r="X153" s="788"/>
      <c r="Y153" s="175"/>
      <c r="Z153" s="788"/>
      <c r="AA153" s="788"/>
      <c r="AB153" s="175"/>
      <c r="AC153" s="788"/>
      <c r="AD153" s="788"/>
      <c r="AE153" s="175"/>
      <c r="AF153" s="788"/>
      <c r="AG153" s="788"/>
      <c r="AH153" s="175"/>
      <c r="AI153" s="788"/>
      <c r="AJ153" s="788"/>
      <c r="AK153" s="175"/>
      <c r="AL153" s="788"/>
      <c r="AM153" s="788"/>
      <c r="AN153" s="175"/>
      <c r="AO153" s="788"/>
      <c r="AP153" s="788"/>
      <c r="AQ153" s="175"/>
      <c r="AR153" s="788"/>
      <c r="AS153" s="788"/>
      <c r="AT153" s="175"/>
      <c r="AU153" s="788"/>
      <c r="AV153" s="788"/>
      <c r="AW153" s="175"/>
      <c r="AX153" s="788"/>
      <c r="AY153" s="788"/>
      <c r="AZ153" s="175"/>
      <c r="BA153" s="788"/>
      <c r="BB153" s="788"/>
      <c r="BC153" s="175"/>
      <c r="BD153" s="788"/>
      <c r="BE153" s="788"/>
      <c r="BF153" s="175"/>
      <c r="BG153" s="788"/>
      <c r="BH153" s="788"/>
      <c r="BI153" s="175"/>
      <c r="BJ153" s="788"/>
      <c r="BK153" s="788"/>
      <c r="BL153" s="175"/>
      <c r="BM153" s="788"/>
      <c r="BN153" s="788"/>
      <c r="BO153" s="175"/>
      <c r="BP153" s="5"/>
      <c r="BQ153" s="5"/>
      <c r="BR153" s="5"/>
      <c r="BS153" s="5"/>
      <c r="BT153" s="5"/>
      <c r="BU153" s="5"/>
      <c r="BV153" s="5"/>
    </row>
    <row r="154" spans="3:74" ht="28.2">
      <c r="C154" s="758" t="str">
        <f>'6.1stYrOpBudget'!A154</f>
        <v>REMAINDER (Should be zero unless there are distributions below)</v>
      </c>
      <c r="D154" s="128"/>
      <c r="E154" s="128"/>
      <c r="F154" s="699"/>
      <c r="G154" s="21"/>
      <c r="H154" s="788"/>
      <c r="I154" s="788"/>
      <c r="J154" s="175">
        <f>'6.1stYrOpBudget'!F154</f>
        <v>0</v>
      </c>
      <c r="K154" s="788"/>
      <c r="L154" s="788"/>
      <c r="M154" s="175">
        <f>IF(M126&gt;=0,M146-M152,0)</f>
        <v>0</v>
      </c>
      <c r="N154" s="788"/>
      <c r="O154" s="788"/>
      <c r="P154" s="175">
        <f>IF(P126&gt;=0,P146-P152,0)</f>
        <v>0</v>
      </c>
      <c r="Q154" s="788"/>
      <c r="R154" s="788"/>
      <c r="S154" s="175">
        <f>IF(S126&gt;=0,S146-S152,0)</f>
        <v>0</v>
      </c>
      <c r="T154" s="788"/>
      <c r="U154" s="788"/>
      <c r="V154" s="175">
        <f>IF(V126&gt;=0,V146-V152,0)</f>
        <v>0</v>
      </c>
      <c r="W154" s="788"/>
      <c r="X154" s="788"/>
      <c r="Y154" s="175">
        <f>IF(Y126&gt;=0,Y146-Y152,0)</f>
        <v>0</v>
      </c>
      <c r="Z154" s="788"/>
      <c r="AA154" s="788"/>
      <c r="AB154" s="175">
        <f>IF(AB126&gt;=0,AB146-AB152,0)</f>
        <v>0</v>
      </c>
      <c r="AC154" s="788"/>
      <c r="AD154" s="788"/>
      <c r="AE154" s="175">
        <f>IF(AE126&gt;=0,AE146-AE152,0)</f>
        <v>0</v>
      </c>
      <c r="AF154" s="788"/>
      <c r="AG154" s="788"/>
      <c r="AH154" s="175">
        <f>IF(AH126&gt;=0,AH146-AH152,0)</f>
        <v>0</v>
      </c>
      <c r="AI154" s="788"/>
      <c r="AJ154" s="788"/>
      <c r="AK154" s="175">
        <f>IF(AK126&gt;=0,AK146-AK152,0)</f>
        <v>0</v>
      </c>
      <c r="AL154" s="788"/>
      <c r="AM154" s="788"/>
      <c r="AN154" s="175">
        <f>IF(AN126&gt;=0,AN146-AN152,0)</f>
        <v>0</v>
      </c>
      <c r="AO154" s="788"/>
      <c r="AP154" s="788"/>
      <c r="AQ154" s="175">
        <f>IF(AQ126&gt;=0,AQ146-AQ152,0)</f>
        <v>0</v>
      </c>
      <c r="AR154" s="788"/>
      <c r="AS154" s="788"/>
      <c r="AT154" s="175">
        <f>IF(AT126&gt;=0,AT146-AT152,0)</f>
        <v>0</v>
      </c>
      <c r="AU154" s="788"/>
      <c r="AV154" s="788"/>
      <c r="AW154" s="175">
        <f>IF(AW126&gt;=0,AW146-AW152,0)</f>
        <v>0</v>
      </c>
      <c r="AX154" s="788"/>
      <c r="AY154" s="788"/>
      <c r="AZ154" s="175">
        <f>IF(AZ126&gt;=0,AZ146-AZ152,0)</f>
        <v>0</v>
      </c>
      <c r="BA154" s="788"/>
      <c r="BB154" s="788"/>
      <c r="BC154" s="175">
        <f>IF(BC126&gt;=0,BC146-BC152,0)</f>
        <v>0</v>
      </c>
      <c r="BD154" s="788"/>
      <c r="BE154" s="788"/>
      <c r="BF154" s="175">
        <f>IF(BF126&gt;=0,BF146-BF152,0)</f>
        <v>0</v>
      </c>
      <c r="BG154" s="788"/>
      <c r="BH154" s="788"/>
      <c r="BI154" s="175">
        <f>IF(BI126&gt;=0,BI146-BI152,0)</f>
        <v>0</v>
      </c>
      <c r="BJ154" s="788"/>
      <c r="BK154" s="788"/>
      <c r="BL154" s="175">
        <f>IF(BL126&gt;=0,BL146-BL152,0)</f>
        <v>0</v>
      </c>
      <c r="BM154" s="788"/>
      <c r="BN154" s="788"/>
      <c r="BO154" s="175">
        <f>IF(BO126&gt;=0,BO146-BO152,0)</f>
        <v>0</v>
      </c>
      <c r="BP154" s="5"/>
      <c r="BQ154" s="5"/>
      <c r="BR154" s="5"/>
      <c r="BS154" s="5"/>
      <c r="BT154" s="5"/>
      <c r="BU154" s="5"/>
      <c r="BV154" s="5"/>
    </row>
    <row r="155" spans="3:74" ht="13.8">
      <c r="C155" s="144" t="str">
        <f>'6.1stYrOpBudget'!A155</f>
        <v>Owner Distributions/Incentive Management Fee</v>
      </c>
      <c r="D155" s="128"/>
      <c r="E155" s="128"/>
      <c r="F155" s="1081"/>
      <c r="G155" s="64"/>
      <c r="H155" s="788"/>
      <c r="I155" s="788"/>
      <c r="J155" s="178">
        <f>'6.1stYrOpBudget'!F155</f>
        <v>0</v>
      </c>
      <c r="K155" s="788"/>
      <c r="L155" s="788"/>
      <c r="M155" s="227">
        <f>IF(AND(M$126&gt;0,$F$130="no"),M$126*'1.GeneralProjectInfo'!$L$63-M$156,IF(OR(AND(M$126&gt;0,$F$130="yes",K$7&gt;$G$130),AND(M$126&gt;0,$F$130="yes",K$7&gt;=$G$132)),M$126*'1.GeneralProjectInfo'!$L$66-M$156,0))</f>
        <v>0</v>
      </c>
      <c r="N155" s="788"/>
      <c r="O155" s="788"/>
      <c r="P155" s="227">
        <f>IF(AND(P$126&gt;0,$F$130="no"),P$126*'1.GeneralProjectInfo'!$L$63-P$156,IF(OR(AND(P$126&gt;0,$F$130="yes",N$7&gt;$G$130),AND(P$126&gt;0,$F$130="yes",N$7&gt;=$G$132)),P$126*'1.GeneralProjectInfo'!$L$66-P$156,0))</f>
        <v>0</v>
      </c>
      <c r="Q155" s="788"/>
      <c r="R155" s="788"/>
      <c r="S155" s="227">
        <f>IF(AND(S$126&gt;0,$F$130="no"),S$126*'1.GeneralProjectInfo'!$L$63-S$156,IF(OR(AND(S$126&gt;0,$F$130="yes",Q$7&gt;$G$130),AND(S$126&gt;0,$F$130="yes",Q$7&gt;=$G$132)),S$126*'1.GeneralProjectInfo'!$L$66-S$156,0))</f>
        <v>0</v>
      </c>
      <c r="T155" s="788"/>
      <c r="U155" s="788"/>
      <c r="V155" s="227">
        <f>IF(AND(V$126&gt;0,$F$130="no"),V$126*'1.GeneralProjectInfo'!$L$63-V$156,IF(OR(AND(V$126&gt;0,$F$130="yes",T$7&gt;$G$130),AND(V$126&gt;0,$F$130="yes",T$7&gt;=$G$132)),V$126*'1.GeneralProjectInfo'!$L$66-V$156,0))</f>
        <v>0</v>
      </c>
      <c r="W155" s="788"/>
      <c r="X155" s="788"/>
      <c r="Y155" s="227">
        <f>IF(AND(Y$126&gt;0,$F$130="no"),Y$126*'1.GeneralProjectInfo'!$L$63-Y$156,IF(OR(AND(Y$126&gt;0,$F$130="yes",W$7&gt;$G$130),AND(Y$126&gt;0,$F$130="yes",W$7&gt;=$G$132)),Y$126*'1.GeneralProjectInfo'!$L$66-Y$156,0))</f>
        <v>0</v>
      </c>
      <c r="Z155" s="788"/>
      <c r="AA155" s="788"/>
      <c r="AB155" s="227">
        <f>IF(AND(AB$126&gt;0,$F$130="no"),AB$126*'1.GeneralProjectInfo'!$L$63-AB$156,IF(OR(AND(AB$126&gt;0,$F$130="yes",Z$7&gt;$G$130),AND(AB$126&gt;0,$F$130="yes",Z$7&gt;=$G$132)),AB$126*'1.GeneralProjectInfo'!$L$66-AB$156,0))</f>
        <v>0</v>
      </c>
      <c r="AC155" s="788"/>
      <c r="AD155" s="788"/>
      <c r="AE155" s="227">
        <f>IF(AND(AE$126&gt;0,$F$130="no"),AE$126*'1.GeneralProjectInfo'!$L$63-AE$156,IF(OR(AND(AE$126&gt;0,$F$130="yes",AC$7&gt;$G$130),AND(AE$126&gt;0,$F$130="yes",AC$7&gt;=$G$132)),AE$126*'1.GeneralProjectInfo'!$L$66-AE$156,0))</f>
        <v>0</v>
      </c>
      <c r="AF155" s="788"/>
      <c r="AG155" s="788"/>
      <c r="AH155" s="227">
        <f>IF(AND(AH$126&gt;0,$F$130="no"),AH$126*'1.GeneralProjectInfo'!$L$63-AH$156,IF(OR(AND(AH$126&gt;0,$F$130="yes",AF$7&gt;$G$130),AND(AH$126&gt;0,$F$130="yes",AF$7&gt;=$G$132)),AH$126*'1.GeneralProjectInfo'!$L$66-AH$156,0))</f>
        <v>0</v>
      </c>
      <c r="AI155" s="788"/>
      <c r="AJ155" s="788"/>
      <c r="AK155" s="227">
        <f>IF(AND(AK$126&gt;0,$F$130="no"),AK$126*'1.GeneralProjectInfo'!$L$63-AK$156,IF(OR(AND(AK$126&gt;0,$F$130="yes",AI$7&gt;$G$130),AND(AK$126&gt;0,$F$130="yes",AI$7&gt;=$G$132)),AK$126*'1.GeneralProjectInfo'!$L$66-AK$156,0))</f>
        <v>0</v>
      </c>
      <c r="AL155" s="788"/>
      <c r="AM155" s="788"/>
      <c r="AN155" s="227">
        <f>IF(AND(AN$126&gt;0,$F$130="no"),AN$126*'1.GeneralProjectInfo'!$L$63-AN$156,IF(OR(AND(AN$126&gt;0,$F$130="yes",AL$7&gt;$G$130),AND(AN$126&gt;0,$F$130="yes",AL$7&gt;=$G$132)),AN$126*'1.GeneralProjectInfo'!$L$66-AN$156,0))</f>
        <v>0</v>
      </c>
      <c r="AO155" s="788"/>
      <c r="AP155" s="788"/>
      <c r="AQ155" s="227">
        <f>IF(AND(AQ$126&gt;0,$F$130="no"),AQ$126*'1.GeneralProjectInfo'!$L$63-AQ$156,IF(OR(AND(AQ$126&gt;0,$F$130="yes",AO$7&gt;$G$130),AND(AQ$126&gt;0,$F$130="yes",AO$7&gt;=$G$132)),AQ$126*'1.GeneralProjectInfo'!$L$66-AQ$156,0))</f>
        <v>0</v>
      </c>
      <c r="AR155" s="788"/>
      <c r="AS155" s="788"/>
      <c r="AT155" s="227">
        <f>IF(AND(AT$126&gt;0,$F$130="no"),AT$126*'1.GeneralProjectInfo'!$L$63-AT$156,IF(OR(AND(AT$126&gt;0,$F$130="yes",AR$7&gt;$G$130),AND(AT$126&gt;0,$F$130="yes",AR$7&gt;=$G$132)),AT$126*'1.GeneralProjectInfo'!$L$66-AT$156,0))</f>
        <v>0</v>
      </c>
      <c r="AU155" s="788"/>
      <c r="AV155" s="788"/>
      <c r="AW155" s="227">
        <f>IF(AND(AW$126&gt;0,$F$130="no"),AW$126*'1.GeneralProjectInfo'!$L$63-AW$156,IF(OR(AND(AW$126&gt;0,$F$130="yes",AU$7&gt;$G$130),AND(AW$126&gt;0,$F$130="yes",AU$7&gt;=$G$132)),AW$126*'1.GeneralProjectInfo'!$L$66-AW$156,0))</f>
        <v>0</v>
      </c>
      <c r="AX155" s="788"/>
      <c r="AY155" s="788"/>
      <c r="AZ155" s="227">
        <f>IF(AND(AZ$126&gt;0,$F$130="no"),AZ$126*'1.GeneralProjectInfo'!$L$63-AZ$156,IF(OR(AND(AZ$126&gt;0,$F$130="yes",AX$7&gt;$G$130),AND(AZ$126&gt;0,$F$130="yes",AX$7&gt;=$G$132)),AZ$126*'1.GeneralProjectInfo'!$L$66-AZ$156,0))</f>
        <v>0</v>
      </c>
      <c r="BA155" s="788"/>
      <c r="BB155" s="788"/>
      <c r="BC155" s="227">
        <f>IF(AND(BC$126&gt;0,$F$130="no"),BC$126*'1.GeneralProjectInfo'!$L$63-BC$156,IF(OR(AND(BC$126&gt;0,$F$130="yes",BA$7&gt;$G$130),AND(BC$126&gt;0,$F$130="yes",BA$7&gt;=$G$132)),BC$126*'1.GeneralProjectInfo'!$L$66-BC$156,0))</f>
        <v>0</v>
      </c>
      <c r="BD155" s="788"/>
      <c r="BE155" s="788"/>
      <c r="BF155" s="227">
        <f>IF(AND(BF$126&gt;0,$F$130="no"),BF$126*'1.GeneralProjectInfo'!$L$63-BF$156,IF(OR(AND(BF$126&gt;0,$F$130="yes",BD$7&gt;$G$130),AND(BF$126&gt;0,$F$130="yes",BD$7&gt;=$G$132)),BF$126*'1.GeneralProjectInfo'!$L$66-BF$156,0))</f>
        <v>0</v>
      </c>
      <c r="BG155" s="788"/>
      <c r="BH155" s="788"/>
      <c r="BI155" s="227">
        <f>IF(AND(BI$126&gt;0,$F$130="no"),BI$126*'1.GeneralProjectInfo'!$L$63-BI$156,IF(OR(AND(BI$126&gt;0,$F$130="yes",BG$7&gt;$G$130),AND(BI$126&gt;0,$F$130="yes",BG$7&gt;=$G$132)),BI$126*'1.GeneralProjectInfo'!$L$66-BI$156,0))</f>
        <v>0</v>
      </c>
      <c r="BJ155" s="788"/>
      <c r="BK155" s="788"/>
      <c r="BL155" s="227">
        <f>IF(AND(BL$126&gt;0,$F$130="no"),BL$126*'1.GeneralProjectInfo'!$L$63-BL$156,IF(OR(AND(BL$126&gt;0,$F$130="yes",BJ$7&gt;$G$130),AND(BL$126&gt;0,$F$130="yes",BJ$7&gt;=$G$132)),BL$126*'1.GeneralProjectInfo'!$L$66-BL$156,0))</f>
        <v>0</v>
      </c>
      <c r="BM155" s="788"/>
      <c r="BN155" s="788"/>
      <c r="BO155" s="227">
        <f>IF(AND(BO$126&gt;0,$F$130="no"),BO$126*'1.GeneralProjectInfo'!$L$63-BO$156,IF(OR(AND(BO$126&gt;0,$F$130="yes",BM$7&gt;$G$130),AND(BO$126&gt;0,$F$130="yes",BM$7&gt;=$G$132)),BO$126*'1.GeneralProjectInfo'!$L$66-BO$156,0))</f>
        <v>0</v>
      </c>
      <c r="BP155" s="5"/>
      <c r="BQ155" s="5"/>
      <c r="BR155" s="5"/>
      <c r="BS155" s="5"/>
      <c r="BT155" s="5"/>
      <c r="BU155" s="5"/>
      <c r="BV155" s="5"/>
    </row>
    <row r="156" spans="3:74" ht="13.8">
      <c r="C156" s="144" t="str">
        <f>'6.1stYrOpBudget'!A156</f>
        <v>Other Distributions/Uses</v>
      </c>
      <c r="D156" s="128"/>
      <c r="E156" s="128"/>
      <c r="F156" s="128"/>
      <c r="G156" s="64"/>
      <c r="H156" s="788"/>
      <c r="I156" s="788"/>
      <c r="J156" s="178">
        <f>'6.1stYrOpBudget'!F156</f>
        <v>0</v>
      </c>
      <c r="K156" s="788"/>
      <c r="L156" s="788"/>
      <c r="M156" s="66"/>
      <c r="N156" s="788"/>
      <c r="O156" s="788"/>
      <c r="P156" s="66"/>
      <c r="Q156" s="788"/>
      <c r="R156" s="788"/>
      <c r="S156" s="66"/>
      <c r="T156" s="788"/>
      <c r="U156" s="788"/>
      <c r="V156" s="66"/>
      <c r="W156" s="788"/>
      <c r="X156" s="788"/>
      <c r="Y156" s="66"/>
      <c r="Z156" s="788"/>
      <c r="AA156" s="788"/>
      <c r="AB156" s="66"/>
      <c r="AC156" s="788"/>
      <c r="AD156" s="788"/>
      <c r="AE156" s="66"/>
      <c r="AF156" s="788"/>
      <c r="AG156" s="788"/>
      <c r="AH156" s="66"/>
      <c r="AI156" s="788"/>
      <c r="AJ156" s="788"/>
      <c r="AK156" s="66"/>
      <c r="AL156" s="788"/>
      <c r="AM156" s="788"/>
      <c r="AN156" s="66"/>
      <c r="AO156" s="788"/>
      <c r="AP156" s="788"/>
      <c r="AQ156" s="66"/>
      <c r="AR156" s="788"/>
      <c r="AS156" s="788"/>
      <c r="AT156" s="66"/>
      <c r="AU156" s="788"/>
      <c r="AV156" s="788"/>
      <c r="AW156" s="66"/>
      <c r="AX156" s="788"/>
      <c r="AY156" s="788"/>
      <c r="AZ156" s="66"/>
      <c r="BA156" s="788"/>
      <c r="BB156" s="788"/>
      <c r="BC156" s="66"/>
      <c r="BD156" s="788"/>
      <c r="BE156" s="788"/>
      <c r="BF156" s="66"/>
      <c r="BG156" s="788"/>
      <c r="BH156" s="788"/>
      <c r="BI156" s="66"/>
      <c r="BJ156" s="788"/>
      <c r="BK156" s="788"/>
      <c r="BL156" s="66"/>
      <c r="BM156" s="788"/>
      <c r="BN156" s="788"/>
      <c r="BO156" s="66"/>
      <c r="BP156" s="5"/>
      <c r="BQ156" s="5"/>
      <c r="BR156" s="5"/>
      <c r="BS156" s="5"/>
      <c r="BT156" s="5"/>
      <c r="BU156" s="5"/>
      <c r="BV156" s="5"/>
    </row>
    <row r="157" spans="3:74" ht="13.8">
      <c r="C157" s="319" t="str">
        <f>'6.1stYrOpBudget'!A157</f>
        <v>Final Balance (should be zero)</v>
      </c>
      <c r="D157" s="128"/>
      <c r="E157" s="128"/>
      <c r="F157" s="128"/>
      <c r="G157" s="21"/>
      <c r="H157" s="788"/>
      <c r="I157" s="788"/>
      <c r="J157" s="175">
        <f>'6.1stYrOpBudget'!F157</f>
        <v>0</v>
      </c>
      <c r="K157" s="788"/>
      <c r="L157" s="788"/>
      <c r="M157" s="175">
        <f>ROUND(M154-M155-M156,0)</f>
        <v>0</v>
      </c>
      <c r="N157" s="788"/>
      <c r="O157" s="788"/>
      <c r="P157" s="175">
        <f>ROUND(P154-P155-P156,0)</f>
        <v>0</v>
      </c>
      <c r="Q157" s="788"/>
      <c r="R157" s="788"/>
      <c r="S157" s="175">
        <f>ROUND(S154-S155-S156,0)</f>
        <v>0</v>
      </c>
      <c r="T157" s="788"/>
      <c r="U157" s="788"/>
      <c r="V157" s="175">
        <f>ROUND(V154-V155-V156,0)</f>
        <v>0</v>
      </c>
      <c r="W157" s="788"/>
      <c r="X157" s="788"/>
      <c r="Y157" s="175">
        <f>ROUND(Y154-Y155-Y156,0)</f>
        <v>0</v>
      </c>
      <c r="Z157" s="788"/>
      <c r="AA157" s="788"/>
      <c r="AB157" s="175">
        <f>ROUND(AB154-AB155-AB156,0)</f>
        <v>0</v>
      </c>
      <c r="AC157" s="788"/>
      <c r="AD157" s="788"/>
      <c r="AE157" s="175">
        <f>ROUND(AE154-AE155-AE156,0)</f>
        <v>0</v>
      </c>
      <c r="AF157" s="788"/>
      <c r="AG157" s="788"/>
      <c r="AH157" s="175">
        <f>ROUND(AH154-AH155-AH156,0)</f>
        <v>0</v>
      </c>
      <c r="AI157" s="788"/>
      <c r="AJ157" s="788"/>
      <c r="AK157" s="175">
        <f>ROUND(AK154-AK155-AK156,0)</f>
        <v>0</v>
      </c>
      <c r="AL157" s="788"/>
      <c r="AM157" s="788"/>
      <c r="AN157" s="175">
        <f>ROUND(AN154-AN155-AN156,0)</f>
        <v>0</v>
      </c>
      <c r="AO157" s="788"/>
      <c r="AP157" s="788"/>
      <c r="AQ157" s="175">
        <f>ROUND(AQ154-AQ155-AQ156,0)</f>
        <v>0</v>
      </c>
      <c r="AR157" s="788"/>
      <c r="AS157" s="788"/>
      <c r="AT157" s="175">
        <f>ROUND(AT154-AT155-AT156,0)</f>
        <v>0</v>
      </c>
      <c r="AU157" s="788"/>
      <c r="AV157" s="788"/>
      <c r="AW157" s="175">
        <f>ROUND(AW154-AW155-AW156,0)</f>
        <v>0</v>
      </c>
      <c r="AX157" s="788"/>
      <c r="AY157" s="788"/>
      <c r="AZ157" s="175">
        <f>ROUND(AZ154-AZ155-AZ156,0)</f>
        <v>0</v>
      </c>
      <c r="BA157" s="788"/>
      <c r="BB157" s="788"/>
      <c r="BC157" s="175">
        <f>ROUND(BC154-BC155-BC156,0)</f>
        <v>0</v>
      </c>
      <c r="BD157" s="788"/>
      <c r="BE157" s="788"/>
      <c r="BF157" s="175">
        <f>ROUND(BF154-BF155-BF156,0)</f>
        <v>0</v>
      </c>
      <c r="BG157" s="788"/>
      <c r="BH157" s="788"/>
      <c r="BI157" s="175">
        <f>ROUND(BI154-BI155-BI156,0)</f>
        <v>0</v>
      </c>
      <c r="BJ157" s="788"/>
      <c r="BK157" s="788"/>
      <c r="BL157" s="175">
        <f>ROUND(BL154-BL155-BL156,0)</f>
        <v>0</v>
      </c>
      <c r="BM157" s="788"/>
      <c r="BN157" s="788"/>
      <c r="BO157" s="175">
        <f>ROUND(BO154-BO155-BO156,0)</f>
        <v>0</v>
      </c>
      <c r="BP157" s="5"/>
      <c r="BQ157" s="5"/>
      <c r="BR157" s="5"/>
      <c r="BS157" s="5"/>
      <c r="BT157" s="5"/>
      <c r="BU157" s="5"/>
      <c r="BV157" s="5"/>
    </row>
    <row r="158" spans="3:74" ht="8.1" customHeight="1">
      <c r="C158" s="319"/>
      <c r="D158" s="128"/>
      <c r="E158" s="128"/>
      <c r="F158" s="128"/>
      <c r="G158" s="21"/>
      <c r="H158" s="788"/>
      <c r="I158" s="788"/>
      <c r="J158" s="175"/>
      <c r="K158" s="788"/>
      <c r="L158" s="788"/>
      <c r="M158" s="175"/>
      <c r="N158" s="788"/>
      <c r="O158" s="788"/>
      <c r="P158" s="175"/>
      <c r="Q158" s="788"/>
      <c r="R158" s="788"/>
      <c r="S158" s="175"/>
      <c r="T158" s="788"/>
      <c r="U158" s="788"/>
      <c r="V158" s="175"/>
      <c r="W158" s="788"/>
      <c r="X158" s="788"/>
      <c r="Y158" s="175"/>
      <c r="Z158" s="788"/>
      <c r="AA158" s="788"/>
      <c r="AB158" s="175"/>
      <c r="AC158" s="788"/>
      <c r="AD158" s="788"/>
      <c r="AE158" s="175"/>
      <c r="AF158" s="788"/>
      <c r="AG158" s="788"/>
      <c r="AH158" s="175"/>
      <c r="AI158" s="788"/>
      <c r="AJ158" s="788"/>
      <c r="AK158" s="175"/>
      <c r="AL158" s="788"/>
      <c r="AM158" s="788"/>
      <c r="AN158" s="175"/>
      <c r="AO158" s="788"/>
      <c r="AP158" s="788"/>
      <c r="AQ158" s="175"/>
      <c r="AR158" s="788"/>
      <c r="AS158" s="788"/>
      <c r="AT158" s="175"/>
      <c r="AU158" s="788"/>
      <c r="AV158" s="788"/>
      <c r="AW158" s="175"/>
      <c r="AX158" s="788"/>
      <c r="AY158" s="788"/>
      <c r="AZ158" s="175"/>
      <c r="BA158" s="788"/>
      <c r="BB158" s="788"/>
      <c r="BC158" s="175"/>
      <c r="BD158" s="788"/>
      <c r="BE158" s="788"/>
      <c r="BF158" s="175"/>
      <c r="BG158" s="788"/>
      <c r="BH158" s="788"/>
      <c r="BI158" s="175"/>
      <c r="BJ158" s="788"/>
      <c r="BK158" s="788"/>
      <c r="BL158" s="175"/>
      <c r="BM158" s="788"/>
      <c r="BN158" s="788"/>
      <c r="BO158" s="175"/>
      <c r="BP158" s="5"/>
      <c r="BQ158" s="5"/>
      <c r="BR158" s="5"/>
      <c r="BS158" s="5"/>
      <c r="BT158" s="5"/>
      <c r="BU158" s="5"/>
      <c r="BV158" s="5"/>
    </row>
    <row r="159" spans="3:74" ht="13.8">
      <c r="C159" s="319" t="s">
        <v>68</v>
      </c>
      <c r="D159" s="128"/>
      <c r="E159" s="128"/>
      <c r="F159" s="128"/>
      <c r="G159" s="591" t="str">
        <f>IF(SmallSites=TRUE,"1.5x Original Capitalized RR = "&amp;DOLLAR(1.5*'7a.20YrDetails'!$J$160,0),"")</f>
        <v/>
      </c>
      <c r="H159" s="788"/>
      <c r="I159" s="788"/>
      <c r="J159" s="125"/>
      <c r="K159" s="788"/>
      <c r="L159" s="788"/>
      <c r="M159" s="175"/>
      <c r="N159" s="788"/>
      <c r="O159" s="788"/>
      <c r="P159" s="175"/>
      <c r="Q159" s="788"/>
      <c r="R159" s="788"/>
      <c r="S159" s="175"/>
      <c r="T159" s="788"/>
      <c r="U159" s="788"/>
      <c r="V159" s="175"/>
      <c r="W159" s="788"/>
      <c r="X159" s="788"/>
      <c r="Y159" s="175"/>
      <c r="Z159" s="788"/>
      <c r="AA159" s="788"/>
      <c r="AB159" s="175"/>
      <c r="AC159" s="788"/>
      <c r="AD159" s="788"/>
      <c r="AE159" s="175"/>
      <c r="AF159" s="788"/>
      <c r="AG159" s="788"/>
      <c r="AH159" s="175"/>
      <c r="AI159" s="788"/>
      <c r="AJ159" s="788"/>
      <c r="AK159" s="175"/>
      <c r="AL159" s="788"/>
      <c r="AM159" s="788"/>
      <c r="AN159" s="175"/>
      <c r="AO159" s="788"/>
      <c r="AP159" s="788"/>
      <c r="AQ159" s="175"/>
      <c r="AR159" s="788"/>
      <c r="AS159" s="788"/>
      <c r="AT159" s="175"/>
      <c r="AU159" s="788"/>
      <c r="AV159" s="788"/>
      <c r="AW159" s="175"/>
      <c r="AX159" s="788"/>
      <c r="AY159" s="788"/>
      <c r="AZ159" s="175"/>
      <c r="BA159" s="788"/>
      <c r="BB159" s="788"/>
      <c r="BC159" s="175"/>
      <c r="BD159" s="788"/>
      <c r="BE159" s="788"/>
      <c r="BF159" s="175"/>
      <c r="BG159" s="788"/>
      <c r="BH159" s="788"/>
      <c r="BI159" s="175"/>
      <c r="BJ159" s="788"/>
      <c r="BK159" s="788"/>
      <c r="BL159" s="175"/>
      <c r="BM159" s="788"/>
      <c r="BN159" s="788"/>
      <c r="BO159" s="175"/>
      <c r="BP159" s="5"/>
      <c r="BQ159" s="5"/>
      <c r="BR159" s="5"/>
      <c r="BS159" s="5"/>
      <c r="BT159" s="5"/>
      <c r="BU159" s="5"/>
      <c r="BV159" s="5"/>
    </row>
    <row r="160" spans="3:74" ht="13.8">
      <c r="C160" s="144" t="s">
        <v>72</v>
      </c>
      <c r="D160" s="128"/>
      <c r="E160" s="128"/>
      <c r="F160" s="128"/>
      <c r="G160" s="64"/>
      <c r="H160" s="788"/>
      <c r="I160" s="788"/>
      <c r="J160" s="68">
        <f>IF(SmallSites=TRUE,CNA!$T$4,0)</f>
        <v>0</v>
      </c>
      <c r="K160" s="788"/>
      <c r="L160" s="788"/>
      <c r="M160" s="224">
        <f>J167</f>
        <v>0</v>
      </c>
      <c r="N160" s="788"/>
      <c r="O160" s="788"/>
      <c r="P160" s="224">
        <f>M167</f>
        <v>0</v>
      </c>
      <c r="Q160" s="788"/>
      <c r="R160" s="788"/>
      <c r="S160" s="224">
        <f>P167</f>
        <v>0</v>
      </c>
      <c r="T160" s="788"/>
      <c r="U160" s="788"/>
      <c r="V160" s="224">
        <f>S167</f>
        <v>0</v>
      </c>
      <c r="W160" s="788"/>
      <c r="X160" s="788"/>
      <c r="Y160" s="224">
        <f>V167</f>
        <v>0</v>
      </c>
      <c r="Z160" s="788"/>
      <c r="AA160" s="788"/>
      <c r="AB160" s="224">
        <f>Y167</f>
        <v>0</v>
      </c>
      <c r="AC160" s="788"/>
      <c r="AD160" s="788"/>
      <c r="AE160" s="224">
        <f>AB167</f>
        <v>0</v>
      </c>
      <c r="AF160" s="788"/>
      <c r="AG160" s="788"/>
      <c r="AH160" s="224">
        <f>AE167</f>
        <v>0</v>
      </c>
      <c r="AI160" s="788"/>
      <c r="AJ160" s="788"/>
      <c r="AK160" s="224">
        <f>AH167</f>
        <v>0</v>
      </c>
      <c r="AL160" s="788"/>
      <c r="AM160" s="788"/>
      <c r="AN160" s="224">
        <f>AK167</f>
        <v>0</v>
      </c>
      <c r="AO160" s="788"/>
      <c r="AP160" s="788"/>
      <c r="AQ160" s="224">
        <f>AN167</f>
        <v>0</v>
      </c>
      <c r="AR160" s="788"/>
      <c r="AS160" s="788"/>
      <c r="AT160" s="224">
        <f>AQ167</f>
        <v>0</v>
      </c>
      <c r="AU160" s="788"/>
      <c r="AV160" s="788"/>
      <c r="AW160" s="224">
        <f>AT167</f>
        <v>0</v>
      </c>
      <c r="AX160" s="788"/>
      <c r="AY160" s="788"/>
      <c r="AZ160" s="224">
        <f>AW167</f>
        <v>0</v>
      </c>
      <c r="BA160" s="788"/>
      <c r="BB160" s="788"/>
      <c r="BC160" s="224">
        <f>AZ167</f>
        <v>0</v>
      </c>
      <c r="BD160" s="788"/>
      <c r="BE160" s="788"/>
      <c r="BF160" s="224">
        <f>BC167</f>
        <v>0</v>
      </c>
      <c r="BG160" s="788"/>
      <c r="BH160" s="788"/>
      <c r="BI160" s="224">
        <f>BF167</f>
        <v>0</v>
      </c>
      <c r="BJ160" s="788"/>
      <c r="BK160" s="788"/>
      <c r="BL160" s="224">
        <f>BI167</f>
        <v>0</v>
      </c>
      <c r="BM160" s="788"/>
      <c r="BN160" s="788"/>
      <c r="BO160" s="224">
        <f>BL167</f>
        <v>0</v>
      </c>
      <c r="BP160" s="5"/>
      <c r="BQ160" s="5"/>
      <c r="BR160" s="5"/>
      <c r="BS160" s="5"/>
      <c r="BT160" s="5"/>
      <c r="BU160" s="5"/>
      <c r="BV160" s="5"/>
    </row>
    <row r="161" spans="3:74" ht="13.8">
      <c r="C161" s="144" t="s">
        <v>77</v>
      </c>
      <c r="D161" s="128"/>
      <c r="E161" s="128"/>
      <c r="F161" s="128"/>
      <c r="G161" s="64"/>
      <c r="H161" s="788"/>
      <c r="I161" s="788"/>
      <c r="J161" s="224">
        <f>J88</f>
        <v>0</v>
      </c>
      <c r="K161" s="788"/>
      <c r="L161" s="788"/>
      <c r="M161" s="224">
        <f>M88</f>
        <v>0</v>
      </c>
      <c r="N161" s="788"/>
      <c r="O161" s="788"/>
      <c r="P161" s="224">
        <f>P88</f>
        <v>0</v>
      </c>
      <c r="Q161" s="788"/>
      <c r="R161" s="788"/>
      <c r="S161" s="224">
        <f>S88</f>
        <v>0</v>
      </c>
      <c r="T161" s="788"/>
      <c r="U161" s="788"/>
      <c r="V161" s="224">
        <f>V88</f>
        <v>0</v>
      </c>
      <c r="W161" s="788"/>
      <c r="X161" s="788"/>
      <c r="Y161" s="224">
        <f>Y88</f>
        <v>0</v>
      </c>
      <c r="Z161" s="788"/>
      <c r="AA161" s="788"/>
      <c r="AB161" s="224">
        <f>AB88</f>
        <v>0</v>
      </c>
      <c r="AC161" s="788"/>
      <c r="AD161" s="788"/>
      <c r="AE161" s="224">
        <f>AE88</f>
        <v>0</v>
      </c>
      <c r="AF161" s="788"/>
      <c r="AG161" s="788"/>
      <c r="AH161" s="224">
        <f>AH88</f>
        <v>0</v>
      </c>
      <c r="AI161" s="788"/>
      <c r="AJ161" s="788"/>
      <c r="AK161" s="224">
        <f>AK88</f>
        <v>0</v>
      </c>
      <c r="AL161" s="788"/>
      <c r="AM161" s="788"/>
      <c r="AN161" s="224">
        <f>AN88</f>
        <v>0</v>
      </c>
      <c r="AO161" s="788"/>
      <c r="AP161" s="788"/>
      <c r="AQ161" s="224">
        <f>AQ88</f>
        <v>0</v>
      </c>
      <c r="AR161" s="788"/>
      <c r="AS161" s="788"/>
      <c r="AT161" s="224">
        <f>AT88</f>
        <v>0</v>
      </c>
      <c r="AU161" s="788"/>
      <c r="AV161" s="788"/>
      <c r="AW161" s="224">
        <f>AW88</f>
        <v>0</v>
      </c>
      <c r="AX161" s="788"/>
      <c r="AY161" s="788"/>
      <c r="AZ161" s="224">
        <f>AZ88</f>
        <v>0</v>
      </c>
      <c r="BA161" s="788"/>
      <c r="BB161" s="788"/>
      <c r="BC161" s="224">
        <f>BC88</f>
        <v>0</v>
      </c>
      <c r="BD161" s="788"/>
      <c r="BE161" s="788"/>
      <c r="BF161" s="224">
        <f>BF88</f>
        <v>0</v>
      </c>
      <c r="BG161" s="788"/>
      <c r="BH161" s="788"/>
      <c r="BI161" s="224">
        <f>BI88</f>
        <v>0</v>
      </c>
      <c r="BJ161" s="788"/>
      <c r="BK161" s="788"/>
      <c r="BL161" s="224">
        <f>BL88</f>
        <v>0</v>
      </c>
      <c r="BM161" s="788"/>
      <c r="BN161" s="788"/>
      <c r="BO161" s="224">
        <f>BO88</f>
        <v>0</v>
      </c>
      <c r="BP161" s="5"/>
      <c r="BQ161" s="5"/>
      <c r="BR161" s="5"/>
      <c r="BS161" s="5"/>
      <c r="BT161" s="5"/>
      <c r="BU161" s="5"/>
      <c r="BV161" s="5"/>
    </row>
    <row r="162" spans="3:74" ht="13.8" hidden="1">
      <c r="C162" s="144" t="s">
        <v>1046</v>
      </c>
      <c r="D162" s="128"/>
      <c r="E162" s="128"/>
      <c r="F162" s="128"/>
      <c r="G162" s="64"/>
      <c r="H162" s="788"/>
      <c r="I162" s="788"/>
      <c r="J162" s="224">
        <v>0</v>
      </c>
      <c r="K162" s="788"/>
      <c r="L162" s="788"/>
      <c r="M162" s="224">
        <f>IF(SmallSites=TRUE,J$145,0)</f>
        <v>0</v>
      </c>
      <c r="N162" s="788"/>
      <c r="O162" s="788"/>
      <c r="P162" s="224">
        <f>IF(SmallSites=TRUE,M$145,0)</f>
        <v>0</v>
      </c>
      <c r="Q162" s="788"/>
      <c r="R162" s="788"/>
      <c r="S162" s="224">
        <f>IF(SmallSites=TRUE,P$145,0)</f>
        <v>0</v>
      </c>
      <c r="T162" s="788"/>
      <c r="U162" s="788"/>
      <c r="V162" s="224">
        <f>IF(SmallSites=TRUE,S$145,0)</f>
        <v>0</v>
      </c>
      <c r="W162" s="788"/>
      <c r="X162" s="788"/>
      <c r="Y162" s="224">
        <f>IF(SmallSites=TRUE,V$145,0)</f>
        <v>0</v>
      </c>
      <c r="Z162" s="788"/>
      <c r="AA162" s="788"/>
      <c r="AB162" s="224">
        <f>IF(SmallSites=TRUE,Y$145,0)</f>
        <v>0</v>
      </c>
      <c r="AC162" s="788"/>
      <c r="AD162" s="788"/>
      <c r="AE162" s="224">
        <f>IF(SmallSites=TRUE,AB$145,0)</f>
        <v>0</v>
      </c>
      <c r="AF162" s="788"/>
      <c r="AG162" s="788"/>
      <c r="AH162" s="224">
        <f>IF(SmallSites=TRUE,AE$145,0)</f>
        <v>0</v>
      </c>
      <c r="AI162" s="788"/>
      <c r="AJ162" s="788"/>
      <c r="AK162" s="224">
        <f>IF(SmallSites=TRUE,AH$145,0)</f>
        <v>0</v>
      </c>
      <c r="AL162" s="788"/>
      <c r="AM162" s="788"/>
      <c r="AN162" s="224">
        <f>IF(SmallSites=TRUE,AK$145,0)</f>
        <v>0</v>
      </c>
      <c r="AO162" s="788"/>
      <c r="AP162" s="788"/>
      <c r="AQ162" s="224">
        <f>IF(SmallSites=TRUE,AN$145,0)</f>
        <v>0</v>
      </c>
      <c r="AR162" s="788"/>
      <c r="AS162" s="788"/>
      <c r="AT162" s="224">
        <f>IF(SmallSites=TRUE,AQ$145,0)</f>
        <v>0</v>
      </c>
      <c r="AU162" s="788"/>
      <c r="AV162" s="788"/>
      <c r="AW162" s="224">
        <f>IF(SmallSites=TRUE,AT$145,0)</f>
        <v>0</v>
      </c>
      <c r="AX162" s="788"/>
      <c r="AY162" s="788"/>
      <c r="AZ162" s="224">
        <f>IF(SmallSites=TRUE,AW$145,0)</f>
        <v>0</v>
      </c>
      <c r="BA162" s="788"/>
      <c r="BB162" s="788"/>
      <c r="BC162" s="224">
        <f>IF(SmallSites=TRUE,AZ$145,0)</f>
        <v>0</v>
      </c>
      <c r="BD162" s="788"/>
      <c r="BE162" s="788"/>
      <c r="BF162" s="224">
        <f>IF(SmallSites=TRUE,BC$145,0)</f>
        <v>0</v>
      </c>
      <c r="BG162" s="788"/>
      <c r="BH162" s="788"/>
      <c r="BI162" s="224">
        <f>IF(SmallSites=TRUE,BF$145,0)</f>
        <v>0</v>
      </c>
      <c r="BJ162" s="788"/>
      <c r="BK162" s="788"/>
      <c r="BL162" s="224">
        <f>IF(SmallSites=TRUE,BI$145,0)</f>
        <v>0</v>
      </c>
      <c r="BM162" s="788"/>
      <c r="BN162" s="788"/>
      <c r="BO162" s="224">
        <f>IF(SmallSites=TRUE,BL$145,0)</f>
        <v>0</v>
      </c>
      <c r="BP162" s="5"/>
      <c r="BQ162" s="5"/>
      <c r="BR162" s="5"/>
      <c r="BS162" s="5"/>
      <c r="BT162" s="5"/>
      <c r="BU162" s="5"/>
      <c r="BV162" s="5"/>
    </row>
    <row r="163" spans="3:74" ht="13.8" hidden="1">
      <c r="C163" s="144" t="s">
        <v>1189</v>
      </c>
      <c r="D163" s="128"/>
      <c r="E163" s="128"/>
      <c r="F163" s="128"/>
      <c r="G163" s="64"/>
      <c r="H163" s="788"/>
      <c r="I163" s="788"/>
      <c r="J163" s="224"/>
      <c r="K163" s="788"/>
      <c r="L163" s="788"/>
      <c r="M163" s="68"/>
      <c r="N163" s="788"/>
      <c r="O163" s="788"/>
      <c r="P163" s="68"/>
      <c r="Q163" s="788"/>
      <c r="R163" s="788"/>
      <c r="S163" s="68"/>
      <c r="T163" s="788"/>
      <c r="U163" s="788"/>
      <c r="V163" s="68"/>
      <c r="W163" s="788"/>
      <c r="X163" s="788"/>
      <c r="Y163" s="68"/>
      <c r="Z163" s="788"/>
      <c r="AA163" s="788"/>
      <c r="AB163" s="68"/>
      <c r="AC163" s="788"/>
      <c r="AD163" s="788"/>
      <c r="AE163" s="68"/>
      <c r="AF163" s="788"/>
      <c r="AG163" s="788"/>
      <c r="AH163" s="68"/>
      <c r="AI163" s="788"/>
      <c r="AJ163" s="788"/>
      <c r="AK163" s="68"/>
      <c r="AL163" s="788"/>
      <c r="AM163" s="788"/>
      <c r="AN163" s="68"/>
      <c r="AO163" s="788"/>
      <c r="AP163" s="788"/>
      <c r="AQ163" s="68"/>
      <c r="AR163" s="788"/>
      <c r="AS163" s="788"/>
      <c r="AT163" s="68"/>
      <c r="AU163" s="788"/>
      <c r="AV163" s="788"/>
      <c r="AW163" s="68"/>
      <c r="AX163" s="788"/>
      <c r="AY163" s="788"/>
      <c r="AZ163" s="68"/>
      <c r="BA163" s="788"/>
      <c r="BB163" s="788"/>
      <c r="BC163" s="68"/>
      <c r="BD163" s="788"/>
      <c r="BE163" s="788"/>
      <c r="BF163" s="68"/>
      <c r="BG163" s="788"/>
      <c r="BH163" s="788"/>
      <c r="BI163" s="68"/>
      <c r="BJ163" s="788"/>
      <c r="BK163" s="788"/>
      <c r="BL163" s="68"/>
      <c r="BM163" s="788"/>
      <c r="BN163" s="788"/>
      <c r="BO163" s="68"/>
      <c r="BP163" s="5"/>
      <c r="BQ163" s="5"/>
      <c r="BR163" s="5"/>
      <c r="BS163" s="5"/>
      <c r="BT163" s="5"/>
      <c r="BU163" s="5"/>
      <c r="BV163" s="5"/>
    </row>
    <row r="164" spans="3:74" ht="13.8" hidden="1">
      <c r="C164" s="144" t="s">
        <v>1103</v>
      </c>
      <c r="D164" s="128"/>
      <c r="E164" s="128"/>
      <c r="F164" s="128"/>
      <c r="G164" s="64"/>
      <c r="H164" s="788"/>
      <c r="I164" s="788"/>
      <c r="J164" s="68"/>
      <c r="K164" s="788"/>
      <c r="L164" s="788"/>
      <c r="M164" s="68"/>
      <c r="N164" s="788"/>
      <c r="O164" s="788"/>
      <c r="P164" s="68"/>
      <c r="Q164" s="788"/>
      <c r="R164" s="788"/>
      <c r="S164" s="68"/>
      <c r="T164" s="788"/>
      <c r="U164" s="788"/>
      <c r="V164" s="68"/>
      <c r="W164" s="788"/>
      <c r="X164" s="788"/>
      <c r="Y164" s="68"/>
      <c r="Z164" s="788"/>
      <c r="AA164" s="788"/>
      <c r="AB164" s="68"/>
      <c r="AC164" s="788"/>
      <c r="AD164" s="788"/>
      <c r="AE164" s="68"/>
      <c r="AF164" s="788"/>
      <c r="AG164" s="788"/>
      <c r="AH164" s="68"/>
      <c r="AI164" s="788"/>
      <c r="AJ164" s="788"/>
      <c r="AK164" s="68"/>
      <c r="AL164" s="788"/>
      <c r="AM164" s="788"/>
      <c r="AN164" s="68"/>
      <c r="AO164" s="788"/>
      <c r="AP164" s="788"/>
      <c r="AQ164" s="68"/>
      <c r="AR164" s="788"/>
      <c r="AS164" s="788"/>
      <c r="AT164" s="68"/>
      <c r="AU164" s="788"/>
      <c r="AV164" s="788"/>
      <c r="AW164" s="68"/>
      <c r="AX164" s="788"/>
      <c r="AY164" s="788"/>
      <c r="AZ164" s="68"/>
      <c r="BA164" s="788"/>
      <c r="BB164" s="788"/>
      <c r="BC164" s="68"/>
      <c r="BD164" s="788"/>
      <c r="BE164" s="788"/>
      <c r="BF164" s="68"/>
      <c r="BG164" s="788"/>
      <c r="BH164" s="788"/>
      <c r="BI164" s="68"/>
      <c r="BJ164" s="788"/>
      <c r="BK164" s="788"/>
      <c r="BL164" s="68"/>
      <c r="BM164" s="788"/>
      <c r="BN164" s="788"/>
      <c r="BO164" s="68"/>
      <c r="BP164" s="5"/>
      <c r="BQ164" s="5"/>
      <c r="BR164" s="5"/>
      <c r="BS164" s="5"/>
      <c r="BT164" s="5"/>
      <c r="BU164" s="5"/>
      <c r="BV164" s="5"/>
    </row>
    <row r="165" spans="3:74" ht="13.8">
      <c r="C165" s="144" t="s">
        <v>71</v>
      </c>
      <c r="D165" s="128"/>
      <c r="E165" s="128"/>
      <c r="F165" s="128"/>
      <c r="G165" s="64"/>
      <c r="H165" s="788"/>
      <c r="I165" s="788"/>
      <c r="J165" s="68">
        <f>IF(SmallSites=TRUE,CNA!K8,0)</f>
        <v>0</v>
      </c>
      <c r="K165" s="788"/>
      <c r="L165" s="788"/>
      <c r="M165" s="68">
        <f>IF(SmallSites=TRUE,CNA!L8,0)</f>
        <v>0</v>
      </c>
      <c r="N165" s="788"/>
      <c r="O165" s="788"/>
      <c r="P165" s="68">
        <f>IF(SmallSites=TRUE,CNA!M8,0)</f>
        <v>0</v>
      </c>
      <c r="Q165" s="788"/>
      <c r="R165" s="788"/>
      <c r="S165" s="68">
        <f>IF(SmallSites=TRUE,CNA!N8,0)</f>
        <v>0</v>
      </c>
      <c r="T165" s="788"/>
      <c r="U165" s="788"/>
      <c r="V165" s="68">
        <f>IF(SmallSites=TRUE,CNA!O8,0)</f>
        <v>0</v>
      </c>
      <c r="W165" s="788"/>
      <c r="X165" s="788"/>
      <c r="Y165" s="68">
        <f>IF(SmallSites=TRUE,CNA!P8,0)</f>
        <v>0</v>
      </c>
      <c r="Z165" s="788"/>
      <c r="AA165" s="788"/>
      <c r="AB165" s="68">
        <f>IF(SmallSites=TRUE,CNA!Q8,0)</f>
        <v>0</v>
      </c>
      <c r="AC165" s="788"/>
      <c r="AD165" s="788"/>
      <c r="AE165" s="68">
        <f>IF(SmallSites=TRUE,CNA!R8,0)</f>
        <v>0</v>
      </c>
      <c r="AF165" s="788"/>
      <c r="AG165" s="788"/>
      <c r="AH165" s="68">
        <f>IF(SmallSites=TRUE,CNA!S8,0)</f>
        <v>0</v>
      </c>
      <c r="AI165" s="788"/>
      <c r="AJ165" s="788"/>
      <c r="AK165" s="68">
        <f>IF(SmallSites=TRUE,CNA!T8,0)</f>
        <v>0</v>
      </c>
      <c r="AL165" s="788"/>
      <c r="AM165" s="788"/>
      <c r="AN165" s="68">
        <f>IF(SmallSites=TRUE,CNA!U8,0)</f>
        <v>0</v>
      </c>
      <c r="AO165" s="788"/>
      <c r="AP165" s="788"/>
      <c r="AQ165" s="68">
        <f>IF(SmallSites=TRUE,CNA!V8,0)</f>
        <v>0</v>
      </c>
      <c r="AR165" s="788"/>
      <c r="AS165" s="788"/>
      <c r="AT165" s="68">
        <f>IF(SmallSites=TRUE,CNA!W8,0)</f>
        <v>0</v>
      </c>
      <c r="AU165" s="788"/>
      <c r="AV165" s="788"/>
      <c r="AW165" s="68">
        <f>IF(SmallSites=TRUE,CNA!X8,0)</f>
        <v>0</v>
      </c>
      <c r="AX165" s="788"/>
      <c r="AY165" s="788"/>
      <c r="AZ165" s="68">
        <f>IF(SmallSites=TRUE,CNA!Y8,0)</f>
        <v>0</v>
      </c>
      <c r="BA165" s="788"/>
      <c r="BB165" s="788"/>
      <c r="BC165" s="68">
        <f>IF(SmallSites=TRUE,CNA!Z8,0)</f>
        <v>0</v>
      </c>
      <c r="BD165" s="788"/>
      <c r="BE165" s="788"/>
      <c r="BF165" s="68">
        <f>IF(SmallSites=TRUE,CNA!AA8,0)</f>
        <v>0</v>
      </c>
      <c r="BG165" s="788"/>
      <c r="BH165" s="788"/>
      <c r="BI165" s="68">
        <f>IF(SmallSites=TRUE,CNA!AB8,0)</f>
        <v>0</v>
      </c>
      <c r="BJ165" s="788"/>
      <c r="BK165" s="788"/>
      <c r="BL165" s="68">
        <f>IF(SmallSites=TRUE,CNA!AC8,0)</f>
        <v>0</v>
      </c>
      <c r="BM165" s="788"/>
      <c r="BN165" s="788"/>
      <c r="BO165" s="68">
        <f>IF(SmallSites=TRUE,CNA!AD8,)</f>
        <v>0</v>
      </c>
      <c r="BP165" s="5"/>
      <c r="BQ165" s="5"/>
      <c r="BR165" s="5"/>
      <c r="BS165" s="5"/>
      <c r="BT165" s="5"/>
      <c r="BU165" s="5"/>
      <c r="BV165" s="5"/>
    </row>
    <row r="166" spans="3:74" ht="13.8">
      <c r="C166" s="144" t="s">
        <v>69</v>
      </c>
      <c r="D166" s="128"/>
      <c r="E166" s="128"/>
      <c r="F166" s="128"/>
      <c r="G166" s="64"/>
      <c r="H166" s="788"/>
      <c r="I166" s="788"/>
      <c r="J166" s="68"/>
      <c r="K166" s="788"/>
      <c r="L166" s="788"/>
      <c r="M166" s="68"/>
      <c r="N166" s="788"/>
      <c r="O166" s="788"/>
      <c r="P166" s="68"/>
      <c r="Q166" s="788"/>
      <c r="R166" s="788"/>
      <c r="S166" s="68"/>
      <c r="T166" s="788"/>
      <c r="U166" s="788"/>
      <c r="V166" s="68"/>
      <c r="W166" s="788"/>
      <c r="X166" s="788"/>
      <c r="Y166" s="68"/>
      <c r="Z166" s="788"/>
      <c r="AA166" s="788"/>
      <c r="AB166" s="68"/>
      <c r="AC166" s="788"/>
      <c r="AD166" s="788"/>
      <c r="AE166" s="68"/>
      <c r="AF166" s="788"/>
      <c r="AG166" s="788"/>
      <c r="AH166" s="68"/>
      <c r="AI166" s="788"/>
      <c r="AJ166" s="788"/>
      <c r="AK166" s="68"/>
      <c r="AL166" s="788"/>
      <c r="AM166" s="788"/>
      <c r="AN166" s="68"/>
      <c r="AO166" s="788"/>
      <c r="AP166" s="788"/>
      <c r="AQ166" s="68"/>
      <c r="AR166" s="788"/>
      <c r="AS166" s="788"/>
      <c r="AT166" s="68"/>
      <c r="AU166" s="788"/>
      <c r="AV166" s="788"/>
      <c r="AW166" s="68"/>
      <c r="AX166" s="788"/>
      <c r="AY166" s="788"/>
      <c r="AZ166" s="68"/>
      <c r="BA166" s="788"/>
      <c r="BB166" s="788"/>
      <c r="BC166" s="68"/>
      <c r="BD166" s="788"/>
      <c r="BE166" s="788"/>
      <c r="BF166" s="68"/>
      <c r="BG166" s="788"/>
      <c r="BH166" s="788"/>
      <c r="BI166" s="68"/>
      <c r="BJ166" s="788"/>
      <c r="BK166" s="788"/>
      <c r="BL166" s="68"/>
      <c r="BM166" s="788"/>
      <c r="BN166" s="788"/>
      <c r="BO166" s="68"/>
      <c r="BP166" s="5"/>
      <c r="BQ166" s="5"/>
      <c r="BR166" s="5"/>
      <c r="BS166" s="5"/>
      <c r="BT166" s="5"/>
      <c r="BU166" s="5"/>
      <c r="BV166" s="5"/>
    </row>
    <row r="167" spans="3:74" ht="13.8">
      <c r="C167" s="129" t="s">
        <v>70</v>
      </c>
      <c r="D167" s="128"/>
      <c r="E167" s="128"/>
      <c r="F167" s="128"/>
      <c r="G167" s="21"/>
      <c r="H167" s="788"/>
      <c r="I167" s="788"/>
      <c r="J167" s="222">
        <f>SUM(J160:J164,J166)-J165</f>
        <v>0</v>
      </c>
      <c r="K167" s="788"/>
      <c r="L167" s="788"/>
      <c r="M167" s="222">
        <f>SUM(M160:M164,M166)-M165</f>
        <v>0</v>
      </c>
      <c r="N167" s="788"/>
      <c r="O167" s="788"/>
      <c r="P167" s="222">
        <f>SUM(P160:P164,P166)-P165</f>
        <v>0</v>
      </c>
      <c r="Q167" s="788"/>
      <c r="R167" s="788"/>
      <c r="S167" s="222">
        <f>SUM(S160:S164,S166)-S165</f>
        <v>0</v>
      </c>
      <c r="T167" s="788"/>
      <c r="U167" s="788"/>
      <c r="V167" s="222">
        <f>SUM(V160:V164,V166)-V165</f>
        <v>0</v>
      </c>
      <c r="W167" s="788"/>
      <c r="X167" s="788"/>
      <c r="Y167" s="222">
        <f>SUM(Y160:Y164,Y166)-Y165</f>
        <v>0</v>
      </c>
      <c r="Z167" s="788"/>
      <c r="AA167" s="788"/>
      <c r="AB167" s="222">
        <f>SUM(AB160:AB164,AB166)-AB165</f>
        <v>0</v>
      </c>
      <c r="AC167" s="788"/>
      <c r="AD167" s="788"/>
      <c r="AE167" s="222">
        <f>SUM(AE160:AE164,AE166)-AE165</f>
        <v>0</v>
      </c>
      <c r="AF167" s="788"/>
      <c r="AG167" s="788"/>
      <c r="AH167" s="222">
        <f>SUM(AH160:AH164,AH166)-AH165</f>
        <v>0</v>
      </c>
      <c r="AI167" s="788"/>
      <c r="AJ167" s="788"/>
      <c r="AK167" s="222">
        <f>SUM(AK160:AK164,AK166)-AK165</f>
        <v>0</v>
      </c>
      <c r="AL167" s="788"/>
      <c r="AM167" s="788"/>
      <c r="AN167" s="222">
        <f>SUM(AN160:AN164,AN166)-AN165</f>
        <v>0</v>
      </c>
      <c r="AO167" s="788"/>
      <c r="AP167" s="788"/>
      <c r="AQ167" s="222">
        <f>SUM(AQ160:AQ164,AQ166)-AQ165</f>
        <v>0</v>
      </c>
      <c r="AR167" s="788"/>
      <c r="AS167" s="788"/>
      <c r="AT167" s="222">
        <f>SUM(AT160:AT164,AT166)-AT165</f>
        <v>0</v>
      </c>
      <c r="AU167" s="788"/>
      <c r="AV167" s="788"/>
      <c r="AW167" s="222">
        <f>SUM(AW160:AW164,AW166)-AW165</f>
        <v>0</v>
      </c>
      <c r="AX167" s="788"/>
      <c r="AY167" s="788"/>
      <c r="AZ167" s="222">
        <f>SUM(AZ160:AZ164,AZ166)-AZ165</f>
        <v>0</v>
      </c>
      <c r="BA167" s="788"/>
      <c r="BB167" s="788"/>
      <c r="BC167" s="222">
        <f>SUM(BC160:BC164,BC166)-BC165</f>
        <v>0</v>
      </c>
      <c r="BD167" s="788"/>
      <c r="BE167" s="788"/>
      <c r="BF167" s="222">
        <f>SUM(BF160:BF164,BF166)-BF165</f>
        <v>0</v>
      </c>
      <c r="BG167" s="788"/>
      <c r="BH167" s="788"/>
      <c r="BI167" s="222">
        <f>SUM(BI160:BI164,BI166)-BI165</f>
        <v>0</v>
      </c>
      <c r="BJ167" s="788"/>
      <c r="BK167" s="788"/>
      <c r="BL167" s="222">
        <f>SUM(BL160:BL164,BL166)-BL165</f>
        <v>0</v>
      </c>
      <c r="BM167" s="788"/>
      <c r="BN167" s="788"/>
      <c r="BO167" s="222">
        <f>SUM(BO160:BO164,BO166)-BO165</f>
        <v>0</v>
      </c>
      <c r="BP167" s="5"/>
      <c r="BQ167" s="5"/>
      <c r="BR167" s="5"/>
      <c r="BS167" s="5"/>
      <c r="BT167" s="5"/>
      <c r="BU167" s="5"/>
      <c r="BV167" s="5"/>
    </row>
    <row r="168" spans="3:74" ht="13.8">
      <c r="C168" s="129"/>
      <c r="D168" s="128"/>
      <c r="E168" s="128"/>
      <c r="F168" s="128"/>
      <c r="G168" s="1292" t="s">
        <v>1193</v>
      </c>
      <c r="H168" s="788"/>
      <c r="I168" s="788"/>
      <c r="J168" s="1294" t="str">
        <f>IFERROR(J167/'7a.20YrDetails'!$C$6,"")</f>
        <v/>
      </c>
      <c r="K168" s="788"/>
      <c r="L168" s="788"/>
      <c r="M168" s="1294" t="str">
        <f>IFERROR(M167/'7a.20YrDetails'!$C$6,"")</f>
        <v/>
      </c>
      <c r="N168" s="788"/>
      <c r="O168" s="788"/>
      <c r="P168" s="1294" t="str">
        <f>IFERROR(P167/'7a.20YrDetails'!$C$6,"")</f>
        <v/>
      </c>
      <c r="Q168" s="788"/>
      <c r="R168" s="788"/>
      <c r="S168" s="1294" t="str">
        <f>IFERROR(S167/'7a.20YrDetails'!$C$6,"")</f>
        <v/>
      </c>
      <c r="T168" s="788"/>
      <c r="U168" s="788"/>
      <c r="V168" s="1294" t="str">
        <f>IFERROR(V167/'7a.20YrDetails'!$C$6,"")</f>
        <v/>
      </c>
      <c r="W168" s="788"/>
      <c r="X168" s="788"/>
      <c r="Y168" s="1294" t="str">
        <f>IFERROR(Y167/'7a.20YrDetails'!$C$6,"")</f>
        <v/>
      </c>
      <c r="Z168" s="788"/>
      <c r="AA168" s="788"/>
      <c r="AB168" s="1294" t="str">
        <f>IFERROR(AB167/'7a.20YrDetails'!$C$6,"")</f>
        <v/>
      </c>
      <c r="AC168" s="788"/>
      <c r="AD168" s="788"/>
      <c r="AE168" s="1294" t="str">
        <f>IFERROR(AE167/'7a.20YrDetails'!$C$6,"")</f>
        <v/>
      </c>
      <c r="AF168" s="788"/>
      <c r="AG168" s="788"/>
      <c r="AH168" s="1294" t="str">
        <f>IFERROR(AH167/'7a.20YrDetails'!$C$6,"")</f>
        <v/>
      </c>
      <c r="AI168" s="788"/>
      <c r="AJ168" s="788"/>
      <c r="AK168" s="1294" t="str">
        <f>IFERROR(AK167/'7a.20YrDetails'!$C$6,"")</f>
        <v/>
      </c>
      <c r="AL168" s="788"/>
      <c r="AM168" s="788"/>
      <c r="AN168" s="1294" t="str">
        <f>IFERROR(AN167/'7a.20YrDetails'!$C$6,"")</f>
        <v/>
      </c>
      <c r="AO168" s="788"/>
      <c r="AP168" s="788"/>
      <c r="AQ168" s="1294" t="str">
        <f>IFERROR(AQ167/'7a.20YrDetails'!$C$6,"")</f>
        <v/>
      </c>
      <c r="AR168" s="788"/>
      <c r="AS168" s="788"/>
      <c r="AT168" s="1294" t="str">
        <f>IFERROR(AT167/'7a.20YrDetails'!$C$6,"")</f>
        <v/>
      </c>
      <c r="AU168" s="788"/>
      <c r="AV168" s="788"/>
      <c r="AW168" s="1294" t="str">
        <f>IFERROR(AW167/'7a.20YrDetails'!$C$6,"")</f>
        <v/>
      </c>
      <c r="AX168" s="788"/>
      <c r="AY168" s="788"/>
      <c r="AZ168" s="1294" t="str">
        <f>IFERROR(AZ167/'7a.20YrDetails'!$C$6,"")</f>
        <v/>
      </c>
      <c r="BA168" s="788"/>
      <c r="BB168" s="788"/>
      <c r="BC168" s="1294" t="str">
        <f>IFERROR(BC167/'7a.20YrDetails'!$C$6,"")</f>
        <v/>
      </c>
      <c r="BD168" s="788"/>
      <c r="BE168" s="788"/>
      <c r="BF168" s="1294" t="str">
        <f>IFERROR(BF167/'7a.20YrDetails'!$C$6,"")</f>
        <v/>
      </c>
      <c r="BG168" s="788"/>
      <c r="BH168" s="788"/>
      <c r="BI168" s="1294" t="str">
        <f>IFERROR(BI167/'7a.20YrDetails'!$C$6,"")</f>
        <v/>
      </c>
      <c r="BJ168" s="788"/>
      <c r="BK168" s="788"/>
      <c r="BL168" s="1294" t="str">
        <f>IFERROR(BL167/'7a.20YrDetails'!$C$6,"")</f>
        <v/>
      </c>
      <c r="BM168" s="788"/>
      <c r="BN168" s="788"/>
      <c r="BO168" s="1294" t="str">
        <f>IFERROR(BO167/'7a.20YrDetails'!$C$6,"")</f>
        <v/>
      </c>
      <c r="BP168" s="5"/>
      <c r="BQ168" s="5"/>
      <c r="BR168" s="5"/>
      <c r="BS168" s="5"/>
      <c r="BT168" s="5"/>
      <c r="BU168" s="5"/>
      <c r="BV168" s="5"/>
    </row>
    <row r="169" spans="3:74" ht="13.8">
      <c r="C169" s="319" t="s">
        <v>73</v>
      </c>
      <c r="D169" s="128"/>
      <c r="E169" s="128"/>
      <c r="F169" s="128"/>
      <c r="G169" s="21"/>
      <c r="H169" s="788"/>
      <c r="I169" s="788"/>
      <c r="J169" s="212"/>
      <c r="K169" s="788"/>
      <c r="L169" s="788"/>
      <c r="M169" s="175"/>
      <c r="N169" s="788"/>
      <c r="O169" s="788"/>
      <c r="P169" s="175"/>
      <c r="Q169" s="788"/>
      <c r="R169" s="788"/>
      <c r="S169" s="175"/>
      <c r="T169" s="788"/>
      <c r="U169" s="788"/>
      <c r="V169" s="175"/>
      <c r="W169" s="788"/>
      <c r="X169" s="788"/>
      <c r="Y169" s="175"/>
      <c r="Z169" s="788"/>
      <c r="AA169" s="788"/>
      <c r="AB169" s="175"/>
      <c r="AC169" s="788"/>
      <c r="AD169" s="788"/>
      <c r="AE169" s="175"/>
      <c r="AF169" s="788"/>
      <c r="AG169" s="788"/>
      <c r="AH169" s="175"/>
      <c r="AI169" s="788"/>
      <c r="AJ169" s="788"/>
      <c r="AK169" s="175"/>
      <c r="AL169" s="788"/>
      <c r="AM169" s="788"/>
      <c r="AN169" s="175"/>
      <c r="AO169" s="788"/>
      <c r="AP169" s="788"/>
      <c r="AQ169" s="175"/>
      <c r="AR169" s="788"/>
      <c r="AS169" s="788"/>
      <c r="AT169" s="175"/>
      <c r="AU169" s="788"/>
      <c r="AV169" s="788"/>
      <c r="AW169" s="175"/>
      <c r="AX169" s="788"/>
      <c r="AY169" s="788"/>
      <c r="AZ169" s="175"/>
      <c r="BA169" s="788"/>
      <c r="BB169" s="788"/>
      <c r="BC169" s="175"/>
      <c r="BD169" s="788"/>
      <c r="BE169" s="788"/>
      <c r="BF169" s="175"/>
      <c r="BG169" s="788"/>
      <c r="BH169" s="788"/>
      <c r="BI169" s="175"/>
      <c r="BJ169" s="788"/>
      <c r="BK169" s="788"/>
      <c r="BL169" s="175"/>
      <c r="BM169" s="788"/>
      <c r="BN169" s="788"/>
      <c r="BO169" s="175"/>
      <c r="BP169" s="5"/>
      <c r="BQ169" s="5"/>
      <c r="BR169" s="5"/>
      <c r="BS169" s="5"/>
      <c r="BT169" s="5"/>
      <c r="BU169" s="5"/>
      <c r="BV169" s="5"/>
    </row>
    <row r="170" spans="3:74" ht="13.8">
      <c r="C170" s="144" t="s">
        <v>74</v>
      </c>
      <c r="D170" s="128"/>
      <c r="E170" s="128"/>
      <c r="F170" s="128"/>
      <c r="G170" s="64"/>
      <c r="H170" s="788"/>
      <c r="I170" s="788"/>
      <c r="J170" s="68">
        <f>IF(SmallSites=TRUE,'4b.PermS&amp;U'!$J$108,0)</f>
        <v>0</v>
      </c>
      <c r="K170" s="788"/>
      <c r="L170" s="788"/>
      <c r="M170" s="224">
        <f>J174</f>
        <v>0</v>
      </c>
      <c r="N170" s="788"/>
      <c r="O170" s="788"/>
      <c r="P170" s="224">
        <f>M174</f>
        <v>0</v>
      </c>
      <c r="Q170" s="788"/>
      <c r="R170" s="788"/>
      <c r="S170" s="224">
        <f>P174</f>
        <v>0</v>
      </c>
      <c r="T170" s="788"/>
      <c r="U170" s="788"/>
      <c r="V170" s="224">
        <f>S174</f>
        <v>0</v>
      </c>
      <c r="W170" s="788"/>
      <c r="X170" s="788"/>
      <c r="Y170" s="224">
        <f>V174</f>
        <v>0</v>
      </c>
      <c r="Z170" s="788"/>
      <c r="AA170" s="788"/>
      <c r="AB170" s="224">
        <f>Y174</f>
        <v>0</v>
      </c>
      <c r="AC170" s="788"/>
      <c r="AD170" s="788"/>
      <c r="AE170" s="224">
        <f>AB174</f>
        <v>0</v>
      </c>
      <c r="AF170" s="788"/>
      <c r="AG170" s="788"/>
      <c r="AH170" s="224">
        <f>AE174</f>
        <v>0</v>
      </c>
      <c r="AI170" s="788"/>
      <c r="AJ170" s="788"/>
      <c r="AK170" s="224">
        <f>AH174</f>
        <v>0</v>
      </c>
      <c r="AL170" s="788"/>
      <c r="AM170" s="788"/>
      <c r="AN170" s="224">
        <f>AK174</f>
        <v>0</v>
      </c>
      <c r="AO170" s="788"/>
      <c r="AP170" s="788"/>
      <c r="AQ170" s="224">
        <f>AN174</f>
        <v>0</v>
      </c>
      <c r="AR170" s="788"/>
      <c r="AS170" s="788"/>
      <c r="AT170" s="224">
        <f>AQ174</f>
        <v>0</v>
      </c>
      <c r="AU170" s="788"/>
      <c r="AV170" s="788"/>
      <c r="AW170" s="224">
        <f>AT174</f>
        <v>0</v>
      </c>
      <c r="AX170" s="788"/>
      <c r="AY170" s="788"/>
      <c r="AZ170" s="224">
        <f>AW174</f>
        <v>0</v>
      </c>
      <c r="BA170" s="788"/>
      <c r="BB170" s="788"/>
      <c r="BC170" s="224">
        <f>AZ174</f>
        <v>0</v>
      </c>
      <c r="BD170" s="788"/>
      <c r="BE170" s="788"/>
      <c r="BF170" s="224">
        <f>BC174</f>
        <v>0</v>
      </c>
      <c r="BG170" s="788"/>
      <c r="BH170" s="788"/>
      <c r="BI170" s="224">
        <f>BF174</f>
        <v>0</v>
      </c>
      <c r="BJ170" s="788"/>
      <c r="BK170" s="788"/>
      <c r="BL170" s="224">
        <f>BI174</f>
        <v>0</v>
      </c>
      <c r="BM170" s="788"/>
      <c r="BN170" s="788"/>
      <c r="BO170" s="224">
        <f>BL174</f>
        <v>0</v>
      </c>
      <c r="BP170" s="5"/>
      <c r="BQ170" s="5"/>
      <c r="BR170" s="5"/>
      <c r="BS170" s="5"/>
      <c r="BT170" s="5"/>
      <c r="BU170" s="5"/>
      <c r="BV170" s="5"/>
    </row>
    <row r="171" spans="3:74" ht="13.8">
      <c r="C171" s="144" t="s">
        <v>76</v>
      </c>
      <c r="D171" s="128"/>
      <c r="E171" s="128"/>
      <c r="F171" s="128"/>
      <c r="G171" s="64"/>
      <c r="H171" s="788"/>
      <c r="I171" s="788"/>
      <c r="J171" s="224">
        <f>J89</f>
        <v>0</v>
      </c>
      <c r="K171" s="788"/>
      <c r="L171" s="788"/>
      <c r="M171" s="224">
        <f>M89</f>
        <v>0</v>
      </c>
      <c r="N171" s="788"/>
      <c r="O171" s="788"/>
      <c r="P171" s="224">
        <f>P89</f>
        <v>0</v>
      </c>
      <c r="Q171" s="788"/>
      <c r="R171" s="788"/>
      <c r="S171" s="224">
        <f>S89</f>
        <v>0</v>
      </c>
      <c r="T171" s="788"/>
      <c r="U171" s="788"/>
      <c r="V171" s="224">
        <f>V89</f>
        <v>0</v>
      </c>
      <c r="W171" s="788"/>
      <c r="X171" s="788"/>
      <c r="Y171" s="224">
        <f>Y89</f>
        <v>0</v>
      </c>
      <c r="Z171" s="788"/>
      <c r="AA171" s="788"/>
      <c r="AB171" s="224">
        <f>AB89</f>
        <v>0</v>
      </c>
      <c r="AC171" s="788"/>
      <c r="AD171" s="788"/>
      <c r="AE171" s="224">
        <f>AE89</f>
        <v>0</v>
      </c>
      <c r="AF171" s="788"/>
      <c r="AG171" s="788"/>
      <c r="AH171" s="224">
        <f>AH89</f>
        <v>0</v>
      </c>
      <c r="AI171" s="788"/>
      <c r="AJ171" s="788"/>
      <c r="AK171" s="224">
        <f>AK89</f>
        <v>0</v>
      </c>
      <c r="AL171" s="788"/>
      <c r="AM171" s="788"/>
      <c r="AN171" s="224">
        <f>AN89</f>
        <v>0</v>
      </c>
      <c r="AO171" s="788"/>
      <c r="AP171" s="788"/>
      <c r="AQ171" s="224">
        <f>AQ89</f>
        <v>0</v>
      </c>
      <c r="AR171" s="788"/>
      <c r="AS171" s="788"/>
      <c r="AT171" s="224">
        <f>AT89</f>
        <v>0</v>
      </c>
      <c r="AU171" s="788"/>
      <c r="AV171" s="788"/>
      <c r="AW171" s="224">
        <f>AW89</f>
        <v>0</v>
      </c>
      <c r="AX171" s="788"/>
      <c r="AY171" s="788"/>
      <c r="AZ171" s="224">
        <f>AZ89</f>
        <v>0</v>
      </c>
      <c r="BA171" s="788"/>
      <c r="BB171" s="788"/>
      <c r="BC171" s="224">
        <f>BC89</f>
        <v>0</v>
      </c>
      <c r="BD171" s="788"/>
      <c r="BE171" s="788"/>
      <c r="BF171" s="224">
        <f>BF89</f>
        <v>0</v>
      </c>
      <c r="BG171" s="788"/>
      <c r="BH171" s="788"/>
      <c r="BI171" s="224">
        <f>BI89</f>
        <v>0</v>
      </c>
      <c r="BJ171" s="788"/>
      <c r="BK171" s="788"/>
      <c r="BL171" s="224">
        <f>BL89</f>
        <v>0</v>
      </c>
      <c r="BM171" s="788"/>
      <c r="BN171" s="788"/>
      <c r="BO171" s="224">
        <f>BO89</f>
        <v>0</v>
      </c>
      <c r="BP171" s="5"/>
      <c r="BQ171" s="5"/>
      <c r="BR171" s="5"/>
      <c r="BS171" s="5"/>
      <c r="BT171" s="5"/>
      <c r="BU171" s="5"/>
      <c r="BV171" s="5"/>
    </row>
    <row r="172" spans="3:74" ht="13.8">
      <c r="C172" s="144" t="s">
        <v>75</v>
      </c>
      <c r="D172" s="128"/>
      <c r="E172" s="128"/>
      <c r="F172" s="128"/>
      <c r="G172" s="64"/>
      <c r="H172" s="788"/>
      <c r="I172" s="788"/>
      <c r="J172" s="68"/>
      <c r="K172" s="788"/>
      <c r="L172" s="788"/>
      <c r="M172" s="68"/>
      <c r="N172" s="788"/>
      <c r="O172" s="788"/>
      <c r="P172" s="68"/>
      <c r="Q172" s="788"/>
      <c r="R172" s="788"/>
      <c r="S172" s="68"/>
      <c r="T172" s="788"/>
      <c r="U172" s="788"/>
      <c r="V172" s="68"/>
      <c r="W172" s="788"/>
      <c r="X172" s="788"/>
      <c r="Y172" s="68"/>
      <c r="Z172" s="788"/>
      <c r="AA172" s="788"/>
      <c r="AB172" s="68"/>
      <c r="AC172" s="788"/>
      <c r="AD172" s="788"/>
      <c r="AE172" s="68"/>
      <c r="AF172" s="788"/>
      <c r="AG172" s="788"/>
      <c r="AH172" s="68"/>
      <c r="AI172" s="788"/>
      <c r="AJ172" s="788"/>
      <c r="AK172" s="68"/>
      <c r="AL172" s="788"/>
      <c r="AM172" s="788"/>
      <c r="AN172" s="68"/>
      <c r="AO172" s="788"/>
      <c r="AP172" s="788"/>
      <c r="AQ172" s="68"/>
      <c r="AR172" s="788"/>
      <c r="AS172" s="788"/>
      <c r="AT172" s="68"/>
      <c r="AU172" s="788"/>
      <c r="AV172" s="788"/>
      <c r="AW172" s="68"/>
      <c r="AX172" s="788"/>
      <c r="AY172" s="788"/>
      <c r="AZ172" s="68"/>
      <c r="BA172" s="788"/>
      <c r="BB172" s="788"/>
      <c r="BC172" s="68"/>
      <c r="BD172" s="788"/>
      <c r="BE172" s="788"/>
      <c r="BF172" s="68"/>
      <c r="BG172" s="788"/>
      <c r="BH172" s="788"/>
      <c r="BI172" s="68"/>
      <c r="BJ172" s="788"/>
      <c r="BK172" s="788"/>
      <c r="BL172" s="68"/>
      <c r="BM172" s="788"/>
      <c r="BN172" s="788"/>
      <c r="BO172" s="68"/>
      <c r="BP172" s="5"/>
      <c r="BQ172" s="5"/>
      <c r="BR172" s="5"/>
      <c r="BS172" s="5"/>
      <c r="BT172" s="5"/>
      <c r="BU172" s="5"/>
      <c r="BV172" s="5"/>
    </row>
    <row r="173" spans="3:74" ht="13.8">
      <c r="C173" s="144" t="s">
        <v>78</v>
      </c>
      <c r="D173" s="128"/>
      <c r="E173" s="128"/>
      <c r="F173" s="128"/>
      <c r="G173" s="64"/>
      <c r="H173" s="788"/>
      <c r="I173" s="788"/>
      <c r="J173" s="68"/>
      <c r="K173" s="788"/>
      <c r="L173" s="788"/>
      <c r="M173" s="68"/>
      <c r="N173" s="788"/>
      <c r="O173" s="788"/>
      <c r="P173" s="68"/>
      <c r="Q173" s="788"/>
      <c r="R173" s="788"/>
      <c r="S173" s="68"/>
      <c r="T173" s="788"/>
      <c r="U173" s="788"/>
      <c r="V173" s="68"/>
      <c r="W173" s="788"/>
      <c r="X173" s="788"/>
      <c r="Y173" s="68"/>
      <c r="Z173" s="788"/>
      <c r="AA173" s="788"/>
      <c r="AB173" s="68"/>
      <c r="AC173" s="788"/>
      <c r="AD173" s="788"/>
      <c r="AE173" s="68"/>
      <c r="AF173" s="788"/>
      <c r="AG173" s="788"/>
      <c r="AH173" s="68"/>
      <c r="AI173" s="788"/>
      <c r="AJ173" s="788"/>
      <c r="AK173" s="68"/>
      <c r="AL173" s="788"/>
      <c r="AM173" s="788"/>
      <c r="AN173" s="68"/>
      <c r="AO173" s="788"/>
      <c r="AP173" s="788"/>
      <c r="AQ173" s="68"/>
      <c r="AR173" s="788"/>
      <c r="AS173" s="788"/>
      <c r="AT173" s="68"/>
      <c r="AU173" s="788"/>
      <c r="AV173" s="788"/>
      <c r="AW173" s="68"/>
      <c r="AX173" s="788"/>
      <c r="AY173" s="788"/>
      <c r="AZ173" s="68"/>
      <c r="BA173" s="788"/>
      <c r="BB173" s="788"/>
      <c r="BC173" s="68"/>
      <c r="BD173" s="788"/>
      <c r="BE173" s="788"/>
      <c r="BF173" s="68"/>
      <c r="BG173" s="788"/>
      <c r="BH173" s="788"/>
      <c r="BI173" s="68"/>
      <c r="BJ173" s="788"/>
      <c r="BK173" s="788"/>
      <c r="BL173" s="68"/>
      <c r="BM173" s="788"/>
      <c r="BN173" s="788"/>
      <c r="BO173" s="68"/>
      <c r="BP173" s="5"/>
      <c r="BQ173" s="5"/>
      <c r="BR173" s="5"/>
      <c r="BS173" s="5"/>
      <c r="BT173" s="5"/>
      <c r="BU173" s="5"/>
      <c r="BV173" s="5"/>
    </row>
    <row r="174" spans="3:74" ht="13.8">
      <c r="C174" s="129" t="s">
        <v>79</v>
      </c>
      <c r="D174" s="128"/>
      <c r="E174" s="128"/>
      <c r="F174" s="128"/>
      <c r="G174" s="21"/>
      <c r="H174" s="788"/>
      <c r="I174" s="788"/>
      <c r="J174" s="222">
        <f>J170+J171-J172+J173</f>
        <v>0</v>
      </c>
      <c r="K174" s="788"/>
      <c r="L174" s="788"/>
      <c r="M174" s="175">
        <f>M170+M171-M172+M173</f>
        <v>0</v>
      </c>
      <c r="N174" s="788"/>
      <c r="O174" s="788"/>
      <c r="P174" s="175">
        <f>P170+P171-P172+P173</f>
        <v>0</v>
      </c>
      <c r="Q174" s="788"/>
      <c r="R174" s="788"/>
      <c r="S174" s="175">
        <f>S170+S171-S172+S173</f>
        <v>0</v>
      </c>
      <c r="T174" s="788"/>
      <c r="U174" s="788"/>
      <c r="V174" s="175">
        <f>V170+V171-V172+V173</f>
        <v>0</v>
      </c>
      <c r="W174" s="788"/>
      <c r="X174" s="788"/>
      <c r="Y174" s="175">
        <f>Y170+Y171-Y172+Y173</f>
        <v>0</v>
      </c>
      <c r="Z174" s="788"/>
      <c r="AA174" s="788"/>
      <c r="AB174" s="175">
        <f>AB170+AB171-AB172+AB173</f>
        <v>0</v>
      </c>
      <c r="AC174" s="788"/>
      <c r="AD174" s="788"/>
      <c r="AE174" s="175">
        <f>AE170+AE171-AE172+AE173</f>
        <v>0</v>
      </c>
      <c r="AF174" s="788"/>
      <c r="AG174" s="788"/>
      <c r="AH174" s="175">
        <f>AH170+AH171-AH172+AH173</f>
        <v>0</v>
      </c>
      <c r="AI174" s="788"/>
      <c r="AJ174" s="788"/>
      <c r="AK174" s="175">
        <f>AK170+AK171-AK172+AK173</f>
        <v>0</v>
      </c>
      <c r="AL174" s="788"/>
      <c r="AM174" s="788"/>
      <c r="AN174" s="175">
        <f>AN170+AN171-AN172+AN173</f>
        <v>0</v>
      </c>
      <c r="AO174" s="788"/>
      <c r="AP174" s="788"/>
      <c r="AQ174" s="175">
        <f>AQ170+AQ171-AQ172+AQ173</f>
        <v>0</v>
      </c>
      <c r="AR174" s="788"/>
      <c r="AS174" s="788"/>
      <c r="AT174" s="175">
        <f>AT170+AT171-AT172+AT173</f>
        <v>0</v>
      </c>
      <c r="AU174" s="788"/>
      <c r="AV174" s="788"/>
      <c r="AW174" s="175">
        <f>AW170+AW171-AW172+AW173</f>
        <v>0</v>
      </c>
      <c r="AX174" s="788"/>
      <c r="AY174" s="788"/>
      <c r="AZ174" s="175">
        <f>AZ170+AZ171-AZ172+AZ173</f>
        <v>0</v>
      </c>
      <c r="BA174" s="788"/>
      <c r="BB174" s="788"/>
      <c r="BC174" s="175">
        <f>BC170+BC171-BC172+BC173</f>
        <v>0</v>
      </c>
      <c r="BD174" s="788"/>
      <c r="BE174" s="788"/>
      <c r="BF174" s="175">
        <f>BF170+BF171-BF172+BF173</f>
        <v>0</v>
      </c>
      <c r="BG174" s="788"/>
      <c r="BH174" s="788"/>
      <c r="BI174" s="175">
        <f>BI170+BI171-BI172+BI173</f>
        <v>0</v>
      </c>
      <c r="BJ174" s="788"/>
      <c r="BK174" s="788"/>
      <c r="BL174" s="175">
        <f>BL170+BL171-BL172+BL173</f>
        <v>0</v>
      </c>
      <c r="BM174" s="788"/>
      <c r="BN174" s="788"/>
      <c r="BO174" s="175">
        <f>BO170+BO171-BO172+BO173</f>
        <v>0</v>
      </c>
      <c r="BP174" s="5"/>
      <c r="BQ174" s="5"/>
      <c r="BR174" s="5"/>
      <c r="BS174" s="5"/>
      <c r="BT174" s="5"/>
      <c r="BU174" s="5"/>
      <c r="BV174" s="5"/>
    </row>
    <row r="175" spans="3:74" ht="13.8">
      <c r="C175" s="759"/>
      <c r="D175" s="128"/>
      <c r="E175" s="128"/>
      <c r="F175" s="128"/>
      <c r="G175" s="1291" t="s">
        <v>1192</v>
      </c>
      <c r="H175" s="789"/>
      <c r="I175" s="789"/>
      <c r="J175" s="5"/>
      <c r="K175" s="789"/>
      <c r="L175" s="789"/>
      <c r="M175" s="1293" t="e">
        <f>M174/SUM(J95,J105)</f>
        <v>#DIV/0!</v>
      </c>
      <c r="N175" s="789"/>
      <c r="O175" s="789"/>
      <c r="P175" s="1293" t="e">
        <f>P174/SUM(M95,M105)</f>
        <v>#DIV/0!</v>
      </c>
      <c r="Q175" s="789"/>
      <c r="R175" s="789"/>
      <c r="S175" s="1293" t="e">
        <f>S174/SUM(P95,P105)</f>
        <v>#DIV/0!</v>
      </c>
      <c r="T175" s="789"/>
      <c r="U175" s="789"/>
      <c r="V175" s="1293" t="e">
        <f>V174/SUM(S95,S105)</f>
        <v>#DIV/0!</v>
      </c>
      <c r="W175" s="789"/>
      <c r="X175" s="789"/>
      <c r="Y175" s="1293" t="e">
        <f>Y174/SUM(V95,V105)</f>
        <v>#DIV/0!</v>
      </c>
      <c r="Z175" s="789"/>
      <c r="AA175" s="789"/>
      <c r="AB175" s="1293" t="e">
        <f>AB174/SUM(Y95,Y105)</f>
        <v>#DIV/0!</v>
      </c>
      <c r="AC175" s="789"/>
      <c r="AD175" s="789"/>
      <c r="AE175" s="1293" t="e">
        <f>AE174/SUM(AB95,AB105)</f>
        <v>#DIV/0!</v>
      </c>
      <c r="AF175" s="789"/>
      <c r="AG175" s="789"/>
      <c r="AH175" s="1293" t="e">
        <f>AH174/SUM(AE95,AE105)</f>
        <v>#DIV/0!</v>
      </c>
      <c r="AI175" s="789"/>
      <c r="AJ175" s="789"/>
      <c r="AK175" s="1293" t="e">
        <f>AK174/SUM(AH95,AH105)</f>
        <v>#DIV/0!</v>
      </c>
      <c r="AL175" s="789"/>
      <c r="AM175" s="789"/>
      <c r="AN175" s="1293" t="e">
        <f>AN174/SUM(AK95,AK105)</f>
        <v>#DIV/0!</v>
      </c>
      <c r="AO175" s="789"/>
      <c r="AP175" s="789"/>
      <c r="AQ175" s="1293" t="e">
        <f>AQ174/SUM(AN95,AN105)</f>
        <v>#DIV/0!</v>
      </c>
      <c r="AR175" s="789"/>
      <c r="AS175" s="789"/>
      <c r="AT175" s="1293" t="e">
        <f>AT174/SUM(AQ95,AQ105)</f>
        <v>#DIV/0!</v>
      </c>
      <c r="AU175" s="789"/>
      <c r="AV175" s="789"/>
      <c r="AW175" s="1293" t="e">
        <f>AW174/SUM(AT95,AT105)</f>
        <v>#DIV/0!</v>
      </c>
      <c r="AX175" s="789"/>
      <c r="AY175" s="789"/>
      <c r="AZ175" s="1293" t="e">
        <f>AZ174/SUM(AW95,AW105)</f>
        <v>#DIV/0!</v>
      </c>
      <c r="BA175" s="789"/>
      <c r="BB175" s="789"/>
      <c r="BC175" s="1293" t="e">
        <f>BC174/SUM(AZ95,AZ105)</f>
        <v>#DIV/0!</v>
      </c>
      <c r="BD175" s="789"/>
      <c r="BE175" s="789"/>
      <c r="BF175" s="1293" t="e">
        <f>BF174/SUM(BC95,BC105)</f>
        <v>#DIV/0!</v>
      </c>
      <c r="BG175" s="789"/>
      <c r="BH175" s="789"/>
      <c r="BI175" s="1293" t="e">
        <f>BI174/SUM(BF95,BF105)</f>
        <v>#DIV/0!</v>
      </c>
      <c r="BJ175" s="789"/>
      <c r="BK175" s="789"/>
      <c r="BL175" s="1293" t="e">
        <f>BL174/SUM(BI95,BI105)</f>
        <v>#DIV/0!</v>
      </c>
      <c r="BM175" s="789"/>
      <c r="BN175" s="789"/>
      <c r="BO175" s="1293" t="e">
        <f>BO174/SUM(BL95,BL105)</f>
        <v>#DIV/0!</v>
      </c>
      <c r="BP175" s="5"/>
      <c r="BQ175" s="5"/>
      <c r="BR175" s="5"/>
      <c r="BS175" s="5"/>
      <c r="BT175" s="5"/>
      <c r="BU175" s="5"/>
      <c r="BV175" s="5"/>
    </row>
    <row r="176" spans="3:74" ht="13.8">
      <c r="C176" s="319" t="s">
        <v>136</v>
      </c>
      <c r="D176" s="128"/>
      <c r="E176" s="128"/>
      <c r="F176" s="128"/>
      <c r="G176" s="21"/>
      <c r="H176" s="788"/>
      <c r="I176" s="788"/>
      <c r="J176" s="222"/>
      <c r="K176" s="788"/>
      <c r="L176" s="788"/>
      <c r="M176" s="175"/>
      <c r="N176" s="788"/>
      <c r="O176" s="788"/>
      <c r="P176" s="175"/>
      <c r="Q176" s="788"/>
      <c r="R176" s="788"/>
      <c r="S176" s="175"/>
      <c r="T176" s="788"/>
      <c r="U176" s="788"/>
      <c r="V176" s="175"/>
      <c r="W176" s="788"/>
      <c r="X176" s="788"/>
      <c r="Y176" s="175"/>
      <c r="Z176" s="788"/>
      <c r="AA176" s="788"/>
      <c r="AB176" s="175"/>
      <c r="AC176" s="788"/>
      <c r="AD176" s="788"/>
      <c r="AE176" s="175"/>
      <c r="AF176" s="788"/>
      <c r="AG176" s="788"/>
      <c r="AH176" s="175"/>
      <c r="AI176" s="788"/>
      <c r="AJ176" s="788"/>
      <c r="AK176" s="175"/>
      <c r="AL176" s="788"/>
      <c r="AM176" s="788"/>
      <c r="AN176" s="175"/>
      <c r="AO176" s="788"/>
      <c r="AP176" s="788"/>
      <c r="AQ176" s="175"/>
      <c r="AR176" s="788"/>
      <c r="AS176" s="788"/>
      <c r="AT176" s="175"/>
      <c r="AU176" s="788"/>
      <c r="AV176" s="788"/>
      <c r="AW176" s="175"/>
      <c r="AX176" s="788"/>
      <c r="AY176" s="788"/>
      <c r="AZ176" s="175"/>
      <c r="BA176" s="788"/>
      <c r="BB176" s="788"/>
      <c r="BC176" s="175"/>
      <c r="BD176" s="788"/>
      <c r="BE176" s="788"/>
      <c r="BF176" s="175"/>
      <c r="BG176" s="788"/>
      <c r="BH176" s="788"/>
      <c r="BI176" s="175"/>
      <c r="BJ176" s="788"/>
      <c r="BK176" s="788"/>
      <c r="BL176" s="175"/>
      <c r="BM176" s="788"/>
      <c r="BN176" s="788"/>
      <c r="BO176" s="175"/>
      <c r="BP176" s="5"/>
      <c r="BQ176" s="5"/>
      <c r="BR176" s="5"/>
      <c r="BS176" s="5"/>
      <c r="BT176" s="5"/>
      <c r="BU176" s="5"/>
      <c r="BV176" s="5"/>
    </row>
    <row r="177" spans="3:74" ht="13.8">
      <c r="C177" s="144" t="s">
        <v>120</v>
      </c>
      <c r="D177" s="128"/>
      <c r="E177" s="128"/>
      <c r="F177" s="128"/>
      <c r="G177" s="64"/>
      <c r="H177" s="788"/>
      <c r="I177" s="788"/>
      <c r="J177" s="68"/>
      <c r="K177" s="788"/>
      <c r="L177" s="788"/>
      <c r="M177" s="224">
        <f>J181</f>
        <v>0</v>
      </c>
      <c r="N177" s="788"/>
      <c r="O177" s="788"/>
      <c r="P177" s="224">
        <f>M181</f>
        <v>0</v>
      </c>
      <c r="Q177" s="788"/>
      <c r="R177" s="788"/>
      <c r="S177" s="224">
        <f>P181</f>
        <v>0</v>
      </c>
      <c r="T177" s="788"/>
      <c r="U177" s="788"/>
      <c r="V177" s="224">
        <f>S181</f>
        <v>0</v>
      </c>
      <c r="W177" s="788"/>
      <c r="X177" s="788"/>
      <c r="Y177" s="224">
        <f>V181</f>
        <v>0</v>
      </c>
      <c r="Z177" s="788"/>
      <c r="AA177" s="788"/>
      <c r="AB177" s="224">
        <f>Y181</f>
        <v>0</v>
      </c>
      <c r="AC177" s="788"/>
      <c r="AD177" s="788"/>
      <c r="AE177" s="224">
        <f>AB181</f>
        <v>0</v>
      </c>
      <c r="AF177" s="788"/>
      <c r="AG177" s="788"/>
      <c r="AH177" s="224">
        <f>AE181</f>
        <v>0</v>
      </c>
      <c r="AI177" s="788"/>
      <c r="AJ177" s="788"/>
      <c r="AK177" s="224">
        <f>AH181</f>
        <v>0</v>
      </c>
      <c r="AL177" s="788"/>
      <c r="AM177" s="788"/>
      <c r="AN177" s="224">
        <f>AK181</f>
        <v>0</v>
      </c>
      <c r="AO177" s="788"/>
      <c r="AP177" s="788"/>
      <c r="AQ177" s="224">
        <f>AN181</f>
        <v>0</v>
      </c>
      <c r="AR177" s="788"/>
      <c r="AS177" s="788"/>
      <c r="AT177" s="224">
        <f>AQ181</f>
        <v>0</v>
      </c>
      <c r="AU177" s="788"/>
      <c r="AV177" s="788"/>
      <c r="AW177" s="224">
        <f>AT181</f>
        <v>0</v>
      </c>
      <c r="AX177" s="788"/>
      <c r="AY177" s="788"/>
      <c r="AZ177" s="224">
        <f>AW181</f>
        <v>0</v>
      </c>
      <c r="BA177" s="788"/>
      <c r="BB177" s="788"/>
      <c r="BC177" s="224">
        <f>AZ181</f>
        <v>0</v>
      </c>
      <c r="BD177" s="788"/>
      <c r="BE177" s="788"/>
      <c r="BF177" s="224">
        <f>BC181</f>
        <v>0</v>
      </c>
      <c r="BG177" s="788"/>
      <c r="BH177" s="788"/>
      <c r="BI177" s="224">
        <f>BF181</f>
        <v>0</v>
      </c>
      <c r="BJ177" s="788"/>
      <c r="BK177" s="788"/>
      <c r="BL177" s="224">
        <f>BI181</f>
        <v>0</v>
      </c>
      <c r="BM177" s="788"/>
      <c r="BN177" s="788"/>
      <c r="BO177" s="224">
        <f>BL181</f>
        <v>0</v>
      </c>
      <c r="BP177" s="5"/>
      <c r="BQ177" s="5"/>
      <c r="BR177" s="5"/>
      <c r="BS177" s="5"/>
      <c r="BT177" s="5"/>
      <c r="BU177" s="5"/>
      <c r="BV177" s="5"/>
    </row>
    <row r="178" spans="3:74" ht="13.8">
      <c r="C178" s="144" t="s">
        <v>121</v>
      </c>
      <c r="D178" s="128"/>
      <c r="E178" s="128"/>
      <c r="F178" s="128"/>
      <c r="G178" s="64"/>
      <c r="H178" s="788"/>
      <c r="I178" s="788"/>
      <c r="J178" s="224">
        <f>J90</f>
        <v>0</v>
      </c>
      <c r="K178" s="788"/>
      <c r="L178" s="788"/>
      <c r="M178" s="224">
        <f>M90</f>
        <v>0</v>
      </c>
      <c r="N178" s="788"/>
      <c r="O178" s="788"/>
      <c r="P178" s="224">
        <f>P90</f>
        <v>0</v>
      </c>
      <c r="Q178" s="788"/>
      <c r="R178" s="788"/>
      <c r="S178" s="224">
        <f>S90</f>
        <v>0</v>
      </c>
      <c r="T178" s="788"/>
      <c r="U178" s="788"/>
      <c r="V178" s="224">
        <f>V90</f>
        <v>0</v>
      </c>
      <c r="W178" s="788"/>
      <c r="X178" s="788"/>
      <c r="Y178" s="224">
        <f>Y90</f>
        <v>0</v>
      </c>
      <c r="Z178" s="788"/>
      <c r="AA178" s="788"/>
      <c r="AB178" s="224">
        <f>AB90</f>
        <v>0</v>
      </c>
      <c r="AC178" s="788"/>
      <c r="AD178" s="788"/>
      <c r="AE178" s="224">
        <f>AE90</f>
        <v>0</v>
      </c>
      <c r="AF178" s="788"/>
      <c r="AG178" s="788"/>
      <c r="AH178" s="224">
        <f>AH90</f>
        <v>0</v>
      </c>
      <c r="AI178" s="788"/>
      <c r="AJ178" s="788"/>
      <c r="AK178" s="224">
        <f>AK90</f>
        <v>0</v>
      </c>
      <c r="AL178" s="788"/>
      <c r="AM178" s="788"/>
      <c r="AN178" s="224">
        <f>AN90</f>
        <v>0</v>
      </c>
      <c r="AO178" s="788"/>
      <c r="AP178" s="788"/>
      <c r="AQ178" s="224">
        <f>AQ90</f>
        <v>0</v>
      </c>
      <c r="AR178" s="788"/>
      <c r="AS178" s="788"/>
      <c r="AT178" s="224">
        <f>AT90</f>
        <v>0</v>
      </c>
      <c r="AU178" s="788"/>
      <c r="AV178" s="788"/>
      <c r="AW178" s="224">
        <f>AW90</f>
        <v>0</v>
      </c>
      <c r="AX178" s="788"/>
      <c r="AY178" s="788"/>
      <c r="AZ178" s="224">
        <f>AZ90</f>
        <v>0</v>
      </c>
      <c r="BA178" s="788"/>
      <c r="BB178" s="788"/>
      <c r="BC178" s="224">
        <f>BC90</f>
        <v>0</v>
      </c>
      <c r="BD178" s="788"/>
      <c r="BE178" s="788"/>
      <c r="BF178" s="224">
        <f>BF90</f>
        <v>0</v>
      </c>
      <c r="BG178" s="788"/>
      <c r="BH178" s="788"/>
      <c r="BI178" s="224">
        <f>BI90</f>
        <v>0</v>
      </c>
      <c r="BJ178" s="788"/>
      <c r="BK178" s="788"/>
      <c r="BL178" s="224">
        <f>BL90</f>
        <v>0</v>
      </c>
      <c r="BM178" s="788"/>
      <c r="BN178" s="788"/>
      <c r="BO178" s="224">
        <f>BO90</f>
        <v>0</v>
      </c>
      <c r="BP178" s="5"/>
      <c r="BQ178" s="5"/>
      <c r="BR178" s="5"/>
      <c r="BS178" s="5"/>
      <c r="BT178" s="5"/>
      <c r="BU178" s="5"/>
      <c r="BV178" s="5"/>
    </row>
    <row r="179" spans="3:74" ht="13.8">
      <c r="C179" s="144" t="s">
        <v>122</v>
      </c>
      <c r="D179" s="128"/>
      <c r="E179" s="128"/>
      <c r="F179" s="128"/>
      <c r="G179" s="64"/>
      <c r="H179" s="788"/>
      <c r="I179" s="788"/>
      <c r="J179" s="68"/>
      <c r="K179" s="788"/>
      <c r="L179" s="788"/>
      <c r="M179" s="68"/>
      <c r="N179" s="788"/>
      <c r="O179" s="788"/>
      <c r="P179" s="68"/>
      <c r="Q179" s="788"/>
      <c r="R179" s="788"/>
      <c r="S179" s="68"/>
      <c r="T179" s="788"/>
      <c r="U179" s="788"/>
      <c r="V179" s="68"/>
      <c r="W179" s="788"/>
      <c r="X179" s="788"/>
      <c r="Y179" s="68"/>
      <c r="Z179" s="788"/>
      <c r="AA179" s="788"/>
      <c r="AB179" s="68"/>
      <c r="AC179" s="788"/>
      <c r="AD179" s="788"/>
      <c r="AE179" s="68"/>
      <c r="AF179" s="788"/>
      <c r="AG179" s="788"/>
      <c r="AH179" s="68"/>
      <c r="AI179" s="788"/>
      <c r="AJ179" s="788"/>
      <c r="AK179" s="68"/>
      <c r="AL179" s="788"/>
      <c r="AM179" s="788"/>
      <c r="AN179" s="68"/>
      <c r="AO179" s="788"/>
      <c r="AP179" s="788"/>
      <c r="AQ179" s="68"/>
      <c r="AR179" s="788"/>
      <c r="AS179" s="788"/>
      <c r="AT179" s="68"/>
      <c r="AU179" s="788"/>
      <c r="AV179" s="788"/>
      <c r="AW179" s="68"/>
      <c r="AX179" s="788"/>
      <c r="AY179" s="788"/>
      <c r="AZ179" s="68"/>
      <c r="BA179" s="788"/>
      <c r="BB179" s="788"/>
      <c r="BC179" s="68"/>
      <c r="BD179" s="788"/>
      <c r="BE179" s="788"/>
      <c r="BF179" s="68"/>
      <c r="BG179" s="788"/>
      <c r="BH179" s="788"/>
      <c r="BI179" s="68"/>
      <c r="BJ179" s="788"/>
      <c r="BK179" s="788"/>
      <c r="BL179" s="68"/>
      <c r="BM179" s="788"/>
      <c r="BN179" s="788"/>
      <c r="BO179" s="68"/>
      <c r="BP179" s="5"/>
      <c r="BQ179" s="5"/>
      <c r="BR179" s="5"/>
      <c r="BS179" s="5"/>
      <c r="BT179" s="5"/>
      <c r="BU179" s="5"/>
      <c r="BV179" s="5"/>
    </row>
    <row r="180" spans="3:74" ht="13.8">
      <c r="C180" s="144" t="s">
        <v>123</v>
      </c>
      <c r="D180" s="128"/>
      <c r="E180" s="128"/>
      <c r="F180" s="128"/>
      <c r="G180" s="64"/>
      <c r="H180" s="788"/>
      <c r="I180" s="788"/>
      <c r="J180" s="68"/>
      <c r="K180" s="788"/>
      <c r="L180" s="788"/>
      <c r="M180" s="68"/>
      <c r="N180" s="788"/>
      <c r="O180" s="788"/>
      <c r="P180" s="68"/>
      <c r="Q180" s="788"/>
      <c r="R180" s="788"/>
      <c r="S180" s="68"/>
      <c r="T180" s="788"/>
      <c r="U180" s="788"/>
      <c r="V180" s="68"/>
      <c r="W180" s="788"/>
      <c r="X180" s="788"/>
      <c r="Y180" s="68"/>
      <c r="Z180" s="788"/>
      <c r="AA180" s="788"/>
      <c r="AB180" s="68"/>
      <c r="AC180" s="788"/>
      <c r="AD180" s="788"/>
      <c r="AE180" s="68"/>
      <c r="AF180" s="788"/>
      <c r="AG180" s="788"/>
      <c r="AH180" s="68"/>
      <c r="AI180" s="788"/>
      <c r="AJ180" s="788"/>
      <c r="AK180" s="68"/>
      <c r="AL180" s="788"/>
      <c r="AM180" s="788"/>
      <c r="AN180" s="68"/>
      <c r="AO180" s="788"/>
      <c r="AP180" s="788"/>
      <c r="AQ180" s="68"/>
      <c r="AR180" s="788"/>
      <c r="AS180" s="788"/>
      <c r="AT180" s="68"/>
      <c r="AU180" s="788"/>
      <c r="AV180" s="788"/>
      <c r="AW180" s="68"/>
      <c r="AX180" s="788"/>
      <c r="AY180" s="788"/>
      <c r="AZ180" s="68"/>
      <c r="BA180" s="788"/>
      <c r="BB180" s="788"/>
      <c r="BC180" s="68"/>
      <c r="BD180" s="788"/>
      <c r="BE180" s="788"/>
      <c r="BF180" s="68"/>
      <c r="BG180" s="788"/>
      <c r="BH180" s="788"/>
      <c r="BI180" s="68"/>
      <c r="BJ180" s="788"/>
      <c r="BK180" s="788"/>
      <c r="BL180" s="68"/>
      <c r="BM180" s="788"/>
      <c r="BN180" s="788"/>
      <c r="BO180" s="68"/>
      <c r="BP180" s="5"/>
      <c r="BQ180" s="5"/>
      <c r="BR180" s="5"/>
      <c r="BS180" s="5"/>
      <c r="BT180" s="5"/>
      <c r="BU180" s="5"/>
      <c r="BV180" s="5"/>
    </row>
    <row r="181" spans="3:74" ht="13.8">
      <c r="C181" s="129" t="s">
        <v>139</v>
      </c>
      <c r="D181" s="128"/>
      <c r="E181" s="128"/>
      <c r="F181" s="128"/>
      <c r="G181" s="21"/>
      <c r="H181" s="788"/>
      <c r="I181" s="788"/>
      <c r="J181" s="222">
        <f>J177+J178-J179+J180</f>
        <v>0</v>
      </c>
      <c r="K181" s="788"/>
      <c r="L181" s="788"/>
      <c r="M181" s="175">
        <f>M177+M178-M179+M180</f>
        <v>0</v>
      </c>
      <c r="N181" s="788"/>
      <c r="O181" s="788"/>
      <c r="P181" s="175">
        <f>P177+P178-P179+P180</f>
        <v>0</v>
      </c>
      <c r="Q181" s="788"/>
      <c r="R181" s="788"/>
      <c r="S181" s="175">
        <f>S177+S178-S179+S180</f>
        <v>0</v>
      </c>
      <c r="T181" s="788"/>
      <c r="U181" s="788"/>
      <c r="V181" s="175">
        <f>V177+V178-V179+V180</f>
        <v>0</v>
      </c>
      <c r="W181" s="788"/>
      <c r="X181" s="788"/>
      <c r="Y181" s="175">
        <f>Y177+Y178-Y179+Y180</f>
        <v>0</v>
      </c>
      <c r="Z181" s="788"/>
      <c r="AA181" s="788"/>
      <c r="AB181" s="175">
        <f>AB177+AB178-AB179+AB180</f>
        <v>0</v>
      </c>
      <c r="AC181" s="788"/>
      <c r="AD181" s="788"/>
      <c r="AE181" s="175">
        <f>AE177+AE178-AE179+AE180</f>
        <v>0</v>
      </c>
      <c r="AF181" s="788"/>
      <c r="AG181" s="788"/>
      <c r="AH181" s="175">
        <f>AH177+AH178-AH179+AH180</f>
        <v>0</v>
      </c>
      <c r="AI181" s="788"/>
      <c r="AJ181" s="788"/>
      <c r="AK181" s="175">
        <f>AK177+AK178-AK179+AK180</f>
        <v>0</v>
      </c>
      <c r="AL181" s="788"/>
      <c r="AM181" s="788"/>
      <c r="AN181" s="175">
        <f>AN177+AN178-AN179+AN180</f>
        <v>0</v>
      </c>
      <c r="AO181" s="788"/>
      <c r="AP181" s="788"/>
      <c r="AQ181" s="175">
        <f>AQ177+AQ178-AQ179+AQ180</f>
        <v>0</v>
      </c>
      <c r="AR181" s="788"/>
      <c r="AS181" s="788"/>
      <c r="AT181" s="175">
        <f>AT177+AT178-AT179+AT180</f>
        <v>0</v>
      </c>
      <c r="AU181" s="788"/>
      <c r="AV181" s="788"/>
      <c r="AW181" s="175">
        <f>AW177+AW178-AW179+AW180</f>
        <v>0</v>
      </c>
      <c r="AX181" s="788"/>
      <c r="AY181" s="788"/>
      <c r="AZ181" s="175">
        <f>AZ177+AZ178-AZ179+AZ180</f>
        <v>0</v>
      </c>
      <c r="BA181" s="788"/>
      <c r="BB181" s="788"/>
      <c r="BC181" s="175">
        <f>BC177+BC178-BC179+BC180</f>
        <v>0</v>
      </c>
      <c r="BD181" s="788"/>
      <c r="BE181" s="788"/>
      <c r="BF181" s="175">
        <f>BF177+BF178-BF179+BF180</f>
        <v>0</v>
      </c>
      <c r="BG181" s="788"/>
      <c r="BH181" s="788"/>
      <c r="BI181" s="175">
        <f>BI177+BI178-BI179+BI180</f>
        <v>0</v>
      </c>
      <c r="BJ181" s="788"/>
      <c r="BK181" s="788"/>
      <c r="BL181" s="175">
        <f>BL177+BL178-BL179+BL180</f>
        <v>0</v>
      </c>
      <c r="BM181" s="788"/>
      <c r="BN181" s="788"/>
      <c r="BO181" s="175">
        <f>BO177+BO178-BO179+BO180</f>
        <v>0</v>
      </c>
      <c r="BP181" s="5"/>
      <c r="BQ181" s="5"/>
      <c r="BR181" s="5"/>
      <c r="BS181" s="5"/>
      <c r="BT181" s="5"/>
      <c r="BU181" s="5"/>
      <c r="BV181" s="5"/>
    </row>
    <row r="182" spans="3:74" ht="8.1" customHeight="1">
      <c r="C182" s="129"/>
      <c r="D182" s="128"/>
      <c r="E182" s="128"/>
      <c r="F182" s="128"/>
      <c r="G182" s="21"/>
      <c r="H182" s="788"/>
      <c r="I182" s="788"/>
      <c r="J182" s="222"/>
      <c r="K182" s="788"/>
      <c r="L182" s="788"/>
      <c r="M182" s="175"/>
      <c r="N182" s="788"/>
      <c r="O182" s="788"/>
      <c r="P182" s="175"/>
      <c r="Q182" s="788"/>
      <c r="R182" s="788"/>
      <c r="S182" s="175"/>
      <c r="T182" s="788"/>
      <c r="U182" s="788"/>
      <c r="V182" s="175"/>
      <c r="W182" s="788"/>
      <c r="X182" s="788"/>
      <c r="Y182" s="175"/>
      <c r="Z182" s="788"/>
      <c r="AA182" s="788"/>
      <c r="AB182" s="175"/>
      <c r="AC182" s="788"/>
      <c r="AD182" s="788"/>
      <c r="AE182" s="175"/>
      <c r="AF182" s="788"/>
      <c r="AG182" s="788"/>
      <c r="AH182" s="175"/>
      <c r="AI182" s="788"/>
      <c r="AJ182" s="788"/>
      <c r="AK182" s="175"/>
      <c r="AL182" s="788"/>
      <c r="AM182" s="788"/>
      <c r="AN182" s="175"/>
      <c r="AO182" s="788"/>
      <c r="AP182" s="788"/>
      <c r="AQ182" s="175"/>
      <c r="AR182" s="788"/>
      <c r="AS182" s="788"/>
      <c r="AT182" s="175"/>
      <c r="AU182" s="788"/>
      <c r="AV182" s="788"/>
      <c r="AW182" s="175"/>
      <c r="AX182" s="788"/>
      <c r="AY182" s="788"/>
      <c r="AZ182" s="175"/>
      <c r="BA182" s="788"/>
      <c r="BB182" s="788"/>
      <c r="BC182" s="175"/>
      <c r="BD182" s="788"/>
      <c r="BE182" s="788"/>
      <c r="BF182" s="175"/>
      <c r="BG182" s="788"/>
      <c r="BH182" s="788"/>
      <c r="BI182" s="175"/>
      <c r="BJ182" s="788"/>
      <c r="BK182" s="788"/>
      <c r="BL182" s="175"/>
      <c r="BM182" s="788"/>
      <c r="BN182" s="788"/>
      <c r="BO182" s="175"/>
      <c r="BP182" s="5"/>
      <c r="BQ182" s="5"/>
      <c r="BR182" s="5"/>
      <c r="BS182" s="5"/>
      <c r="BT182" s="5"/>
      <c r="BU182" s="5"/>
      <c r="BV182" s="5"/>
    </row>
    <row r="183" spans="3:74" ht="13.8">
      <c r="C183" s="319" t="s">
        <v>124</v>
      </c>
      <c r="D183" s="128"/>
      <c r="E183" s="128"/>
      <c r="F183" s="128"/>
      <c r="G183" s="21"/>
      <c r="H183" s="788"/>
      <c r="I183" s="788"/>
      <c r="J183" s="222"/>
      <c r="K183" s="788"/>
      <c r="L183" s="788"/>
      <c r="M183" s="175"/>
      <c r="N183" s="788"/>
      <c r="O183" s="788"/>
      <c r="P183" s="175"/>
      <c r="Q183" s="788"/>
      <c r="R183" s="788"/>
      <c r="S183" s="175"/>
      <c r="T183" s="788"/>
      <c r="U183" s="788"/>
      <c r="V183" s="175"/>
      <c r="W183" s="788"/>
      <c r="X183" s="788"/>
      <c r="Y183" s="175"/>
      <c r="Z183" s="788"/>
      <c r="AA183" s="788"/>
      <c r="AB183" s="175"/>
      <c r="AC183" s="788"/>
      <c r="AD183" s="788"/>
      <c r="AE183" s="175"/>
      <c r="AF183" s="788"/>
      <c r="AG183" s="788"/>
      <c r="AH183" s="175"/>
      <c r="AI183" s="788"/>
      <c r="AJ183" s="788"/>
      <c r="AK183" s="175"/>
      <c r="AL183" s="788"/>
      <c r="AM183" s="788"/>
      <c r="AN183" s="175"/>
      <c r="AO183" s="788"/>
      <c r="AP183" s="788"/>
      <c r="AQ183" s="175"/>
      <c r="AR183" s="788"/>
      <c r="AS183" s="788"/>
      <c r="AT183" s="175"/>
      <c r="AU183" s="788"/>
      <c r="AV183" s="788"/>
      <c r="AW183" s="175"/>
      <c r="AX183" s="788"/>
      <c r="AY183" s="788"/>
      <c r="AZ183" s="175"/>
      <c r="BA183" s="788"/>
      <c r="BB183" s="788"/>
      <c r="BC183" s="175"/>
      <c r="BD183" s="788"/>
      <c r="BE183" s="788"/>
      <c r="BF183" s="175"/>
      <c r="BG183" s="788"/>
      <c r="BH183" s="788"/>
      <c r="BI183" s="175"/>
      <c r="BJ183" s="788"/>
      <c r="BK183" s="788"/>
      <c r="BL183" s="175"/>
      <c r="BM183" s="788"/>
      <c r="BN183" s="788"/>
      <c r="BO183" s="175"/>
      <c r="BP183" s="5"/>
      <c r="BQ183" s="5"/>
      <c r="BR183" s="5"/>
      <c r="BS183" s="5"/>
      <c r="BT183" s="5"/>
      <c r="BU183" s="5"/>
      <c r="BV183" s="5"/>
    </row>
    <row r="184" spans="3:74" ht="13.8">
      <c r="C184" s="144" t="s">
        <v>125</v>
      </c>
      <c r="D184" s="128"/>
      <c r="E184" s="128"/>
      <c r="F184" s="128"/>
      <c r="G184" s="64"/>
      <c r="H184" s="788"/>
      <c r="I184" s="788"/>
      <c r="J184" s="68"/>
      <c r="K184" s="788"/>
      <c r="L184" s="788"/>
      <c r="M184" s="224">
        <f>J188</f>
        <v>0</v>
      </c>
      <c r="N184" s="788"/>
      <c r="O184" s="788"/>
      <c r="P184" s="224">
        <f>M188</f>
        <v>0</v>
      </c>
      <c r="Q184" s="788"/>
      <c r="R184" s="788"/>
      <c r="S184" s="224">
        <f>P188</f>
        <v>0</v>
      </c>
      <c r="T184" s="788"/>
      <c r="U184" s="788"/>
      <c r="V184" s="224">
        <f>S188</f>
        <v>0</v>
      </c>
      <c r="W184" s="788"/>
      <c r="X184" s="788"/>
      <c r="Y184" s="224">
        <f>V188</f>
        <v>0</v>
      </c>
      <c r="Z184" s="788"/>
      <c r="AA184" s="788"/>
      <c r="AB184" s="224">
        <f>Y188</f>
        <v>0</v>
      </c>
      <c r="AC184" s="788"/>
      <c r="AD184" s="788"/>
      <c r="AE184" s="224">
        <f>AB188</f>
        <v>0</v>
      </c>
      <c r="AF184" s="788"/>
      <c r="AG184" s="788"/>
      <c r="AH184" s="224">
        <f>AE188</f>
        <v>0</v>
      </c>
      <c r="AI184" s="788"/>
      <c r="AJ184" s="788"/>
      <c r="AK184" s="224">
        <f>AH188</f>
        <v>0</v>
      </c>
      <c r="AL184" s="788"/>
      <c r="AM184" s="788"/>
      <c r="AN184" s="224">
        <f>AK188</f>
        <v>0</v>
      </c>
      <c r="AO184" s="788"/>
      <c r="AP184" s="788"/>
      <c r="AQ184" s="224">
        <f>AN188</f>
        <v>0</v>
      </c>
      <c r="AR184" s="788"/>
      <c r="AS184" s="788"/>
      <c r="AT184" s="224">
        <f>AQ188</f>
        <v>0</v>
      </c>
      <c r="AU184" s="788"/>
      <c r="AV184" s="788"/>
      <c r="AW184" s="224">
        <f>AT188</f>
        <v>0</v>
      </c>
      <c r="AX184" s="788"/>
      <c r="AY184" s="788"/>
      <c r="AZ184" s="224">
        <f>AW188</f>
        <v>0</v>
      </c>
      <c r="BA184" s="788"/>
      <c r="BB184" s="788"/>
      <c r="BC184" s="224">
        <f>AZ188</f>
        <v>0</v>
      </c>
      <c r="BD184" s="788"/>
      <c r="BE184" s="788"/>
      <c r="BF184" s="224">
        <f>BC188</f>
        <v>0</v>
      </c>
      <c r="BG184" s="788"/>
      <c r="BH184" s="788"/>
      <c r="BI184" s="224">
        <f>BF188</f>
        <v>0</v>
      </c>
      <c r="BJ184" s="788"/>
      <c r="BK184" s="788"/>
      <c r="BL184" s="224">
        <f>BI188</f>
        <v>0</v>
      </c>
      <c r="BM184" s="788"/>
      <c r="BN184" s="788"/>
      <c r="BO184" s="224">
        <f>BL188</f>
        <v>0</v>
      </c>
      <c r="BP184" s="5"/>
      <c r="BQ184" s="5"/>
      <c r="BR184" s="5"/>
      <c r="BS184" s="5"/>
      <c r="BT184" s="5"/>
      <c r="BU184" s="5"/>
      <c r="BV184" s="5"/>
    </row>
    <row r="185" spans="3:74" ht="13.8">
      <c r="C185" s="144" t="s">
        <v>126</v>
      </c>
      <c r="D185" s="128"/>
      <c r="E185" s="128"/>
      <c r="F185" s="128"/>
      <c r="G185" s="64"/>
      <c r="H185" s="788"/>
      <c r="I185" s="788"/>
      <c r="J185" s="224">
        <f>J91</f>
        <v>0</v>
      </c>
      <c r="K185" s="788"/>
      <c r="L185" s="788"/>
      <c r="M185" s="224">
        <f>M91</f>
        <v>0</v>
      </c>
      <c r="N185" s="788"/>
      <c r="O185" s="788"/>
      <c r="P185" s="224">
        <f>P91</f>
        <v>0</v>
      </c>
      <c r="Q185" s="788"/>
      <c r="R185" s="788"/>
      <c r="S185" s="224">
        <f>S91</f>
        <v>0</v>
      </c>
      <c r="T185" s="788"/>
      <c r="U185" s="788"/>
      <c r="V185" s="224">
        <f>V91</f>
        <v>0</v>
      </c>
      <c r="W185" s="788"/>
      <c r="X185" s="788"/>
      <c r="Y185" s="224">
        <f>Y91</f>
        <v>0</v>
      </c>
      <c r="Z185" s="788"/>
      <c r="AA185" s="788"/>
      <c r="AB185" s="224">
        <f>AB91</f>
        <v>0</v>
      </c>
      <c r="AC185" s="788"/>
      <c r="AD185" s="788"/>
      <c r="AE185" s="224">
        <f>AE91</f>
        <v>0</v>
      </c>
      <c r="AF185" s="788"/>
      <c r="AG185" s="788"/>
      <c r="AH185" s="224">
        <f>AH91</f>
        <v>0</v>
      </c>
      <c r="AI185" s="788"/>
      <c r="AJ185" s="788"/>
      <c r="AK185" s="224">
        <f>AK91</f>
        <v>0</v>
      </c>
      <c r="AL185" s="788"/>
      <c r="AM185" s="788"/>
      <c r="AN185" s="224">
        <f>AN91</f>
        <v>0</v>
      </c>
      <c r="AO185" s="788"/>
      <c r="AP185" s="788"/>
      <c r="AQ185" s="224">
        <f>AQ91</f>
        <v>0</v>
      </c>
      <c r="AR185" s="788"/>
      <c r="AS185" s="788"/>
      <c r="AT185" s="224">
        <f>AT91</f>
        <v>0</v>
      </c>
      <c r="AU185" s="788"/>
      <c r="AV185" s="788"/>
      <c r="AW185" s="224">
        <f>AW91</f>
        <v>0</v>
      </c>
      <c r="AX185" s="788"/>
      <c r="AY185" s="788"/>
      <c r="AZ185" s="224">
        <f>AZ91</f>
        <v>0</v>
      </c>
      <c r="BA185" s="788"/>
      <c r="BB185" s="788"/>
      <c r="BC185" s="224">
        <f>BC91</f>
        <v>0</v>
      </c>
      <c r="BD185" s="788"/>
      <c r="BE185" s="788"/>
      <c r="BF185" s="224">
        <f>BF91</f>
        <v>0</v>
      </c>
      <c r="BG185" s="788"/>
      <c r="BH185" s="788"/>
      <c r="BI185" s="224">
        <f>BI91</f>
        <v>0</v>
      </c>
      <c r="BJ185" s="788"/>
      <c r="BK185" s="788"/>
      <c r="BL185" s="224">
        <f>BL91</f>
        <v>0</v>
      </c>
      <c r="BM185" s="788"/>
      <c r="BN185" s="788"/>
      <c r="BO185" s="224">
        <f>BO91</f>
        <v>0</v>
      </c>
      <c r="BP185" s="5"/>
      <c r="BQ185" s="5"/>
      <c r="BR185" s="5"/>
      <c r="BS185" s="5"/>
      <c r="BT185" s="5"/>
      <c r="BU185" s="5"/>
      <c r="BV185" s="5"/>
    </row>
    <row r="186" spans="3:74" ht="13.8">
      <c r="C186" s="144" t="s">
        <v>127</v>
      </c>
      <c r="D186" s="128"/>
      <c r="E186" s="128"/>
      <c r="F186" s="128"/>
      <c r="G186" s="64"/>
      <c r="H186" s="788"/>
      <c r="I186" s="788"/>
      <c r="J186" s="68"/>
      <c r="K186" s="788"/>
      <c r="L186" s="788"/>
      <c r="M186" s="68"/>
      <c r="N186" s="788"/>
      <c r="O186" s="788"/>
      <c r="P186" s="68"/>
      <c r="Q186" s="788"/>
      <c r="R186" s="788"/>
      <c r="S186" s="68"/>
      <c r="T186" s="788"/>
      <c r="U186" s="788"/>
      <c r="V186" s="68"/>
      <c r="W186" s="788"/>
      <c r="X186" s="788"/>
      <c r="Y186" s="68"/>
      <c r="Z186" s="788"/>
      <c r="AA186" s="788"/>
      <c r="AB186" s="68"/>
      <c r="AC186" s="788"/>
      <c r="AD186" s="788"/>
      <c r="AE186" s="68"/>
      <c r="AF186" s="788"/>
      <c r="AG186" s="788"/>
      <c r="AH186" s="68"/>
      <c r="AI186" s="788"/>
      <c r="AJ186" s="788"/>
      <c r="AK186" s="68"/>
      <c r="AL186" s="788"/>
      <c r="AM186" s="788"/>
      <c r="AN186" s="68"/>
      <c r="AO186" s="788"/>
      <c r="AP186" s="788"/>
      <c r="AQ186" s="68"/>
      <c r="AR186" s="788"/>
      <c r="AS186" s="788"/>
      <c r="AT186" s="68"/>
      <c r="AU186" s="788"/>
      <c r="AV186" s="788"/>
      <c r="AW186" s="68"/>
      <c r="AX186" s="788"/>
      <c r="AY186" s="788"/>
      <c r="AZ186" s="68"/>
      <c r="BA186" s="788"/>
      <c r="BB186" s="788"/>
      <c r="BC186" s="68"/>
      <c r="BD186" s="788"/>
      <c r="BE186" s="788"/>
      <c r="BF186" s="68"/>
      <c r="BG186" s="788"/>
      <c r="BH186" s="788"/>
      <c r="BI186" s="68"/>
      <c r="BJ186" s="788"/>
      <c r="BK186" s="788"/>
      <c r="BL186" s="68"/>
      <c r="BM186" s="788"/>
      <c r="BN186" s="788"/>
      <c r="BO186" s="68"/>
      <c r="BP186" s="5"/>
      <c r="BQ186" s="5"/>
      <c r="BR186" s="5"/>
      <c r="BS186" s="5"/>
      <c r="BT186" s="5"/>
      <c r="BU186" s="5"/>
      <c r="BV186" s="5"/>
    </row>
    <row r="187" spans="3:74" ht="13.8">
      <c r="C187" s="144" t="s">
        <v>128</v>
      </c>
      <c r="D187" s="128"/>
      <c r="E187" s="128"/>
      <c r="F187" s="128"/>
      <c r="G187" s="64"/>
      <c r="H187" s="788"/>
      <c r="I187" s="788"/>
      <c r="J187" s="68"/>
      <c r="K187" s="788"/>
      <c r="L187" s="788"/>
      <c r="M187" s="68"/>
      <c r="N187" s="788"/>
      <c r="O187" s="788"/>
      <c r="P187" s="68"/>
      <c r="Q187" s="788"/>
      <c r="R187" s="788"/>
      <c r="S187" s="68"/>
      <c r="T187" s="788"/>
      <c r="U187" s="788"/>
      <c r="V187" s="68"/>
      <c r="W187" s="788"/>
      <c r="X187" s="788"/>
      <c r="Y187" s="68"/>
      <c r="Z187" s="788"/>
      <c r="AA187" s="788"/>
      <c r="AB187" s="68"/>
      <c r="AC187" s="788"/>
      <c r="AD187" s="788"/>
      <c r="AE187" s="68"/>
      <c r="AF187" s="788"/>
      <c r="AG187" s="788"/>
      <c r="AH187" s="68"/>
      <c r="AI187" s="788"/>
      <c r="AJ187" s="788"/>
      <c r="AK187" s="68"/>
      <c r="AL187" s="788"/>
      <c r="AM187" s="788"/>
      <c r="AN187" s="68"/>
      <c r="AO187" s="788"/>
      <c r="AP187" s="788"/>
      <c r="AQ187" s="68"/>
      <c r="AR187" s="788"/>
      <c r="AS187" s="788"/>
      <c r="AT187" s="68"/>
      <c r="AU187" s="788"/>
      <c r="AV187" s="788"/>
      <c r="AW187" s="68"/>
      <c r="AX187" s="788"/>
      <c r="AY187" s="788"/>
      <c r="AZ187" s="68"/>
      <c r="BA187" s="788"/>
      <c r="BB187" s="788"/>
      <c r="BC187" s="68"/>
      <c r="BD187" s="788"/>
      <c r="BE187" s="788"/>
      <c r="BF187" s="68"/>
      <c r="BG187" s="788"/>
      <c r="BH187" s="788"/>
      <c r="BI187" s="68"/>
      <c r="BJ187" s="788"/>
      <c r="BK187" s="788"/>
      <c r="BL187" s="68"/>
      <c r="BM187" s="788"/>
      <c r="BN187" s="788"/>
      <c r="BO187" s="68"/>
      <c r="BP187" s="5"/>
      <c r="BQ187" s="5"/>
      <c r="BR187" s="5"/>
      <c r="BS187" s="5"/>
      <c r="BT187" s="5"/>
      <c r="BU187" s="5"/>
      <c r="BV187" s="5"/>
    </row>
    <row r="188" spans="3:74" ht="13.8">
      <c r="C188" s="129" t="s">
        <v>140</v>
      </c>
      <c r="D188" s="128"/>
      <c r="E188" s="128"/>
      <c r="F188" s="128"/>
      <c r="G188" s="21"/>
      <c r="H188" s="788"/>
      <c r="I188" s="788"/>
      <c r="J188" s="222">
        <f>J184+J185-J186+J187</f>
        <v>0</v>
      </c>
      <c r="K188" s="788"/>
      <c r="L188" s="788"/>
      <c r="M188" s="175">
        <f>M184+M185-M186+M187</f>
        <v>0</v>
      </c>
      <c r="N188" s="788"/>
      <c r="O188" s="788"/>
      <c r="P188" s="175">
        <f>P184+P185-P186+P187</f>
        <v>0</v>
      </c>
      <c r="Q188" s="788"/>
      <c r="R188" s="788"/>
      <c r="S188" s="175">
        <f>S184+S185-S186+S187</f>
        <v>0</v>
      </c>
      <c r="T188" s="788"/>
      <c r="U188" s="788"/>
      <c r="V188" s="175">
        <f>V184+V185-V186+V187</f>
        <v>0</v>
      </c>
      <c r="W188" s="788"/>
      <c r="X188" s="788"/>
      <c r="Y188" s="175">
        <f>Y184+Y185-Y186+Y187</f>
        <v>0</v>
      </c>
      <c r="Z188" s="788"/>
      <c r="AA188" s="788"/>
      <c r="AB188" s="175">
        <f>AB184+AB185-AB186+AB187</f>
        <v>0</v>
      </c>
      <c r="AC188" s="788"/>
      <c r="AD188" s="788"/>
      <c r="AE188" s="175">
        <f>AE184+AE185-AE186+AE187</f>
        <v>0</v>
      </c>
      <c r="AF188" s="788"/>
      <c r="AG188" s="788"/>
      <c r="AH188" s="175">
        <f>AH184+AH185-AH186+AH187</f>
        <v>0</v>
      </c>
      <c r="AI188" s="788"/>
      <c r="AJ188" s="788"/>
      <c r="AK188" s="175">
        <f>AK184+AK185-AK186+AK187</f>
        <v>0</v>
      </c>
      <c r="AL188" s="788"/>
      <c r="AM188" s="788"/>
      <c r="AN188" s="175">
        <f>AN184+AN185-AN186+AN187</f>
        <v>0</v>
      </c>
      <c r="AO188" s="788"/>
      <c r="AP188" s="788"/>
      <c r="AQ188" s="175">
        <f>AQ184+AQ185-AQ186+AQ187</f>
        <v>0</v>
      </c>
      <c r="AR188" s="788"/>
      <c r="AS188" s="788"/>
      <c r="AT188" s="175">
        <f>AT184+AT185-AT186+AT187</f>
        <v>0</v>
      </c>
      <c r="AU188" s="788"/>
      <c r="AV188" s="788"/>
      <c r="AW188" s="175">
        <f>AW184+AW185-AW186+AW187</f>
        <v>0</v>
      </c>
      <c r="AX188" s="788"/>
      <c r="AY188" s="788"/>
      <c r="AZ188" s="175">
        <f>AZ184+AZ185-AZ186+AZ187</f>
        <v>0</v>
      </c>
      <c r="BA188" s="788"/>
      <c r="BB188" s="788"/>
      <c r="BC188" s="175">
        <f>BC184+BC185-BC186+BC187</f>
        <v>0</v>
      </c>
      <c r="BD188" s="788"/>
      <c r="BE188" s="788"/>
      <c r="BF188" s="175">
        <f>BF184+BF185-BF186+BF187</f>
        <v>0</v>
      </c>
      <c r="BG188" s="788"/>
      <c r="BH188" s="788"/>
      <c r="BI188" s="175">
        <f>BI184+BI185-BI186+BI187</f>
        <v>0</v>
      </c>
      <c r="BJ188" s="788"/>
      <c r="BK188" s="788"/>
      <c r="BL188" s="175">
        <f>BL184+BL185-BL186+BL187</f>
        <v>0</v>
      </c>
      <c r="BM188" s="788"/>
      <c r="BN188" s="788"/>
      <c r="BO188" s="175">
        <f>BO184+BO185-BO186+BO187</f>
        <v>0</v>
      </c>
      <c r="BP188" s="5"/>
      <c r="BQ188" s="5"/>
      <c r="BR188" s="5"/>
      <c r="BS188" s="5"/>
      <c r="BT188" s="5"/>
      <c r="BU188" s="5"/>
      <c r="BV188" s="5"/>
    </row>
    <row r="189" spans="3:74" ht="13.8">
      <c r="C189" s="129"/>
      <c r="D189" s="128"/>
      <c r="E189" s="128"/>
      <c r="F189" s="128"/>
      <c r="G189" s="21"/>
      <c r="H189" s="788"/>
      <c r="I189" s="788"/>
      <c r="J189" s="222"/>
      <c r="K189" s="788"/>
      <c r="L189" s="788"/>
      <c r="M189" s="175"/>
      <c r="N189" s="788"/>
      <c r="O189" s="788"/>
      <c r="P189" s="175"/>
      <c r="Q189" s="788"/>
      <c r="R189" s="788"/>
      <c r="S189" s="175"/>
      <c r="T189" s="788"/>
      <c r="U189" s="788"/>
      <c r="V189" s="175"/>
      <c r="W189" s="788"/>
      <c r="X189" s="788"/>
      <c r="Y189" s="175"/>
      <c r="Z189" s="788"/>
      <c r="AA189" s="788"/>
      <c r="AB189" s="175"/>
      <c r="AC189" s="788"/>
      <c r="AD189" s="788"/>
      <c r="AE189" s="175"/>
      <c r="AF189" s="788"/>
      <c r="AG189" s="788"/>
      <c r="AH189" s="175"/>
      <c r="AI189" s="788"/>
      <c r="AJ189" s="788"/>
      <c r="AK189" s="175"/>
      <c r="AL189" s="788"/>
      <c r="AM189" s="788"/>
      <c r="AN189" s="175"/>
      <c r="AO189" s="788"/>
      <c r="AP189" s="788"/>
      <c r="AQ189" s="175"/>
      <c r="AR189" s="788"/>
      <c r="AS189" s="788"/>
      <c r="AT189" s="175"/>
      <c r="AU189" s="788"/>
      <c r="AV189" s="788"/>
      <c r="AW189" s="175"/>
      <c r="AX189" s="788"/>
      <c r="AY189" s="788"/>
      <c r="AZ189" s="175"/>
      <c r="BA189" s="788"/>
      <c r="BB189" s="788"/>
      <c r="BC189" s="175"/>
      <c r="BD189" s="788"/>
      <c r="BE189" s="788"/>
      <c r="BF189" s="175"/>
      <c r="BG189" s="788"/>
      <c r="BH189" s="788"/>
      <c r="BI189" s="175"/>
      <c r="BJ189" s="788"/>
      <c r="BK189" s="788"/>
      <c r="BL189" s="175"/>
      <c r="BM189" s="788"/>
      <c r="BN189" s="788"/>
      <c r="BO189" s="175"/>
      <c r="BP189" s="5"/>
      <c r="BQ189" s="5"/>
      <c r="BR189" s="5"/>
      <c r="BS189" s="5"/>
      <c r="BT189" s="5"/>
      <c r="BU189" s="5"/>
      <c r="BV189" s="5"/>
    </row>
    <row r="190" spans="3:74" ht="13.8">
      <c r="C190" s="319" t="s">
        <v>873</v>
      </c>
      <c r="D190" s="128"/>
      <c r="E190" s="128"/>
      <c r="F190" s="128"/>
      <c r="G190" s="21"/>
      <c r="H190" s="788"/>
      <c r="I190" s="788"/>
      <c r="K190" s="788"/>
      <c r="L190" s="788"/>
      <c r="M190" s="175"/>
      <c r="N190" s="788"/>
      <c r="O190" s="788"/>
      <c r="P190" s="175"/>
      <c r="Q190" s="788"/>
      <c r="R190" s="788"/>
      <c r="S190" s="175"/>
      <c r="T190" s="788"/>
      <c r="U190" s="788"/>
      <c r="V190" s="175"/>
      <c r="W190" s="788"/>
      <c r="X190" s="788"/>
      <c r="Y190" s="175"/>
      <c r="Z190" s="788"/>
      <c r="AA190" s="788"/>
      <c r="AB190" s="175"/>
      <c r="AC190" s="788"/>
      <c r="AD190" s="788"/>
      <c r="AE190" s="175"/>
      <c r="AF190" s="788"/>
      <c r="AG190" s="788"/>
      <c r="AH190" s="175"/>
      <c r="AI190" s="788"/>
      <c r="AJ190" s="788"/>
      <c r="AK190" s="175"/>
      <c r="AL190" s="788"/>
      <c r="AM190" s="788"/>
      <c r="AN190" s="175"/>
      <c r="AO190" s="788"/>
      <c r="AP190" s="788"/>
      <c r="AQ190" s="175"/>
      <c r="AR190" s="788"/>
      <c r="AS190" s="788"/>
      <c r="AT190" s="175"/>
      <c r="AU190" s="788"/>
      <c r="AV190" s="788"/>
      <c r="AW190" s="175"/>
      <c r="AX190" s="788"/>
      <c r="AY190" s="788"/>
      <c r="AZ190" s="175"/>
      <c r="BA190" s="788"/>
      <c r="BB190" s="788"/>
      <c r="BC190" s="175"/>
      <c r="BD190" s="788"/>
      <c r="BE190" s="788"/>
      <c r="BF190" s="175"/>
      <c r="BG190" s="788"/>
      <c r="BH190" s="788"/>
      <c r="BI190" s="175"/>
      <c r="BJ190" s="788"/>
      <c r="BK190" s="788"/>
      <c r="BL190" s="175"/>
      <c r="BM190" s="788"/>
      <c r="BN190" s="788"/>
      <c r="BO190" s="175"/>
      <c r="BP190" s="5"/>
      <c r="BQ190" s="5"/>
      <c r="BR190" s="5"/>
      <c r="BS190" s="5"/>
      <c r="BT190" s="5"/>
      <c r="BU190" s="5"/>
      <c r="BV190" s="5"/>
    </row>
    <row r="191" spans="3:74" ht="13.8">
      <c r="C191" s="144" t="s">
        <v>756</v>
      </c>
      <c r="D191" s="128"/>
      <c r="E191" s="128"/>
      <c r="F191" s="128"/>
      <c r="J191" s="178">
        <f>'1.GeneralProjectInfo'!L69</f>
        <v>0</v>
      </c>
      <c r="K191" s="825"/>
      <c r="L191" s="825"/>
      <c r="M191" s="178">
        <f>J193</f>
        <v>0</v>
      </c>
      <c r="N191" s="825"/>
      <c r="O191" s="825"/>
      <c r="P191" s="178">
        <f>M193</f>
        <v>0</v>
      </c>
      <c r="Q191" s="825"/>
      <c r="R191" s="825"/>
      <c r="S191" s="178">
        <f>P193</f>
        <v>0</v>
      </c>
      <c r="T191" s="825"/>
      <c r="U191" s="825"/>
      <c r="V191" s="178">
        <f>S193</f>
        <v>0</v>
      </c>
      <c r="W191" s="825"/>
      <c r="X191" s="825"/>
      <c r="Y191" s="178">
        <f>V193</f>
        <v>0</v>
      </c>
      <c r="Z191" s="825"/>
      <c r="AA191" s="825"/>
      <c r="AB191" s="178">
        <f>Y193</f>
        <v>0</v>
      </c>
      <c r="AC191" s="825"/>
      <c r="AD191" s="825"/>
      <c r="AE191" s="178">
        <f>AB193</f>
        <v>0</v>
      </c>
      <c r="AF191" s="825"/>
      <c r="AG191" s="825"/>
      <c r="AH191" s="178">
        <f>AE193</f>
        <v>0</v>
      </c>
      <c r="AI191" s="825"/>
      <c r="AJ191" s="825"/>
      <c r="AK191" s="178">
        <f>AH193</f>
        <v>0</v>
      </c>
      <c r="AL191" s="825"/>
      <c r="AM191" s="825"/>
      <c r="AN191" s="178">
        <f>AK193</f>
        <v>0</v>
      </c>
      <c r="AO191" s="825"/>
      <c r="AP191" s="825"/>
      <c r="AQ191" s="178">
        <f>AN193</f>
        <v>0</v>
      </c>
      <c r="AR191" s="825"/>
      <c r="AS191" s="825"/>
      <c r="AT191" s="178">
        <f>AQ193</f>
        <v>0</v>
      </c>
      <c r="AU191" s="825"/>
      <c r="AV191" s="825"/>
      <c r="AW191" s="178">
        <f>AT193</f>
        <v>0</v>
      </c>
      <c r="AX191" s="825"/>
      <c r="AY191" s="825"/>
      <c r="AZ191" s="178">
        <f>AW193</f>
        <v>0</v>
      </c>
      <c r="BA191" s="825"/>
      <c r="BB191" s="825"/>
      <c r="BC191" s="178">
        <f>AZ193</f>
        <v>0</v>
      </c>
      <c r="BD191" s="825"/>
      <c r="BE191" s="825"/>
      <c r="BF191" s="178">
        <f>BC193</f>
        <v>0</v>
      </c>
      <c r="BG191" s="825"/>
      <c r="BH191" s="825"/>
      <c r="BI191" s="178">
        <f>BF193</f>
        <v>0</v>
      </c>
      <c r="BJ191" s="825"/>
      <c r="BK191" s="825"/>
      <c r="BL191" s="178">
        <f>BI193</f>
        <v>0</v>
      </c>
      <c r="BM191" s="825"/>
      <c r="BN191" s="825"/>
      <c r="BO191" s="178">
        <f>BL193</f>
        <v>0</v>
      </c>
      <c r="BP191" s="5"/>
      <c r="BQ191" s="5"/>
      <c r="BR191" s="5"/>
      <c r="BS191" s="5"/>
      <c r="BT191" s="5"/>
      <c r="BU191" s="5"/>
      <c r="BV191" s="5"/>
    </row>
    <row r="192" spans="3:74" ht="13.8">
      <c r="C192" s="144" t="s">
        <v>1067</v>
      </c>
      <c r="D192" s="128"/>
      <c r="E192" s="128"/>
      <c r="F192" s="128"/>
      <c r="G192" s="21"/>
      <c r="H192" s="788"/>
      <c r="I192" s="788"/>
      <c r="J192" s="826">
        <f>J122</f>
        <v>0</v>
      </c>
      <c r="K192" s="825"/>
      <c r="L192" s="825"/>
      <c r="M192" s="178">
        <f>M122</f>
        <v>0</v>
      </c>
      <c r="N192" s="825"/>
      <c r="O192" s="825"/>
      <c r="P192" s="178">
        <f>P122</f>
        <v>0</v>
      </c>
      <c r="Q192" s="825"/>
      <c r="R192" s="825"/>
      <c r="S192" s="178">
        <f>S122</f>
        <v>0</v>
      </c>
      <c r="T192" s="825"/>
      <c r="U192" s="825"/>
      <c r="V192" s="178">
        <f>V122</f>
        <v>0</v>
      </c>
      <c r="W192" s="825"/>
      <c r="X192" s="825"/>
      <c r="Y192" s="178">
        <f>Y122</f>
        <v>0</v>
      </c>
      <c r="Z192" s="825"/>
      <c r="AA192" s="825"/>
      <c r="AB192" s="178">
        <f>AB122</f>
        <v>0</v>
      </c>
      <c r="AC192" s="825"/>
      <c r="AD192" s="825"/>
      <c r="AE192" s="178">
        <f>AE122</f>
        <v>0</v>
      </c>
      <c r="AF192" s="825"/>
      <c r="AG192" s="825"/>
      <c r="AH192" s="178">
        <f>AH122</f>
        <v>0</v>
      </c>
      <c r="AI192" s="825"/>
      <c r="AJ192" s="825"/>
      <c r="AK192" s="178">
        <f>AK122</f>
        <v>0</v>
      </c>
      <c r="AL192" s="825"/>
      <c r="AM192" s="825"/>
      <c r="AN192" s="178">
        <f>AN122</f>
        <v>0</v>
      </c>
      <c r="AO192" s="825"/>
      <c r="AP192" s="825"/>
      <c r="AQ192" s="178">
        <f>AQ122</f>
        <v>0</v>
      </c>
      <c r="AR192" s="825"/>
      <c r="AS192" s="825"/>
      <c r="AT192" s="178">
        <f>AT122</f>
        <v>0</v>
      </c>
      <c r="AU192" s="825"/>
      <c r="AV192" s="825"/>
      <c r="AW192" s="178">
        <f>AW122</f>
        <v>0</v>
      </c>
      <c r="AX192" s="825"/>
      <c r="AY192" s="825"/>
      <c r="AZ192" s="178">
        <f>AZ122</f>
        <v>0</v>
      </c>
      <c r="BA192" s="825"/>
      <c r="BB192" s="825"/>
      <c r="BC192" s="178">
        <f>BC122</f>
        <v>0</v>
      </c>
      <c r="BD192" s="825"/>
      <c r="BE192" s="825"/>
      <c r="BF192" s="178">
        <f>BF122</f>
        <v>0</v>
      </c>
      <c r="BG192" s="825"/>
      <c r="BH192" s="825"/>
      <c r="BI192" s="178">
        <f>BI122</f>
        <v>0</v>
      </c>
      <c r="BJ192" s="825"/>
      <c r="BK192" s="825"/>
      <c r="BL192" s="178">
        <f>BL122</f>
        <v>0</v>
      </c>
      <c r="BM192" s="825"/>
      <c r="BN192" s="825"/>
      <c r="BO192" s="178">
        <f>BO122</f>
        <v>0</v>
      </c>
      <c r="BP192" s="5"/>
      <c r="BQ192" s="5"/>
      <c r="BR192" s="5"/>
      <c r="BS192" s="5"/>
      <c r="BT192" s="5"/>
      <c r="BU192" s="5"/>
      <c r="BV192" s="5"/>
    </row>
    <row r="193" spans="1:74" ht="13.8">
      <c r="C193" s="1082" t="s">
        <v>757</v>
      </c>
      <c r="D193" s="128"/>
      <c r="E193" s="128"/>
      <c r="F193" s="128"/>
      <c r="G193" s="21"/>
      <c r="H193" s="788"/>
      <c r="I193" s="788"/>
      <c r="J193" s="175">
        <f>J191-J192</f>
        <v>0</v>
      </c>
      <c r="K193" s="788"/>
      <c r="L193" s="788"/>
      <c r="M193" s="175">
        <f>M191-M192</f>
        <v>0</v>
      </c>
      <c r="N193" s="175"/>
      <c r="O193" s="175"/>
      <c r="P193" s="175">
        <f>P191-P192</f>
        <v>0</v>
      </c>
      <c r="Q193" s="175"/>
      <c r="R193" s="175"/>
      <c r="S193" s="175">
        <f>S191-S192</f>
        <v>0</v>
      </c>
      <c r="T193" s="175"/>
      <c r="U193" s="175"/>
      <c r="V193" s="175">
        <f>V191-V192</f>
        <v>0</v>
      </c>
      <c r="W193" s="175"/>
      <c r="X193" s="175"/>
      <c r="Y193" s="175">
        <f>Y191-Y192</f>
        <v>0</v>
      </c>
      <c r="Z193" s="175"/>
      <c r="AA193" s="175"/>
      <c r="AB193" s="175">
        <f>AB191-AB192</f>
        <v>0</v>
      </c>
      <c r="AC193" s="175"/>
      <c r="AD193" s="175"/>
      <c r="AE193" s="175">
        <f>AE191-AE192</f>
        <v>0</v>
      </c>
      <c r="AF193" s="175"/>
      <c r="AG193" s="175"/>
      <c r="AH193" s="175">
        <f>AH191-AH192</f>
        <v>0</v>
      </c>
      <c r="AI193" s="175"/>
      <c r="AJ193" s="175"/>
      <c r="AK193" s="175">
        <f>AK191-AK192</f>
        <v>0</v>
      </c>
      <c r="AL193" s="175"/>
      <c r="AM193" s="175"/>
      <c r="AN193" s="175">
        <f>AN191-AN192</f>
        <v>0</v>
      </c>
      <c r="AO193" s="175"/>
      <c r="AP193" s="175"/>
      <c r="AQ193" s="175">
        <f>AQ191-AQ192</f>
        <v>0</v>
      </c>
      <c r="AR193" s="175"/>
      <c r="AS193" s="175"/>
      <c r="AT193" s="175">
        <f>AT191-AT192</f>
        <v>0</v>
      </c>
      <c r="AU193" s="175"/>
      <c r="AV193" s="175"/>
      <c r="AW193" s="175">
        <f>AW191-AW192</f>
        <v>0</v>
      </c>
      <c r="AX193" s="175"/>
      <c r="AY193" s="175"/>
      <c r="AZ193" s="175">
        <f>AZ191-AZ192</f>
        <v>0</v>
      </c>
      <c r="BA193" s="175"/>
      <c r="BB193" s="175"/>
      <c r="BC193" s="175">
        <f>BC191-BC192</f>
        <v>0</v>
      </c>
      <c r="BD193" s="175"/>
      <c r="BE193" s="175"/>
      <c r="BF193" s="175">
        <f>BF191-BF192</f>
        <v>0</v>
      </c>
      <c r="BG193" s="175"/>
      <c r="BH193" s="175"/>
      <c r="BI193" s="175">
        <f>BI191-BI192</f>
        <v>0</v>
      </c>
      <c r="BJ193" s="175"/>
      <c r="BK193" s="175"/>
      <c r="BL193" s="175">
        <f>BL191-BL192</f>
        <v>0</v>
      </c>
      <c r="BM193" s="175"/>
      <c r="BN193" s="175"/>
      <c r="BO193" s="175">
        <f>BO191-BO192</f>
        <v>0</v>
      </c>
      <c r="BP193" s="5"/>
      <c r="BQ193" s="5"/>
      <c r="BR193" s="5"/>
      <c r="BS193" s="5"/>
      <c r="BT193" s="5"/>
      <c r="BU193" s="5"/>
      <c r="BV193" s="5"/>
    </row>
    <row r="194" spans="1:74" ht="13.8">
      <c r="C194" s="319"/>
      <c r="D194" s="128"/>
      <c r="E194" s="128"/>
      <c r="F194" s="128"/>
      <c r="G194" s="21"/>
      <c r="H194" s="788"/>
      <c r="I194" s="788"/>
      <c r="J194" s="175"/>
      <c r="K194" s="788"/>
      <c r="L194" s="788"/>
      <c r="M194" s="175"/>
      <c r="N194" s="788"/>
      <c r="O194" s="788"/>
      <c r="P194" s="175"/>
      <c r="Q194" s="788"/>
      <c r="R194" s="788"/>
      <c r="S194" s="175"/>
      <c r="T194" s="788"/>
      <c r="U194" s="788"/>
      <c r="V194" s="175"/>
      <c r="W194" s="788"/>
      <c r="X194" s="788"/>
      <c r="Y194" s="175"/>
      <c r="Z194" s="788"/>
      <c r="AA194" s="788"/>
      <c r="AB194" s="175"/>
      <c r="AC194" s="788"/>
      <c r="AD194" s="788"/>
      <c r="AE194" s="175"/>
      <c r="AF194" s="788"/>
      <c r="AG194" s="788"/>
      <c r="AH194" s="175"/>
      <c r="AI194" s="788"/>
      <c r="AJ194" s="788"/>
      <c r="AK194" s="175"/>
      <c r="AL194" s="788"/>
      <c r="AM194" s="788"/>
      <c r="AN194" s="175"/>
      <c r="AO194" s="788"/>
      <c r="AP194" s="788"/>
      <c r="AQ194" s="175"/>
      <c r="AR194" s="788"/>
      <c r="AS194" s="788"/>
      <c r="AT194" s="175"/>
      <c r="AU194" s="788"/>
      <c r="AV194" s="788"/>
      <c r="AW194" s="175"/>
      <c r="AX194" s="788"/>
      <c r="AY194" s="788"/>
      <c r="AZ194" s="175"/>
      <c r="BA194" s="788"/>
      <c r="BB194" s="788"/>
      <c r="BC194" s="175"/>
      <c r="BD194" s="788"/>
      <c r="BE194" s="788"/>
      <c r="BF194" s="175"/>
      <c r="BG194" s="788"/>
      <c r="BH194" s="788"/>
      <c r="BI194" s="175"/>
      <c r="BJ194" s="788"/>
      <c r="BK194" s="788"/>
      <c r="BL194" s="175"/>
      <c r="BM194" s="788"/>
      <c r="BN194" s="788"/>
      <c r="BO194" s="175"/>
      <c r="BP194" s="5"/>
      <c r="BQ194" s="5"/>
      <c r="BR194" s="5"/>
      <c r="BS194" s="5"/>
      <c r="BT194" s="5"/>
      <c r="BU194" s="5"/>
      <c r="BV194" s="5"/>
    </row>
    <row r="195" spans="1:74" ht="13.8">
      <c r="C195" s="320" t="s">
        <v>760</v>
      </c>
      <c r="D195" s="128"/>
      <c r="E195" s="128"/>
      <c r="F195" s="128"/>
      <c r="G195" s="21"/>
      <c r="H195" s="788"/>
      <c r="I195" s="788"/>
      <c r="J195" s="819" t="e">
        <f>J122/(J107-SUM(J116:J121))</f>
        <v>#DIV/0!</v>
      </c>
      <c r="K195" s="788"/>
      <c r="L195" s="788"/>
      <c r="M195" s="819" t="e">
        <f>M122/(M107-SUM(M116:M121))</f>
        <v>#DIV/0!</v>
      </c>
      <c r="N195" s="788"/>
      <c r="O195" s="788"/>
      <c r="P195" s="819" t="e">
        <f>P122/(P107-SUM(P116:P121))</f>
        <v>#DIV/0!</v>
      </c>
      <c r="Q195" s="788"/>
      <c r="R195" s="788"/>
      <c r="S195" s="819" t="e">
        <f>S122/(S107-SUM(S116:S121))</f>
        <v>#DIV/0!</v>
      </c>
      <c r="T195" s="788"/>
      <c r="U195" s="788"/>
      <c r="V195" s="819" t="e">
        <f>V122/(V107-SUM(V116:V121))</f>
        <v>#DIV/0!</v>
      </c>
      <c r="W195" s="788"/>
      <c r="X195" s="788"/>
      <c r="Y195" s="819" t="e">
        <f>Y122/(Y107-SUM(Y116:Y121))</f>
        <v>#DIV/0!</v>
      </c>
      <c r="Z195" s="788"/>
      <c r="AA195" s="788"/>
      <c r="AB195" s="819" t="e">
        <f>AB122/(AB107-SUM(AB116:AB121))</f>
        <v>#DIV/0!</v>
      </c>
      <c r="AC195" s="788"/>
      <c r="AD195" s="788"/>
      <c r="AE195" s="819" t="e">
        <f>AE122/(AE107-SUM(AE116:AE121))</f>
        <v>#DIV/0!</v>
      </c>
      <c r="AF195" s="788"/>
      <c r="AG195" s="788"/>
      <c r="AH195" s="819" t="e">
        <f>AH122/(AH107-SUM(AH116:AH121))</f>
        <v>#DIV/0!</v>
      </c>
      <c r="AI195" s="788"/>
      <c r="AJ195" s="788"/>
      <c r="AK195" s="819" t="e">
        <f>AK122/(AK107-SUM(AK116:AK121))</f>
        <v>#DIV/0!</v>
      </c>
      <c r="AL195" s="788"/>
      <c r="AM195" s="788"/>
      <c r="AN195" s="819" t="e">
        <f>AN122/(AN107-SUM(AN116:AN121))</f>
        <v>#DIV/0!</v>
      </c>
      <c r="AO195" s="788"/>
      <c r="AP195" s="788"/>
      <c r="AQ195" s="819" t="e">
        <f>AQ122/(AQ107-SUM(AQ116:AQ121))</f>
        <v>#DIV/0!</v>
      </c>
      <c r="AR195" s="788"/>
      <c r="AS195" s="788"/>
      <c r="AT195" s="819" t="e">
        <f>AT122/(AT107-SUM(AT116:AT121))</f>
        <v>#DIV/0!</v>
      </c>
      <c r="AU195" s="788"/>
      <c r="AV195" s="788"/>
      <c r="AW195" s="819" t="e">
        <f>AW122/(AW107-SUM(AW116:AW121))</f>
        <v>#DIV/0!</v>
      </c>
      <c r="AX195" s="788"/>
      <c r="AY195" s="788"/>
      <c r="AZ195" s="819" t="e">
        <f>AZ122/(AZ107-SUM(AZ116:AZ121))</f>
        <v>#DIV/0!</v>
      </c>
      <c r="BA195" s="788"/>
      <c r="BB195" s="788"/>
      <c r="BC195" s="819" t="e">
        <f>BC122/(BC107-SUM(BC116:BC121))</f>
        <v>#DIV/0!</v>
      </c>
      <c r="BD195" s="788"/>
      <c r="BE195" s="788"/>
      <c r="BF195" s="819" t="e">
        <f>BF122/(BF107-SUM(BF116:BF121))</f>
        <v>#DIV/0!</v>
      </c>
      <c r="BG195" s="788"/>
      <c r="BH195" s="788"/>
      <c r="BI195" s="819" t="e">
        <f>BI122/(BI107-SUM(BI116:BI121))</f>
        <v>#DIV/0!</v>
      </c>
      <c r="BJ195" s="788"/>
      <c r="BK195" s="788"/>
      <c r="BL195" s="819" t="e">
        <f>BL122/(BL107-SUM(BL116:BL121))</f>
        <v>#DIV/0!</v>
      </c>
      <c r="BM195" s="788"/>
      <c r="BN195" s="788"/>
      <c r="BO195" s="819" t="e">
        <f>BO122/(BO107-SUM(BO116:BO121))</f>
        <v>#DIV/0!</v>
      </c>
      <c r="BP195" s="5"/>
      <c r="BQ195" s="5"/>
      <c r="BR195" s="5"/>
      <c r="BS195" s="5"/>
      <c r="BT195" s="5"/>
      <c r="BU195" s="5"/>
      <c r="BV195" s="5"/>
    </row>
    <row r="196" spans="1:74" ht="13.8">
      <c r="C196" s="320" t="s">
        <v>762</v>
      </c>
      <c r="D196" s="128"/>
      <c r="E196" s="128"/>
      <c r="F196" s="128"/>
      <c r="G196" s="21"/>
      <c r="H196" s="788"/>
      <c r="I196" s="788"/>
      <c r="J196" s="819" t="e">
        <f>(J155+J156)/J126</f>
        <v>#DIV/0!</v>
      </c>
      <c r="K196" s="788"/>
      <c r="L196" s="788"/>
      <c r="M196" s="819" t="e">
        <f>(M155+M156)/M126</f>
        <v>#DIV/0!</v>
      </c>
      <c r="N196" s="788"/>
      <c r="O196" s="788"/>
      <c r="P196" s="819" t="e">
        <f>(P155+P156)/P126</f>
        <v>#DIV/0!</v>
      </c>
      <c r="Q196" s="788"/>
      <c r="R196" s="788"/>
      <c r="S196" s="819" t="e">
        <f>(S155+S156)/S126</f>
        <v>#DIV/0!</v>
      </c>
      <c r="T196" s="788"/>
      <c r="U196" s="788"/>
      <c r="V196" s="819" t="e">
        <f>(V155+V156)/V126</f>
        <v>#DIV/0!</v>
      </c>
      <c r="W196" s="788"/>
      <c r="X196" s="788"/>
      <c r="Y196" s="819" t="e">
        <f>(Y155+Y156)/Y126</f>
        <v>#DIV/0!</v>
      </c>
      <c r="Z196" s="788"/>
      <c r="AA196" s="788"/>
      <c r="AB196" s="819" t="e">
        <f>(AB155+AB156)/AB126</f>
        <v>#DIV/0!</v>
      </c>
      <c r="AC196" s="788"/>
      <c r="AD196" s="788"/>
      <c r="AE196" s="819" t="e">
        <f>(AE155+AE156)/AE126</f>
        <v>#DIV/0!</v>
      </c>
      <c r="AF196" s="788"/>
      <c r="AG196" s="788"/>
      <c r="AH196" s="819" t="e">
        <f>(AH155+AH156)/AH126</f>
        <v>#DIV/0!</v>
      </c>
      <c r="AI196" s="788"/>
      <c r="AJ196" s="788"/>
      <c r="AK196" s="819" t="e">
        <f>(AK155+AK156)/AK126</f>
        <v>#DIV/0!</v>
      </c>
      <c r="AL196" s="788"/>
      <c r="AM196" s="788"/>
      <c r="AN196" s="819" t="e">
        <f>(AN155+AN156)/AN126</f>
        <v>#DIV/0!</v>
      </c>
      <c r="AO196" s="788"/>
      <c r="AP196" s="788"/>
      <c r="AQ196" s="819" t="e">
        <f>(AQ155+AQ156)/AQ126</f>
        <v>#DIV/0!</v>
      </c>
      <c r="AR196" s="788"/>
      <c r="AS196" s="788"/>
      <c r="AT196" s="819" t="e">
        <f>(AT155+AT156)/AT126</f>
        <v>#DIV/0!</v>
      </c>
      <c r="AU196" s="788"/>
      <c r="AV196" s="788"/>
      <c r="AW196" s="819" t="e">
        <f>(AW155+AW156)/AW126</f>
        <v>#DIV/0!</v>
      </c>
      <c r="AX196" s="788"/>
      <c r="AY196" s="788"/>
      <c r="AZ196" s="819" t="e">
        <f>(AZ155+AZ156)/AZ126</f>
        <v>#DIV/0!</v>
      </c>
      <c r="BA196" s="788"/>
      <c r="BB196" s="788"/>
      <c r="BC196" s="819" t="e">
        <f>(BC155+BC156)/BC126</f>
        <v>#DIV/0!</v>
      </c>
      <c r="BD196" s="788"/>
      <c r="BE196" s="788"/>
      <c r="BF196" s="819" t="e">
        <f>(BF155+BF156)/BF126</f>
        <v>#DIV/0!</v>
      </c>
      <c r="BG196" s="788"/>
      <c r="BH196" s="788"/>
      <c r="BI196" s="819" t="e">
        <f>(BI155+BI156)/BI126</f>
        <v>#DIV/0!</v>
      </c>
      <c r="BJ196" s="788"/>
      <c r="BK196" s="788"/>
      <c r="BL196" s="819" t="e">
        <f>(BL155+BL156)/BL126</f>
        <v>#DIV/0!</v>
      </c>
      <c r="BM196" s="788"/>
      <c r="BN196" s="788"/>
      <c r="BO196" s="819" t="e">
        <f>(BO155+BO156)/BO126</f>
        <v>#DIV/0!</v>
      </c>
      <c r="BP196" s="5"/>
      <c r="BQ196" s="5"/>
      <c r="BR196" s="5"/>
      <c r="BS196" s="5"/>
      <c r="BT196" s="5"/>
      <c r="BU196" s="5"/>
      <c r="BV196" s="5"/>
    </row>
    <row r="197" spans="1:74" ht="13.8">
      <c r="C197" s="320" t="s">
        <v>761</v>
      </c>
      <c r="D197" s="128"/>
      <c r="E197" s="128"/>
      <c r="F197" s="128"/>
      <c r="G197" s="21"/>
      <c r="H197" s="788"/>
      <c r="I197" s="788"/>
      <c r="J197" s="819" t="e">
        <f>(J142+J152)/(J107-SUM(J116:J121))</f>
        <v>#DIV/0!</v>
      </c>
      <c r="K197" s="788"/>
      <c r="L197" s="788"/>
      <c r="M197" s="819" t="e">
        <f>(M142+M152)/(M107-SUM(M116:M121))</f>
        <v>#DIV/0!</v>
      </c>
      <c r="N197" s="788"/>
      <c r="O197" s="788"/>
      <c r="P197" s="819" t="e">
        <f>(P142+P152)/(P107-SUM(P116:P121))</f>
        <v>#DIV/0!</v>
      </c>
      <c r="Q197" s="788"/>
      <c r="R197" s="788"/>
      <c r="S197" s="819" t="e">
        <f>(S142+S152)/(S107-SUM(S116:S121))</f>
        <v>#DIV/0!</v>
      </c>
      <c r="T197" s="788"/>
      <c r="U197" s="788"/>
      <c r="V197" s="819" t="e">
        <f>(V142+V152)/(V107-SUM(V116:V121))</f>
        <v>#DIV/0!</v>
      </c>
      <c r="W197" s="788"/>
      <c r="X197" s="788"/>
      <c r="Y197" s="819" t="e">
        <f>(Y142+Y152)/(Y107-SUM(Y116:Y121))</f>
        <v>#DIV/0!</v>
      </c>
      <c r="Z197" s="788"/>
      <c r="AA197" s="788"/>
      <c r="AB197" s="819" t="e">
        <f>(AB142+AB152)/(AB107-SUM(AB116:AB121))</f>
        <v>#DIV/0!</v>
      </c>
      <c r="AC197" s="788"/>
      <c r="AD197" s="788"/>
      <c r="AE197" s="819" t="e">
        <f>(AE142+AE152)/(AE107-SUM(AE116:AE121))</f>
        <v>#DIV/0!</v>
      </c>
      <c r="AF197" s="788"/>
      <c r="AG197" s="788"/>
      <c r="AH197" s="819" t="e">
        <f>(AH142+AH152)/(AH107-SUM(AH116:AH121))</f>
        <v>#DIV/0!</v>
      </c>
      <c r="AI197" s="788"/>
      <c r="AJ197" s="788"/>
      <c r="AK197" s="819" t="e">
        <f>(AK142+AK152)/(AK107-SUM(AK116:AK121))</f>
        <v>#DIV/0!</v>
      </c>
      <c r="AL197" s="788"/>
      <c r="AM197" s="788"/>
      <c r="AN197" s="819" t="e">
        <f>(AN142+AN152)/(AN107-SUM(AN116:AN121))</f>
        <v>#DIV/0!</v>
      </c>
      <c r="AO197" s="788"/>
      <c r="AP197" s="788"/>
      <c r="AQ197" s="819" t="e">
        <f>(AQ142+AQ152)/(AQ107-SUM(AQ116:AQ121))</f>
        <v>#DIV/0!</v>
      </c>
      <c r="AR197" s="788"/>
      <c r="AS197" s="788"/>
      <c r="AT197" s="819" t="e">
        <f>(AT142+AT152)/(AT107-SUM(AT116:AT121))</f>
        <v>#DIV/0!</v>
      </c>
      <c r="AU197" s="788"/>
      <c r="AV197" s="788"/>
      <c r="AW197" s="819" t="e">
        <f>(AW142+AW152)/(AW107-SUM(AW116:AW121))</f>
        <v>#DIV/0!</v>
      </c>
      <c r="AX197" s="788"/>
      <c r="AY197" s="788"/>
      <c r="AZ197" s="819" t="e">
        <f>(AZ142+AZ152)/(AZ107-SUM(AZ116:AZ121))</f>
        <v>#DIV/0!</v>
      </c>
      <c r="BA197" s="788"/>
      <c r="BB197" s="788"/>
      <c r="BC197" s="819" t="e">
        <f>(BC142+BC152)/(BC107-SUM(BC116:BC121))</f>
        <v>#DIV/0!</v>
      </c>
      <c r="BD197" s="788"/>
      <c r="BE197" s="788"/>
      <c r="BF197" s="819" t="e">
        <f>(BF142+BF152)/(BF107-SUM(BF116:BF121))</f>
        <v>#DIV/0!</v>
      </c>
      <c r="BG197" s="788"/>
      <c r="BH197" s="788"/>
      <c r="BI197" s="819" t="e">
        <f>(BI142+BI152)/(BI107-SUM(BI116:BI121))</f>
        <v>#DIV/0!</v>
      </c>
      <c r="BJ197" s="788"/>
      <c r="BK197" s="788"/>
      <c r="BL197" s="819" t="e">
        <f>(BL142+BL152)/(BL107-SUM(BL116:BL121))</f>
        <v>#DIV/0!</v>
      </c>
      <c r="BM197" s="788"/>
      <c r="BN197" s="788"/>
      <c r="BO197" s="819" t="e">
        <f>(BO142+BO152)/(BO107-SUM(BO116:BO121))</f>
        <v>#DIV/0!</v>
      </c>
      <c r="BP197" s="5"/>
      <c r="BQ197" s="5"/>
      <c r="BR197" s="5"/>
      <c r="BS197" s="5"/>
      <c r="BT197" s="5"/>
      <c r="BU197" s="5"/>
      <c r="BV197" s="5"/>
    </row>
    <row r="198" spans="1:74" s="141" customFormat="1" ht="13.8">
      <c r="A198"/>
      <c r="B198"/>
      <c r="C198" s="128"/>
      <c r="D198" s="128"/>
      <c r="E198" s="128"/>
      <c r="F198" s="128"/>
      <c r="G198" s="157"/>
      <c r="H198" s="157"/>
      <c r="I198" s="157"/>
    </row>
    <row r="199" spans="1:74" s="141" customFormat="1" ht="13.8">
      <c r="A199"/>
      <c r="B199"/>
      <c r="C199" s="137" t="s">
        <v>989</v>
      </c>
      <c r="D199" s="137"/>
      <c r="E199" s="137"/>
      <c r="F199" s="137"/>
      <c r="G199" s="803"/>
      <c r="H199" s="803"/>
      <c r="I199" s="803"/>
      <c r="J199" s="399">
        <f>IF('1.GeneralProjectInfo'!L71="yes",'1.GeneralProjectInfo'!$G$75,0)</f>
        <v>0</v>
      </c>
      <c r="K199" s="399"/>
      <c r="L199" s="399"/>
      <c r="M199" s="399">
        <f>J199</f>
        <v>0</v>
      </c>
      <c r="N199" s="399"/>
      <c r="O199" s="399"/>
      <c r="P199" s="399">
        <f t="shared" ref="P199:BO199" si="276">M199</f>
        <v>0</v>
      </c>
      <c r="Q199" s="399">
        <f t="shared" si="276"/>
        <v>0</v>
      </c>
      <c r="R199" s="399">
        <f t="shared" si="276"/>
        <v>0</v>
      </c>
      <c r="S199" s="399">
        <f t="shared" si="276"/>
        <v>0</v>
      </c>
      <c r="T199" s="399">
        <f t="shared" si="276"/>
        <v>0</v>
      </c>
      <c r="U199" s="399">
        <f t="shared" si="276"/>
        <v>0</v>
      </c>
      <c r="V199" s="399">
        <f t="shared" si="276"/>
        <v>0</v>
      </c>
      <c r="W199" s="399">
        <f t="shared" si="276"/>
        <v>0</v>
      </c>
      <c r="X199" s="399">
        <f t="shared" si="276"/>
        <v>0</v>
      </c>
      <c r="Y199" s="399">
        <f t="shared" si="276"/>
        <v>0</v>
      </c>
      <c r="Z199" s="399">
        <f t="shared" si="276"/>
        <v>0</v>
      </c>
      <c r="AA199" s="399">
        <f t="shared" si="276"/>
        <v>0</v>
      </c>
      <c r="AB199" s="399">
        <f t="shared" si="276"/>
        <v>0</v>
      </c>
      <c r="AC199" s="399">
        <f t="shared" si="276"/>
        <v>0</v>
      </c>
      <c r="AD199" s="399">
        <f t="shared" si="276"/>
        <v>0</v>
      </c>
      <c r="AE199" s="399">
        <f t="shared" si="276"/>
        <v>0</v>
      </c>
      <c r="AF199" s="399">
        <f t="shared" si="276"/>
        <v>0</v>
      </c>
      <c r="AG199" s="399">
        <f t="shared" si="276"/>
        <v>0</v>
      </c>
      <c r="AH199" s="399">
        <f t="shared" si="276"/>
        <v>0</v>
      </c>
      <c r="AI199" s="399">
        <f t="shared" si="276"/>
        <v>0</v>
      </c>
      <c r="AJ199" s="399">
        <f t="shared" si="276"/>
        <v>0</v>
      </c>
      <c r="AK199" s="399">
        <f t="shared" si="276"/>
        <v>0</v>
      </c>
      <c r="AL199" s="399">
        <f t="shared" si="276"/>
        <v>0</v>
      </c>
      <c r="AM199" s="399">
        <f t="shared" si="276"/>
        <v>0</v>
      </c>
      <c r="AN199" s="399">
        <f t="shared" si="276"/>
        <v>0</v>
      </c>
      <c r="AO199" s="399">
        <f t="shared" si="276"/>
        <v>0</v>
      </c>
      <c r="AP199" s="399">
        <f t="shared" si="276"/>
        <v>0</v>
      </c>
      <c r="AQ199" s="399">
        <f t="shared" si="276"/>
        <v>0</v>
      </c>
      <c r="AR199" s="399">
        <f t="shared" si="276"/>
        <v>0</v>
      </c>
      <c r="AS199" s="399">
        <f t="shared" si="276"/>
        <v>0</v>
      </c>
      <c r="AT199" s="399">
        <f t="shared" si="276"/>
        <v>0</v>
      </c>
      <c r="AU199" s="399">
        <f t="shared" si="276"/>
        <v>0</v>
      </c>
      <c r="AV199" s="399">
        <f t="shared" si="276"/>
        <v>0</v>
      </c>
      <c r="AW199" s="399">
        <f t="shared" si="276"/>
        <v>0</v>
      </c>
      <c r="AX199" s="399">
        <f t="shared" si="276"/>
        <v>0</v>
      </c>
      <c r="AY199" s="399">
        <f t="shared" si="276"/>
        <v>0</v>
      </c>
      <c r="AZ199" s="399">
        <f t="shared" si="276"/>
        <v>0</v>
      </c>
      <c r="BA199" s="399">
        <f t="shared" si="276"/>
        <v>0</v>
      </c>
      <c r="BB199" s="399">
        <f t="shared" si="276"/>
        <v>0</v>
      </c>
      <c r="BC199" s="399">
        <f t="shared" si="276"/>
        <v>0</v>
      </c>
      <c r="BD199" s="399">
        <f t="shared" si="276"/>
        <v>0</v>
      </c>
      <c r="BE199" s="399">
        <f t="shared" si="276"/>
        <v>0</v>
      </c>
      <c r="BF199" s="399">
        <f t="shared" si="276"/>
        <v>0</v>
      </c>
      <c r="BG199" s="399">
        <f t="shared" si="276"/>
        <v>0</v>
      </c>
      <c r="BH199" s="399">
        <f t="shared" si="276"/>
        <v>0</v>
      </c>
      <c r="BI199" s="399">
        <f t="shared" si="276"/>
        <v>0</v>
      </c>
      <c r="BJ199" s="399">
        <f t="shared" si="276"/>
        <v>0</v>
      </c>
      <c r="BK199" s="399">
        <f t="shared" si="276"/>
        <v>0</v>
      </c>
      <c r="BL199" s="399">
        <f t="shared" si="276"/>
        <v>0</v>
      </c>
      <c r="BM199" s="399">
        <f t="shared" si="276"/>
        <v>0</v>
      </c>
      <c r="BN199" s="399">
        <f t="shared" si="276"/>
        <v>0</v>
      </c>
      <c r="BO199" s="399">
        <f t="shared" si="276"/>
        <v>0</v>
      </c>
    </row>
    <row r="200" spans="1:74" s="141" customFormat="1" ht="13.8">
      <c r="A200"/>
      <c r="B200"/>
      <c r="C200" s="127" t="s">
        <v>990</v>
      </c>
      <c r="D200" s="127"/>
      <c r="E200" s="127"/>
      <c r="F200" s="127"/>
      <c r="G200" s="254"/>
      <c r="H200" s="254"/>
      <c r="I200" s="254"/>
      <c r="J200" s="174">
        <f>IF('1.GeneralProjectInfo'!$L$71="yes",J86,0)</f>
        <v>0</v>
      </c>
      <c r="K200" s="174"/>
      <c r="L200" s="174"/>
      <c r="M200" s="174">
        <f>IF('1.GeneralProjectInfo'!$L$71="yes",M86,0)</f>
        <v>0</v>
      </c>
      <c r="N200" s="174"/>
      <c r="O200" s="174"/>
      <c r="P200" s="174">
        <f>IF('1.GeneralProjectInfo'!$L$71="yes",P86,0)</f>
        <v>0</v>
      </c>
      <c r="Q200" s="174">
        <f>Q86</f>
        <v>0</v>
      </c>
      <c r="R200" s="174">
        <f>R86</f>
        <v>0</v>
      </c>
      <c r="S200" s="174">
        <f>IF('1.GeneralProjectInfo'!$L$71="yes",S86,0)</f>
        <v>0</v>
      </c>
      <c r="T200" s="174">
        <f>T86</f>
        <v>0</v>
      </c>
      <c r="U200" s="174">
        <f>U86</f>
        <v>0</v>
      </c>
      <c r="V200" s="174">
        <f>IF('1.GeneralProjectInfo'!$L$71="yes",V86,0)</f>
        <v>0</v>
      </c>
      <c r="W200" s="174">
        <f>W86</f>
        <v>0</v>
      </c>
      <c r="X200" s="174">
        <f>X86</f>
        <v>0</v>
      </c>
      <c r="Y200" s="174">
        <f>IF('1.GeneralProjectInfo'!$L$71="yes",Y86,0)</f>
        <v>0</v>
      </c>
      <c r="Z200" s="174">
        <f>Z86</f>
        <v>0</v>
      </c>
      <c r="AA200" s="174">
        <f>AA86</f>
        <v>0</v>
      </c>
      <c r="AB200" s="174">
        <f>IF('1.GeneralProjectInfo'!$L$71="yes",AB86,0)</f>
        <v>0</v>
      </c>
      <c r="AC200" s="174">
        <f>AC86</f>
        <v>0</v>
      </c>
      <c r="AD200" s="174">
        <f>AD86</f>
        <v>0</v>
      </c>
      <c r="AE200" s="174">
        <f>IF('1.GeneralProjectInfo'!$L$71="yes",AE86,0)</f>
        <v>0</v>
      </c>
      <c r="AF200" s="174">
        <f>AF86</f>
        <v>0</v>
      </c>
      <c r="AG200" s="174">
        <f>AG86</f>
        <v>0</v>
      </c>
      <c r="AH200" s="174">
        <f>IF('1.GeneralProjectInfo'!$L$71="yes",AH86,0)</f>
        <v>0</v>
      </c>
      <c r="AI200" s="174">
        <f>AI86</f>
        <v>0</v>
      </c>
      <c r="AJ200" s="174">
        <f>AJ86</f>
        <v>0</v>
      </c>
      <c r="AK200" s="174">
        <f>IF('1.GeneralProjectInfo'!$L$71="yes",AK86,0)</f>
        <v>0</v>
      </c>
      <c r="AL200" s="174">
        <f>AL86</f>
        <v>0</v>
      </c>
      <c r="AM200" s="174">
        <f>AM86</f>
        <v>0</v>
      </c>
      <c r="AN200" s="174">
        <f>IF('1.GeneralProjectInfo'!$L$71="yes",AN86,0)</f>
        <v>0</v>
      </c>
      <c r="AO200" s="174">
        <f>AO86</f>
        <v>0</v>
      </c>
      <c r="AP200" s="174">
        <f>AP86</f>
        <v>0</v>
      </c>
      <c r="AQ200" s="174">
        <f>IF('1.GeneralProjectInfo'!$L$71="yes",AQ86,0)</f>
        <v>0</v>
      </c>
      <c r="AR200" s="174">
        <f>AR86</f>
        <v>0</v>
      </c>
      <c r="AS200" s="174">
        <f>AS86</f>
        <v>0</v>
      </c>
      <c r="AT200" s="174">
        <f>IF('1.GeneralProjectInfo'!$L$71="yes",AT86,0)</f>
        <v>0</v>
      </c>
      <c r="AU200" s="174">
        <f>AU86</f>
        <v>0</v>
      </c>
      <c r="AV200" s="174">
        <f>AV86</f>
        <v>0</v>
      </c>
      <c r="AW200" s="174">
        <f>IF('1.GeneralProjectInfo'!$L$71="yes",AW86,0)</f>
        <v>0</v>
      </c>
      <c r="AX200" s="174">
        <f>AX86</f>
        <v>0</v>
      </c>
      <c r="AY200" s="174">
        <f>AY86</f>
        <v>0</v>
      </c>
      <c r="AZ200" s="174">
        <f>IF('1.GeneralProjectInfo'!$L$71="yes",AZ86,0)</f>
        <v>0</v>
      </c>
      <c r="BA200" s="174">
        <f>BA86</f>
        <v>0</v>
      </c>
      <c r="BB200" s="174">
        <f>BB86</f>
        <v>0</v>
      </c>
      <c r="BC200" s="174">
        <f>IF('1.GeneralProjectInfo'!$L$71="yes",BC86,0)</f>
        <v>0</v>
      </c>
      <c r="BD200" s="174">
        <f>BD86</f>
        <v>0</v>
      </c>
      <c r="BE200" s="174">
        <f>BE86</f>
        <v>0</v>
      </c>
      <c r="BF200" s="174">
        <f>IF('1.GeneralProjectInfo'!$L$71="yes",BF86,0)</f>
        <v>0</v>
      </c>
      <c r="BG200" s="174">
        <f>BG86</f>
        <v>0</v>
      </c>
      <c r="BH200" s="174">
        <f>BH86</f>
        <v>0</v>
      </c>
      <c r="BI200" s="174">
        <f>IF('1.GeneralProjectInfo'!$L$71="yes",BI86,0)</f>
        <v>0</v>
      </c>
      <c r="BJ200" s="174">
        <f>BJ86</f>
        <v>0</v>
      </c>
      <c r="BK200" s="174">
        <f>BK86</f>
        <v>0</v>
      </c>
      <c r="BL200" s="174">
        <f>IF('1.GeneralProjectInfo'!$L$71="yes",BL86,0)</f>
        <v>0</v>
      </c>
      <c r="BM200" s="174">
        <f>BM86</f>
        <v>0</v>
      </c>
      <c r="BN200" s="174">
        <f>BN86</f>
        <v>0</v>
      </c>
      <c r="BO200" s="174">
        <f>IF('1.GeneralProjectInfo'!$L$71="yes",BO86,0)</f>
        <v>0</v>
      </c>
    </row>
    <row r="201" spans="1:74" s="141" customFormat="1" ht="13.8">
      <c r="A201"/>
      <c r="B201"/>
      <c r="C201" s="127" t="s">
        <v>991</v>
      </c>
      <c r="D201" s="127"/>
      <c r="E201" s="127"/>
      <c r="F201" s="127"/>
      <c r="G201" s="254"/>
      <c r="H201" s="254"/>
      <c r="I201" s="254"/>
      <c r="J201" s="174">
        <f>J199-J200</f>
        <v>0</v>
      </c>
      <c r="K201" s="174">
        <f t="shared" ref="K201:BN201" si="277">K199-K200</f>
        <v>0</v>
      </c>
      <c r="L201" s="174">
        <f t="shared" si="277"/>
        <v>0</v>
      </c>
      <c r="M201" s="174">
        <f t="shared" si="277"/>
        <v>0</v>
      </c>
      <c r="N201" s="174">
        <f t="shared" si="277"/>
        <v>0</v>
      </c>
      <c r="O201" s="174">
        <f t="shared" si="277"/>
        <v>0</v>
      </c>
      <c r="P201" s="174">
        <f t="shared" si="277"/>
        <v>0</v>
      </c>
      <c r="Q201" s="174">
        <f t="shared" si="277"/>
        <v>0</v>
      </c>
      <c r="R201" s="174">
        <f t="shared" si="277"/>
        <v>0</v>
      </c>
      <c r="S201" s="174">
        <f t="shared" si="277"/>
        <v>0</v>
      </c>
      <c r="T201" s="174">
        <f t="shared" si="277"/>
        <v>0</v>
      </c>
      <c r="U201" s="174">
        <f t="shared" si="277"/>
        <v>0</v>
      </c>
      <c r="V201" s="174">
        <f t="shared" si="277"/>
        <v>0</v>
      </c>
      <c r="W201" s="174">
        <f t="shared" si="277"/>
        <v>0</v>
      </c>
      <c r="X201" s="174">
        <f t="shared" si="277"/>
        <v>0</v>
      </c>
      <c r="Y201" s="174">
        <f t="shared" si="277"/>
        <v>0</v>
      </c>
      <c r="Z201" s="174">
        <f t="shared" si="277"/>
        <v>0</v>
      </c>
      <c r="AA201" s="174">
        <f t="shared" si="277"/>
        <v>0</v>
      </c>
      <c r="AB201" s="174">
        <f t="shared" si="277"/>
        <v>0</v>
      </c>
      <c r="AC201" s="174">
        <f t="shared" si="277"/>
        <v>0</v>
      </c>
      <c r="AD201" s="174">
        <f t="shared" si="277"/>
        <v>0</v>
      </c>
      <c r="AE201" s="174">
        <f t="shared" si="277"/>
        <v>0</v>
      </c>
      <c r="AF201" s="174">
        <f t="shared" si="277"/>
        <v>0</v>
      </c>
      <c r="AG201" s="174">
        <f t="shared" si="277"/>
        <v>0</v>
      </c>
      <c r="AH201" s="174">
        <f t="shared" si="277"/>
        <v>0</v>
      </c>
      <c r="AI201" s="174">
        <f t="shared" si="277"/>
        <v>0</v>
      </c>
      <c r="AJ201" s="174">
        <f t="shared" si="277"/>
        <v>0</v>
      </c>
      <c r="AK201" s="174">
        <f t="shared" si="277"/>
        <v>0</v>
      </c>
      <c r="AL201" s="174">
        <f t="shared" si="277"/>
        <v>0</v>
      </c>
      <c r="AM201" s="174">
        <f t="shared" si="277"/>
        <v>0</v>
      </c>
      <c r="AN201" s="174">
        <f t="shared" si="277"/>
        <v>0</v>
      </c>
      <c r="AO201" s="174">
        <f t="shared" si="277"/>
        <v>0</v>
      </c>
      <c r="AP201" s="174">
        <f t="shared" si="277"/>
        <v>0</v>
      </c>
      <c r="AQ201" s="174">
        <f t="shared" si="277"/>
        <v>0</v>
      </c>
      <c r="AR201" s="174">
        <f t="shared" si="277"/>
        <v>0</v>
      </c>
      <c r="AS201" s="174">
        <f t="shared" si="277"/>
        <v>0</v>
      </c>
      <c r="AT201" s="174">
        <f t="shared" si="277"/>
        <v>0</v>
      </c>
      <c r="AU201" s="174">
        <f t="shared" si="277"/>
        <v>0</v>
      </c>
      <c r="AV201" s="174">
        <f t="shared" si="277"/>
        <v>0</v>
      </c>
      <c r="AW201" s="174">
        <f t="shared" si="277"/>
        <v>0</v>
      </c>
      <c r="AX201" s="174">
        <f t="shared" si="277"/>
        <v>0</v>
      </c>
      <c r="AY201" s="174">
        <f t="shared" si="277"/>
        <v>0</v>
      </c>
      <c r="AZ201" s="174">
        <f t="shared" si="277"/>
        <v>0</v>
      </c>
      <c r="BA201" s="174">
        <f t="shared" si="277"/>
        <v>0</v>
      </c>
      <c r="BB201" s="174">
        <f t="shared" si="277"/>
        <v>0</v>
      </c>
      <c r="BC201" s="174">
        <f t="shared" si="277"/>
        <v>0</v>
      </c>
      <c r="BD201" s="174">
        <f t="shared" si="277"/>
        <v>0</v>
      </c>
      <c r="BE201" s="174">
        <f t="shared" si="277"/>
        <v>0</v>
      </c>
      <c r="BF201" s="174">
        <f t="shared" si="277"/>
        <v>0</v>
      </c>
      <c r="BG201" s="174">
        <f t="shared" si="277"/>
        <v>0</v>
      </c>
      <c r="BH201" s="174">
        <f t="shared" si="277"/>
        <v>0</v>
      </c>
      <c r="BI201" s="174">
        <f t="shared" si="277"/>
        <v>0</v>
      </c>
      <c r="BJ201" s="174">
        <f t="shared" si="277"/>
        <v>0</v>
      </c>
      <c r="BK201" s="174">
        <f t="shared" si="277"/>
        <v>0</v>
      </c>
      <c r="BL201" s="174">
        <f t="shared" si="277"/>
        <v>0</v>
      </c>
      <c r="BM201" s="174">
        <f t="shared" si="277"/>
        <v>0</v>
      </c>
      <c r="BN201" s="174">
        <f t="shared" si="277"/>
        <v>0</v>
      </c>
      <c r="BO201" s="174">
        <f>BO199-BO200</f>
        <v>0</v>
      </c>
    </row>
    <row r="202" spans="1:74" s="141" customFormat="1" ht="13.8">
      <c r="A202"/>
      <c r="B202"/>
      <c r="C202" s="1083" t="s">
        <v>992</v>
      </c>
      <c r="D202" s="1083"/>
      <c r="E202" s="1083"/>
      <c r="F202" s="1083"/>
      <c r="G202" s="805"/>
      <c r="H202" s="805"/>
      <c r="I202" s="805"/>
      <c r="J202" s="806">
        <f>J201</f>
        <v>0</v>
      </c>
      <c r="K202" s="806"/>
      <c r="L202" s="806"/>
      <c r="M202" s="806">
        <f>M201+J202</f>
        <v>0</v>
      </c>
      <c r="N202" s="806"/>
      <c r="O202" s="806"/>
      <c r="P202" s="806">
        <f t="shared" ref="P202:BO202" si="278">P201+M202</f>
        <v>0</v>
      </c>
      <c r="Q202" s="806">
        <f t="shared" si="278"/>
        <v>0</v>
      </c>
      <c r="R202" s="806">
        <f t="shared" si="278"/>
        <v>0</v>
      </c>
      <c r="S202" s="806">
        <f t="shared" si="278"/>
        <v>0</v>
      </c>
      <c r="T202" s="806">
        <f t="shared" si="278"/>
        <v>0</v>
      </c>
      <c r="U202" s="806">
        <f t="shared" si="278"/>
        <v>0</v>
      </c>
      <c r="V202" s="806">
        <f t="shared" si="278"/>
        <v>0</v>
      </c>
      <c r="W202" s="806">
        <f t="shared" si="278"/>
        <v>0</v>
      </c>
      <c r="X202" s="806">
        <f t="shared" si="278"/>
        <v>0</v>
      </c>
      <c r="Y202" s="806">
        <f t="shared" si="278"/>
        <v>0</v>
      </c>
      <c r="Z202" s="806">
        <f t="shared" si="278"/>
        <v>0</v>
      </c>
      <c r="AA202" s="806">
        <f t="shared" si="278"/>
        <v>0</v>
      </c>
      <c r="AB202" s="806">
        <f t="shared" si="278"/>
        <v>0</v>
      </c>
      <c r="AC202" s="806">
        <f t="shared" si="278"/>
        <v>0</v>
      </c>
      <c r="AD202" s="806">
        <f t="shared" si="278"/>
        <v>0</v>
      </c>
      <c r="AE202" s="806">
        <f t="shared" si="278"/>
        <v>0</v>
      </c>
      <c r="AF202" s="806">
        <f t="shared" si="278"/>
        <v>0</v>
      </c>
      <c r="AG202" s="806">
        <f t="shared" si="278"/>
        <v>0</v>
      </c>
      <c r="AH202" s="806">
        <f t="shared" si="278"/>
        <v>0</v>
      </c>
      <c r="AI202" s="806">
        <f t="shared" si="278"/>
        <v>0</v>
      </c>
      <c r="AJ202" s="806">
        <f t="shared" si="278"/>
        <v>0</v>
      </c>
      <c r="AK202" s="806">
        <f t="shared" si="278"/>
        <v>0</v>
      </c>
      <c r="AL202" s="806">
        <f t="shared" si="278"/>
        <v>0</v>
      </c>
      <c r="AM202" s="806">
        <f t="shared" si="278"/>
        <v>0</v>
      </c>
      <c r="AN202" s="806">
        <f t="shared" si="278"/>
        <v>0</v>
      </c>
      <c r="AO202" s="806">
        <f t="shared" si="278"/>
        <v>0</v>
      </c>
      <c r="AP202" s="806">
        <f t="shared" si="278"/>
        <v>0</v>
      </c>
      <c r="AQ202" s="806">
        <f t="shared" si="278"/>
        <v>0</v>
      </c>
      <c r="AR202" s="806">
        <f t="shared" si="278"/>
        <v>0</v>
      </c>
      <c r="AS202" s="806">
        <f t="shared" si="278"/>
        <v>0</v>
      </c>
      <c r="AT202" s="806">
        <f t="shared" si="278"/>
        <v>0</v>
      </c>
      <c r="AU202" s="806">
        <f t="shared" si="278"/>
        <v>0</v>
      </c>
      <c r="AV202" s="806">
        <f t="shared" si="278"/>
        <v>0</v>
      </c>
      <c r="AW202" s="806">
        <f t="shared" si="278"/>
        <v>0</v>
      </c>
      <c r="AX202" s="806">
        <f t="shared" si="278"/>
        <v>0</v>
      </c>
      <c r="AY202" s="806">
        <f t="shared" si="278"/>
        <v>0</v>
      </c>
      <c r="AZ202" s="806">
        <f t="shared" si="278"/>
        <v>0</v>
      </c>
      <c r="BA202" s="806">
        <f t="shared" si="278"/>
        <v>0</v>
      </c>
      <c r="BB202" s="806">
        <f t="shared" si="278"/>
        <v>0</v>
      </c>
      <c r="BC202" s="806">
        <f t="shared" si="278"/>
        <v>0</v>
      </c>
      <c r="BD202" s="806">
        <f t="shared" si="278"/>
        <v>0</v>
      </c>
      <c r="BE202" s="806">
        <f t="shared" si="278"/>
        <v>0</v>
      </c>
      <c r="BF202" s="806">
        <f t="shared" si="278"/>
        <v>0</v>
      </c>
      <c r="BG202" s="806">
        <f t="shared" si="278"/>
        <v>0</v>
      </c>
      <c r="BH202" s="806">
        <f t="shared" si="278"/>
        <v>0</v>
      </c>
      <c r="BI202" s="806">
        <f t="shared" si="278"/>
        <v>0</v>
      </c>
      <c r="BJ202" s="806">
        <f t="shared" si="278"/>
        <v>0</v>
      </c>
      <c r="BK202" s="806">
        <f t="shared" si="278"/>
        <v>0</v>
      </c>
      <c r="BL202" s="806">
        <f t="shared" si="278"/>
        <v>0</v>
      </c>
      <c r="BM202" s="806">
        <f t="shared" si="278"/>
        <v>0</v>
      </c>
      <c r="BN202" s="806">
        <f t="shared" si="278"/>
        <v>0</v>
      </c>
      <c r="BO202" s="806">
        <f t="shared" si="278"/>
        <v>0</v>
      </c>
    </row>
    <row r="203" spans="1:74" s="141" customFormat="1" ht="13.8">
      <c r="A203"/>
      <c r="B203"/>
      <c r="C203" s="127" t="s">
        <v>993</v>
      </c>
      <c r="D203" s="127"/>
      <c r="E203" s="127"/>
      <c r="F203" s="127"/>
      <c r="G203" s="804"/>
      <c r="H203" s="804"/>
      <c r="I203" s="804"/>
      <c r="J203" s="174">
        <f>IF('1.GeneralProjectInfo'!L71="yes",'1.GeneralProjectInfo'!$I$75,0)</f>
        <v>0</v>
      </c>
      <c r="K203" s="174"/>
      <c r="L203" s="174"/>
      <c r="M203" s="174">
        <f>J203</f>
        <v>0</v>
      </c>
      <c r="N203" s="174"/>
      <c r="O203" s="174"/>
      <c r="P203" s="174">
        <f t="shared" ref="P203:BO203" si="279">M203</f>
        <v>0</v>
      </c>
      <c r="Q203" s="174">
        <f t="shared" si="279"/>
        <v>0</v>
      </c>
      <c r="R203" s="174">
        <f t="shared" si="279"/>
        <v>0</v>
      </c>
      <c r="S203" s="174">
        <f t="shared" si="279"/>
        <v>0</v>
      </c>
      <c r="T203" s="174">
        <f t="shared" si="279"/>
        <v>0</v>
      </c>
      <c r="U203" s="174">
        <f t="shared" si="279"/>
        <v>0</v>
      </c>
      <c r="V203" s="174">
        <f t="shared" si="279"/>
        <v>0</v>
      </c>
      <c r="W203" s="174">
        <f t="shared" si="279"/>
        <v>0</v>
      </c>
      <c r="X203" s="174">
        <f t="shared" si="279"/>
        <v>0</v>
      </c>
      <c r="Y203" s="174">
        <f t="shared" si="279"/>
        <v>0</v>
      </c>
      <c r="Z203" s="174">
        <f t="shared" si="279"/>
        <v>0</v>
      </c>
      <c r="AA203" s="174">
        <f t="shared" si="279"/>
        <v>0</v>
      </c>
      <c r="AB203" s="174">
        <f t="shared" si="279"/>
        <v>0</v>
      </c>
      <c r="AC203" s="174">
        <f t="shared" si="279"/>
        <v>0</v>
      </c>
      <c r="AD203" s="174">
        <f t="shared" si="279"/>
        <v>0</v>
      </c>
      <c r="AE203" s="174">
        <f t="shared" si="279"/>
        <v>0</v>
      </c>
      <c r="AF203" s="174">
        <f t="shared" si="279"/>
        <v>0</v>
      </c>
      <c r="AG203" s="174">
        <f t="shared" si="279"/>
        <v>0</v>
      </c>
      <c r="AH203" s="174">
        <f t="shared" si="279"/>
        <v>0</v>
      </c>
      <c r="AI203" s="174">
        <f t="shared" si="279"/>
        <v>0</v>
      </c>
      <c r="AJ203" s="174">
        <f t="shared" si="279"/>
        <v>0</v>
      </c>
      <c r="AK203" s="174">
        <f t="shared" si="279"/>
        <v>0</v>
      </c>
      <c r="AL203" s="174">
        <f t="shared" si="279"/>
        <v>0</v>
      </c>
      <c r="AM203" s="174">
        <f t="shared" si="279"/>
        <v>0</v>
      </c>
      <c r="AN203" s="174">
        <f t="shared" si="279"/>
        <v>0</v>
      </c>
      <c r="AO203" s="174">
        <f t="shared" si="279"/>
        <v>0</v>
      </c>
      <c r="AP203" s="174">
        <f t="shared" si="279"/>
        <v>0</v>
      </c>
      <c r="AQ203" s="174">
        <f t="shared" si="279"/>
        <v>0</v>
      </c>
      <c r="AR203" s="174">
        <f t="shared" si="279"/>
        <v>0</v>
      </c>
      <c r="AS203" s="174">
        <f t="shared" si="279"/>
        <v>0</v>
      </c>
      <c r="AT203" s="174">
        <f t="shared" si="279"/>
        <v>0</v>
      </c>
      <c r="AU203" s="174">
        <f t="shared" si="279"/>
        <v>0</v>
      </c>
      <c r="AV203" s="174">
        <f t="shared" si="279"/>
        <v>0</v>
      </c>
      <c r="AW203" s="174">
        <f t="shared" si="279"/>
        <v>0</v>
      </c>
      <c r="AX203" s="174">
        <f t="shared" si="279"/>
        <v>0</v>
      </c>
      <c r="AY203" s="174">
        <f t="shared" si="279"/>
        <v>0</v>
      </c>
      <c r="AZ203" s="174">
        <f t="shared" si="279"/>
        <v>0</v>
      </c>
      <c r="BA203" s="174">
        <f t="shared" si="279"/>
        <v>0</v>
      </c>
      <c r="BB203" s="174">
        <f t="shared" si="279"/>
        <v>0</v>
      </c>
      <c r="BC203" s="174">
        <f t="shared" si="279"/>
        <v>0</v>
      </c>
      <c r="BD203" s="174">
        <f t="shared" si="279"/>
        <v>0</v>
      </c>
      <c r="BE203" s="174">
        <f t="shared" si="279"/>
        <v>0</v>
      </c>
      <c r="BF203" s="174">
        <f t="shared" si="279"/>
        <v>0</v>
      </c>
      <c r="BG203" s="174">
        <f t="shared" si="279"/>
        <v>0</v>
      </c>
      <c r="BH203" s="174">
        <f t="shared" si="279"/>
        <v>0</v>
      </c>
      <c r="BI203" s="174">
        <f t="shared" si="279"/>
        <v>0</v>
      </c>
      <c r="BJ203" s="174">
        <f t="shared" si="279"/>
        <v>0</v>
      </c>
      <c r="BK203" s="174">
        <f t="shared" si="279"/>
        <v>0</v>
      </c>
      <c r="BL203" s="174">
        <f t="shared" si="279"/>
        <v>0</v>
      </c>
      <c r="BM203" s="174">
        <f t="shared" si="279"/>
        <v>0</v>
      </c>
      <c r="BN203" s="174">
        <f t="shared" si="279"/>
        <v>0</v>
      </c>
      <c r="BO203" s="174">
        <f t="shared" si="279"/>
        <v>0</v>
      </c>
    </row>
    <row r="204" spans="1:74" s="141" customFormat="1" ht="13.8">
      <c r="A204"/>
      <c r="B204"/>
      <c r="C204" s="127" t="s">
        <v>994</v>
      </c>
      <c r="D204" s="127"/>
      <c r="E204" s="127"/>
      <c r="F204" s="127"/>
      <c r="G204" s="804"/>
      <c r="H204" s="804"/>
      <c r="I204" s="804"/>
      <c r="J204" s="174">
        <f>J144</f>
        <v>0</v>
      </c>
      <c r="K204" s="174"/>
      <c r="L204" s="174"/>
      <c r="M204" s="174">
        <f>M144</f>
        <v>0</v>
      </c>
      <c r="N204" s="174"/>
      <c r="O204" s="174"/>
      <c r="P204" s="174">
        <f t="shared" ref="P204:AU204" si="280">P144</f>
        <v>0</v>
      </c>
      <c r="Q204" s="174">
        <f t="shared" si="280"/>
        <v>0</v>
      </c>
      <c r="R204" s="174">
        <f t="shared" si="280"/>
        <v>0</v>
      </c>
      <c r="S204" s="174">
        <f t="shared" si="280"/>
        <v>0</v>
      </c>
      <c r="T204" s="174">
        <f t="shared" si="280"/>
        <v>0</v>
      </c>
      <c r="U204" s="174">
        <f t="shared" si="280"/>
        <v>0</v>
      </c>
      <c r="V204" s="174">
        <f t="shared" si="280"/>
        <v>0</v>
      </c>
      <c r="W204" s="174">
        <f t="shared" si="280"/>
        <v>0</v>
      </c>
      <c r="X204" s="174">
        <f t="shared" si="280"/>
        <v>0</v>
      </c>
      <c r="Y204" s="174">
        <f t="shared" si="280"/>
        <v>0</v>
      </c>
      <c r="Z204" s="174">
        <f t="shared" si="280"/>
        <v>0</v>
      </c>
      <c r="AA204" s="174">
        <f t="shared" si="280"/>
        <v>0</v>
      </c>
      <c r="AB204" s="174">
        <f t="shared" si="280"/>
        <v>0</v>
      </c>
      <c r="AC204" s="174">
        <f t="shared" si="280"/>
        <v>0</v>
      </c>
      <c r="AD204" s="174">
        <f t="shared" si="280"/>
        <v>0</v>
      </c>
      <c r="AE204" s="174">
        <f t="shared" si="280"/>
        <v>0</v>
      </c>
      <c r="AF204" s="174">
        <f t="shared" si="280"/>
        <v>0</v>
      </c>
      <c r="AG204" s="174">
        <f t="shared" si="280"/>
        <v>0</v>
      </c>
      <c r="AH204" s="174">
        <f t="shared" si="280"/>
        <v>0</v>
      </c>
      <c r="AI204" s="174">
        <f t="shared" si="280"/>
        <v>0</v>
      </c>
      <c r="AJ204" s="174">
        <f t="shared" si="280"/>
        <v>0</v>
      </c>
      <c r="AK204" s="174">
        <f t="shared" si="280"/>
        <v>0</v>
      </c>
      <c r="AL204" s="174">
        <f t="shared" si="280"/>
        <v>0</v>
      </c>
      <c r="AM204" s="174">
        <f t="shared" si="280"/>
        <v>0</v>
      </c>
      <c r="AN204" s="174">
        <f t="shared" si="280"/>
        <v>0</v>
      </c>
      <c r="AO204" s="174">
        <f t="shared" si="280"/>
        <v>0</v>
      </c>
      <c r="AP204" s="174">
        <f t="shared" si="280"/>
        <v>0</v>
      </c>
      <c r="AQ204" s="174">
        <f t="shared" si="280"/>
        <v>0</v>
      </c>
      <c r="AR204" s="174">
        <f t="shared" si="280"/>
        <v>0</v>
      </c>
      <c r="AS204" s="174">
        <f t="shared" si="280"/>
        <v>0</v>
      </c>
      <c r="AT204" s="174">
        <f t="shared" si="280"/>
        <v>0</v>
      </c>
      <c r="AU204" s="174">
        <f t="shared" si="280"/>
        <v>0</v>
      </c>
      <c r="AV204" s="174">
        <f t="shared" ref="AV204:BO204" si="281">AV144</f>
        <v>0</v>
      </c>
      <c r="AW204" s="174">
        <f t="shared" si="281"/>
        <v>0</v>
      </c>
      <c r="AX204" s="174">
        <f t="shared" si="281"/>
        <v>0</v>
      </c>
      <c r="AY204" s="174">
        <f t="shared" si="281"/>
        <v>0</v>
      </c>
      <c r="AZ204" s="174">
        <f t="shared" si="281"/>
        <v>0</v>
      </c>
      <c r="BA204" s="174">
        <f t="shared" si="281"/>
        <v>0</v>
      </c>
      <c r="BB204" s="174">
        <f t="shared" si="281"/>
        <v>0</v>
      </c>
      <c r="BC204" s="174">
        <f t="shared" si="281"/>
        <v>0</v>
      </c>
      <c r="BD204" s="174">
        <f t="shared" si="281"/>
        <v>0</v>
      </c>
      <c r="BE204" s="174">
        <f t="shared" si="281"/>
        <v>0</v>
      </c>
      <c r="BF204" s="174">
        <f t="shared" si="281"/>
        <v>0</v>
      </c>
      <c r="BG204" s="174">
        <f t="shared" si="281"/>
        <v>0</v>
      </c>
      <c r="BH204" s="174">
        <f t="shared" si="281"/>
        <v>0</v>
      </c>
      <c r="BI204" s="174">
        <f t="shared" si="281"/>
        <v>0</v>
      </c>
      <c r="BJ204" s="174">
        <f t="shared" si="281"/>
        <v>0</v>
      </c>
      <c r="BK204" s="174">
        <f t="shared" si="281"/>
        <v>0</v>
      </c>
      <c r="BL204" s="174">
        <f t="shared" si="281"/>
        <v>0</v>
      </c>
      <c r="BM204" s="174">
        <f t="shared" si="281"/>
        <v>0</v>
      </c>
      <c r="BN204" s="174">
        <f t="shared" si="281"/>
        <v>0</v>
      </c>
      <c r="BO204" s="174">
        <f t="shared" si="281"/>
        <v>0</v>
      </c>
    </row>
    <row r="205" spans="1:74" s="141" customFormat="1" ht="13.8">
      <c r="A205"/>
      <c r="B205"/>
      <c r="C205" s="127" t="s">
        <v>995</v>
      </c>
      <c r="D205" s="127"/>
      <c r="E205" s="127"/>
      <c r="F205" s="127"/>
      <c r="G205" s="804"/>
      <c r="H205" s="804"/>
      <c r="I205" s="804"/>
      <c r="J205" s="174">
        <f>J203-J204</f>
        <v>0</v>
      </c>
      <c r="K205" s="174">
        <f t="shared" ref="K205:BO205" si="282">K203-K204</f>
        <v>0</v>
      </c>
      <c r="L205" s="174">
        <f t="shared" si="282"/>
        <v>0</v>
      </c>
      <c r="M205" s="174">
        <f>M203-M204</f>
        <v>0</v>
      </c>
      <c r="N205" s="174">
        <f t="shared" si="282"/>
        <v>0</v>
      </c>
      <c r="O205" s="174">
        <f t="shared" si="282"/>
        <v>0</v>
      </c>
      <c r="P205" s="174">
        <f t="shared" si="282"/>
        <v>0</v>
      </c>
      <c r="Q205" s="174">
        <f t="shared" si="282"/>
        <v>0</v>
      </c>
      <c r="R205" s="174">
        <f t="shared" si="282"/>
        <v>0</v>
      </c>
      <c r="S205" s="174">
        <f t="shared" si="282"/>
        <v>0</v>
      </c>
      <c r="T205" s="174">
        <f t="shared" si="282"/>
        <v>0</v>
      </c>
      <c r="U205" s="174">
        <f t="shared" si="282"/>
        <v>0</v>
      </c>
      <c r="V205" s="174">
        <f t="shared" si="282"/>
        <v>0</v>
      </c>
      <c r="W205" s="174">
        <f t="shared" si="282"/>
        <v>0</v>
      </c>
      <c r="X205" s="174">
        <f t="shared" si="282"/>
        <v>0</v>
      </c>
      <c r="Y205" s="174">
        <f t="shared" si="282"/>
        <v>0</v>
      </c>
      <c r="Z205" s="174">
        <f t="shared" si="282"/>
        <v>0</v>
      </c>
      <c r="AA205" s="174">
        <f t="shared" si="282"/>
        <v>0</v>
      </c>
      <c r="AB205" s="174">
        <f t="shared" si="282"/>
        <v>0</v>
      </c>
      <c r="AC205" s="174">
        <f t="shared" si="282"/>
        <v>0</v>
      </c>
      <c r="AD205" s="174">
        <f t="shared" si="282"/>
        <v>0</v>
      </c>
      <c r="AE205" s="174">
        <f t="shared" si="282"/>
        <v>0</v>
      </c>
      <c r="AF205" s="174">
        <f t="shared" si="282"/>
        <v>0</v>
      </c>
      <c r="AG205" s="174">
        <f t="shared" si="282"/>
        <v>0</v>
      </c>
      <c r="AH205" s="174">
        <f t="shared" si="282"/>
        <v>0</v>
      </c>
      <c r="AI205" s="174">
        <f t="shared" si="282"/>
        <v>0</v>
      </c>
      <c r="AJ205" s="174">
        <f t="shared" si="282"/>
        <v>0</v>
      </c>
      <c r="AK205" s="174">
        <f t="shared" si="282"/>
        <v>0</v>
      </c>
      <c r="AL205" s="174">
        <f t="shared" si="282"/>
        <v>0</v>
      </c>
      <c r="AM205" s="174">
        <f t="shared" si="282"/>
        <v>0</v>
      </c>
      <c r="AN205" s="174">
        <f t="shared" si="282"/>
        <v>0</v>
      </c>
      <c r="AO205" s="174">
        <f t="shared" si="282"/>
        <v>0</v>
      </c>
      <c r="AP205" s="174">
        <f t="shared" si="282"/>
        <v>0</v>
      </c>
      <c r="AQ205" s="174">
        <f t="shared" si="282"/>
        <v>0</v>
      </c>
      <c r="AR205" s="174">
        <f t="shared" si="282"/>
        <v>0</v>
      </c>
      <c r="AS205" s="174">
        <f t="shared" si="282"/>
        <v>0</v>
      </c>
      <c r="AT205" s="174">
        <f t="shared" si="282"/>
        <v>0</v>
      </c>
      <c r="AU205" s="174">
        <f t="shared" si="282"/>
        <v>0</v>
      </c>
      <c r="AV205" s="174">
        <f t="shared" si="282"/>
        <v>0</v>
      </c>
      <c r="AW205" s="174">
        <f t="shared" si="282"/>
        <v>0</v>
      </c>
      <c r="AX205" s="174">
        <f t="shared" si="282"/>
        <v>0</v>
      </c>
      <c r="AY205" s="174">
        <f t="shared" si="282"/>
        <v>0</v>
      </c>
      <c r="AZ205" s="174">
        <f t="shared" si="282"/>
        <v>0</v>
      </c>
      <c r="BA205" s="174">
        <f t="shared" si="282"/>
        <v>0</v>
      </c>
      <c r="BB205" s="174">
        <f t="shared" si="282"/>
        <v>0</v>
      </c>
      <c r="BC205" s="174">
        <f t="shared" si="282"/>
        <v>0</v>
      </c>
      <c r="BD205" s="174">
        <f t="shared" si="282"/>
        <v>0</v>
      </c>
      <c r="BE205" s="174">
        <f t="shared" si="282"/>
        <v>0</v>
      </c>
      <c r="BF205" s="174">
        <f t="shared" si="282"/>
        <v>0</v>
      </c>
      <c r="BG205" s="174">
        <f t="shared" si="282"/>
        <v>0</v>
      </c>
      <c r="BH205" s="174">
        <f t="shared" si="282"/>
        <v>0</v>
      </c>
      <c r="BI205" s="174">
        <f t="shared" si="282"/>
        <v>0</v>
      </c>
      <c r="BJ205" s="174">
        <f t="shared" si="282"/>
        <v>0</v>
      </c>
      <c r="BK205" s="174">
        <f t="shared" si="282"/>
        <v>0</v>
      </c>
      <c r="BL205" s="174">
        <f t="shared" si="282"/>
        <v>0</v>
      </c>
      <c r="BM205" s="174">
        <f t="shared" si="282"/>
        <v>0</v>
      </c>
      <c r="BN205" s="174">
        <f t="shared" si="282"/>
        <v>0</v>
      </c>
      <c r="BO205" s="174">
        <f t="shared" si="282"/>
        <v>0</v>
      </c>
    </row>
    <row r="206" spans="1:74" s="141" customFormat="1" ht="13.8">
      <c r="A206"/>
      <c r="B206"/>
      <c r="C206" s="1083" t="s">
        <v>996</v>
      </c>
      <c r="D206" s="1083"/>
      <c r="E206" s="1083"/>
      <c r="F206" s="1083"/>
      <c r="G206" s="805"/>
      <c r="H206" s="805"/>
      <c r="I206" s="805"/>
      <c r="J206" s="806">
        <f>J205</f>
        <v>0</v>
      </c>
      <c r="K206" s="806"/>
      <c r="L206" s="806"/>
      <c r="M206" s="806">
        <f>M205+J206</f>
        <v>0</v>
      </c>
      <c r="N206" s="806"/>
      <c r="O206" s="806"/>
      <c r="P206" s="806">
        <f t="shared" ref="P206:BO206" si="283">P205+M206</f>
        <v>0</v>
      </c>
      <c r="Q206" s="806">
        <f t="shared" si="283"/>
        <v>0</v>
      </c>
      <c r="R206" s="806">
        <f t="shared" si="283"/>
        <v>0</v>
      </c>
      <c r="S206" s="806">
        <f>S205+P206</f>
        <v>0</v>
      </c>
      <c r="T206" s="806">
        <f t="shared" si="283"/>
        <v>0</v>
      </c>
      <c r="U206" s="806">
        <f t="shared" si="283"/>
        <v>0</v>
      </c>
      <c r="V206" s="806">
        <f t="shared" si="283"/>
        <v>0</v>
      </c>
      <c r="W206" s="806">
        <f t="shared" si="283"/>
        <v>0</v>
      </c>
      <c r="X206" s="806">
        <f t="shared" si="283"/>
        <v>0</v>
      </c>
      <c r="Y206" s="806">
        <f t="shared" si="283"/>
        <v>0</v>
      </c>
      <c r="Z206" s="806">
        <f t="shared" si="283"/>
        <v>0</v>
      </c>
      <c r="AA206" s="806">
        <f t="shared" si="283"/>
        <v>0</v>
      </c>
      <c r="AB206" s="806">
        <f t="shared" si="283"/>
        <v>0</v>
      </c>
      <c r="AC206" s="806">
        <f t="shared" si="283"/>
        <v>0</v>
      </c>
      <c r="AD206" s="806">
        <f t="shared" si="283"/>
        <v>0</v>
      </c>
      <c r="AE206" s="806">
        <f t="shared" si="283"/>
        <v>0</v>
      </c>
      <c r="AF206" s="806">
        <f t="shared" si="283"/>
        <v>0</v>
      </c>
      <c r="AG206" s="806">
        <f t="shared" si="283"/>
        <v>0</v>
      </c>
      <c r="AH206" s="806">
        <f t="shared" si="283"/>
        <v>0</v>
      </c>
      <c r="AI206" s="806">
        <f t="shared" si="283"/>
        <v>0</v>
      </c>
      <c r="AJ206" s="806">
        <f t="shared" si="283"/>
        <v>0</v>
      </c>
      <c r="AK206" s="806">
        <f t="shared" si="283"/>
        <v>0</v>
      </c>
      <c r="AL206" s="806">
        <f t="shared" si="283"/>
        <v>0</v>
      </c>
      <c r="AM206" s="806">
        <f t="shared" si="283"/>
        <v>0</v>
      </c>
      <c r="AN206" s="806">
        <f t="shared" si="283"/>
        <v>0</v>
      </c>
      <c r="AO206" s="806">
        <f t="shared" si="283"/>
        <v>0</v>
      </c>
      <c r="AP206" s="806">
        <f t="shared" si="283"/>
        <v>0</v>
      </c>
      <c r="AQ206" s="806">
        <f t="shared" si="283"/>
        <v>0</v>
      </c>
      <c r="AR206" s="806">
        <f t="shared" si="283"/>
        <v>0</v>
      </c>
      <c r="AS206" s="806">
        <f t="shared" si="283"/>
        <v>0</v>
      </c>
      <c r="AT206" s="806">
        <f t="shared" si="283"/>
        <v>0</v>
      </c>
      <c r="AU206" s="806">
        <f t="shared" si="283"/>
        <v>0</v>
      </c>
      <c r="AV206" s="806">
        <f t="shared" si="283"/>
        <v>0</v>
      </c>
      <c r="AW206" s="806">
        <f t="shared" si="283"/>
        <v>0</v>
      </c>
      <c r="AX206" s="806">
        <f t="shared" si="283"/>
        <v>0</v>
      </c>
      <c r="AY206" s="806">
        <f t="shared" si="283"/>
        <v>0</v>
      </c>
      <c r="AZ206" s="806">
        <f t="shared" si="283"/>
        <v>0</v>
      </c>
      <c r="BA206" s="806">
        <f t="shared" si="283"/>
        <v>0</v>
      </c>
      <c r="BB206" s="806">
        <f t="shared" si="283"/>
        <v>0</v>
      </c>
      <c r="BC206" s="806">
        <f t="shared" si="283"/>
        <v>0</v>
      </c>
      <c r="BD206" s="806">
        <f t="shared" si="283"/>
        <v>0</v>
      </c>
      <c r="BE206" s="806">
        <f t="shared" si="283"/>
        <v>0</v>
      </c>
      <c r="BF206" s="806">
        <f t="shared" si="283"/>
        <v>0</v>
      </c>
      <c r="BG206" s="806">
        <f t="shared" si="283"/>
        <v>0</v>
      </c>
      <c r="BH206" s="806">
        <f t="shared" si="283"/>
        <v>0</v>
      </c>
      <c r="BI206" s="806">
        <f t="shared" si="283"/>
        <v>0</v>
      </c>
      <c r="BJ206" s="806">
        <f t="shared" si="283"/>
        <v>0</v>
      </c>
      <c r="BK206" s="806">
        <f t="shared" si="283"/>
        <v>0</v>
      </c>
      <c r="BL206" s="806">
        <f t="shared" si="283"/>
        <v>0</v>
      </c>
      <c r="BM206" s="806">
        <f t="shared" si="283"/>
        <v>0</v>
      </c>
      <c r="BN206" s="806">
        <f t="shared" si="283"/>
        <v>0</v>
      </c>
      <c r="BO206" s="806">
        <f t="shared" si="283"/>
        <v>0</v>
      </c>
    </row>
    <row r="207" spans="1:74">
      <c r="C207" s="5"/>
      <c r="D207" s="5"/>
      <c r="E207" s="5"/>
      <c r="F207" s="5"/>
      <c r="G207" s="157"/>
      <c r="H207" s="157"/>
      <c r="I207" s="157"/>
      <c r="J207" s="5"/>
      <c r="K207" s="157"/>
      <c r="L207" s="157"/>
      <c r="M207" s="5"/>
      <c r="N207" s="157"/>
      <c r="O207" s="157"/>
      <c r="P207" s="5"/>
      <c r="Q207" s="789"/>
      <c r="R207" s="789"/>
      <c r="S207" s="5"/>
      <c r="T207" s="789"/>
      <c r="U207" s="789"/>
      <c r="V207" s="5"/>
      <c r="W207" s="789"/>
      <c r="X207" s="789"/>
      <c r="Y207" s="5"/>
      <c r="Z207" s="789"/>
      <c r="AA207" s="789"/>
      <c r="AB207" s="5"/>
      <c r="AC207" s="789"/>
      <c r="AD207" s="789"/>
      <c r="AE207" s="5"/>
      <c r="AF207" s="789"/>
      <c r="AG207" s="789"/>
      <c r="AH207" s="5"/>
      <c r="AI207" s="789"/>
      <c r="AJ207" s="789"/>
      <c r="AK207" s="5"/>
      <c r="AL207" s="789"/>
      <c r="AM207" s="789"/>
      <c r="AN207" s="5"/>
      <c r="AO207" s="789"/>
      <c r="AP207" s="789"/>
      <c r="AQ207" s="5"/>
      <c r="AR207" s="789"/>
      <c r="AS207" s="789"/>
      <c r="AT207" s="5"/>
      <c r="AU207" s="789"/>
      <c r="AV207" s="789"/>
      <c r="AW207" s="5"/>
      <c r="AX207" s="789"/>
      <c r="AY207" s="789"/>
      <c r="AZ207" s="5"/>
      <c r="BA207" s="789"/>
      <c r="BB207" s="789"/>
      <c r="BC207" s="5"/>
      <c r="BD207" s="789"/>
      <c r="BE207" s="789"/>
      <c r="BF207" s="5"/>
      <c r="BG207" s="789"/>
      <c r="BH207" s="789"/>
      <c r="BI207" s="5"/>
      <c r="BJ207" s="789"/>
      <c r="BK207" s="789"/>
      <c r="BL207" s="5"/>
      <c r="BM207" s="789"/>
      <c r="BN207" s="789"/>
      <c r="BO207" s="5"/>
      <c r="BP207" s="5"/>
      <c r="BQ207" s="5"/>
      <c r="BR207" s="5"/>
      <c r="BS207" s="5"/>
      <c r="BT207" s="5"/>
      <c r="BU207" s="5"/>
      <c r="BV207" s="5"/>
    </row>
    <row r="208" spans="1:74" hidden="1">
      <c r="A208" s="145" t="s">
        <v>763</v>
      </c>
      <c r="C208" s="5" t="s">
        <v>759</v>
      </c>
      <c r="J208">
        <f>J5</f>
        <v>0</v>
      </c>
      <c r="K208">
        <f>M5</f>
        <v>1</v>
      </c>
      <c r="L208">
        <f>P5</f>
        <v>2</v>
      </c>
      <c r="M208">
        <f>S5</f>
        <v>3</v>
      </c>
      <c r="N208">
        <f>V5</f>
        <v>4</v>
      </c>
      <c r="O208">
        <f>Y5</f>
        <v>5</v>
      </c>
      <c r="P208">
        <f>AB5</f>
        <v>6</v>
      </c>
      <c r="Q208">
        <f>AE5</f>
        <v>7</v>
      </c>
      <c r="R208">
        <f>AH5</f>
        <v>8</v>
      </c>
      <c r="S208">
        <f>AK5</f>
        <v>9</v>
      </c>
      <c r="T208">
        <f>AN5</f>
        <v>10</v>
      </c>
      <c r="U208">
        <f>AQ5</f>
        <v>11</v>
      </c>
      <c r="V208">
        <f>AT5</f>
        <v>12</v>
      </c>
      <c r="W208">
        <f>AW5</f>
        <v>13</v>
      </c>
      <c r="X208">
        <f>AZ5</f>
        <v>14</v>
      </c>
      <c r="Y208">
        <f>BC5</f>
        <v>15</v>
      </c>
      <c r="Z208">
        <f>BF5</f>
        <v>16</v>
      </c>
      <c r="AA208">
        <f>BI5</f>
        <v>17</v>
      </c>
      <c r="AB208">
        <f>BL5</f>
        <v>18</v>
      </c>
      <c r="AC208">
        <f>BO5</f>
        <v>19</v>
      </c>
      <c r="AE208" s="82"/>
      <c r="AH208" s="82"/>
      <c r="AK208" s="82"/>
    </row>
    <row r="209" spans="1:74" hidden="1">
      <c r="A209" s="145" t="s">
        <v>763</v>
      </c>
      <c r="C209" s="5" t="s">
        <v>758</v>
      </c>
      <c r="D209" s="5"/>
      <c r="E209" s="5"/>
      <c r="F209" s="5"/>
      <c r="G209" s="157"/>
      <c r="H209" s="157"/>
      <c r="I209" s="157"/>
      <c r="J209" s="832">
        <f>IF(J193&gt;=0,ROUND(J193,0),0)</f>
        <v>0</v>
      </c>
      <c r="K209" s="832">
        <f>IF(M193&gt;=0,ROUND(M193,0),0)</f>
        <v>0</v>
      </c>
      <c r="L209" s="832">
        <f>IF(P193&gt;=0,ROUND(P193,0),0)</f>
        <v>0</v>
      </c>
      <c r="M209" s="832">
        <f>IF(S193&gt;=0,ROUND(S193,0),0)</f>
        <v>0</v>
      </c>
      <c r="N209" s="832">
        <f>IF(V193&gt;=0,ROUND(V193,0),0)</f>
        <v>0</v>
      </c>
      <c r="O209" s="832">
        <f>IF(Y193&gt;=0,ROUND(Y193,0),0)</f>
        <v>0</v>
      </c>
      <c r="P209" s="832">
        <f>IF(AB193&gt;=0,ROUND(AB193,0),0)</f>
        <v>0</v>
      </c>
      <c r="Q209" s="832">
        <f>IF(AE193&gt;=0,ROUND(AE193,0),0)</f>
        <v>0</v>
      </c>
      <c r="R209" s="832">
        <f>IF(AH193&gt;=0,ROUND(AH193,0),0)</f>
        <v>0</v>
      </c>
      <c r="S209" s="832">
        <f>IF(AK193&gt;=0,ROUND(AK193,0),0)</f>
        <v>0</v>
      </c>
      <c r="T209" s="832">
        <f>IF(AN193&gt;=0,ROUND(AN193,0),0)</f>
        <v>0</v>
      </c>
      <c r="U209" s="832">
        <f>IF(AQ193&gt;=0,ROUND(AQ193,0),0)</f>
        <v>0</v>
      </c>
      <c r="V209" s="832">
        <f>IF(AT193&gt;=0,ROUND(AT193,0),0)</f>
        <v>0</v>
      </c>
      <c r="W209" s="832">
        <f>IF(AW193&gt;=0,ROUND(AW193,0),0)</f>
        <v>0</v>
      </c>
      <c r="X209" s="832">
        <f>IF(AZ193&gt;=0,ROUND(AZ193,0),0)</f>
        <v>0</v>
      </c>
      <c r="Y209" s="832">
        <f>IF(BC193&gt;=0,ROUND(BC193,0),0)</f>
        <v>0</v>
      </c>
      <c r="Z209" s="832">
        <f>IF(BF193&gt;=0,ROUND(BF193,0),0)</f>
        <v>0</v>
      </c>
      <c r="AA209" s="832">
        <f>IF(BI193&gt;=0,ROUND(BI193,0),0)</f>
        <v>0</v>
      </c>
      <c r="AB209" s="832">
        <f>IF(BL193&gt;=0,ROUND(BL193,0),0)</f>
        <v>0</v>
      </c>
      <c r="AC209" s="832">
        <f>IF(BO193&gt;=0,ROUND(BO193,0),0)</f>
        <v>0</v>
      </c>
      <c r="AE209" s="789"/>
      <c r="AF209" s="789"/>
      <c r="AH209" s="789"/>
      <c r="AI209" s="789"/>
      <c r="AK209" s="789"/>
      <c r="AL209" s="789"/>
      <c r="BP209" s="5"/>
      <c r="BQ209" s="5"/>
      <c r="BR209" s="5"/>
      <c r="BS209" s="5"/>
      <c r="BT209" s="5"/>
      <c r="BU209" s="5"/>
      <c r="BV209" s="5"/>
    </row>
    <row r="211" spans="1:74" hidden="1">
      <c r="L211" s="54" t="s">
        <v>875</v>
      </c>
      <c r="M211" s="33">
        <f>K122+L122</f>
        <v>0</v>
      </c>
      <c r="P211" s="33">
        <f>N122+O122</f>
        <v>0</v>
      </c>
      <c r="S211" s="33">
        <f>Q122+R122</f>
        <v>0</v>
      </c>
      <c r="V211" s="33">
        <f>T122+U122</f>
        <v>0</v>
      </c>
      <c r="Y211" s="33">
        <f>W122+X122</f>
        <v>0</v>
      </c>
      <c r="AB211" s="33">
        <f>Z122+AA122</f>
        <v>0</v>
      </c>
      <c r="AE211" s="33">
        <f>AC122+AD122</f>
        <v>0</v>
      </c>
      <c r="AH211" s="33">
        <f>AF122+AG122</f>
        <v>0</v>
      </c>
      <c r="AK211" s="33">
        <f>AI122+AJ122</f>
        <v>0</v>
      </c>
      <c r="AN211" s="33"/>
    </row>
    <row r="212" spans="1:74" hidden="1">
      <c r="L212" s="54" t="s">
        <v>874</v>
      </c>
      <c r="M212" t="e">
        <f>M211/M133</f>
        <v>#VALUE!</v>
      </c>
      <c r="P212" t="e">
        <f>P211/P133</f>
        <v>#VALUE!</v>
      </c>
      <c r="S212" t="e">
        <f>S211/S133</f>
        <v>#VALUE!</v>
      </c>
      <c r="V212" t="e">
        <f>V211/V133</f>
        <v>#VALUE!</v>
      </c>
      <c r="Y212" t="e">
        <f>Y211/Y133</f>
        <v>#VALUE!</v>
      </c>
      <c r="AB212" t="e">
        <f>AB211/AB133</f>
        <v>#VALUE!</v>
      </c>
      <c r="AE212" t="e">
        <f>AE211/AE133</f>
        <v>#VALUE!</v>
      </c>
      <c r="AH212" t="e">
        <f>AH211/AH133</f>
        <v>#VALUE!</v>
      </c>
      <c r="AK212" t="e">
        <f>AK211/AK133</f>
        <v>#VALUE!</v>
      </c>
    </row>
    <row r="213" spans="1:74"/>
  </sheetData>
  <sheetProtection algorithmName="SHA-512" hashValue="LT1trt6r4RxDg3V7aXrxbPY6oWMfCj6Hq5Oi5fEOjjNO2LZCv8RWYK0cU2cMwNiMfCt0rHtm5AeKlqcFFJedEw==" saltValue="KIkyPO5SWWSQy+B9kCaVwQ==" spinCount="100000" sheet="1" objects="1" scenarios="1"/>
  <customSheetViews>
    <customSheetView guid="{332023D0-60C3-4A29-9DCC-CDA10E0C090D}" scale="60" printArea="1" hiddenRows="1" hiddenColumns="1" view="pageBreakPreview" topLeftCell="A2">
      <pane xSplit="3" ySplit="8" topLeftCell="D10" activePane="bottomRight" state="frozen"/>
      <selection pane="bottomRight" activeCell="A20" sqref="A20"/>
      <colBreaks count="1" manualBreakCount="1">
        <brk id="36" min="1" max="174" man="1"/>
      </colBreaks>
      <pageMargins left="0.7" right="0.7" top="0.75" bottom="0.75" header="0.3" footer="0.3"/>
      <pageSetup paperSize="5" scale="40" fitToWidth="2" orientation="portrait" r:id="rId1"/>
    </customSheetView>
    <customSheetView guid="{B92ED4D4-4566-4043-8B76-FD708F820076}" scale="60" printArea="1" hiddenRows="1" hiddenColumns="1" view="pageBreakPreview" topLeftCell="A2">
      <selection activeCell="D9" sqref="D9"/>
      <colBreaks count="6" manualBreakCount="6">
        <brk id="13" min="1" max="174" man="1"/>
        <brk id="22" min="1" max="174" man="1"/>
        <brk id="31" min="1" max="174" man="1"/>
        <brk id="40" min="1" max="174" man="1"/>
        <brk id="49" min="1" max="174" man="1"/>
        <brk id="58" min="1" max="174" man="1"/>
      </colBreaks>
      <pageMargins left="0.7" right="0.7" top="0.75" bottom="0.75" header="0.3" footer="0.3"/>
      <pageSetup paperSize="5" scale="40" fitToWidth="2" orientation="portrait" r:id="rId2"/>
    </customSheetView>
  </customSheetViews>
  <mergeCells count="10966">
    <mergeCell ref="AL6:AN6"/>
    <mergeCell ref="AO6:AQ6"/>
    <mergeCell ref="AR6:AT6"/>
    <mergeCell ref="AU6:AW6"/>
    <mergeCell ref="AX7:AZ7"/>
    <mergeCell ref="BA7:BC7"/>
    <mergeCell ref="BD7:BF7"/>
    <mergeCell ref="BG7:BI7"/>
    <mergeCell ref="BJ7:BL7"/>
    <mergeCell ref="AX6:AZ6"/>
    <mergeCell ref="BA6:BC6"/>
    <mergeCell ref="BD6:BF6"/>
    <mergeCell ref="BG6:BI6"/>
    <mergeCell ref="BJ6:BL6"/>
    <mergeCell ref="BM6:BO6"/>
    <mergeCell ref="EY7:FA7"/>
    <mergeCell ref="DU7:DW7"/>
    <mergeCell ref="DX7:DZ7"/>
    <mergeCell ref="EA7:EC7"/>
    <mergeCell ref="ED7:EF7"/>
    <mergeCell ref="EG7:EI7"/>
    <mergeCell ref="N127:O131"/>
    <mergeCell ref="Q127:R131"/>
    <mergeCell ref="T127:U131"/>
    <mergeCell ref="W127:X131"/>
    <mergeCell ref="Z127:AA131"/>
    <mergeCell ref="AC127:AD131"/>
    <mergeCell ref="AF127:AG131"/>
    <mergeCell ref="AI127:AJ131"/>
    <mergeCell ref="G25:G27"/>
    <mergeCell ref="J130:J132"/>
    <mergeCell ref="M130:M132"/>
    <mergeCell ref="P130:P132"/>
    <mergeCell ref="S130:S132"/>
    <mergeCell ref="V130:V132"/>
    <mergeCell ref="Y130:Y132"/>
    <mergeCell ref="AB130:AB132"/>
    <mergeCell ref="AE130:AE132"/>
    <mergeCell ref="AH130:AH132"/>
    <mergeCell ref="AK130:AK132"/>
    <mergeCell ref="AN130:AN132"/>
    <mergeCell ref="AQ130:AQ132"/>
    <mergeCell ref="AT130:AT132"/>
    <mergeCell ref="BL130:BL132"/>
    <mergeCell ref="BO130:BO132"/>
    <mergeCell ref="AW130:AW132"/>
    <mergeCell ref="AZ130:AZ132"/>
    <mergeCell ref="BC130:BC132"/>
    <mergeCell ref="BF130:BF132"/>
    <mergeCell ref="BI130:BI132"/>
    <mergeCell ref="CT6:CV6"/>
    <mergeCell ref="CW6:CY6"/>
    <mergeCell ref="CZ6:DB6"/>
    <mergeCell ref="AL127:AM131"/>
    <mergeCell ref="AO127:AP131"/>
    <mergeCell ref="AR127:AS131"/>
    <mergeCell ref="AU127:AV131"/>
    <mergeCell ref="AX127:AY131"/>
    <mergeCell ref="H6:J6"/>
    <mergeCell ref="H7:J7"/>
    <mergeCell ref="K6:M6"/>
    <mergeCell ref="K7:M7"/>
    <mergeCell ref="N6:P6"/>
    <mergeCell ref="Q6:S6"/>
    <mergeCell ref="T6:V6"/>
    <mergeCell ref="W6:Y6"/>
    <mergeCell ref="Z6:AB6"/>
    <mergeCell ref="AC6:AE6"/>
    <mergeCell ref="AF6:AH6"/>
    <mergeCell ref="AI6:AK6"/>
    <mergeCell ref="CQ7:CS7"/>
    <mergeCell ref="CT7:CV7"/>
    <mergeCell ref="CW7:CY7"/>
    <mergeCell ref="CZ7:DB7"/>
    <mergeCell ref="HJ6:HL6"/>
    <mergeCell ref="HM6:HO6"/>
    <mergeCell ref="HP6:HR6"/>
    <mergeCell ref="HS6:HU6"/>
    <mergeCell ref="HV6:HX6"/>
    <mergeCell ref="GU6:GW6"/>
    <mergeCell ref="GX6:GZ6"/>
    <mergeCell ref="HA6:HC6"/>
    <mergeCell ref="HD6:HF6"/>
    <mergeCell ref="HG6:HI6"/>
    <mergeCell ref="GF6:GH6"/>
    <mergeCell ref="GI6:GK6"/>
    <mergeCell ref="GL6:GN6"/>
    <mergeCell ref="GO6:GQ6"/>
    <mergeCell ref="GR6:GT6"/>
    <mergeCell ref="FQ6:FS6"/>
    <mergeCell ref="FT6:FV6"/>
    <mergeCell ref="FW6:FY6"/>
    <mergeCell ref="FZ6:GB6"/>
    <mergeCell ref="GC6:GE6"/>
    <mergeCell ref="FB6:FD6"/>
    <mergeCell ref="FE6:FG6"/>
    <mergeCell ref="FH6:FJ6"/>
    <mergeCell ref="FK6:FM6"/>
    <mergeCell ref="FN6:FP6"/>
    <mergeCell ref="DC7:DE7"/>
    <mergeCell ref="CB7:CD7"/>
    <mergeCell ref="CE7:CG7"/>
    <mergeCell ref="CH7:CJ7"/>
    <mergeCell ref="CK7:CM7"/>
    <mergeCell ref="CN7:CP7"/>
    <mergeCell ref="BM7:BO7"/>
    <mergeCell ref="BP7:BR7"/>
    <mergeCell ref="BS7:BU7"/>
    <mergeCell ref="BV7:BX7"/>
    <mergeCell ref="BY7:CA7"/>
    <mergeCell ref="DF7:DH7"/>
    <mergeCell ref="EM6:EO6"/>
    <mergeCell ref="EP6:ER6"/>
    <mergeCell ref="ES6:EU6"/>
    <mergeCell ref="EV6:EX6"/>
    <mergeCell ref="EY6:FA6"/>
    <mergeCell ref="DX6:DZ6"/>
    <mergeCell ref="EA6:EC6"/>
    <mergeCell ref="ED6:EF6"/>
    <mergeCell ref="EG6:EI6"/>
    <mergeCell ref="EJ6:EL6"/>
    <mergeCell ref="DI6:DK6"/>
    <mergeCell ref="DL6:DN6"/>
    <mergeCell ref="DO6:DQ6"/>
    <mergeCell ref="DR6:DT6"/>
    <mergeCell ref="DU6:DW6"/>
    <mergeCell ref="DC6:DE6"/>
    <mergeCell ref="DF6:DH6"/>
    <mergeCell ref="CE6:CG6"/>
    <mergeCell ref="CH6:CJ6"/>
    <mergeCell ref="CK6:CM6"/>
    <mergeCell ref="CN6:CP6"/>
    <mergeCell ref="CQ6:CS6"/>
    <mergeCell ref="BP6:BR6"/>
    <mergeCell ref="BS6:BU6"/>
    <mergeCell ref="BV6:BX6"/>
    <mergeCell ref="BY6:CA6"/>
    <mergeCell ref="CB6:CD6"/>
    <mergeCell ref="LK6:LM6"/>
    <mergeCell ref="LN6:LP6"/>
    <mergeCell ref="LQ6:LS6"/>
    <mergeCell ref="LT6:LV6"/>
    <mergeCell ref="LW6:LY6"/>
    <mergeCell ref="KV6:KX6"/>
    <mergeCell ref="KY6:LA6"/>
    <mergeCell ref="LB6:LD6"/>
    <mergeCell ref="LE6:LG6"/>
    <mergeCell ref="LH6:LJ6"/>
    <mergeCell ref="KG6:KI6"/>
    <mergeCell ref="KJ6:KL6"/>
    <mergeCell ref="KM6:KO6"/>
    <mergeCell ref="KP6:KR6"/>
    <mergeCell ref="KS6:KU6"/>
    <mergeCell ref="JR6:JT6"/>
    <mergeCell ref="JU6:JW6"/>
    <mergeCell ref="JX6:JZ6"/>
    <mergeCell ref="KA6:KC6"/>
    <mergeCell ref="KD6:KF6"/>
    <mergeCell ref="JC6:JE6"/>
    <mergeCell ref="JF6:JH6"/>
    <mergeCell ref="JI6:JK6"/>
    <mergeCell ref="JL6:JN6"/>
    <mergeCell ref="JO6:JQ6"/>
    <mergeCell ref="IN6:IP6"/>
    <mergeCell ref="IQ6:IS6"/>
    <mergeCell ref="IT6:IV6"/>
    <mergeCell ref="IW6:IY6"/>
    <mergeCell ref="IZ6:JB6"/>
    <mergeCell ref="HY6:IA6"/>
    <mergeCell ref="IB6:ID6"/>
    <mergeCell ref="IE6:IG6"/>
    <mergeCell ref="IH6:IJ6"/>
    <mergeCell ref="IK6:IM6"/>
    <mergeCell ref="PL6:PN6"/>
    <mergeCell ref="PO6:PQ6"/>
    <mergeCell ref="PR6:PT6"/>
    <mergeCell ref="PU6:PW6"/>
    <mergeCell ref="PX6:PZ6"/>
    <mergeCell ref="OW6:OY6"/>
    <mergeCell ref="OZ6:PB6"/>
    <mergeCell ref="PC6:PE6"/>
    <mergeCell ref="PF6:PH6"/>
    <mergeCell ref="PI6:PK6"/>
    <mergeCell ref="OH6:OJ6"/>
    <mergeCell ref="OK6:OM6"/>
    <mergeCell ref="ON6:OP6"/>
    <mergeCell ref="OQ6:OS6"/>
    <mergeCell ref="OT6:OV6"/>
    <mergeCell ref="NS6:NU6"/>
    <mergeCell ref="NV6:NX6"/>
    <mergeCell ref="NY6:OA6"/>
    <mergeCell ref="OB6:OD6"/>
    <mergeCell ref="OE6:OG6"/>
    <mergeCell ref="ND6:NF6"/>
    <mergeCell ref="NG6:NI6"/>
    <mergeCell ref="NJ6:NL6"/>
    <mergeCell ref="NM6:NO6"/>
    <mergeCell ref="NP6:NR6"/>
    <mergeCell ref="MO6:MQ6"/>
    <mergeCell ref="MR6:MT6"/>
    <mergeCell ref="MU6:MW6"/>
    <mergeCell ref="MX6:MZ6"/>
    <mergeCell ref="NA6:NC6"/>
    <mergeCell ref="LZ6:MB6"/>
    <mergeCell ref="MC6:ME6"/>
    <mergeCell ref="MF6:MH6"/>
    <mergeCell ref="MI6:MK6"/>
    <mergeCell ref="ML6:MN6"/>
    <mergeCell ref="TM6:TO6"/>
    <mergeCell ref="TP6:TR6"/>
    <mergeCell ref="TS6:TU6"/>
    <mergeCell ref="TV6:TX6"/>
    <mergeCell ref="TY6:UA6"/>
    <mergeCell ref="SX6:SZ6"/>
    <mergeCell ref="TA6:TC6"/>
    <mergeCell ref="TD6:TF6"/>
    <mergeCell ref="TG6:TI6"/>
    <mergeCell ref="TJ6:TL6"/>
    <mergeCell ref="SI6:SK6"/>
    <mergeCell ref="SL6:SN6"/>
    <mergeCell ref="SO6:SQ6"/>
    <mergeCell ref="SR6:ST6"/>
    <mergeCell ref="SU6:SW6"/>
    <mergeCell ref="RT6:RV6"/>
    <mergeCell ref="RW6:RY6"/>
    <mergeCell ref="RZ6:SB6"/>
    <mergeCell ref="SC6:SE6"/>
    <mergeCell ref="SF6:SH6"/>
    <mergeCell ref="RE6:RG6"/>
    <mergeCell ref="RH6:RJ6"/>
    <mergeCell ref="RK6:RM6"/>
    <mergeCell ref="RN6:RP6"/>
    <mergeCell ref="RQ6:RS6"/>
    <mergeCell ref="QP6:QR6"/>
    <mergeCell ref="QS6:QU6"/>
    <mergeCell ref="QV6:QX6"/>
    <mergeCell ref="QY6:RA6"/>
    <mergeCell ref="RB6:RD6"/>
    <mergeCell ref="QA6:QC6"/>
    <mergeCell ref="QD6:QF6"/>
    <mergeCell ref="QG6:QI6"/>
    <mergeCell ref="QJ6:QL6"/>
    <mergeCell ref="QM6:QO6"/>
    <mergeCell ref="XN6:XP6"/>
    <mergeCell ref="XQ6:XS6"/>
    <mergeCell ref="XT6:XV6"/>
    <mergeCell ref="XW6:XY6"/>
    <mergeCell ref="XZ6:YB6"/>
    <mergeCell ref="WY6:XA6"/>
    <mergeCell ref="XB6:XD6"/>
    <mergeCell ref="XE6:XG6"/>
    <mergeCell ref="XH6:XJ6"/>
    <mergeCell ref="XK6:XM6"/>
    <mergeCell ref="WJ6:WL6"/>
    <mergeCell ref="WM6:WO6"/>
    <mergeCell ref="WP6:WR6"/>
    <mergeCell ref="WS6:WU6"/>
    <mergeCell ref="WV6:WX6"/>
    <mergeCell ref="VU6:VW6"/>
    <mergeCell ref="VX6:VZ6"/>
    <mergeCell ref="WA6:WC6"/>
    <mergeCell ref="WD6:WF6"/>
    <mergeCell ref="WG6:WI6"/>
    <mergeCell ref="VF6:VH6"/>
    <mergeCell ref="VI6:VK6"/>
    <mergeCell ref="VL6:VN6"/>
    <mergeCell ref="VO6:VQ6"/>
    <mergeCell ref="VR6:VT6"/>
    <mergeCell ref="UQ6:US6"/>
    <mergeCell ref="UT6:UV6"/>
    <mergeCell ref="UW6:UY6"/>
    <mergeCell ref="UZ6:VB6"/>
    <mergeCell ref="VC6:VE6"/>
    <mergeCell ref="UB6:UD6"/>
    <mergeCell ref="UE6:UG6"/>
    <mergeCell ref="UH6:UJ6"/>
    <mergeCell ref="UK6:UM6"/>
    <mergeCell ref="UN6:UP6"/>
    <mergeCell ref="ABO6:ABQ6"/>
    <mergeCell ref="ABR6:ABT6"/>
    <mergeCell ref="ABU6:ABW6"/>
    <mergeCell ref="ABX6:ABZ6"/>
    <mergeCell ref="ACA6:ACC6"/>
    <mergeCell ref="AAZ6:ABB6"/>
    <mergeCell ref="ABC6:ABE6"/>
    <mergeCell ref="ABF6:ABH6"/>
    <mergeCell ref="ABI6:ABK6"/>
    <mergeCell ref="ABL6:ABN6"/>
    <mergeCell ref="AAK6:AAM6"/>
    <mergeCell ref="AAN6:AAP6"/>
    <mergeCell ref="AAQ6:AAS6"/>
    <mergeCell ref="AAT6:AAV6"/>
    <mergeCell ref="AAW6:AAY6"/>
    <mergeCell ref="ZV6:ZX6"/>
    <mergeCell ref="ZY6:AAA6"/>
    <mergeCell ref="AAB6:AAD6"/>
    <mergeCell ref="AAE6:AAG6"/>
    <mergeCell ref="AAH6:AAJ6"/>
    <mergeCell ref="ZG6:ZI6"/>
    <mergeCell ref="ZJ6:ZL6"/>
    <mergeCell ref="ZM6:ZO6"/>
    <mergeCell ref="ZP6:ZR6"/>
    <mergeCell ref="ZS6:ZU6"/>
    <mergeCell ref="YR6:YT6"/>
    <mergeCell ref="YU6:YW6"/>
    <mergeCell ref="YX6:YZ6"/>
    <mergeCell ref="ZA6:ZC6"/>
    <mergeCell ref="ZD6:ZF6"/>
    <mergeCell ref="YC6:YE6"/>
    <mergeCell ref="YF6:YH6"/>
    <mergeCell ref="YI6:YK6"/>
    <mergeCell ref="YL6:YN6"/>
    <mergeCell ref="YO6:YQ6"/>
    <mergeCell ref="AFP6:AFR6"/>
    <mergeCell ref="AFS6:AFU6"/>
    <mergeCell ref="AFV6:AFX6"/>
    <mergeCell ref="AFY6:AGA6"/>
    <mergeCell ref="AGB6:AGD6"/>
    <mergeCell ref="AFA6:AFC6"/>
    <mergeCell ref="AFD6:AFF6"/>
    <mergeCell ref="AFG6:AFI6"/>
    <mergeCell ref="AFJ6:AFL6"/>
    <mergeCell ref="AFM6:AFO6"/>
    <mergeCell ref="AEL6:AEN6"/>
    <mergeCell ref="AEO6:AEQ6"/>
    <mergeCell ref="AER6:AET6"/>
    <mergeCell ref="AEU6:AEW6"/>
    <mergeCell ref="AEX6:AEZ6"/>
    <mergeCell ref="ADW6:ADY6"/>
    <mergeCell ref="ADZ6:AEB6"/>
    <mergeCell ref="AEC6:AEE6"/>
    <mergeCell ref="AEF6:AEH6"/>
    <mergeCell ref="AEI6:AEK6"/>
    <mergeCell ref="ADH6:ADJ6"/>
    <mergeCell ref="ADK6:ADM6"/>
    <mergeCell ref="ADN6:ADP6"/>
    <mergeCell ref="ADQ6:ADS6"/>
    <mergeCell ref="ADT6:ADV6"/>
    <mergeCell ref="ACS6:ACU6"/>
    <mergeCell ref="ACV6:ACX6"/>
    <mergeCell ref="ACY6:ADA6"/>
    <mergeCell ref="ADB6:ADD6"/>
    <mergeCell ref="ADE6:ADG6"/>
    <mergeCell ref="ACD6:ACF6"/>
    <mergeCell ref="ACG6:ACI6"/>
    <mergeCell ref="ACJ6:ACL6"/>
    <mergeCell ref="ACM6:ACO6"/>
    <mergeCell ref="ACP6:ACR6"/>
    <mergeCell ref="AJQ6:AJS6"/>
    <mergeCell ref="AJT6:AJV6"/>
    <mergeCell ref="AJW6:AJY6"/>
    <mergeCell ref="AJZ6:AKB6"/>
    <mergeCell ref="AKC6:AKE6"/>
    <mergeCell ref="AJB6:AJD6"/>
    <mergeCell ref="AJE6:AJG6"/>
    <mergeCell ref="AJH6:AJJ6"/>
    <mergeCell ref="AJK6:AJM6"/>
    <mergeCell ref="AJN6:AJP6"/>
    <mergeCell ref="AIM6:AIO6"/>
    <mergeCell ref="AIP6:AIR6"/>
    <mergeCell ref="AIS6:AIU6"/>
    <mergeCell ref="AIV6:AIX6"/>
    <mergeCell ref="AIY6:AJA6"/>
    <mergeCell ref="AHX6:AHZ6"/>
    <mergeCell ref="AIA6:AIC6"/>
    <mergeCell ref="AID6:AIF6"/>
    <mergeCell ref="AIG6:AII6"/>
    <mergeCell ref="AIJ6:AIL6"/>
    <mergeCell ref="AHI6:AHK6"/>
    <mergeCell ref="AHL6:AHN6"/>
    <mergeCell ref="AHO6:AHQ6"/>
    <mergeCell ref="AHR6:AHT6"/>
    <mergeCell ref="AHU6:AHW6"/>
    <mergeCell ref="AGT6:AGV6"/>
    <mergeCell ref="AGW6:AGY6"/>
    <mergeCell ref="AGZ6:AHB6"/>
    <mergeCell ref="AHC6:AHE6"/>
    <mergeCell ref="AHF6:AHH6"/>
    <mergeCell ref="AGE6:AGG6"/>
    <mergeCell ref="AGH6:AGJ6"/>
    <mergeCell ref="AGK6:AGM6"/>
    <mergeCell ref="AGN6:AGP6"/>
    <mergeCell ref="AGQ6:AGS6"/>
    <mergeCell ref="ANR6:ANT6"/>
    <mergeCell ref="ANU6:ANW6"/>
    <mergeCell ref="ANX6:ANZ6"/>
    <mergeCell ref="AOA6:AOC6"/>
    <mergeCell ref="AOD6:AOF6"/>
    <mergeCell ref="ANC6:ANE6"/>
    <mergeCell ref="ANF6:ANH6"/>
    <mergeCell ref="ANI6:ANK6"/>
    <mergeCell ref="ANL6:ANN6"/>
    <mergeCell ref="ANO6:ANQ6"/>
    <mergeCell ref="AMN6:AMP6"/>
    <mergeCell ref="AMQ6:AMS6"/>
    <mergeCell ref="AMT6:AMV6"/>
    <mergeCell ref="AMW6:AMY6"/>
    <mergeCell ref="AMZ6:ANB6"/>
    <mergeCell ref="ALY6:AMA6"/>
    <mergeCell ref="AMB6:AMD6"/>
    <mergeCell ref="AME6:AMG6"/>
    <mergeCell ref="AMH6:AMJ6"/>
    <mergeCell ref="AMK6:AMM6"/>
    <mergeCell ref="ALJ6:ALL6"/>
    <mergeCell ref="ALM6:ALO6"/>
    <mergeCell ref="ALP6:ALR6"/>
    <mergeCell ref="ALS6:ALU6"/>
    <mergeCell ref="ALV6:ALX6"/>
    <mergeCell ref="AKU6:AKW6"/>
    <mergeCell ref="AKX6:AKZ6"/>
    <mergeCell ref="ALA6:ALC6"/>
    <mergeCell ref="ALD6:ALF6"/>
    <mergeCell ref="ALG6:ALI6"/>
    <mergeCell ref="AKF6:AKH6"/>
    <mergeCell ref="AKI6:AKK6"/>
    <mergeCell ref="AKL6:AKN6"/>
    <mergeCell ref="AKO6:AKQ6"/>
    <mergeCell ref="AKR6:AKT6"/>
    <mergeCell ref="ARS6:ARU6"/>
    <mergeCell ref="ARV6:ARX6"/>
    <mergeCell ref="ARY6:ASA6"/>
    <mergeCell ref="ASB6:ASD6"/>
    <mergeCell ref="ASE6:ASG6"/>
    <mergeCell ref="ARD6:ARF6"/>
    <mergeCell ref="ARG6:ARI6"/>
    <mergeCell ref="ARJ6:ARL6"/>
    <mergeCell ref="ARM6:ARO6"/>
    <mergeCell ref="ARP6:ARR6"/>
    <mergeCell ref="AQO6:AQQ6"/>
    <mergeCell ref="AQR6:AQT6"/>
    <mergeCell ref="AQU6:AQW6"/>
    <mergeCell ref="AQX6:AQZ6"/>
    <mergeCell ref="ARA6:ARC6"/>
    <mergeCell ref="APZ6:AQB6"/>
    <mergeCell ref="AQC6:AQE6"/>
    <mergeCell ref="AQF6:AQH6"/>
    <mergeCell ref="AQI6:AQK6"/>
    <mergeCell ref="AQL6:AQN6"/>
    <mergeCell ref="APK6:APM6"/>
    <mergeCell ref="APN6:APP6"/>
    <mergeCell ref="APQ6:APS6"/>
    <mergeCell ref="APT6:APV6"/>
    <mergeCell ref="APW6:APY6"/>
    <mergeCell ref="AOV6:AOX6"/>
    <mergeCell ref="AOY6:APA6"/>
    <mergeCell ref="APB6:APD6"/>
    <mergeCell ref="APE6:APG6"/>
    <mergeCell ref="APH6:APJ6"/>
    <mergeCell ref="AOG6:AOI6"/>
    <mergeCell ref="AOJ6:AOL6"/>
    <mergeCell ref="AOM6:AOO6"/>
    <mergeCell ref="AOP6:AOR6"/>
    <mergeCell ref="AOS6:AOU6"/>
    <mergeCell ref="AVT6:AVV6"/>
    <mergeCell ref="AVW6:AVY6"/>
    <mergeCell ref="AVZ6:AWB6"/>
    <mergeCell ref="AWC6:AWE6"/>
    <mergeCell ref="AWF6:AWH6"/>
    <mergeCell ref="AVE6:AVG6"/>
    <mergeCell ref="AVH6:AVJ6"/>
    <mergeCell ref="AVK6:AVM6"/>
    <mergeCell ref="AVN6:AVP6"/>
    <mergeCell ref="AVQ6:AVS6"/>
    <mergeCell ref="AUP6:AUR6"/>
    <mergeCell ref="AUS6:AUU6"/>
    <mergeCell ref="AUV6:AUX6"/>
    <mergeCell ref="AUY6:AVA6"/>
    <mergeCell ref="AVB6:AVD6"/>
    <mergeCell ref="AUA6:AUC6"/>
    <mergeCell ref="AUD6:AUF6"/>
    <mergeCell ref="AUG6:AUI6"/>
    <mergeCell ref="AUJ6:AUL6"/>
    <mergeCell ref="AUM6:AUO6"/>
    <mergeCell ref="ATL6:ATN6"/>
    <mergeCell ref="ATO6:ATQ6"/>
    <mergeCell ref="ATR6:ATT6"/>
    <mergeCell ref="ATU6:ATW6"/>
    <mergeCell ref="ATX6:ATZ6"/>
    <mergeCell ref="ASW6:ASY6"/>
    <mergeCell ref="ASZ6:ATB6"/>
    <mergeCell ref="ATC6:ATE6"/>
    <mergeCell ref="ATF6:ATH6"/>
    <mergeCell ref="ATI6:ATK6"/>
    <mergeCell ref="ASH6:ASJ6"/>
    <mergeCell ref="ASK6:ASM6"/>
    <mergeCell ref="ASN6:ASP6"/>
    <mergeCell ref="ASQ6:ASS6"/>
    <mergeCell ref="AST6:ASV6"/>
    <mergeCell ref="AZU6:AZW6"/>
    <mergeCell ref="AZX6:AZZ6"/>
    <mergeCell ref="BAA6:BAC6"/>
    <mergeCell ref="BAD6:BAF6"/>
    <mergeCell ref="BAG6:BAI6"/>
    <mergeCell ref="AZF6:AZH6"/>
    <mergeCell ref="AZI6:AZK6"/>
    <mergeCell ref="AZL6:AZN6"/>
    <mergeCell ref="AZO6:AZQ6"/>
    <mergeCell ref="AZR6:AZT6"/>
    <mergeCell ref="AYQ6:AYS6"/>
    <mergeCell ref="AYT6:AYV6"/>
    <mergeCell ref="AYW6:AYY6"/>
    <mergeCell ref="AYZ6:AZB6"/>
    <mergeCell ref="AZC6:AZE6"/>
    <mergeCell ref="AYB6:AYD6"/>
    <mergeCell ref="AYE6:AYG6"/>
    <mergeCell ref="AYH6:AYJ6"/>
    <mergeCell ref="AYK6:AYM6"/>
    <mergeCell ref="AYN6:AYP6"/>
    <mergeCell ref="AXM6:AXO6"/>
    <mergeCell ref="AXP6:AXR6"/>
    <mergeCell ref="AXS6:AXU6"/>
    <mergeCell ref="AXV6:AXX6"/>
    <mergeCell ref="AXY6:AYA6"/>
    <mergeCell ref="AWX6:AWZ6"/>
    <mergeCell ref="AXA6:AXC6"/>
    <mergeCell ref="AXD6:AXF6"/>
    <mergeCell ref="AXG6:AXI6"/>
    <mergeCell ref="AXJ6:AXL6"/>
    <mergeCell ref="AWI6:AWK6"/>
    <mergeCell ref="AWL6:AWN6"/>
    <mergeCell ref="AWO6:AWQ6"/>
    <mergeCell ref="AWR6:AWT6"/>
    <mergeCell ref="AWU6:AWW6"/>
    <mergeCell ref="BDV6:BDX6"/>
    <mergeCell ref="BDY6:BEA6"/>
    <mergeCell ref="BEB6:BED6"/>
    <mergeCell ref="BEE6:BEG6"/>
    <mergeCell ref="BEH6:BEJ6"/>
    <mergeCell ref="BDG6:BDI6"/>
    <mergeCell ref="BDJ6:BDL6"/>
    <mergeCell ref="BDM6:BDO6"/>
    <mergeCell ref="BDP6:BDR6"/>
    <mergeCell ref="BDS6:BDU6"/>
    <mergeCell ref="BCR6:BCT6"/>
    <mergeCell ref="BCU6:BCW6"/>
    <mergeCell ref="BCX6:BCZ6"/>
    <mergeCell ref="BDA6:BDC6"/>
    <mergeCell ref="BDD6:BDF6"/>
    <mergeCell ref="BCC6:BCE6"/>
    <mergeCell ref="BCF6:BCH6"/>
    <mergeCell ref="BCI6:BCK6"/>
    <mergeCell ref="BCL6:BCN6"/>
    <mergeCell ref="BCO6:BCQ6"/>
    <mergeCell ref="BBN6:BBP6"/>
    <mergeCell ref="BBQ6:BBS6"/>
    <mergeCell ref="BBT6:BBV6"/>
    <mergeCell ref="BBW6:BBY6"/>
    <mergeCell ref="BBZ6:BCB6"/>
    <mergeCell ref="BAY6:BBA6"/>
    <mergeCell ref="BBB6:BBD6"/>
    <mergeCell ref="BBE6:BBG6"/>
    <mergeCell ref="BBH6:BBJ6"/>
    <mergeCell ref="BBK6:BBM6"/>
    <mergeCell ref="BAJ6:BAL6"/>
    <mergeCell ref="BAM6:BAO6"/>
    <mergeCell ref="BAP6:BAR6"/>
    <mergeCell ref="BAS6:BAU6"/>
    <mergeCell ref="BAV6:BAX6"/>
    <mergeCell ref="BHW6:BHY6"/>
    <mergeCell ref="BHZ6:BIB6"/>
    <mergeCell ref="BIC6:BIE6"/>
    <mergeCell ref="BIF6:BIH6"/>
    <mergeCell ref="BII6:BIK6"/>
    <mergeCell ref="BHH6:BHJ6"/>
    <mergeCell ref="BHK6:BHM6"/>
    <mergeCell ref="BHN6:BHP6"/>
    <mergeCell ref="BHQ6:BHS6"/>
    <mergeCell ref="BHT6:BHV6"/>
    <mergeCell ref="BGS6:BGU6"/>
    <mergeCell ref="BGV6:BGX6"/>
    <mergeCell ref="BGY6:BHA6"/>
    <mergeCell ref="BHB6:BHD6"/>
    <mergeCell ref="BHE6:BHG6"/>
    <mergeCell ref="BGD6:BGF6"/>
    <mergeCell ref="BGG6:BGI6"/>
    <mergeCell ref="BGJ6:BGL6"/>
    <mergeCell ref="BGM6:BGO6"/>
    <mergeCell ref="BGP6:BGR6"/>
    <mergeCell ref="BFO6:BFQ6"/>
    <mergeCell ref="BFR6:BFT6"/>
    <mergeCell ref="BFU6:BFW6"/>
    <mergeCell ref="BFX6:BFZ6"/>
    <mergeCell ref="BGA6:BGC6"/>
    <mergeCell ref="BEZ6:BFB6"/>
    <mergeCell ref="BFC6:BFE6"/>
    <mergeCell ref="BFF6:BFH6"/>
    <mergeCell ref="BFI6:BFK6"/>
    <mergeCell ref="BFL6:BFN6"/>
    <mergeCell ref="BEK6:BEM6"/>
    <mergeCell ref="BEN6:BEP6"/>
    <mergeCell ref="BEQ6:BES6"/>
    <mergeCell ref="BET6:BEV6"/>
    <mergeCell ref="BEW6:BEY6"/>
    <mergeCell ref="BLX6:BLZ6"/>
    <mergeCell ref="BMA6:BMC6"/>
    <mergeCell ref="BMD6:BMF6"/>
    <mergeCell ref="BMG6:BMI6"/>
    <mergeCell ref="BMJ6:BML6"/>
    <mergeCell ref="BLI6:BLK6"/>
    <mergeCell ref="BLL6:BLN6"/>
    <mergeCell ref="BLO6:BLQ6"/>
    <mergeCell ref="BLR6:BLT6"/>
    <mergeCell ref="BLU6:BLW6"/>
    <mergeCell ref="BKT6:BKV6"/>
    <mergeCell ref="BKW6:BKY6"/>
    <mergeCell ref="BKZ6:BLB6"/>
    <mergeCell ref="BLC6:BLE6"/>
    <mergeCell ref="BLF6:BLH6"/>
    <mergeCell ref="BKE6:BKG6"/>
    <mergeCell ref="BKH6:BKJ6"/>
    <mergeCell ref="BKK6:BKM6"/>
    <mergeCell ref="BKN6:BKP6"/>
    <mergeCell ref="BKQ6:BKS6"/>
    <mergeCell ref="BJP6:BJR6"/>
    <mergeCell ref="BJS6:BJU6"/>
    <mergeCell ref="BJV6:BJX6"/>
    <mergeCell ref="BJY6:BKA6"/>
    <mergeCell ref="BKB6:BKD6"/>
    <mergeCell ref="BJA6:BJC6"/>
    <mergeCell ref="BJD6:BJF6"/>
    <mergeCell ref="BJG6:BJI6"/>
    <mergeCell ref="BJJ6:BJL6"/>
    <mergeCell ref="BJM6:BJO6"/>
    <mergeCell ref="BIL6:BIN6"/>
    <mergeCell ref="BIO6:BIQ6"/>
    <mergeCell ref="BIR6:BIT6"/>
    <mergeCell ref="BIU6:BIW6"/>
    <mergeCell ref="BIX6:BIZ6"/>
    <mergeCell ref="BPY6:BQA6"/>
    <mergeCell ref="BQB6:BQD6"/>
    <mergeCell ref="BQE6:BQG6"/>
    <mergeCell ref="BQH6:BQJ6"/>
    <mergeCell ref="BQK6:BQM6"/>
    <mergeCell ref="BPJ6:BPL6"/>
    <mergeCell ref="BPM6:BPO6"/>
    <mergeCell ref="BPP6:BPR6"/>
    <mergeCell ref="BPS6:BPU6"/>
    <mergeCell ref="BPV6:BPX6"/>
    <mergeCell ref="BOU6:BOW6"/>
    <mergeCell ref="BOX6:BOZ6"/>
    <mergeCell ref="BPA6:BPC6"/>
    <mergeCell ref="BPD6:BPF6"/>
    <mergeCell ref="BPG6:BPI6"/>
    <mergeCell ref="BOF6:BOH6"/>
    <mergeCell ref="BOI6:BOK6"/>
    <mergeCell ref="BOL6:BON6"/>
    <mergeCell ref="BOO6:BOQ6"/>
    <mergeCell ref="BOR6:BOT6"/>
    <mergeCell ref="BNQ6:BNS6"/>
    <mergeCell ref="BNT6:BNV6"/>
    <mergeCell ref="BNW6:BNY6"/>
    <mergeCell ref="BNZ6:BOB6"/>
    <mergeCell ref="BOC6:BOE6"/>
    <mergeCell ref="BNB6:BND6"/>
    <mergeCell ref="BNE6:BNG6"/>
    <mergeCell ref="BNH6:BNJ6"/>
    <mergeCell ref="BNK6:BNM6"/>
    <mergeCell ref="BNN6:BNP6"/>
    <mergeCell ref="BMM6:BMO6"/>
    <mergeCell ref="BMP6:BMR6"/>
    <mergeCell ref="BMS6:BMU6"/>
    <mergeCell ref="BMV6:BMX6"/>
    <mergeCell ref="BMY6:BNA6"/>
    <mergeCell ref="BTZ6:BUB6"/>
    <mergeCell ref="BUC6:BUE6"/>
    <mergeCell ref="BUF6:BUH6"/>
    <mergeCell ref="BUI6:BUK6"/>
    <mergeCell ref="BUL6:BUN6"/>
    <mergeCell ref="BTK6:BTM6"/>
    <mergeCell ref="BTN6:BTP6"/>
    <mergeCell ref="BTQ6:BTS6"/>
    <mergeCell ref="BTT6:BTV6"/>
    <mergeCell ref="BTW6:BTY6"/>
    <mergeCell ref="BSV6:BSX6"/>
    <mergeCell ref="BSY6:BTA6"/>
    <mergeCell ref="BTB6:BTD6"/>
    <mergeCell ref="BTE6:BTG6"/>
    <mergeCell ref="BTH6:BTJ6"/>
    <mergeCell ref="BSG6:BSI6"/>
    <mergeCell ref="BSJ6:BSL6"/>
    <mergeCell ref="BSM6:BSO6"/>
    <mergeCell ref="BSP6:BSR6"/>
    <mergeCell ref="BSS6:BSU6"/>
    <mergeCell ref="BRR6:BRT6"/>
    <mergeCell ref="BRU6:BRW6"/>
    <mergeCell ref="BRX6:BRZ6"/>
    <mergeCell ref="BSA6:BSC6"/>
    <mergeCell ref="BSD6:BSF6"/>
    <mergeCell ref="BRC6:BRE6"/>
    <mergeCell ref="BRF6:BRH6"/>
    <mergeCell ref="BRI6:BRK6"/>
    <mergeCell ref="BRL6:BRN6"/>
    <mergeCell ref="BRO6:BRQ6"/>
    <mergeCell ref="BQN6:BQP6"/>
    <mergeCell ref="BQQ6:BQS6"/>
    <mergeCell ref="BQT6:BQV6"/>
    <mergeCell ref="BQW6:BQY6"/>
    <mergeCell ref="BQZ6:BRB6"/>
    <mergeCell ref="BYA6:BYC6"/>
    <mergeCell ref="BYD6:BYF6"/>
    <mergeCell ref="BYG6:BYI6"/>
    <mergeCell ref="BYJ6:BYL6"/>
    <mergeCell ref="BYM6:BYO6"/>
    <mergeCell ref="BXL6:BXN6"/>
    <mergeCell ref="BXO6:BXQ6"/>
    <mergeCell ref="BXR6:BXT6"/>
    <mergeCell ref="BXU6:BXW6"/>
    <mergeCell ref="BXX6:BXZ6"/>
    <mergeCell ref="BWW6:BWY6"/>
    <mergeCell ref="BWZ6:BXB6"/>
    <mergeCell ref="BXC6:BXE6"/>
    <mergeCell ref="BXF6:BXH6"/>
    <mergeCell ref="BXI6:BXK6"/>
    <mergeCell ref="BWH6:BWJ6"/>
    <mergeCell ref="BWK6:BWM6"/>
    <mergeCell ref="BWN6:BWP6"/>
    <mergeCell ref="BWQ6:BWS6"/>
    <mergeCell ref="BWT6:BWV6"/>
    <mergeCell ref="BVS6:BVU6"/>
    <mergeCell ref="BVV6:BVX6"/>
    <mergeCell ref="BVY6:BWA6"/>
    <mergeCell ref="BWB6:BWD6"/>
    <mergeCell ref="BWE6:BWG6"/>
    <mergeCell ref="BVD6:BVF6"/>
    <mergeCell ref="BVG6:BVI6"/>
    <mergeCell ref="BVJ6:BVL6"/>
    <mergeCell ref="BVM6:BVO6"/>
    <mergeCell ref="BVP6:BVR6"/>
    <mergeCell ref="BUO6:BUQ6"/>
    <mergeCell ref="BUR6:BUT6"/>
    <mergeCell ref="BUU6:BUW6"/>
    <mergeCell ref="BUX6:BUZ6"/>
    <mergeCell ref="BVA6:BVC6"/>
    <mergeCell ref="CCB6:CCD6"/>
    <mergeCell ref="CCE6:CCG6"/>
    <mergeCell ref="CCH6:CCJ6"/>
    <mergeCell ref="CCK6:CCM6"/>
    <mergeCell ref="CCN6:CCP6"/>
    <mergeCell ref="CBM6:CBO6"/>
    <mergeCell ref="CBP6:CBR6"/>
    <mergeCell ref="CBS6:CBU6"/>
    <mergeCell ref="CBV6:CBX6"/>
    <mergeCell ref="CBY6:CCA6"/>
    <mergeCell ref="CAX6:CAZ6"/>
    <mergeCell ref="CBA6:CBC6"/>
    <mergeCell ref="CBD6:CBF6"/>
    <mergeCell ref="CBG6:CBI6"/>
    <mergeCell ref="CBJ6:CBL6"/>
    <mergeCell ref="CAI6:CAK6"/>
    <mergeCell ref="CAL6:CAN6"/>
    <mergeCell ref="CAO6:CAQ6"/>
    <mergeCell ref="CAR6:CAT6"/>
    <mergeCell ref="CAU6:CAW6"/>
    <mergeCell ref="BZT6:BZV6"/>
    <mergeCell ref="BZW6:BZY6"/>
    <mergeCell ref="BZZ6:CAB6"/>
    <mergeCell ref="CAC6:CAE6"/>
    <mergeCell ref="CAF6:CAH6"/>
    <mergeCell ref="BZE6:BZG6"/>
    <mergeCell ref="BZH6:BZJ6"/>
    <mergeCell ref="BZK6:BZM6"/>
    <mergeCell ref="BZN6:BZP6"/>
    <mergeCell ref="BZQ6:BZS6"/>
    <mergeCell ref="BYP6:BYR6"/>
    <mergeCell ref="BYS6:BYU6"/>
    <mergeCell ref="BYV6:BYX6"/>
    <mergeCell ref="BYY6:BZA6"/>
    <mergeCell ref="BZB6:BZD6"/>
    <mergeCell ref="CGC6:CGE6"/>
    <mergeCell ref="CGF6:CGH6"/>
    <mergeCell ref="CGI6:CGK6"/>
    <mergeCell ref="CGL6:CGN6"/>
    <mergeCell ref="CGO6:CGQ6"/>
    <mergeCell ref="CFN6:CFP6"/>
    <mergeCell ref="CFQ6:CFS6"/>
    <mergeCell ref="CFT6:CFV6"/>
    <mergeCell ref="CFW6:CFY6"/>
    <mergeCell ref="CFZ6:CGB6"/>
    <mergeCell ref="CEY6:CFA6"/>
    <mergeCell ref="CFB6:CFD6"/>
    <mergeCell ref="CFE6:CFG6"/>
    <mergeCell ref="CFH6:CFJ6"/>
    <mergeCell ref="CFK6:CFM6"/>
    <mergeCell ref="CEJ6:CEL6"/>
    <mergeCell ref="CEM6:CEO6"/>
    <mergeCell ref="CEP6:CER6"/>
    <mergeCell ref="CES6:CEU6"/>
    <mergeCell ref="CEV6:CEX6"/>
    <mergeCell ref="CDU6:CDW6"/>
    <mergeCell ref="CDX6:CDZ6"/>
    <mergeCell ref="CEA6:CEC6"/>
    <mergeCell ref="CED6:CEF6"/>
    <mergeCell ref="CEG6:CEI6"/>
    <mergeCell ref="CDF6:CDH6"/>
    <mergeCell ref="CDI6:CDK6"/>
    <mergeCell ref="CDL6:CDN6"/>
    <mergeCell ref="CDO6:CDQ6"/>
    <mergeCell ref="CDR6:CDT6"/>
    <mergeCell ref="CCQ6:CCS6"/>
    <mergeCell ref="CCT6:CCV6"/>
    <mergeCell ref="CCW6:CCY6"/>
    <mergeCell ref="CCZ6:CDB6"/>
    <mergeCell ref="CDC6:CDE6"/>
    <mergeCell ref="CKD6:CKF6"/>
    <mergeCell ref="CKG6:CKI6"/>
    <mergeCell ref="CKJ6:CKL6"/>
    <mergeCell ref="CKM6:CKO6"/>
    <mergeCell ref="CKP6:CKR6"/>
    <mergeCell ref="CJO6:CJQ6"/>
    <mergeCell ref="CJR6:CJT6"/>
    <mergeCell ref="CJU6:CJW6"/>
    <mergeCell ref="CJX6:CJZ6"/>
    <mergeCell ref="CKA6:CKC6"/>
    <mergeCell ref="CIZ6:CJB6"/>
    <mergeCell ref="CJC6:CJE6"/>
    <mergeCell ref="CJF6:CJH6"/>
    <mergeCell ref="CJI6:CJK6"/>
    <mergeCell ref="CJL6:CJN6"/>
    <mergeCell ref="CIK6:CIM6"/>
    <mergeCell ref="CIN6:CIP6"/>
    <mergeCell ref="CIQ6:CIS6"/>
    <mergeCell ref="CIT6:CIV6"/>
    <mergeCell ref="CIW6:CIY6"/>
    <mergeCell ref="CHV6:CHX6"/>
    <mergeCell ref="CHY6:CIA6"/>
    <mergeCell ref="CIB6:CID6"/>
    <mergeCell ref="CIE6:CIG6"/>
    <mergeCell ref="CIH6:CIJ6"/>
    <mergeCell ref="CHG6:CHI6"/>
    <mergeCell ref="CHJ6:CHL6"/>
    <mergeCell ref="CHM6:CHO6"/>
    <mergeCell ref="CHP6:CHR6"/>
    <mergeCell ref="CHS6:CHU6"/>
    <mergeCell ref="CGR6:CGT6"/>
    <mergeCell ref="CGU6:CGW6"/>
    <mergeCell ref="CGX6:CGZ6"/>
    <mergeCell ref="CHA6:CHC6"/>
    <mergeCell ref="CHD6:CHF6"/>
    <mergeCell ref="COE6:COG6"/>
    <mergeCell ref="COH6:COJ6"/>
    <mergeCell ref="COK6:COM6"/>
    <mergeCell ref="CON6:COP6"/>
    <mergeCell ref="COQ6:COS6"/>
    <mergeCell ref="CNP6:CNR6"/>
    <mergeCell ref="CNS6:CNU6"/>
    <mergeCell ref="CNV6:CNX6"/>
    <mergeCell ref="CNY6:COA6"/>
    <mergeCell ref="COB6:COD6"/>
    <mergeCell ref="CNA6:CNC6"/>
    <mergeCell ref="CND6:CNF6"/>
    <mergeCell ref="CNG6:CNI6"/>
    <mergeCell ref="CNJ6:CNL6"/>
    <mergeCell ref="CNM6:CNO6"/>
    <mergeCell ref="CML6:CMN6"/>
    <mergeCell ref="CMO6:CMQ6"/>
    <mergeCell ref="CMR6:CMT6"/>
    <mergeCell ref="CMU6:CMW6"/>
    <mergeCell ref="CMX6:CMZ6"/>
    <mergeCell ref="CLW6:CLY6"/>
    <mergeCell ref="CLZ6:CMB6"/>
    <mergeCell ref="CMC6:CME6"/>
    <mergeCell ref="CMF6:CMH6"/>
    <mergeCell ref="CMI6:CMK6"/>
    <mergeCell ref="CLH6:CLJ6"/>
    <mergeCell ref="CLK6:CLM6"/>
    <mergeCell ref="CLN6:CLP6"/>
    <mergeCell ref="CLQ6:CLS6"/>
    <mergeCell ref="CLT6:CLV6"/>
    <mergeCell ref="CKS6:CKU6"/>
    <mergeCell ref="CKV6:CKX6"/>
    <mergeCell ref="CKY6:CLA6"/>
    <mergeCell ref="CLB6:CLD6"/>
    <mergeCell ref="CLE6:CLG6"/>
    <mergeCell ref="CSF6:CSH6"/>
    <mergeCell ref="CSI6:CSK6"/>
    <mergeCell ref="CSL6:CSN6"/>
    <mergeCell ref="CSO6:CSQ6"/>
    <mergeCell ref="CSR6:CST6"/>
    <mergeCell ref="CRQ6:CRS6"/>
    <mergeCell ref="CRT6:CRV6"/>
    <mergeCell ref="CRW6:CRY6"/>
    <mergeCell ref="CRZ6:CSB6"/>
    <mergeCell ref="CSC6:CSE6"/>
    <mergeCell ref="CRB6:CRD6"/>
    <mergeCell ref="CRE6:CRG6"/>
    <mergeCell ref="CRH6:CRJ6"/>
    <mergeCell ref="CRK6:CRM6"/>
    <mergeCell ref="CRN6:CRP6"/>
    <mergeCell ref="CQM6:CQO6"/>
    <mergeCell ref="CQP6:CQR6"/>
    <mergeCell ref="CQS6:CQU6"/>
    <mergeCell ref="CQV6:CQX6"/>
    <mergeCell ref="CQY6:CRA6"/>
    <mergeCell ref="CPX6:CPZ6"/>
    <mergeCell ref="CQA6:CQC6"/>
    <mergeCell ref="CQD6:CQF6"/>
    <mergeCell ref="CQG6:CQI6"/>
    <mergeCell ref="CQJ6:CQL6"/>
    <mergeCell ref="CPI6:CPK6"/>
    <mergeCell ref="CPL6:CPN6"/>
    <mergeCell ref="CPO6:CPQ6"/>
    <mergeCell ref="CPR6:CPT6"/>
    <mergeCell ref="CPU6:CPW6"/>
    <mergeCell ref="COT6:COV6"/>
    <mergeCell ref="COW6:COY6"/>
    <mergeCell ref="COZ6:CPB6"/>
    <mergeCell ref="CPC6:CPE6"/>
    <mergeCell ref="CPF6:CPH6"/>
    <mergeCell ref="CWG6:CWI6"/>
    <mergeCell ref="CWJ6:CWL6"/>
    <mergeCell ref="CWM6:CWO6"/>
    <mergeCell ref="CWP6:CWR6"/>
    <mergeCell ref="CWS6:CWU6"/>
    <mergeCell ref="CVR6:CVT6"/>
    <mergeCell ref="CVU6:CVW6"/>
    <mergeCell ref="CVX6:CVZ6"/>
    <mergeCell ref="CWA6:CWC6"/>
    <mergeCell ref="CWD6:CWF6"/>
    <mergeCell ref="CVC6:CVE6"/>
    <mergeCell ref="CVF6:CVH6"/>
    <mergeCell ref="CVI6:CVK6"/>
    <mergeCell ref="CVL6:CVN6"/>
    <mergeCell ref="CVO6:CVQ6"/>
    <mergeCell ref="CUN6:CUP6"/>
    <mergeCell ref="CUQ6:CUS6"/>
    <mergeCell ref="CUT6:CUV6"/>
    <mergeCell ref="CUW6:CUY6"/>
    <mergeCell ref="CUZ6:CVB6"/>
    <mergeCell ref="CTY6:CUA6"/>
    <mergeCell ref="CUB6:CUD6"/>
    <mergeCell ref="CUE6:CUG6"/>
    <mergeCell ref="CUH6:CUJ6"/>
    <mergeCell ref="CUK6:CUM6"/>
    <mergeCell ref="CTJ6:CTL6"/>
    <mergeCell ref="CTM6:CTO6"/>
    <mergeCell ref="CTP6:CTR6"/>
    <mergeCell ref="CTS6:CTU6"/>
    <mergeCell ref="CTV6:CTX6"/>
    <mergeCell ref="CSU6:CSW6"/>
    <mergeCell ref="CSX6:CSZ6"/>
    <mergeCell ref="CTA6:CTC6"/>
    <mergeCell ref="CTD6:CTF6"/>
    <mergeCell ref="CTG6:CTI6"/>
    <mergeCell ref="DAH6:DAJ6"/>
    <mergeCell ref="DAK6:DAM6"/>
    <mergeCell ref="DAN6:DAP6"/>
    <mergeCell ref="DAQ6:DAS6"/>
    <mergeCell ref="DAT6:DAV6"/>
    <mergeCell ref="CZS6:CZU6"/>
    <mergeCell ref="CZV6:CZX6"/>
    <mergeCell ref="CZY6:DAA6"/>
    <mergeCell ref="DAB6:DAD6"/>
    <mergeCell ref="DAE6:DAG6"/>
    <mergeCell ref="CZD6:CZF6"/>
    <mergeCell ref="CZG6:CZI6"/>
    <mergeCell ref="CZJ6:CZL6"/>
    <mergeCell ref="CZM6:CZO6"/>
    <mergeCell ref="CZP6:CZR6"/>
    <mergeCell ref="CYO6:CYQ6"/>
    <mergeCell ref="CYR6:CYT6"/>
    <mergeCell ref="CYU6:CYW6"/>
    <mergeCell ref="CYX6:CYZ6"/>
    <mergeCell ref="CZA6:CZC6"/>
    <mergeCell ref="CXZ6:CYB6"/>
    <mergeCell ref="CYC6:CYE6"/>
    <mergeCell ref="CYF6:CYH6"/>
    <mergeCell ref="CYI6:CYK6"/>
    <mergeCell ref="CYL6:CYN6"/>
    <mergeCell ref="CXK6:CXM6"/>
    <mergeCell ref="CXN6:CXP6"/>
    <mergeCell ref="CXQ6:CXS6"/>
    <mergeCell ref="CXT6:CXV6"/>
    <mergeCell ref="CXW6:CXY6"/>
    <mergeCell ref="CWV6:CWX6"/>
    <mergeCell ref="CWY6:CXA6"/>
    <mergeCell ref="CXB6:CXD6"/>
    <mergeCell ref="CXE6:CXG6"/>
    <mergeCell ref="CXH6:CXJ6"/>
    <mergeCell ref="DEI6:DEK6"/>
    <mergeCell ref="DEL6:DEN6"/>
    <mergeCell ref="DEO6:DEQ6"/>
    <mergeCell ref="DER6:DET6"/>
    <mergeCell ref="DEU6:DEW6"/>
    <mergeCell ref="DDT6:DDV6"/>
    <mergeCell ref="DDW6:DDY6"/>
    <mergeCell ref="DDZ6:DEB6"/>
    <mergeCell ref="DEC6:DEE6"/>
    <mergeCell ref="DEF6:DEH6"/>
    <mergeCell ref="DDE6:DDG6"/>
    <mergeCell ref="DDH6:DDJ6"/>
    <mergeCell ref="DDK6:DDM6"/>
    <mergeCell ref="DDN6:DDP6"/>
    <mergeCell ref="DDQ6:DDS6"/>
    <mergeCell ref="DCP6:DCR6"/>
    <mergeCell ref="DCS6:DCU6"/>
    <mergeCell ref="DCV6:DCX6"/>
    <mergeCell ref="DCY6:DDA6"/>
    <mergeCell ref="DDB6:DDD6"/>
    <mergeCell ref="DCA6:DCC6"/>
    <mergeCell ref="DCD6:DCF6"/>
    <mergeCell ref="DCG6:DCI6"/>
    <mergeCell ref="DCJ6:DCL6"/>
    <mergeCell ref="DCM6:DCO6"/>
    <mergeCell ref="DBL6:DBN6"/>
    <mergeCell ref="DBO6:DBQ6"/>
    <mergeCell ref="DBR6:DBT6"/>
    <mergeCell ref="DBU6:DBW6"/>
    <mergeCell ref="DBX6:DBZ6"/>
    <mergeCell ref="DAW6:DAY6"/>
    <mergeCell ref="DAZ6:DBB6"/>
    <mergeCell ref="DBC6:DBE6"/>
    <mergeCell ref="DBF6:DBH6"/>
    <mergeCell ref="DBI6:DBK6"/>
    <mergeCell ref="DIJ6:DIL6"/>
    <mergeCell ref="DIM6:DIO6"/>
    <mergeCell ref="DIP6:DIR6"/>
    <mergeCell ref="DIS6:DIU6"/>
    <mergeCell ref="DIV6:DIX6"/>
    <mergeCell ref="DHU6:DHW6"/>
    <mergeCell ref="DHX6:DHZ6"/>
    <mergeCell ref="DIA6:DIC6"/>
    <mergeCell ref="DID6:DIF6"/>
    <mergeCell ref="DIG6:DII6"/>
    <mergeCell ref="DHF6:DHH6"/>
    <mergeCell ref="DHI6:DHK6"/>
    <mergeCell ref="DHL6:DHN6"/>
    <mergeCell ref="DHO6:DHQ6"/>
    <mergeCell ref="DHR6:DHT6"/>
    <mergeCell ref="DGQ6:DGS6"/>
    <mergeCell ref="DGT6:DGV6"/>
    <mergeCell ref="DGW6:DGY6"/>
    <mergeCell ref="DGZ6:DHB6"/>
    <mergeCell ref="DHC6:DHE6"/>
    <mergeCell ref="DGB6:DGD6"/>
    <mergeCell ref="DGE6:DGG6"/>
    <mergeCell ref="DGH6:DGJ6"/>
    <mergeCell ref="DGK6:DGM6"/>
    <mergeCell ref="DGN6:DGP6"/>
    <mergeCell ref="DFM6:DFO6"/>
    <mergeCell ref="DFP6:DFR6"/>
    <mergeCell ref="DFS6:DFU6"/>
    <mergeCell ref="DFV6:DFX6"/>
    <mergeCell ref="DFY6:DGA6"/>
    <mergeCell ref="DEX6:DEZ6"/>
    <mergeCell ref="DFA6:DFC6"/>
    <mergeCell ref="DFD6:DFF6"/>
    <mergeCell ref="DFG6:DFI6"/>
    <mergeCell ref="DFJ6:DFL6"/>
    <mergeCell ref="DMK6:DMM6"/>
    <mergeCell ref="DMN6:DMP6"/>
    <mergeCell ref="DMQ6:DMS6"/>
    <mergeCell ref="DMT6:DMV6"/>
    <mergeCell ref="DMW6:DMY6"/>
    <mergeCell ref="DLV6:DLX6"/>
    <mergeCell ref="DLY6:DMA6"/>
    <mergeCell ref="DMB6:DMD6"/>
    <mergeCell ref="DME6:DMG6"/>
    <mergeCell ref="DMH6:DMJ6"/>
    <mergeCell ref="DLG6:DLI6"/>
    <mergeCell ref="DLJ6:DLL6"/>
    <mergeCell ref="DLM6:DLO6"/>
    <mergeCell ref="DLP6:DLR6"/>
    <mergeCell ref="DLS6:DLU6"/>
    <mergeCell ref="DKR6:DKT6"/>
    <mergeCell ref="DKU6:DKW6"/>
    <mergeCell ref="DKX6:DKZ6"/>
    <mergeCell ref="DLA6:DLC6"/>
    <mergeCell ref="DLD6:DLF6"/>
    <mergeCell ref="DKC6:DKE6"/>
    <mergeCell ref="DKF6:DKH6"/>
    <mergeCell ref="DKI6:DKK6"/>
    <mergeCell ref="DKL6:DKN6"/>
    <mergeCell ref="DKO6:DKQ6"/>
    <mergeCell ref="DJN6:DJP6"/>
    <mergeCell ref="DJQ6:DJS6"/>
    <mergeCell ref="DJT6:DJV6"/>
    <mergeCell ref="DJW6:DJY6"/>
    <mergeCell ref="DJZ6:DKB6"/>
    <mergeCell ref="DIY6:DJA6"/>
    <mergeCell ref="DJB6:DJD6"/>
    <mergeCell ref="DJE6:DJG6"/>
    <mergeCell ref="DJH6:DJJ6"/>
    <mergeCell ref="DJK6:DJM6"/>
    <mergeCell ref="DQL6:DQN6"/>
    <mergeCell ref="DQO6:DQQ6"/>
    <mergeCell ref="DQR6:DQT6"/>
    <mergeCell ref="DQU6:DQW6"/>
    <mergeCell ref="DQX6:DQZ6"/>
    <mergeCell ref="DPW6:DPY6"/>
    <mergeCell ref="DPZ6:DQB6"/>
    <mergeCell ref="DQC6:DQE6"/>
    <mergeCell ref="DQF6:DQH6"/>
    <mergeCell ref="DQI6:DQK6"/>
    <mergeCell ref="DPH6:DPJ6"/>
    <mergeCell ref="DPK6:DPM6"/>
    <mergeCell ref="DPN6:DPP6"/>
    <mergeCell ref="DPQ6:DPS6"/>
    <mergeCell ref="DPT6:DPV6"/>
    <mergeCell ref="DOS6:DOU6"/>
    <mergeCell ref="DOV6:DOX6"/>
    <mergeCell ref="DOY6:DPA6"/>
    <mergeCell ref="DPB6:DPD6"/>
    <mergeCell ref="DPE6:DPG6"/>
    <mergeCell ref="DOD6:DOF6"/>
    <mergeCell ref="DOG6:DOI6"/>
    <mergeCell ref="DOJ6:DOL6"/>
    <mergeCell ref="DOM6:DOO6"/>
    <mergeCell ref="DOP6:DOR6"/>
    <mergeCell ref="DNO6:DNQ6"/>
    <mergeCell ref="DNR6:DNT6"/>
    <mergeCell ref="DNU6:DNW6"/>
    <mergeCell ref="DNX6:DNZ6"/>
    <mergeCell ref="DOA6:DOC6"/>
    <mergeCell ref="DMZ6:DNB6"/>
    <mergeCell ref="DNC6:DNE6"/>
    <mergeCell ref="DNF6:DNH6"/>
    <mergeCell ref="DNI6:DNK6"/>
    <mergeCell ref="DNL6:DNN6"/>
    <mergeCell ref="DUM6:DUO6"/>
    <mergeCell ref="DUP6:DUR6"/>
    <mergeCell ref="DUS6:DUU6"/>
    <mergeCell ref="DUV6:DUX6"/>
    <mergeCell ref="DUY6:DVA6"/>
    <mergeCell ref="DTX6:DTZ6"/>
    <mergeCell ref="DUA6:DUC6"/>
    <mergeCell ref="DUD6:DUF6"/>
    <mergeCell ref="DUG6:DUI6"/>
    <mergeCell ref="DUJ6:DUL6"/>
    <mergeCell ref="DTI6:DTK6"/>
    <mergeCell ref="DTL6:DTN6"/>
    <mergeCell ref="DTO6:DTQ6"/>
    <mergeCell ref="DTR6:DTT6"/>
    <mergeCell ref="DTU6:DTW6"/>
    <mergeCell ref="DST6:DSV6"/>
    <mergeCell ref="DSW6:DSY6"/>
    <mergeCell ref="DSZ6:DTB6"/>
    <mergeCell ref="DTC6:DTE6"/>
    <mergeCell ref="DTF6:DTH6"/>
    <mergeCell ref="DSE6:DSG6"/>
    <mergeCell ref="DSH6:DSJ6"/>
    <mergeCell ref="DSK6:DSM6"/>
    <mergeCell ref="DSN6:DSP6"/>
    <mergeCell ref="DSQ6:DSS6"/>
    <mergeCell ref="DRP6:DRR6"/>
    <mergeCell ref="DRS6:DRU6"/>
    <mergeCell ref="DRV6:DRX6"/>
    <mergeCell ref="DRY6:DSA6"/>
    <mergeCell ref="DSB6:DSD6"/>
    <mergeCell ref="DRA6:DRC6"/>
    <mergeCell ref="DRD6:DRF6"/>
    <mergeCell ref="DRG6:DRI6"/>
    <mergeCell ref="DRJ6:DRL6"/>
    <mergeCell ref="DRM6:DRO6"/>
    <mergeCell ref="DYN6:DYP6"/>
    <mergeCell ref="DYQ6:DYS6"/>
    <mergeCell ref="DYT6:DYV6"/>
    <mergeCell ref="DYW6:DYY6"/>
    <mergeCell ref="DYZ6:DZB6"/>
    <mergeCell ref="DXY6:DYA6"/>
    <mergeCell ref="DYB6:DYD6"/>
    <mergeCell ref="DYE6:DYG6"/>
    <mergeCell ref="DYH6:DYJ6"/>
    <mergeCell ref="DYK6:DYM6"/>
    <mergeCell ref="DXJ6:DXL6"/>
    <mergeCell ref="DXM6:DXO6"/>
    <mergeCell ref="DXP6:DXR6"/>
    <mergeCell ref="DXS6:DXU6"/>
    <mergeCell ref="DXV6:DXX6"/>
    <mergeCell ref="DWU6:DWW6"/>
    <mergeCell ref="DWX6:DWZ6"/>
    <mergeCell ref="DXA6:DXC6"/>
    <mergeCell ref="DXD6:DXF6"/>
    <mergeCell ref="DXG6:DXI6"/>
    <mergeCell ref="DWF6:DWH6"/>
    <mergeCell ref="DWI6:DWK6"/>
    <mergeCell ref="DWL6:DWN6"/>
    <mergeCell ref="DWO6:DWQ6"/>
    <mergeCell ref="DWR6:DWT6"/>
    <mergeCell ref="DVQ6:DVS6"/>
    <mergeCell ref="DVT6:DVV6"/>
    <mergeCell ref="DVW6:DVY6"/>
    <mergeCell ref="DVZ6:DWB6"/>
    <mergeCell ref="DWC6:DWE6"/>
    <mergeCell ref="DVB6:DVD6"/>
    <mergeCell ref="DVE6:DVG6"/>
    <mergeCell ref="DVH6:DVJ6"/>
    <mergeCell ref="DVK6:DVM6"/>
    <mergeCell ref="DVN6:DVP6"/>
    <mergeCell ref="ECO6:ECQ6"/>
    <mergeCell ref="ECR6:ECT6"/>
    <mergeCell ref="ECU6:ECW6"/>
    <mergeCell ref="ECX6:ECZ6"/>
    <mergeCell ref="EDA6:EDC6"/>
    <mergeCell ref="EBZ6:ECB6"/>
    <mergeCell ref="ECC6:ECE6"/>
    <mergeCell ref="ECF6:ECH6"/>
    <mergeCell ref="ECI6:ECK6"/>
    <mergeCell ref="ECL6:ECN6"/>
    <mergeCell ref="EBK6:EBM6"/>
    <mergeCell ref="EBN6:EBP6"/>
    <mergeCell ref="EBQ6:EBS6"/>
    <mergeCell ref="EBT6:EBV6"/>
    <mergeCell ref="EBW6:EBY6"/>
    <mergeCell ref="EAV6:EAX6"/>
    <mergeCell ref="EAY6:EBA6"/>
    <mergeCell ref="EBB6:EBD6"/>
    <mergeCell ref="EBE6:EBG6"/>
    <mergeCell ref="EBH6:EBJ6"/>
    <mergeCell ref="EAG6:EAI6"/>
    <mergeCell ref="EAJ6:EAL6"/>
    <mergeCell ref="EAM6:EAO6"/>
    <mergeCell ref="EAP6:EAR6"/>
    <mergeCell ref="EAS6:EAU6"/>
    <mergeCell ref="DZR6:DZT6"/>
    <mergeCell ref="DZU6:DZW6"/>
    <mergeCell ref="DZX6:DZZ6"/>
    <mergeCell ref="EAA6:EAC6"/>
    <mergeCell ref="EAD6:EAF6"/>
    <mergeCell ref="DZC6:DZE6"/>
    <mergeCell ref="DZF6:DZH6"/>
    <mergeCell ref="DZI6:DZK6"/>
    <mergeCell ref="DZL6:DZN6"/>
    <mergeCell ref="DZO6:DZQ6"/>
    <mergeCell ref="EGP6:EGR6"/>
    <mergeCell ref="EGS6:EGU6"/>
    <mergeCell ref="EGV6:EGX6"/>
    <mergeCell ref="EGY6:EHA6"/>
    <mergeCell ref="EHB6:EHD6"/>
    <mergeCell ref="EGA6:EGC6"/>
    <mergeCell ref="EGD6:EGF6"/>
    <mergeCell ref="EGG6:EGI6"/>
    <mergeCell ref="EGJ6:EGL6"/>
    <mergeCell ref="EGM6:EGO6"/>
    <mergeCell ref="EFL6:EFN6"/>
    <mergeCell ref="EFO6:EFQ6"/>
    <mergeCell ref="EFR6:EFT6"/>
    <mergeCell ref="EFU6:EFW6"/>
    <mergeCell ref="EFX6:EFZ6"/>
    <mergeCell ref="EEW6:EEY6"/>
    <mergeCell ref="EEZ6:EFB6"/>
    <mergeCell ref="EFC6:EFE6"/>
    <mergeCell ref="EFF6:EFH6"/>
    <mergeCell ref="EFI6:EFK6"/>
    <mergeCell ref="EEH6:EEJ6"/>
    <mergeCell ref="EEK6:EEM6"/>
    <mergeCell ref="EEN6:EEP6"/>
    <mergeCell ref="EEQ6:EES6"/>
    <mergeCell ref="EET6:EEV6"/>
    <mergeCell ref="EDS6:EDU6"/>
    <mergeCell ref="EDV6:EDX6"/>
    <mergeCell ref="EDY6:EEA6"/>
    <mergeCell ref="EEB6:EED6"/>
    <mergeCell ref="EEE6:EEG6"/>
    <mergeCell ref="EDD6:EDF6"/>
    <mergeCell ref="EDG6:EDI6"/>
    <mergeCell ref="EDJ6:EDL6"/>
    <mergeCell ref="EDM6:EDO6"/>
    <mergeCell ref="EDP6:EDR6"/>
    <mergeCell ref="EKQ6:EKS6"/>
    <mergeCell ref="EKT6:EKV6"/>
    <mergeCell ref="EKW6:EKY6"/>
    <mergeCell ref="EKZ6:ELB6"/>
    <mergeCell ref="ELC6:ELE6"/>
    <mergeCell ref="EKB6:EKD6"/>
    <mergeCell ref="EKE6:EKG6"/>
    <mergeCell ref="EKH6:EKJ6"/>
    <mergeCell ref="EKK6:EKM6"/>
    <mergeCell ref="EKN6:EKP6"/>
    <mergeCell ref="EJM6:EJO6"/>
    <mergeCell ref="EJP6:EJR6"/>
    <mergeCell ref="EJS6:EJU6"/>
    <mergeCell ref="EJV6:EJX6"/>
    <mergeCell ref="EJY6:EKA6"/>
    <mergeCell ref="EIX6:EIZ6"/>
    <mergeCell ref="EJA6:EJC6"/>
    <mergeCell ref="EJD6:EJF6"/>
    <mergeCell ref="EJG6:EJI6"/>
    <mergeCell ref="EJJ6:EJL6"/>
    <mergeCell ref="EII6:EIK6"/>
    <mergeCell ref="EIL6:EIN6"/>
    <mergeCell ref="EIO6:EIQ6"/>
    <mergeCell ref="EIR6:EIT6"/>
    <mergeCell ref="EIU6:EIW6"/>
    <mergeCell ref="EHT6:EHV6"/>
    <mergeCell ref="EHW6:EHY6"/>
    <mergeCell ref="EHZ6:EIB6"/>
    <mergeCell ref="EIC6:EIE6"/>
    <mergeCell ref="EIF6:EIH6"/>
    <mergeCell ref="EHE6:EHG6"/>
    <mergeCell ref="EHH6:EHJ6"/>
    <mergeCell ref="EHK6:EHM6"/>
    <mergeCell ref="EHN6:EHP6"/>
    <mergeCell ref="EHQ6:EHS6"/>
    <mergeCell ref="EOR6:EOT6"/>
    <mergeCell ref="EOU6:EOW6"/>
    <mergeCell ref="EOX6:EOZ6"/>
    <mergeCell ref="EPA6:EPC6"/>
    <mergeCell ref="EPD6:EPF6"/>
    <mergeCell ref="EOC6:EOE6"/>
    <mergeCell ref="EOF6:EOH6"/>
    <mergeCell ref="EOI6:EOK6"/>
    <mergeCell ref="EOL6:EON6"/>
    <mergeCell ref="EOO6:EOQ6"/>
    <mergeCell ref="ENN6:ENP6"/>
    <mergeCell ref="ENQ6:ENS6"/>
    <mergeCell ref="ENT6:ENV6"/>
    <mergeCell ref="ENW6:ENY6"/>
    <mergeCell ref="ENZ6:EOB6"/>
    <mergeCell ref="EMY6:ENA6"/>
    <mergeCell ref="ENB6:END6"/>
    <mergeCell ref="ENE6:ENG6"/>
    <mergeCell ref="ENH6:ENJ6"/>
    <mergeCell ref="ENK6:ENM6"/>
    <mergeCell ref="EMJ6:EML6"/>
    <mergeCell ref="EMM6:EMO6"/>
    <mergeCell ref="EMP6:EMR6"/>
    <mergeCell ref="EMS6:EMU6"/>
    <mergeCell ref="EMV6:EMX6"/>
    <mergeCell ref="ELU6:ELW6"/>
    <mergeCell ref="ELX6:ELZ6"/>
    <mergeCell ref="EMA6:EMC6"/>
    <mergeCell ref="EMD6:EMF6"/>
    <mergeCell ref="EMG6:EMI6"/>
    <mergeCell ref="ELF6:ELH6"/>
    <mergeCell ref="ELI6:ELK6"/>
    <mergeCell ref="ELL6:ELN6"/>
    <mergeCell ref="ELO6:ELQ6"/>
    <mergeCell ref="ELR6:ELT6"/>
    <mergeCell ref="ESS6:ESU6"/>
    <mergeCell ref="ESV6:ESX6"/>
    <mergeCell ref="ESY6:ETA6"/>
    <mergeCell ref="ETB6:ETD6"/>
    <mergeCell ref="ETE6:ETG6"/>
    <mergeCell ref="ESD6:ESF6"/>
    <mergeCell ref="ESG6:ESI6"/>
    <mergeCell ref="ESJ6:ESL6"/>
    <mergeCell ref="ESM6:ESO6"/>
    <mergeCell ref="ESP6:ESR6"/>
    <mergeCell ref="ERO6:ERQ6"/>
    <mergeCell ref="ERR6:ERT6"/>
    <mergeCell ref="ERU6:ERW6"/>
    <mergeCell ref="ERX6:ERZ6"/>
    <mergeCell ref="ESA6:ESC6"/>
    <mergeCell ref="EQZ6:ERB6"/>
    <mergeCell ref="ERC6:ERE6"/>
    <mergeCell ref="ERF6:ERH6"/>
    <mergeCell ref="ERI6:ERK6"/>
    <mergeCell ref="ERL6:ERN6"/>
    <mergeCell ref="EQK6:EQM6"/>
    <mergeCell ref="EQN6:EQP6"/>
    <mergeCell ref="EQQ6:EQS6"/>
    <mergeCell ref="EQT6:EQV6"/>
    <mergeCell ref="EQW6:EQY6"/>
    <mergeCell ref="EPV6:EPX6"/>
    <mergeCell ref="EPY6:EQA6"/>
    <mergeCell ref="EQB6:EQD6"/>
    <mergeCell ref="EQE6:EQG6"/>
    <mergeCell ref="EQH6:EQJ6"/>
    <mergeCell ref="EPG6:EPI6"/>
    <mergeCell ref="EPJ6:EPL6"/>
    <mergeCell ref="EPM6:EPO6"/>
    <mergeCell ref="EPP6:EPR6"/>
    <mergeCell ref="EPS6:EPU6"/>
    <mergeCell ref="EWT6:EWV6"/>
    <mergeCell ref="EWW6:EWY6"/>
    <mergeCell ref="EWZ6:EXB6"/>
    <mergeCell ref="EXC6:EXE6"/>
    <mergeCell ref="EXF6:EXH6"/>
    <mergeCell ref="EWE6:EWG6"/>
    <mergeCell ref="EWH6:EWJ6"/>
    <mergeCell ref="EWK6:EWM6"/>
    <mergeCell ref="EWN6:EWP6"/>
    <mergeCell ref="EWQ6:EWS6"/>
    <mergeCell ref="EVP6:EVR6"/>
    <mergeCell ref="EVS6:EVU6"/>
    <mergeCell ref="EVV6:EVX6"/>
    <mergeCell ref="EVY6:EWA6"/>
    <mergeCell ref="EWB6:EWD6"/>
    <mergeCell ref="EVA6:EVC6"/>
    <mergeCell ref="EVD6:EVF6"/>
    <mergeCell ref="EVG6:EVI6"/>
    <mergeCell ref="EVJ6:EVL6"/>
    <mergeCell ref="EVM6:EVO6"/>
    <mergeCell ref="EUL6:EUN6"/>
    <mergeCell ref="EUO6:EUQ6"/>
    <mergeCell ref="EUR6:EUT6"/>
    <mergeCell ref="EUU6:EUW6"/>
    <mergeCell ref="EUX6:EUZ6"/>
    <mergeCell ref="ETW6:ETY6"/>
    <mergeCell ref="ETZ6:EUB6"/>
    <mergeCell ref="EUC6:EUE6"/>
    <mergeCell ref="EUF6:EUH6"/>
    <mergeCell ref="EUI6:EUK6"/>
    <mergeCell ref="ETH6:ETJ6"/>
    <mergeCell ref="ETK6:ETM6"/>
    <mergeCell ref="ETN6:ETP6"/>
    <mergeCell ref="ETQ6:ETS6"/>
    <mergeCell ref="ETT6:ETV6"/>
    <mergeCell ref="FAU6:FAW6"/>
    <mergeCell ref="FAX6:FAZ6"/>
    <mergeCell ref="FBA6:FBC6"/>
    <mergeCell ref="FBD6:FBF6"/>
    <mergeCell ref="FBG6:FBI6"/>
    <mergeCell ref="FAF6:FAH6"/>
    <mergeCell ref="FAI6:FAK6"/>
    <mergeCell ref="FAL6:FAN6"/>
    <mergeCell ref="FAO6:FAQ6"/>
    <mergeCell ref="FAR6:FAT6"/>
    <mergeCell ref="EZQ6:EZS6"/>
    <mergeCell ref="EZT6:EZV6"/>
    <mergeCell ref="EZW6:EZY6"/>
    <mergeCell ref="EZZ6:FAB6"/>
    <mergeCell ref="FAC6:FAE6"/>
    <mergeCell ref="EZB6:EZD6"/>
    <mergeCell ref="EZE6:EZG6"/>
    <mergeCell ref="EZH6:EZJ6"/>
    <mergeCell ref="EZK6:EZM6"/>
    <mergeCell ref="EZN6:EZP6"/>
    <mergeCell ref="EYM6:EYO6"/>
    <mergeCell ref="EYP6:EYR6"/>
    <mergeCell ref="EYS6:EYU6"/>
    <mergeCell ref="EYV6:EYX6"/>
    <mergeCell ref="EYY6:EZA6"/>
    <mergeCell ref="EXX6:EXZ6"/>
    <mergeCell ref="EYA6:EYC6"/>
    <mergeCell ref="EYD6:EYF6"/>
    <mergeCell ref="EYG6:EYI6"/>
    <mergeCell ref="EYJ6:EYL6"/>
    <mergeCell ref="EXI6:EXK6"/>
    <mergeCell ref="EXL6:EXN6"/>
    <mergeCell ref="EXO6:EXQ6"/>
    <mergeCell ref="EXR6:EXT6"/>
    <mergeCell ref="EXU6:EXW6"/>
    <mergeCell ref="FEV6:FEX6"/>
    <mergeCell ref="FEY6:FFA6"/>
    <mergeCell ref="FFB6:FFD6"/>
    <mergeCell ref="FFE6:FFG6"/>
    <mergeCell ref="FFH6:FFJ6"/>
    <mergeCell ref="FEG6:FEI6"/>
    <mergeCell ref="FEJ6:FEL6"/>
    <mergeCell ref="FEM6:FEO6"/>
    <mergeCell ref="FEP6:FER6"/>
    <mergeCell ref="FES6:FEU6"/>
    <mergeCell ref="FDR6:FDT6"/>
    <mergeCell ref="FDU6:FDW6"/>
    <mergeCell ref="FDX6:FDZ6"/>
    <mergeCell ref="FEA6:FEC6"/>
    <mergeCell ref="FED6:FEF6"/>
    <mergeCell ref="FDC6:FDE6"/>
    <mergeCell ref="FDF6:FDH6"/>
    <mergeCell ref="FDI6:FDK6"/>
    <mergeCell ref="FDL6:FDN6"/>
    <mergeCell ref="FDO6:FDQ6"/>
    <mergeCell ref="FCN6:FCP6"/>
    <mergeCell ref="FCQ6:FCS6"/>
    <mergeCell ref="FCT6:FCV6"/>
    <mergeCell ref="FCW6:FCY6"/>
    <mergeCell ref="FCZ6:FDB6"/>
    <mergeCell ref="FBY6:FCA6"/>
    <mergeCell ref="FCB6:FCD6"/>
    <mergeCell ref="FCE6:FCG6"/>
    <mergeCell ref="FCH6:FCJ6"/>
    <mergeCell ref="FCK6:FCM6"/>
    <mergeCell ref="FBJ6:FBL6"/>
    <mergeCell ref="FBM6:FBO6"/>
    <mergeCell ref="FBP6:FBR6"/>
    <mergeCell ref="FBS6:FBU6"/>
    <mergeCell ref="FBV6:FBX6"/>
    <mergeCell ref="FIW6:FIY6"/>
    <mergeCell ref="FIZ6:FJB6"/>
    <mergeCell ref="FJC6:FJE6"/>
    <mergeCell ref="FJF6:FJH6"/>
    <mergeCell ref="FJI6:FJK6"/>
    <mergeCell ref="FIH6:FIJ6"/>
    <mergeCell ref="FIK6:FIM6"/>
    <mergeCell ref="FIN6:FIP6"/>
    <mergeCell ref="FIQ6:FIS6"/>
    <mergeCell ref="FIT6:FIV6"/>
    <mergeCell ref="FHS6:FHU6"/>
    <mergeCell ref="FHV6:FHX6"/>
    <mergeCell ref="FHY6:FIA6"/>
    <mergeCell ref="FIB6:FID6"/>
    <mergeCell ref="FIE6:FIG6"/>
    <mergeCell ref="FHD6:FHF6"/>
    <mergeCell ref="FHG6:FHI6"/>
    <mergeCell ref="FHJ6:FHL6"/>
    <mergeCell ref="FHM6:FHO6"/>
    <mergeCell ref="FHP6:FHR6"/>
    <mergeCell ref="FGO6:FGQ6"/>
    <mergeCell ref="FGR6:FGT6"/>
    <mergeCell ref="FGU6:FGW6"/>
    <mergeCell ref="FGX6:FGZ6"/>
    <mergeCell ref="FHA6:FHC6"/>
    <mergeCell ref="FFZ6:FGB6"/>
    <mergeCell ref="FGC6:FGE6"/>
    <mergeCell ref="FGF6:FGH6"/>
    <mergeCell ref="FGI6:FGK6"/>
    <mergeCell ref="FGL6:FGN6"/>
    <mergeCell ref="FFK6:FFM6"/>
    <mergeCell ref="FFN6:FFP6"/>
    <mergeCell ref="FFQ6:FFS6"/>
    <mergeCell ref="FFT6:FFV6"/>
    <mergeCell ref="FFW6:FFY6"/>
    <mergeCell ref="FMX6:FMZ6"/>
    <mergeCell ref="FNA6:FNC6"/>
    <mergeCell ref="FND6:FNF6"/>
    <mergeCell ref="FNG6:FNI6"/>
    <mergeCell ref="FNJ6:FNL6"/>
    <mergeCell ref="FMI6:FMK6"/>
    <mergeCell ref="FML6:FMN6"/>
    <mergeCell ref="FMO6:FMQ6"/>
    <mergeCell ref="FMR6:FMT6"/>
    <mergeCell ref="FMU6:FMW6"/>
    <mergeCell ref="FLT6:FLV6"/>
    <mergeCell ref="FLW6:FLY6"/>
    <mergeCell ref="FLZ6:FMB6"/>
    <mergeCell ref="FMC6:FME6"/>
    <mergeCell ref="FMF6:FMH6"/>
    <mergeCell ref="FLE6:FLG6"/>
    <mergeCell ref="FLH6:FLJ6"/>
    <mergeCell ref="FLK6:FLM6"/>
    <mergeCell ref="FLN6:FLP6"/>
    <mergeCell ref="FLQ6:FLS6"/>
    <mergeCell ref="FKP6:FKR6"/>
    <mergeCell ref="FKS6:FKU6"/>
    <mergeCell ref="FKV6:FKX6"/>
    <mergeCell ref="FKY6:FLA6"/>
    <mergeCell ref="FLB6:FLD6"/>
    <mergeCell ref="FKA6:FKC6"/>
    <mergeCell ref="FKD6:FKF6"/>
    <mergeCell ref="FKG6:FKI6"/>
    <mergeCell ref="FKJ6:FKL6"/>
    <mergeCell ref="FKM6:FKO6"/>
    <mergeCell ref="FJL6:FJN6"/>
    <mergeCell ref="FJO6:FJQ6"/>
    <mergeCell ref="FJR6:FJT6"/>
    <mergeCell ref="FJU6:FJW6"/>
    <mergeCell ref="FJX6:FJZ6"/>
    <mergeCell ref="FQY6:FRA6"/>
    <mergeCell ref="FRB6:FRD6"/>
    <mergeCell ref="FRE6:FRG6"/>
    <mergeCell ref="FRH6:FRJ6"/>
    <mergeCell ref="FRK6:FRM6"/>
    <mergeCell ref="FQJ6:FQL6"/>
    <mergeCell ref="FQM6:FQO6"/>
    <mergeCell ref="FQP6:FQR6"/>
    <mergeCell ref="FQS6:FQU6"/>
    <mergeCell ref="FQV6:FQX6"/>
    <mergeCell ref="FPU6:FPW6"/>
    <mergeCell ref="FPX6:FPZ6"/>
    <mergeCell ref="FQA6:FQC6"/>
    <mergeCell ref="FQD6:FQF6"/>
    <mergeCell ref="FQG6:FQI6"/>
    <mergeCell ref="FPF6:FPH6"/>
    <mergeCell ref="FPI6:FPK6"/>
    <mergeCell ref="FPL6:FPN6"/>
    <mergeCell ref="FPO6:FPQ6"/>
    <mergeCell ref="FPR6:FPT6"/>
    <mergeCell ref="FOQ6:FOS6"/>
    <mergeCell ref="FOT6:FOV6"/>
    <mergeCell ref="FOW6:FOY6"/>
    <mergeCell ref="FOZ6:FPB6"/>
    <mergeCell ref="FPC6:FPE6"/>
    <mergeCell ref="FOB6:FOD6"/>
    <mergeCell ref="FOE6:FOG6"/>
    <mergeCell ref="FOH6:FOJ6"/>
    <mergeCell ref="FOK6:FOM6"/>
    <mergeCell ref="FON6:FOP6"/>
    <mergeCell ref="FNM6:FNO6"/>
    <mergeCell ref="FNP6:FNR6"/>
    <mergeCell ref="FNS6:FNU6"/>
    <mergeCell ref="FNV6:FNX6"/>
    <mergeCell ref="FNY6:FOA6"/>
    <mergeCell ref="FUZ6:FVB6"/>
    <mergeCell ref="FVC6:FVE6"/>
    <mergeCell ref="FVF6:FVH6"/>
    <mergeCell ref="FVI6:FVK6"/>
    <mergeCell ref="FVL6:FVN6"/>
    <mergeCell ref="FUK6:FUM6"/>
    <mergeCell ref="FUN6:FUP6"/>
    <mergeCell ref="FUQ6:FUS6"/>
    <mergeCell ref="FUT6:FUV6"/>
    <mergeCell ref="FUW6:FUY6"/>
    <mergeCell ref="FTV6:FTX6"/>
    <mergeCell ref="FTY6:FUA6"/>
    <mergeCell ref="FUB6:FUD6"/>
    <mergeCell ref="FUE6:FUG6"/>
    <mergeCell ref="FUH6:FUJ6"/>
    <mergeCell ref="FTG6:FTI6"/>
    <mergeCell ref="FTJ6:FTL6"/>
    <mergeCell ref="FTM6:FTO6"/>
    <mergeCell ref="FTP6:FTR6"/>
    <mergeCell ref="FTS6:FTU6"/>
    <mergeCell ref="FSR6:FST6"/>
    <mergeCell ref="FSU6:FSW6"/>
    <mergeCell ref="FSX6:FSZ6"/>
    <mergeCell ref="FTA6:FTC6"/>
    <mergeCell ref="FTD6:FTF6"/>
    <mergeCell ref="FSC6:FSE6"/>
    <mergeCell ref="FSF6:FSH6"/>
    <mergeCell ref="FSI6:FSK6"/>
    <mergeCell ref="FSL6:FSN6"/>
    <mergeCell ref="FSO6:FSQ6"/>
    <mergeCell ref="FRN6:FRP6"/>
    <mergeCell ref="FRQ6:FRS6"/>
    <mergeCell ref="FRT6:FRV6"/>
    <mergeCell ref="FRW6:FRY6"/>
    <mergeCell ref="FRZ6:FSB6"/>
    <mergeCell ref="FZA6:FZC6"/>
    <mergeCell ref="FZD6:FZF6"/>
    <mergeCell ref="FZG6:FZI6"/>
    <mergeCell ref="FZJ6:FZL6"/>
    <mergeCell ref="FZM6:FZO6"/>
    <mergeCell ref="FYL6:FYN6"/>
    <mergeCell ref="FYO6:FYQ6"/>
    <mergeCell ref="FYR6:FYT6"/>
    <mergeCell ref="FYU6:FYW6"/>
    <mergeCell ref="FYX6:FYZ6"/>
    <mergeCell ref="FXW6:FXY6"/>
    <mergeCell ref="FXZ6:FYB6"/>
    <mergeCell ref="FYC6:FYE6"/>
    <mergeCell ref="FYF6:FYH6"/>
    <mergeCell ref="FYI6:FYK6"/>
    <mergeCell ref="FXH6:FXJ6"/>
    <mergeCell ref="FXK6:FXM6"/>
    <mergeCell ref="FXN6:FXP6"/>
    <mergeCell ref="FXQ6:FXS6"/>
    <mergeCell ref="FXT6:FXV6"/>
    <mergeCell ref="FWS6:FWU6"/>
    <mergeCell ref="FWV6:FWX6"/>
    <mergeCell ref="FWY6:FXA6"/>
    <mergeCell ref="FXB6:FXD6"/>
    <mergeCell ref="FXE6:FXG6"/>
    <mergeCell ref="FWD6:FWF6"/>
    <mergeCell ref="FWG6:FWI6"/>
    <mergeCell ref="FWJ6:FWL6"/>
    <mergeCell ref="FWM6:FWO6"/>
    <mergeCell ref="FWP6:FWR6"/>
    <mergeCell ref="FVO6:FVQ6"/>
    <mergeCell ref="FVR6:FVT6"/>
    <mergeCell ref="FVU6:FVW6"/>
    <mergeCell ref="FVX6:FVZ6"/>
    <mergeCell ref="FWA6:FWC6"/>
    <mergeCell ref="GDB6:GDD6"/>
    <mergeCell ref="GDE6:GDG6"/>
    <mergeCell ref="GDH6:GDJ6"/>
    <mergeCell ref="GDK6:GDM6"/>
    <mergeCell ref="GDN6:GDP6"/>
    <mergeCell ref="GCM6:GCO6"/>
    <mergeCell ref="GCP6:GCR6"/>
    <mergeCell ref="GCS6:GCU6"/>
    <mergeCell ref="GCV6:GCX6"/>
    <mergeCell ref="GCY6:GDA6"/>
    <mergeCell ref="GBX6:GBZ6"/>
    <mergeCell ref="GCA6:GCC6"/>
    <mergeCell ref="GCD6:GCF6"/>
    <mergeCell ref="GCG6:GCI6"/>
    <mergeCell ref="GCJ6:GCL6"/>
    <mergeCell ref="GBI6:GBK6"/>
    <mergeCell ref="GBL6:GBN6"/>
    <mergeCell ref="GBO6:GBQ6"/>
    <mergeCell ref="GBR6:GBT6"/>
    <mergeCell ref="GBU6:GBW6"/>
    <mergeCell ref="GAT6:GAV6"/>
    <mergeCell ref="GAW6:GAY6"/>
    <mergeCell ref="GAZ6:GBB6"/>
    <mergeCell ref="GBC6:GBE6"/>
    <mergeCell ref="GBF6:GBH6"/>
    <mergeCell ref="GAE6:GAG6"/>
    <mergeCell ref="GAH6:GAJ6"/>
    <mergeCell ref="GAK6:GAM6"/>
    <mergeCell ref="GAN6:GAP6"/>
    <mergeCell ref="GAQ6:GAS6"/>
    <mergeCell ref="FZP6:FZR6"/>
    <mergeCell ref="FZS6:FZU6"/>
    <mergeCell ref="FZV6:FZX6"/>
    <mergeCell ref="FZY6:GAA6"/>
    <mergeCell ref="GAB6:GAD6"/>
    <mergeCell ref="GHC6:GHE6"/>
    <mergeCell ref="GHF6:GHH6"/>
    <mergeCell ref="GHI6:GHK6"/>
    <mergeCell ref="GHL6:GHN6"/>
    <mergeCell ref="GHO6:GHQ6"/>
    <mergeCell ref="GGN6:GGP6"/>
    <mergeCell ref="GGQ6:GGS6"/>
    <mergeCell ref="GGT6:GGV6"/>
    <mergeCell ref="GGW6:GGY6"/>
    <mergeCell ref="GGZ6:GHB6"/>
    <mergeCell ref="GFY6:GGA6"/>
    <mergeCell ref="GGB6:GGD6"/>
    <mergeCell ref="GGE6:GGG6"/>
    <mergeCell ref="GGH6:GGJ6"/>
    <mergeCell ref="GGK6:GGM6"/>
    <mergeCell ref="GFJ6:GFL6"/>
    <mergeCell ref="GFM6:GFO6"/>
    <mergeCell ref="GFP6:GFR6"/>
    <mergeCell ref="GFS6:GFU6"/>
    <mergeCell ref="GFV6:GFX6"/>
    <mergeCell ref="GEU6:GEW6"/>
    <mergeCell ref="GEX6:GEZ6"/>
    <mergeCell ref="GFA6:GFC6"/>
    <mergeCell ref="GFD6:GFF6"/>
    <mergeCell ref="GFG6:GFI6"/>
    <mergeCell ref="GEF6:GEH6"/>
    <mergeCell ref="GEI6:GEK6"/>
    <mergeCell ref="GEL6:GEN6"/>
    <mergeCell ref="GEO6:GEQ6"/>
    <mergeCell ref="GER6:GET6"/>
    <mergeCell ref="GDQ6:GDS6"/>
    <mergeCell ref="GDT6:GDV6"/>
    <mergeCell ref="GDW6:GDY6"/>
    <mergeCell ref="GDZ6:GEB6"/>
    <mergeCell ref="GEC6:GEE6"/>
    <mergeCell ref="GLD6:GLF6"/>
    <mergeCell ref="GLG6:GLI6"/>
    <mergeCell ref="GLJ6:GLL6"/>
    <mergeCell ref="GLM6:GLO6"/>
    <mergeCell ref="GLP6:GLR6"/>
    <mergeCell ref="GKO6:GKQ6"/>
    <mergeCell ref="GKR6:GKT6"/>
    <mergeCell ref="GKU6:GKW6"/>
    <mergeCell ref="GKX6:GKZ6"/>
    <mergeCell ref="GLA6:GLC6"/>
    <mergeCell ref="GJZ6:GKB6"/>
    <mergeCell ref="GKC6:GKE6"/>
    <mergeCell ref="GKF6:GKH6"/>
    <mergeCell ref="GKI6:GKK6"/>
    <mergeCell ref="GKL6:GKN6"/>
    <mergeCell ref="GJK6:GJM6"/>
    <mergeCell ref="GJN6:GJP6"/>
    <mergeCell ref="GJQ6:GJS6"/>
    <mergeCell ref="GJT6:GJV6"/>
    <mergeCell ref="GJW6:GJY6"/>
    <mergeCell ref="GIV6:GIX6"/>
    <mergeCell ref="GIY6:GJA6"/>
    <mergeCell ref="GJB6:GJD6"/>
    <mergeCell ref="GJE6:GJG6"/>
    <mergeCell ref="GJH6:GJJ6"/>
    <mergeCell ref="GIG6:GII6"/>
    <mergeCell ref="GIJ6:GIL6"/>
    <mergeCell ref="GIM6:GIO6"/>
    <mergeCell ref="GIP6:GIR6"/>
    <mergeCell ref="GIS6:GIU6"/>
    <mergeCell ref="GHR6:GHT6"/>
    <mergeCell ref="GHU6:GHW6"/>
    <mergeCell ref="GHX6:GHZ6"/>
    <mergeCell ref="GIA6:GIC6"/>
    <mergeCell ref="GID6:GIF6"/>
    <mergeCell ref="GPE6:GPG6"/>
    <mergeCell ref="GPH6:GPJ6"/>
    <mergeCell ref="GPK6:GPM6"/>
    <mergeCell ref="GPN6:GPP6"/>
    <mergeCell ref="GPQ6:GPS6"/>
    <mergeCell ref="GOP6:GOR6"/>
    <mergeCell ref="GOS6:GOU6"/>
    <mergeCell ref="GOV6:GOX6"/>
    <mergeCell ref="GOY6:GPA6"/>
    <mergeCell ref="GPB6:GPD6"/>
    <mergeCell ref="GOA6:GOC6"/>
    <mergeCell ref="GOD6:GOF6"/>
    <mergeCell ref="GOG6:GOI6"/>
    <mergeCell ref="GOJ6:GOL6"/>
    <mergeCell ref="GOM6:GOO6"/>
    <mergeCell ref="GNL6:GNN6"/>
    <mergeCell ref="GNO6:GNQ6"/>
    <mergeCell ref="GNR6:GNT6"/>
    <mergeCell ref="GNU6:GNW6"/>
    <mergeCell ref="GNX6:GNZ6"/>
    <mergeCell ref="GMW6:GMY6"/>
    <mergeCell ref="GMZ6:GNB6"/>
    <mergeCell ref="GNC6:GNE6"/>
    <mergeCell ref="GNF6:GNH6"/>
    <mergeCell ref="GNI6:GNK6"/>
    <mergeCell ref="GMH6:GMJ6"/>
    <mergeCell ref="GMK6:GMM6"/>
    <mergeCell ref="GMN6:GMP6"/>
    <mergeCell ref="GMQ6:GMS6"/>
    <mergeCell ref="GMT6:GMV6"/>
    <mergeCell ref="GLS6:GLU6"/>
    <mergeCell ref="GLV6:GLX6"/>
    <mergeCell ref="GLY6:GMA6"/>
    <mergeCell ref="GMB6:GMD6"/>
    <mergeCell ref="GME6:GMG6"/>
    <mergeCell ref="GTF6:GTH6"/>
    <mergeCell ref="GTI6:GTK6"/>
    <mergeCell ref="GTL6:GTN6"/>
    <mergeCell ref="GTO6:GTQ6"/>
    <mergeCell ref="GTR6:GTT6"/>
    <mergeCell ref="GSQ6:GSS6"/>
    <mergeCell ref="GST6:GSV6"/>
    <mergeCell ref="GSW6:GSY6"/>
    <mergeCell ref="GSZ6:GTB6"/>
    <mergeCell ref="GTC6:GTE6"/>
    <mergeCell ref="GSB6:GSD6"/>
    <mergeCell ref="GSE6:GSG6"/>
    <mergeCell ref="GSH6:GSJ6"/>
    <mergeCell ref="GSK6:GSM6"/>
    <mergeCell ref="GSN6:GSP6"/>
    <mergeCell ref="GRM6:GRO6"/>
    <mergeCell ref="GRP6:GRR6"/>
    <mergeCell ref="GRS6:GRU6"/>
    <mergeCell ref="GRV6:GRX6"/>
    <mergeCell ref="GRY6:GSA6"/>
    <mergeCell ref="GQX6:GQZ6"/>
    <mergeCell ref="GRA6:GRC6"/>
    <mergeCell ref="GRD6:GRF6"/>
    <mergeCell ref="GRG6:GRI6"/>
    <mergeCell ref="GRJ6:GRL6"/>
    <mergeCell ref="GQI6:GQK6"/>
    <mergeCell ref="GQL6:GQN6"/>
    <mergeCell ref="GQO6:GQQ6"/>
    <mergeCell ref="GQR6:GQT6"/>
    <mergeCell ref="GQU6:GQW6"/>
    <mergeCell ref="GPT6:GPV6"/>
    <mergeCell ref="GPW6:GPY6"/>
    <mergeCell ref="GPZ6:GQB6"/>
    <mergeCell ref="GQC6:GQE6"/>
    <mergeCell ref="GQF6:GQH6"/>
    <mergeCell ref="GXG6:GXI6"/>
    <mergeCell ref="GXJ6:GXL6"/>
    <mergeCell ref="GXM6:GXO6"/>
    <mergeCell ref="GXP6:GXR6"/>
    <mergeCell ref="GXS6:GXU6"/>
    <mergeCell ref="GWR6:GWT6"/>
    <mergeCell ref="GWU6:GWW6"/>
    <mergeCell ref="GWX6:GWZ6"/>
    <mergeCell ref="GXA6:GXC6"/>
    <mergeCell ref="GXD6:GXF6"/>
    <mergeCell ref="GWC6:GWE6"/>
    <mergeCell ref="GWF6:GWH6"/>
    <mergeCell ref="GWI6:GWK6"/>
    <mergeCell ref="GWL6:GWN6"/>
    <mergeCell ref="GWO6:GWQ6"/>
    <mergeCell ref="GVN6:GVP6"/>
    <mergeCell ref="GVQ6:GVS6"/>
    <mergeCell ref="GVT6:GVV6"/>
    <mergeCell ref="GVW6:GVY6"/>
    <mergeCell ref="GVZ6:GWB6"/>
    <mergeCell ref="GUY6:GVA6"/>
    <mergeCell ref="GVB6:GVD6"/>
    <mergeCell ref="GVE6:GVG6"/>
    <mergeCell ref="GVH6:GVJ6"/>
    <mergeCell ref="GVK6:GVM6"/>
    <mergeCell ref="GUJ6:GUL6"/>
    <mergeCell ref="GUM6:GUO6"/>
    <mergeCell ref="GUP6:GUR6"/>
    <mergeCell ref="GUS6:GUU6"/>
    <mergeCell ref="GUV6:GUX6"/>
    <mergeCell ref="GTU6:GTW6"/>
    <mergeCell ref="GTX6:GTZ6"/>
    <mergeCell ref="GUA6:GUC6"/>
    <mergeCell ref="GUD6:GUF6"/>
    <mergeCell ref="GUG6:GUI6"/>
    <mergeCell ref="HBH6:HBJ6"/>
    <mergeCell ref="HBK6:HBM6"/>
    <mergeCell ref="HBN6:HBP6"/>
    <mergeCell ref="HBQ6:HBS6"/>
    <mergeCell ref="HBT6:HBV6"/>
    <mergeCell ref="HAS6:HAU6"/>
    <mergeCell ref="HAV6:HAX6"/>
    <mergeCell ref="HAY6:HBA6"/>
    <mergeCell ref="HBB6:HBD6"/>
    <mergeCell ref="HBE6:HBG6"/>
    <mergeCell ref="HAD6:HAF6"/>
    <mergeCell ref="HAG6:HAI6"/>
    <mergeCell ref="HAJ6:HAL6"/>
    <mergeCell ref="HAM6:HAO6"/>
    <mergeCell ref="HAP6:HAR6"/>
    <mergeCell ref="GZO6:GZQ6"/>
    <mergeCell ref="GZR6:GZT6"/>
    <mergeCell ref="GZU6:GZW6"/>
    <mergeCell ref="GZX6:GZZ6"/>
    <mergeCell ref="HAA6:HAC6"/>
    <mergeCell ref="GYZ6:GZB6"/>
    <mergeCell ref="GZC6:GZE6"/>
    <mergeCell ref="GZF6:GZH6"/>
    <mergeCell ref="GZI6:GZK6"/>
    <mergeCell ref="GZL6:GZN6"/>
    <mergeCell ref="GYK6:GYM6"/>
    <mergeCell ref="GYN6:GYP6"/>
    <mergeCell ref="GYQ6:GYS6"/>
    <mergeCell ref="GYT6:GYV6"/>
    <mergeCell ref="GYW6:GYY6"/>
    <mergeCell ref="GXV6:GXX6"/>
    <mergeCell ref="GXY6:GYA6"/>
    <mergeCell ref="GYB6:GYD6"/>
    <mergeCell ref="GYE6:GYG6"/>
    <mergeCell ref="GYH6:GYJ6"/>
    <mergeCell ref="HFI6:HFK6"/>
    <mergeCell ref="HFL6:HFN6"/>
    <mergeCell ref="HFO6:HFQ6"/>
    <mergeCell ref="HFR6:HFT6"/>
    <mergeCell ref="HFU6:HFW6"/>
    <mergeCell ref="HET6:HEV6"/>
    <mergeCell ref="HEW6:HEY6"/>
    <mergeCell ref="HEZ6:HFB6"/>
    <mergeCell ref="HFC6:HFE6"/>
    <mergeCell ref="HFF6:HFH6"/>
    <mergeCell ref="HEE6:HEG6"/>
    <mergeCell ref="HEH6:HEJ6"/>
    <mergeCell ref="HEK6:HEM6"/>
    <mergeCell ref="HEN6:HEP6"/>
    <mergeCell ref="HEQ6:HES6"/>
    <mergeCell ref="HDP6:HDR6"/>
    <mergeCell ref="HDS6:HDU6"/>
    <mergeCell ref="HDV6:HDX6"/>
    <mergeCell ref="HDY6:HEA6"/>
    <mergeCell ref="HEB6:HED6"/>
    <mergeCell ref="HDA6:HDC6"/>
    <mergeCell ref="HDD6:HDF6"/>
    <mergeCell ref="HDG6:HDI6"/>
    <mergeCell ref="HDJ6:HDL6"/>
    <mergeCell ref="HDM6:HDO6"/>
    <mergeCell ref="HCL6:HCN6"/>
    <mergeCell ref="HCO6:HCQ6"/>
    <mergeCell ref="HCR6:HCT6"/>
    <mergeCell ref="HCU6:HCW6"/>
    <mergeCell ref="HCX6:HCZ6"/>
    <mergeCell ref="HBW6:HBY6"/>
    <mergeCell ref="HBZ6:HCB6"/>
    <mergeCell ref="HCC6:HCE6"/>
    <mergeCell ref="HCF6:HCH6"/>
    <mergeCell ref="HCI6:HCK6"/>
    <mergeCell ref="HJJ6:HJL6"/>
    <mergeCell ref="HJM6:HJO6"/>
    <mergeCell ref="HJP6:HJR6"/>
    <mergeCell ref="HJS6:HJU6"/>
    <mergeCell ref="HJV6:HJX6"/>
    <mergeCell ref="HIU6:HIW6"/>
    <mergeCell ref="HIX6:HIZ6"/>
    <mergeCell ref="HJA6:HJC6"/>
    <mergeCell ref="HJD6:HJF6"/>
    <mergeCell ref="HJG6:HJI6"/>
    <mergeCell ref="HIF6:HIH6"/>
    <mergeCell ref="HII6:HIK6"/>
    <mergeCell ref="HIL6:HIN6"/>
    <mergeCell ref="HIO6:HIQ6"/>
    <mergeCell ref="HIR6:HIT6"/>
    <mergeCell ref="HHQ6:HHS6"/>
    <mergeCell ref="HHT6:HHV6"/>
    <mergeCell ref="HHW6:HHY6"/>
    <mergeCell ref="HHZ6:HIB6"/>
    <mergeCell ref="HIC6:HIE6"/>
    <mergeCell ref="HHB6:HHD6"/>
    <mergeCell ref="HHE6:HHG6"/>
    <mergeCell ref="HHH6:HHJ6"/>
    <mergeCell ref="HHK6:HHM6"/>
    <mergeCell ref="HHN6:HHP6"/>
    <mergeCell ref="HGM6:HGO6"/>
    <mergeCell ref="HGP6:HGR6"/>
    <mergeCell ref="HGS6:HGU6"/>
    <mergeCell ref="HGV6:HGX6"/>
    <mergeCell ref="HGY6:HHA6"/>
    <mergeCell ref="HFX6:HFZ6"/>
    <mergeCell ref="HGA6:HGC6"/>
    <mergeCell ref="HGD6:HGF6"/>
    <mergeCell ref="HGG6:HGI6"/>
    <mergeCell ref="HGJ6:HGL6"/>
    <mergeCell ref="HNK6:HNM6"/>
    <mergeCell ref="HNN6:HNP6"/>
    <mergeCell ref="HNQ6:HNS6"/>
    <mergeCell ref="HNT6:HNV6"/>
    <mergeCell ref="HNW6:HNY6"/>
    <mergeCell ref="HMV6:HMX6"/>
    <mergeCell ref="HMY6:HNA6"/>
    <mergeCell ref="HNB6:HND6"/>
    <mergeCell ref="HNE6:HNG6"/>
    <mergeCell ref="HNH6:HNJ6"/>
    <mergeCell ref="HMG6:HMI6"/>
    <mergeCell ref="HMJ6:HML6"/>
    <mergeCell ref="HMM6:HMO6"/>
    <mergeCell ref="HMP6:HMR6"/>
    <mergeCell ref="HMS6:HMU6"/>
    <mergeCell ref="HLR6:HLT6"/>
    <mergeCell ref="HLU6:HLW6"/>
    <mergeCell ref="HLX6:HLZ6"/>
    <mergeCell ref="HMA6:HMC6"/>
    <mergeCell ref="HMD6:HMF6"/>
    <mergeCell ref="HLC6:HLE6"/>
    <mergeCell ref="HLF6:HLH6"/>
    <mergeCell ref="HLI6:HLK6"/>
    <mergeCell ref="HLL6:HLN6"/>
    <mergeCell ref="HLO6:HLQ6"/>
    <mergeCell ref="HKN6:HKP6"/>
    <mergeCell ref="HKQ6:HKS6"/>
    <mergeCell ref="HKT6:HKV6"/>
    <mergeCell ref="HKW6:HKY6"/>
    <mergeCell ref="HKZ6:HLB6"/>
    <mergeCell ref="HJY6:HKA6"/>
    <mergeCell ref="HKB6:HKD6"/>
    <mergeCell ref="HKE6:HKG6"/>
    <mergeCell ref="HKH6:HKJ6"/>
    <mergeCell ref="HKK6:HKM6"/>
    <mergeCell ref="HRL6:HRN6"/>
    <mergeCell ref="HRO6:HRQ6"/>
    <mergeCell ref="HRR6:HRT6"/>
    <mergeCell ref="HRU6:HRW6"/>
    <mergeCell ref="HRX6:HRZ6"/>
    <mergeCell ref="HQW6:HQY6"/>
    <mergeCell ref="HQZ6:HRB6"/>
    <mergeCell ref="HRC6:HRE6"/>
    <mergeCell ref="HRF6:HRH6"/>
    <mergeCell ref="HRI6:HRK6"/>
    <mergeCell ref="HQH6:HQJ6"/>
    <mergeCell ref="HQK6:HQM6"/>
    <mergeCell ref="HQN6:HQP6"/>
    <mergeCell ref="HQQ6:HQS6"/>
    <mergeCell ref="HQT6:HQV6"/>
    <mergeCell ref="HPS6:HPU6"/>
    <mergeCell ref="HPV6:HPX6"/>
    <mergeCell ref="HPY6:HQA6"/>
    <mergeCell ref="HQB6:HQD6"/>
    <mergeCell ref="HQE6:HQG6"/>
    <mergeCell ref="HPD6:HPF6"/>
    <mergeCell ref="HPG6:HPI6"/>
    <mergeCell ref="HPJ6:HPL6"/>
    <mergeCell ref="HPM6:HPO6"/>
    <mergeCell ref="HPP6:HPR6"/>
    <mergeCell ref="HOO6:HOQ6"/>
    <mergeCell ref="HOR6:HOT6"/>
    <mergeCell ref="HOU6:HOW6"/>
    <mergeCell ref="HOX6:HOZ6"/>
    <mergeCell ref="HPA6:HPC6"/>
    <mergeCell ref="HNZ6:HOB6"/>
    <mergeCell ref="HOC6:HOE6"/>
    <mergeCell ref="HOF6:HOH6"/>
    <mergeCell ref="HOI6:HOK6"/>
    <mergeCell ref="HOL6:HON6"/>
    <mergeCell ref="HVM6:HVO6"/>
    <mergeCell ref="HVP6:HVR6"/>
    <mergeCell ref="HVS6:HVU6"/>
    <mergeCell ref="HVV6:HVX6"/>
    <mergeCell ref="HVY6:HWA6"/>
    <mergeCell ref="HUX6:HUZ6"/>
    <mergeCell ref="HVA6:HVC6"/>
    <mergeCell ref="HVD6:HVF6"/>
    <mergeCell ref="HVG6:HVI6"/>
    <mergeCell ref="HVJ6:HVL6"/>
    <mergeCell ref="HUI6:HUK6"/>
    <mergeCell ref="HUL6:HUN6"/>
    <mergeCell ref="HUO6:HUQ6"/>
    <mergeCell ref="HUR6:HUT6"/>
    <mergeCell ref="HUU6:HUW6"/>
    <mergeCell ref="HTT6:HTV6"/>
    <mergeCell ref="HTW6:HTY6"/>
    <mergeCell ref="HTZ6:HUB6"/>
    <mergeCell ref="HUC6:HUE6"/>
    <mergeCell ref="HUF6:HUH6"/>
    <mergeCell ref="HTE6:HTG6"/>
    <mergeCell ref="HTH6:HTJ6"/>
    <mergeCell ref="HTK6:HTM6"/>
    <mergeCell ref="HTN6:HTP6"/>
    <mergeCell ref="HTQ6:HTS6"/>
    <mergeCell ref="HSP6:HSR6"/>
    <mergeCell ref="HSS6:HSU6"/>
    <mergeCell ref="HSV6:HSX6"/>
    <mergeCell ref="HSY6:HTA6"/>
    <mergeCell ref="HTB6:HTD6"/>
    <mergeCell ref="HSA6:HSC6"/>
    <mergeCell ref="HSD6:HSF6"/>
    <mergeCell ref="HSG6:HSI6"/>
    <mergeCell ref="HSJ6:HSL6"/>
    <mergeCell ref="HSM6:HSO6"/>
    <mergeCell ref="HZN6:HZP6"/>
    <mergeCell ref="HZQ6:HZS6"/>
    <mergeCell ref="HZT6:HZV6"/>
    <mergeCell ref="HZW6:HZY6"/>
    <mergeCell ref="HZZ6:IAB6"/>
    <mergeCell ref="HYY6:HZA6"/>
    <mergeCell ref="HZB6:HZD6"/>
    <mergeCell ref="HZE6:HZG6"/>
    <mergeCell ref="HZH6:HZJ6"/>
    <mergeCell ref="HZK6:HZM6"/>
    <mergeCell ref="HYJ6:HYL6"/>
    <mergeCell ref="HYM6:HYO6"/>
    <mergeCell ref="HYP6:HYR6"/>
    <mergeCell ref="HYS6:HYU6"/>
    <mergeCell ref="HYV6:HYX6"/>
    <mergeCell ref="HXU6:HXW6"/>
    <mergeCell ref="HXX6:HXZ6"/>
    <mergeCell ref="HYA6:HYC6"/>
    <mergeCell ref="HYD6:HYF6"/>
    <mergeCell ref="HYG6:HYI6"/>
    <mergeCell ref="HXF6:HXH6"/>
    <mergeCell ref="HXI6:HXK6"/>
    <mergeCell ref="HXL6:HXN6"/>
    <mergeCell ref="HXO6:HXQ6"/>
    <mergeCell ref="HXR6:HXT6"/>
    <mergeCell ref="HWQ6:HWS6"/>
    <mergeCell ref="HWT6:HWV6"/>
    <mergeCell ref="HWW6:HWY6"/>
    <mergeCell ref="HWZ6:HXB6"/>
    <mergeCell ref="HXC6:HXE6"/>
    <mergeCell ref="HWB6:HWD6"/>
    <mergeCell ref="HWE6:HWG6"/>
    <mergeCell ref="HWH6:HWJ6"/>
    <mergeCell ref="HWK6:HWM6"/>
    <mergeCell ref="HWN6:HWP6"/>
    <mergeCell ref="IDO6:IDQ6"/>
    <mergeCell ref="IDR6:IDT6"/>
    <mergeCell ref="IDU6:IDW6"/>
    <mergeCell ref="IDX6:IDZ6"/>
    <mergeCell ref="IEA6:IEC6"/>
    <mergeCell ref="ICZ6:IDB6"/>
    <mergeCell ref="IDC6:IDE6"/>
    <mergeCell ref="IDF6:IDH6"/>
    <mergeCell ref="IDI6:IDK6"/>
    <mergeCell ref="IDL6:IDN6"/>
    <mergeCell ref="ICK6:ICM6"/>
    <mergeCell ref="ICN6:ICP6"/>
    <mergeCell ref="ICQ6:ICS6"/>
    <mergeCell ref="ICT6:ICV6"/>
    <mergeCell ref="ICW6:ICY6"/>
    <mergeCell ref="IBV6:IBX6"/>
    <mergeCell ref="IBY6:ICA6"/>
    <mergeCell ref="ICB6:ICD6"/>
    <mergeCell ref="ICE6:ICG6"/>
    <mergeCell ref="ICH6:ICJ6"/>
    <mergeCell ref="IBG6:IBI6"/>
    <mergeCell ref="IBJ6:IBL6"/>
    <mergeCell ref="IBM6:IBO6"/>
    <mergeCell ref="IBP6:IBR6"/>
    <mergeCell ref="IBS6:IBU6"/>
    <mergeCell ref="IAR6:IAT6"/>
    <mergeCell ref="IAU6:IAW6"/>
    <mergeCell ref="IAX6:IAZ6"/>
    <mergeCell ref="IBA6:IBC6"/>
    <mergeCell ref="IBD6:IBF6"/>
    <mergeCell ref="IAC6:IAE6"/>
    <mergeCell ref="IAF6:IAH6"/>
    <mergeCell ref="IAI6:IAK6"/>
    <mergeCell ref="IAL6:IAN6"/>
    <mergeCell ref="IAO6:IAQ6"/>
    <mergeCell ref="IHP6:IHR6"/>
    <mergeCell ref="IHS6:IHU6"/>
    <mergeCell ref="IHV6:IHX6"/>
    <mergeCell ref="IHY6:IIA6"/>
    <mergeCell ref="IIB6:IID6"/>
    <mergeCell ref="IHA6:IHC6"/>
    <mergeCell ref="IHD6:IHF6"/>
    <mergeCell ref="IHG6:IHI6"/>
    <mergeCell ref="IHJ6:IHL6"/>
    <mergeCell ref="IHM6:IHO6"/>
    <mergeCell ref="IGL6:IGN6"/>
    <mergeCell ref="IGO6:IGQ6"/>
    <mergeCell ref="IGR6:IGT6"/>
    <mergeCell ref="IGU6:IGW6"/>
    <mergeCell ref="IGX6:IGZ6"/>
    <mergeCell ref="IFW6:IFY6"/>
    <mergeCell ref="IFZ6:IGB6"/>
    <mergeCell ref="IGC6:IGE6"/>
    <mergeCell ref="IGF6:IGH6"/>
    <mergeCell ref="IGI6:IGK6"/>
    <mergeCell ref="IFH6:IFJ6"/>
    <mergeCell ref="IFK6:IFM6"/>
    <mergeCell ref="IFN6:IFP6"/>
    <mergeCell ref="IFQ6:IFS6"/>
    <mergeCell ref="IFT6:IFV6"/>
    <mergeCell ref="IES6:IEU6"/>
    <mergeCell ref="IEV6:IEX6"/>
    <mergeCell ref="IEY6:IFA6"/>
    <mergeCell ref="IFB6:IFD6"/>
    <mergeCell ref="IFE6:IFG6"/>
    <mergeCell ref="IED6:IEF6"/>
    <mergeCell ref="IEG6:IEI6"/>
    <mergeCell ref="IEJ6:IEL6"/>
    <mergeCell ref="IEM6:IEO6"/>
    <mergeCell ref="IEP6:IER6"/>
    <mergeCell ref="ILQ6:ILS6"/>
    <mergeCell ref="ILT6:ILV6"/>
    <mergeCell ref="ILW6:ILY6"/>
    <mergeCell ref="ILZ6:IMB6"/>
    <mergeCell ref="IMC6:IME6"/>
    <mergeCell ref="ILB6:ILD6"/>
    <mergeCell ref="ILE6:ILG6"/>
    <mergeCell ref="ILH6:ILJ6"/>
    <mergeCell ref="ILK6:ILM6"/>
    <mergeCell ref="ILN6:ILP6"/>
    <mergeCell ref="IKM6:IKO6"/>
    <mergeCell ref="IKP6:IKR6"/>
    <mergeCell ref="IKS6:IKU6"/>
    <mergeCell ref="IKV6:IKX6"/>
    <mergeCell ref="IKY6:ILA6"/>
    <mergeCell ref="IJX6:IJZ6"/>
    <mergeCell ref="IKA6:IKC6"/>
    <mergeCell ref="IKD6:IKF6"/>
    <mergeCell ref="IKG6:IKI6"/>
    <mergeCell ref="IKJ6:IKL6"/>
    <mergeCell ref="IJI6:IJK6"/>
    <mergeCell ref="IJL6:IJN6"/>
    <mergeCell ref="IJO6:IJQ6"/>
    <mergeCell ref="IJR6:IJT6"/>
    <mergeCell ref="IJU6:IJW6"/>
    <mergeCell ref="IIT6:IIV6"/>
    <mergeCell ref="IIW6:IIY6"/>
    <mergeCell ref="IIZ6:IJB6"/>
    <mergeCell ref="IJC6:IJE6"/>
    <mergeCell ref="IJF6:IJH6"/>
    <mergeCell ref="IIE6:IIG6"/>
    <mergeCell ref="IIH6:IIJ6"/>
    <mergeCell ref="IIK6:IIM6"/>
    <mergeCell ref="IIN6:IIP6"/>
    <mergeCell ref="IIQ6:IIS6"/>
    <mergeCell ref="IPR6:IPT6"/>
    <mergeCell ref="IPU6:IPW6"/>
    <mergeCell ref="IPX6:IPZ6"/>
    <mergeCell ref="IQA6:IQC6"/>
    <mergeCell ref="IQD6:IQF6"/>
    <mergeCell ref="IPC6:IPE6"/>
    <mergeCell ref="IPF6:IPH6"/>
    <mergeCell ref="IPI6:IPK6"/>
    <mergeCell ref="IPL6:IPN6"/>
    <mergeCell ref="IPO6:IPQ6"/>
    <mergeCell ref="ION6:IOP6"/>
    <mergeCell ref="IOQ6:IOS6"/>
    <mergeCell ref="IOT6:IOV6"/>
    <mergeCell ref="IOW6:IOY6"/>
    <mergeCell ref="IOZ6:IPB6"/>
    <mergeCell ref="INY6:IOA6"/>
    <mergeCell ref="IOB6:IOD6"/>
    <mergeCell ref="IOE6:IOG6"/>
    <mergeCell ref="IOH6:IOJ6"/>
    <mergeCell ref="IOK6:IOM6"/>
    <mergeCell ref="INJ6:INL6"/>
    <mergeCell ref="INM6:INO6"/>
    <mergeCell ref="INP6:INR6"/>
    <mergeCell ref="INS6:INU6"/>
    <mergeCell ref="INV6:INX6"/>
    <mergeCell ref="IMU6:IMW6"/>
    <mergeCell ref="IMX6:IMZ6"/>
    <mergeCell ref="INA6:INC6"/>
    <mergeCell ref="IND6:INF6"/>
    <mergeCell ref="ING6:INI6"/>
    <mergeCell ref="IMF6:IMH6"/>
    <mergeCell ref="IMI6:IMK6"/>
    <mergeCell ref="IML6:IMN6"/>
    <mergeCell ref="IMO6:IMQ6"/>
    <mergeCell ref="IMR6:IMT6"/>
    <mergeCell ref="ITS6:ITU6"/>
    <mergeCell ref="ITV6:ITX6"/>
    <mergeCell ref="ITY6:IUA6"/>
    <mergeCell ref="IUB6:IUD6"/>
    <mergeCell ref="IUE6:IUG6"/>
    <mergeCell ref="ITD6:ITF6"/>
    <mergeCell ref="ITG6:ITI6"/>
    <mergeCell ref="ITJ6:ITL6"/>
    <mergeCell ref="ITM6:ITO6"/>
    <mergeCell ref="ITP6:ITR6"/>
    <mergeCell ref="ISO6:ISQ6"/>
    <mergeCell ref="ISR6:IST6"/>
    <mergeCell ref="ISU6:ISW6"/>
    <mergeCell ref="ISX6:ISZ6"/>
    <mergeCell ref="ITA6:ITC6"/>
    <mergeCell ref="IRZ6:ISB6"/>
    <mergeCell ref="ISC6:ISE6"/>
    <mergeCell ref="ISF6:ISH6"/>
    <mergeCell ref="ISI6:ISK6"/>
    <mergeCell ref="ISL6:ISN6"/>
    <mergeCell ref="IRK6:IRM6"/>
    <mergeCell ref="IRN6:IRP6"/>
    <mergeCell ref="IRQ6:IRS6"/>
    <mergeCell ref="IRT6:IRV6"/>
    <mergeCell ref="IRW6:IRY6"/>
    <mergeCell ref="IQV6:IQX6"/>
    <mergeCell ref="IQY6:IRA6"/>
    <mergeCell ref="IRB6:IRD6"/>
    <mergeCell ref="IRE6:IRG6"/>
    <mergeCell ref="IRH6:IRJ6"/>
    <mergeCell ref="IQG6:IQI6"/>
    <mergeCell ref="IQJ6:IQL6"/>
    <mergeCell ref="IQM6:IQO6"/>
    <mergeCell ref="IQP6:IQR6"/>
    <mergeCell ref="IQS6:IQU6"/>
    <mergeCell ref="IXT6:IXV6"/>
    <mergeCell ref="IXW6:IXY6"/>
    <mergeCell ref="IXZ6:IYB6"/>
    <mergeCell ref="IYC6:IYE6"/>
    <mergeCell ref="IYF6:IYH6"/>
    <mergeCell ref="IXE6:IXG6"/>
    <mergeCell ref="IXH6:IXJ6"/>
    <mergeCell ref="IXK6:IXM6"/>
    <mergeCell ref="IXN6:IXP6"/>
    <mergeCell ref="IXQ6:IXS6"/>
    <mergeCell ref="IWP6:IWR6"/>
    <mergeCell ref="IWS6:IWU6"/>
    <mergeCell ref="IWV6:IWX6"/>
    <mergeCell ref="IWY6:IXA6"/>
    <mergeCell ref="IXB6:IXD6"/>
    <mergeCell ref="IWA6:IWC6"/>
    <mergeCell ref="IWD6:IWF6"/>
    <mergeCell ref="IWG6:IWI6"/>
    <mergeCell ref="IWJ6:IWL6"/>
    <mergeCell ref="IWM6:IWO6"/>
    <mergeCell ref="IVL6:IVN6"/>
    <mergeCell ref="IVO6:IVQ6"/>
    <mergeCell ref="IVR6:IVT6"/>
    <mergeCell ref="IVU6:IVW6"/>
    <mergeCell ref="IVX6:IVZ6"/>
    <mergeCell ref="IUW6:IUY6"/>
    <mergeCell ref="IUZ6:IVB6"/>
    <mergeCell ref="IVC6:IVE6"/>
    <mergeCell ref="IVF6:IVH6"/>
    <mergeCell ref="IVI6:IVK6"/>
    <mergeCell ref="IUH6:IUJ6"/>
    <mergeCell ref="IUK6:IUM6"/>
    <mergeCell ref="IUN6:IUP6"/>
    <mergeCell ref="IUQ6:IUS6"/>
    <mergeCell ref="IUT6:IUV6"/>
    <mergeCell ref="JBU6:JBW6"/>
    <mergeCell ref="JBX6:JBZ6"/>
    <mergeCell ref="JCA6:JCC6"/>
    <mergeCell ref="JCD6:JCF6"/>
    <mergeCell ref="JCG6:JCI6"/>
    <mergeCell ref="JBF6:JBH6"/>
    <mergeCell ref="JBI6:JBK6"/>
    <mergeCell ref="JBL6:JBN6"/>
    <mergeCell ref="JBO6:JBQ6"/>
    <mergeCell ref="JBR6:JBT6"/>
    <mergeCell ref="JAQ6:JAS6"/>
    <mergeCell ref="JAT6:JAV6"/>
    <mergeCell ref="JAW6:JAY6"/>
    <mergeCell ref="JAZ6:JBB6"/>
    <mergeCell ref="JBC6:JBE6"/>
    <mergeCell ref="JAB6:JAD6"/>
    <mergeCell ref="JAE6:JAG6"/>
    <mergeCell ref="JAH6:JAJ6"/>
    <mergeCell ref="JAK6:JAM6"/>
    <mergeCell ref="JAN6:JAP6"/>
    <mergeCell ref="IZM6:IZO6"/>
    <mergeCell ref="IZP6:IZR6"/>
    <mergeCell ref="IZS6:IZU6"/>
    <mergeCell ref="IZV6:IZX6"/>
    <mergeCell ref="IZY6:JAA6"/>
    <mergeCell ref="IYX6:IYZ6"/>
    <mergeCell ref="IZA6:IZC6"/>
    <mergeCell ref="IZD6:IZF6"/>
    <mergeCell ref="IZG6:IZI6"/>
    <mergeCell ref="IZJ6:IZL6"/>
    <mergeCell ref="IYI6:IYK6"/>
    <mergeCell ref="IYL6:IYN6"/>
    <mergeCell ref="IYO6:IYQ6"/>
    <mergeCell ref="IYR6:IYT6"/>
    <mergeCell ref="IYU6:IYW6"/>
    <mergeCell ref="JFV6:JFX6"/>
    <mergeCell ref="JFY6:JGA6"/>
    <mergeCell ref="JGB6:JGD6"/>
    <mergeCell ref="JGE6:JGG6"/>
    <mergeCell ref="JGH6:JGJ6"/>
    <mergeCell ref="JFG6:JFI6"/>
    <mergeCell ref="JFJ6:JFL6"/>
    <mergeCell ref="JFM6:JFO6"/>
    <mergeCell ref="JFP6:JFR6"/>
    <mergeCell ref="JFS6:JFU6"/>
    <mergeCell ref="JER6:JET6"/>
    <mergeCell ref="JEU6:JEW6"/>
    <mergeCell ref="JEX6:JEZ6"/>
    <mergeCell ref="JFA6:JFC6"/>
    <mergeCell ref="JFD6:JFF6"/>
    <mergeCell ref="JEC6:JEE6"/>
    <mergeCell ref="JEF6:JEH6"/>
    <mergeCell ref="JEI6:JEK6"/>
    <mergeCell ref="JEL6:JEN6"/>
    <mergeCell ref="JEO6:JEQ6"/>
    <mergeCell ref="JDN6:JDP6"/>
    <mergeCell ref="JDQ6:JDS6"/>
    <mergeCell ref="JDT6:JDV6"/>
    <mergeCell ref="JDW6:JDY6"/>
    <mergeCell ref="JDZ6:JEB6"/>
    <mergeCell ref="JCY6:JDA6"/>
    <mergeCell ref="JDB6:JDD6"/>
    <mergeCell ref="JDE6:JDG6"/>
    <mergeCell ref="JDH6:JDJ6"/>
    <mergeCell ref="JDK6:JDM6"/>
    <mergeCell ref="JCJ6:JCL6"/>
    <mergeCell ref="JCM6:JCO6"/>
    <mergeCell ref="JCP6:JCR6"/>
    <mergeCell ref="JCS6:JCU6"/>
    <mergeCell ref="JCV6:JCX6"/>
    <mergeCell ref="JJW6:JJY6"/>
    <mergeCell ref="JJZ6:JKB6"/>
    <mergeCell ref="JKC6:JKE6"/>
    <mergeCell ref="JKF6:JKH6"/>
    <mergeCell ref="JKI6:JKK6"/>
    <mergeCell ref="JJH6:JJJ6"/>
    <mergeCell ref="JJK6:JJM6"/>
    <mergeCell ref="JJN6:JJP6"/>
    <mergeCell ref="JJQ6:JJS6"/>
    <mergeCell ref="JJT6:JJV6"/>
    <mergeCell ref="JIS6:JIU6"/>
    <mergeCell ref="JIV6:JIX6"/>
    <mergeCell ref="JIY6:JJA6"/>
    <mergeCell ref="JJB6:JJD6"/>
    <mergeCell ref="JJE6:JJG6"/>
    <mergeCell ref="JID6:JIF6"/>
    <mergeCell ref="JIG6:JII6"/>
    <mergeCell ref="JIJ6:JIL6"/>
    <mergeCell ref="JIM6:JIO6"/>
    <mergeCell ref="JIP6:JIR6"/>
    <mergeCell ref="JHO6:JHQ6"/>
    <mergeCell ref="JHR6:JHT6"/>
    <mergeCell ref="JHU6:JHW6"/>
    <mergeCell ref="JHX6:JHZ6"/>
    <mergeCell ref="JIA6:JIC6"/>
    <mergeCell ref="JGZ6:JHB6"/>
    <mergeCell ref="JHC6:JHE6"/>
    <mergeCell ref="JHF6:JHH6"/>
    <mergeCell ref="JHI6:JHK6"/>
    <mergeCell ref="JHL6:JHN6"/>
    <mergeCell ref="JGK6:JGM6"/>
    <mergeCell ref="JGN6:JGP6"/>
    <mergeCell ref="JGQ6:JGS6"/>
    <mergeCell ref="JGT6:JGV6"/>
    <mergeCell ref="JGW6:JGY6"/>
    <mergeCell ref="JNX6:JNZ6"/>
    <mergeCell ref="JOA6:JOC6"/>
    <mergeCell ref="JOD6:JOF6"/>
    <mergeCell ref="JOG6:JOI6"/>
    <mergeCell ref="JOJ6:JOL6"/>
    <mergeCell ref="JNI6:JNK6"/>
    <mergeCell ref="JNL6:JNN6"/>
    <mergeCell ref="JNO6:JNQ6"/>
    <mergeCell ref="JNR6:JNT6"/>
    <mergeCell ref="JNU6:JNW6"/>
    <mergeCell ref="JMT6:JMV6"/>
    <mergeCell ref="JMW6:JMY6"/>
    <mergeCell ref="JMZ6:JNB6"/>
    <mergeCell ref="JNC6:JNE6"/>
    <mergeCell ref="JNF6:JNH6"/>
    <mergeCell ref="JME6:JMG6"/>
    <mergeCell ref="JMH6:JMJ6"/>
    <mergeCell ref="JMK6:JMM6"/>
    <mergeCell ref="JMN6:JMP6"/>
    <mergeCell ref="JMQ6:JMS6"/>
    <mergeCell ref="JLP6:JLR6"/>
    <mergeCell ref="JLS6:JLU6"/>
    <mergeCell ref="JLV6:JLX6"/>
    <mergeCell ref="JLY6:JMA6"/>
    <mergeCell ref="JMB6:JMD6"/>
    <mergeCell ref="JLA6:JLC6"/>
    <mergeCell ref="JLD6:JLF6"/>
    <mergeCell ref="JLG6:JLI6"/>
    <mergeCell ref="JLJ6:JLL6"/>
    <mergeCell ref="JLM6:JLO6"/>
    <mergeCell ref="JKL6:JKN6"/>
    <mergeCell ref="JKO6:JKQ6"/>
    <mergeCell ref="JKR6:JKT6"/>
    <mergeCell ref="JKU6:JKW6"/>
    <mergeCell ref="JKX6:JKZ6"/>
    <mergeCell ref="JRY6:JSA6"/>
    <mergeCell ref="JSB6:JSD6"/>
    <mergeCell ref="JSE6:JSG6"/>
    <mergeCell ref="JSH6:JSJ6"/>
    <mergeCell ref="JSK6:JSM6"/>
    <mergeCell ref="JRJ6:JRL6"/>
    <mergeCell ref="JRM6:JRO6"/>
    <mergeCell ref="JRP6:JRR6"/>
    <mergeCell ref="JRS6:JRU6"/>
    <mergeCell ref="JRV6:JRX6"/>
    <mergeCell ref="JQU6:JQW6"/>
    <mergeCell ref="JQX6:JQZ6"/>
    <mergeCell ref="JRA6:JRC6"/>
    <mergeCell ref="JRD6:JRF6"/>
    <mergeCell ref="JRG6:JRI6"/>
    <mergeCell ref="JQF6:JQH6"/>
    <mergeCell ref="JQI6:JQK6"/>
    <mergeCell ref="JQL6:JQN6"/>
    <mergeCell ref="JQO6:JQQ6"/>
    <mergeCell ref="JQR6:JQT6"/>
    <mergeCell ref="JPQ6:JPS6"/>
    <mergeCell ref="JPT6:JPV6"/>
    <mergeCell ref="JPW6:JPY6"/>
    <mergeCell ref="JPZ6:JQB6"/>
    <mergeCell ref="JQC6:JQE6"/>
    <mergeCell ref="JPB6:JPD6"/>
    <mergeCell ref="JPE6:JPG6"/>
    <mergeCell ref="JPH6:JPJ6"/>
    <mergeCell ref="JPK6:JPM6"/>
    <mergeCell ref="JPN6:JPP6"/>
    <mergeCell ref="JOM6:JOO6"/>
    <mergeCell ref="JOP6:JOR6"/>
    <mergeCell ref="JOS6:JOU6"/>
    <mergeCell ref="JOV6:JOX6"/>
    <mergeCell ref="JOY6:JPA6"/>
    <mergeCell ref="JVZ6:JWB6"/>
    <mergeCell ref="JWC6:JWE6"/>
    <mergeCell ref="JWF6:JWH6"/>
    <mergeCell ref="JWI6:JWK6"/>
    <mergeCell ref="JWL6:JWN6"/>
    <mergeCell ref="JVK6:JVM6"/>
    <mergeCell ref="JVN6:JVP6"/>
    <mergeCell ref="JVQ6:JVS6"/>
    <mergeCell ref="JVT6:JVV6"/>
    <mergeCell ref="JVW6:JVY6"/>
    <mergeCell ref="JUV6:JUX6"/>
    <mergeCell ref="JUY6:JVA6"/>
    <mergeCell ref="JVB6:JVD6"/>
    <mergeCell ref="JVE6:JVG6"/>
    <mergeCell ref="JVH6:JVJ6"/>
    <mergeCell ref="JUG6:JUI6"/>
    <mergeCell ref="JUJ6:JUL6"/>
    <mergeCell ref="JUM6:JUO6"/>
    <mergeCell ref="JUP6:JUR6"/>
    <mergeCell ref="JUS6:JUU6"/>
    <mergeCell ref="JTR6:JTT6"/>
    <mergeCell ref="JTU6:JTW6"/>
    <mergeCell ref="JTX6:JTZ6"/>
    <mergeCell ref="JUA6:JUC6"/>
    <mergeCell ref="JUD6:JUF6"/>
    <mergeCell ref="JTC6:JTE6"/>
    <mergeCell ref="JTF6:JTH6"/>
    <mergeCell ref="JTI6:JTK6"/>
    <mergeCell ref="JTL6:JTN6"/>
    <mergeCell ref="JTO6:JTQ6"/>
    <mergeCell ref="JSN6:JSP6"/>
    <mergeCell ref="JSQ6:JSS6"/>
    <mergeCell ref="JST6:JSV6"/>
    <mergeCell ref="JSW6:JSY6"/>
    <mergeCell ref="JSZ6:JTB6"/>
    <mergeCell ref="KAA6:KAC6"/>
    <mergeCell ref="KAD6:KAF6"/>
    <mergeCell ref="KAG6:KAI6"/>
    <mergeCell ref="KAJ6:KAL6"/>
    <mergeCell ref="KAM6:KAO6"/>
    <mergeCell ref="JZL6:JZN6"/>
    <mergeCell ref="JZO6:JZQ6"/>
    <mergeCell ref="JZR6:JZT6"/>
    <mergeCell ref="JZU6:JZW6"/>
    <mergeCell ref="JZX6:JZZ6"/>
    <mergeCell ref="JYW6:JYY6"/>
    <mergeCell ref="JYZ6:JZB6"/>
    <mergeCell ref="JZC6:JZE6"/>
    <mergeCell ref="JZF6:JZH6"/>
    <mergeCell ref="JZI6:JZK6"/>
    <mergeCell ref="JYH6:JYJ6"/>
    <mergeCell ref="JYK6:JYM6"/>
    <mergeCell ref="JYN6:JYP6"/>
    <mergeCell ref="JYQ6:JYS6"/>
    <mergeCell ref="JYT6:JYV6"/>
    <mergeCell ref="JXS6:JXU6"/>
    <mergeCell ref="JXV6:JXX6"/>
    <mergeCell ref="JXY6:JYA6"/>
    <mergeCell ref="JYB6:JYD6"/>
    <mergeCell ref="JYE6:JYG6"/>
    <mergeCell ref="JXD6:JXF6"/>
    <mergeCell ref="JXG6:JXI6"/>
    <mergeCell ref="JXJ6:JXL6"/>
    <mergeCell ref="JXM6:JXO6"/>
    <mergeCell ref="JXP6:JXR6"/>
    <mergeCell ref="JWO6:JWQ6"/>
    <mergeCell ref="JWR6:JWT6"/>
    <mergeCell ref="JWU6:JWW6"/>
    <mergeCell ref="JWX6:JWZ6"/>
    <mergeCell ref="JXA6:JXC6"/>
    <mergeCell ref="KEB6:KED6"/>
    <mergeCell ref="KEE6:KEG6"/>
    <mergeCell ref="KEH6:KEJ6"/>
    <mergeCell ref="KEK6:KEM6"/>
    <mergeCell ref="KEN6:KEP6"/>
    <mergeCell ref="KDM6:KDO6"/>
    <mergeCell ref="KDP6:KDR6"/>
    <mergeCell ref="KDS6:KDU6"/>
    <mergeCell ref="KDV6:KDX6"/>
    <mergeCell ref="KDY6:KEA6"/>
    <mergeCell ref="KCX6:KCZ6"/>
    <mergeCell ref="KDA6:KDC6"/>
    <mergeCell ref="KDD6:KDF6"/>
    <mergeCell ref="KDG6:KDI6"/>
    <mergeCell ref="KDJ6:KDL6"/>
    <mergeCell ref="KCI6:KCK6"/>
    <mergeCell ref="KCL6:KCN6"/>
    <mergeCell ref="KCO6:KCQ6"/>
    <mergeCell ref="KCR6:KCT6"/>
    <mergeCell ref="KCU6:KCW6"/>
    <mergeCell ref="KBT6:KBV6"/>
    <mergeCell ref="KBW6:KBY6"/>
    <mergeCell ref="KBZ6:KCB6"/>
    <mergeCell ref="KCC6:KCE6"/>
    <mergeCell ref="KCF6:KCH6"/>
    <mergeCell ref="KBE6:KBG6"/>
    <mergeCell ref="KBH6:KBJ6"/>
    <mergeCell ref="KBK6:KBM6"/>
    <mergeCell ref="KBN6:KBP6"/>
    <mergeCell ref="KBQ6:KBS6"/>
    <mergeCell ref="KAP6:KAR6"/>
    <mergeCell ref="KAS6:KAU6"/>
    <mergeCell ref="KAV6:KAX6"/>
    <mergeCell ref="KAY6:KBA6"/>
    <mergeCell ref="KBB6:KBD6"/>
    <mergeCell ref="KIC6:KIE6"/>
    <mergeCell ref="KIF6:KIH6"/>
    <mergeCell ref="KII6:KIK6"/>
    <mergeCell ref="KIL6:KIN6"/>
    <mergeCell ref="KIO6:KIQ6"/>
    <mergeCell ref="KHN6:KHP6"/>
    <mergeCell ref="KHQ6:KHS6"/>
    <mergeCell ref="KHT6:KHV6"/>
    <mergeCell ref="KHW6:KHY6"/>
    <mergeCell ref="KHZ6:KIB6"/>
    <mergeCell ref="KGY6:KHA6"/>
    <mergeCell ref="KHB6:KHD6"/>
    <mergeCell ref="KHE6:KHG6"/>
    <mergeCell ref="KHH6:KHJ6"/>
    <mergeCell ref="KHK6:KHM6"/>
    <mergeCell ref="KGJ6:KGL6"/>
    <mergeCell ref="KGM6:KGO6"/>
    <mergeCell ref="KGP6:KGR6"/>
    <mergeCell ref="KGS6:KGU6"/>
    <mergeCell ref="KGV6:KGX6"/>
    <mergeCell ref="KFU6:KFW6"/>
    <mergeCell ref="KFX6:KFZ6"/>
    <mergeCell ref="KGA6:KGC6"/>
    <mergeCell ref="KGD6:KGF6"/>
    <mergeCell ref="KGG6:KGI6"/>
    <mergeCell ref="KFF6:KFH6"/>
    <mergeCell ref="KFI6:KFK6"/>
    <mergeCell ref="KFL6:KFN6"/>
    <mergeCell ref="KFO6:KFQ6"/>
    <mergeCell ref="KFR6:KFT6"/>
    <mergeCell ref="KEQ6:KES6"/>
    <mergeCell ref="KET6:KEV6"/>
    <mergeCell ref="KEW6:KEY6"/>
    <mergeCell ref="KEZ6:KFB6"/>
    <mergeCell ref="KFC6:KFE6"/>
    <mergeCell ref="KMD6:KMF6"/>
    <mergeCell ref="KMG6:KMI6"/>
    <mergeCell ref="KMJ6:KML6"/>
    <mergeCell ref="KMM6:KMO6"/>
    <mergeCell ref="KMP6:KMR6"/>
    <mergeCell ref="KLO6:KLQ6"/>
    <mergeCell ref="KLR6:KLT6"/>
    <mergeCell ref="KLU6:KLW6"/>
    <mergeCell ref="KLX6:KLZ6"/>
    <mergeCell ref="KMA6:KMC6"/>
    <mergeCell ref="KKZ6:KLB6"/>
    <mergeCell ref="KLC6:KLE6"/>
    <mergeCell ref="KLF6:KLH6"/>
    <mergeCell ref="KLI6:KLK6"/>
    <mergeCell ref="KLL6:KLN6"/>
    <mergeCell ref="KKK6:KKM6"/>
    <mergeCell ref="KKN6:KKP6"/>
    <mergeCell ref="KKQ6:KKS6"/>
    <mergeCell ref="KKT6:KKV6"/>
    <mergeCell ref="KKW6:KKY6"/>
    <mergeCell ref="KJV6:KJX6"/>
    <mergeCell ref="KJY6:KKA6"/>
    <mergeCell ref="KKB6:KKD6"/>
    <mergeCell ref="KKE6:KKG6"/>
    <mergeCell ref="KKH6:KKJ6"/>
    <mergeCell ref="KJG6:KJI6"/>
    <mergeCell ref="KJJ6:KJL6"/>
    <mergeCell ref="KJM6:KJO6"/>
    <mergeCell ref="KJP6:KJR6"/>
    <mergeCell ref="KJS6:KJU6"/>
    <mergeCell ref="KIR6:KIT6"/>
    <mergeCell ref="KIU6:KIW6"/>
    <mergeCell ref="KIX6:KIZ6"/>
    <mergeCell ref="KJA6:KJC6"/>
    <mergeCell ref="KJD6:KJF6"/>
    <mergeCell ref="KQE6:KQG6"/>
    <mergeCell ref="KQH6:KQJ6"/>
    <mergeCell ref="KQK6:KQM6"/>
    <mergeCell ref="KQN6:KQP6"/>
    <mergeCell ref="KQQ6:KQS6"/>
    <mergeCell ref="KPP6:KPR6"/>
    <mergeCell ref="KPS6:KPU6"/>
    <mergeCell ref="KPV6:KPX6"/>
    <mergeCell ref="KPY6:KQA6"/>
    <mergeCell ref="KQB6:KQD6"/>
    <mergeCell ref="KPA6:KPC6"/>
    <mergeCell ref="KPD6:KPF6"/>
    <mergeCell ref="KPG6:KPI6"/>
    <mergeCell ref="KPJ6:KPL6"/>
    <mergeCell ref="KPM6:KPO6"/>
    <mergeCell ref="KOL6:KON6"/>
    <mergeCell ref="KOO6:KOQ6"/>
    <mergeCell ref="KOR6:KOT6"/>
    <mergeCell ref="KOU6:KOW6"/>
    <mergeCell ref="KOX6:KOZ6"/>
    <mergeCell ref="KNW6:KNY6"/>
    <mergeCell ref="KNZ6:KOB6"/>
    <mergeCell ref="KOC6:KOE6"/>
    <mergeCell ref="KOF6:KOH6"/>
    <mergeCell ref="KOI6:KOK6"/>
    <mergeCell ref="KNH6:KNJ6"/>
    <mergeCell ref="KNK6:KNM6"/>
    <mergeCell ref="KNN6:KNP6"/>
    <mergeCell ref="KNQ6:KNS6"/>
    <mergeCell ref="KNT6:KNV6"/>
    <mergeCell ref="KMS6:KMU6"/>
    <mergeCell ref="KMV6:KMX6"/>
    <mergeCell ref="KMY6:KNA6"/>
    <mergeCell ref="KNB6:KND6"/>
    <mergeCell ref="KNE6:KNG6"/>
    <mergeCell ref="KUF6:KUH6"/>
    <mergeCell ref="KUI6:KUK6"/>
    <mergeCell ref="KUL6:KUN6"/>
    <mergeCell ref="KUO6:KUQ6"/>
    <mergeCell ref="KUR6:KUT6"/>
    <mergeCell ref="KTQ6:KTS6"/>
    <mergeCell ref="KTT6:KTV6"/>
    <mergeCell ref="KTW6:KTY6"/>
    <mergeCell ref="KTZ6:KUB6"/>
    <mergeCell ref="KUC6:KUE6"/>
    <mergeCell ref="KTB6:KTD6"/>
    <mergeCell ref="KTE6:KTG6"/>
    <mergeCell ref="KTH6:KTJ6"/>
    <mergeCell ref="KTK6:KTM6"/>
    <mergeCell ref="KTN6:KTP6"/>
    <mergeCell ref="KSM6:KSO6"/>
    <mergeCell ref="KSP6:KSR6"/>
    <mergeCell ref="KSS6:KSU6"/>
    <mergeCell ref="KSV6:KSX6"/>
    <mergeCell ref="KSY6:KTA6"/>
    <mergeCell ref="KRX6:KRZ6"/>
    <mergeCell ref="KSA6:KSC6"/>
    <mergeCell ref="KSD6:KSF6"/>
    <mergeCell ref="KSG6:KSI6"/>
    <mergeCell ref="KSJ6:KSL6"/>
    <mergeCell ref="KRI6:KRK6"/>
    <mergeCell ref="KRL6:KRN6"/>
    <mergeCell ref="KRO6:KRQ6"/>
    <mergeCell ref="KRR6:KRT6"/>
    <mergeCell ref="KRU6:KRW6"/>
    <mergeCell ref="KQT6:KQV6"/>
    <mergeCell ref="KQW6:KQY6"/>
    <mergeCell ref="KQZ6:KRB6"/>
    <mergeCell ref="KRC6:KRE6"/>
    <mergeCell ref="KRF6:KRH6"/>
    <mergeCell ref="KYG6:KYI6"/>
    <mergeCell ref="KYJ6:KYL6"/>
    <mergeCell ref="KYM6:KYO6"/>
    <mergeCell ref="KYP6:KYR6"/>
    <mergeCell ref="KYS6:KYU6"/>
    <mergeCell ref="KXR6:KXT6"/>
    <mergeCell ref="KXU6:KXW6"/>
    <mergeCell ref="KXX6:KXZ6"/>
    <mergeCell ref="KYA6:KYC6"/>
    <mergeCell ref="KYD6:KYF6"/>
    <mergeCell ref="KXC6:KXE6"/>
    <mergeCell ref="KXF6:KXH6"/>
    <mergeCell ref="KXI6:KXK6"/>
    <mergeCell ref="KXL6:KXN6"/>
    <mergeCell ref="KXO6:KXQ6"/>
    <mergeCell ref="KWN6:KWP6"/>
    <mergeCell ref="KWQ6:KWS6"/>
    <mergeCell ref="KWT6:KWV6"/>
    <mergeCell ref="KWW6:KWY6"/>
    <mergeCell ref="KWZ6:KXB6"/>
    <mergeCell ref="KVY6:KWA6"/>
    <mergeCell ref="KWB6:KWD6"/>
    <mergeCell ref="KWE6:KWG6"/>
    <mergeCell ref="KWH6:KWJ6"/>
    <mergeCell ref="KWK6:KWM6"/>
    <mergeCell ref="KVJ6:KVL6"/>
    <mergeCell ref="KVM6:KVO6"/>
    <mergeCell ref="KVP6:KVR6"/>
    <mergeCell ref="KVS6:KVU6"/>
    <mergeCell ref="KVV6:KVX6"/>
    <mergeCell ref="KUU6:KUW6"/>
    <mergeCell ref="KUX6:KUZ6"/>
    <mergeCell ref="KVA6:KVC6"/>
    <mergeCell ref="KVD6:KVF6"/>
    <mergeCell ref="KVG6:KVI6"/>
    <mergeCell ref="LCH6:LCJ6"/>
    <mergeCell ref="LCK6:LCM6"/>
    <mergeCell ref="LCN6:LCP6"/>
    <mergeCell ref="LCQ6:LCS6"/>
    <mergeCell ref="LCT6:LCV6"/>
    <mergeCell ref="LBS6:LBU6"/>
    <mergeCell ref="LBV6:LBX6"/>
    <mergeCell ref="LBY6:LCA6"/>
    <mergeCell ref="LCB6:LCD6"/>
    <mergeCell ref="LCE6:LCG6"/>
    <mergeCell ref="LBD6:LBF6"/>
    <mergeCell ref="LBG6:LBI6"/>
    <mergeCell ref="LBJ6:LBL6"/>
    <mergeCell ref="LBM6:LBO6"/>
    <mergeCell ref="LBP6:LBR6"/>
    <mergeCell ref="LAO6:LAQ6"/>
    <mergeCell ref="LAR6:LAT6"/>
    <mergeCell ref="LAU6:LAW6"/>
    <mergeCell ref="LAX6:LAZ6"/>
    <mergeCell ref="LBA6:LBC6"/>
    <mergeCell ref="KZZ6:LAB6"/>
    <mergeCell ref="LAC6:LAE6"/>
    <mergeCell ref="LAF6:LAH6"/>
    <mergeCell ref="LAI6:LAK6"/>
    <mergeCell ref="LAL6:LAN6"/>
    <mergeCell ref="KZK6:KZM6"/>
    <mergeCell ref="KZN6:KZP6"/>
    <mergeCell ref="KZQ6:KZS6"/>
    <mergeCell ref="KZT6:KZV6"/>
    <mergeCell ref="KZW6:KZY6"/>
    <mergeCell ref="KYV6:KYX6"/>
    <mergeCell ref="KYY6:KZA6"/>
    <mergeCell ref="KZB6:KZD6"/>
    <mergeCell ref="KZE6:KZG6"/>
    <mergeCell ref="KZH6:KZJ6"/>
    <mergeCell ref="LGI6:LGK6"/>
    <mergeCell ref="LGL6:LGN6"/>
    <mergeCell ref="LGO6:LGQ6"/>
    <mergeCell ref="LGR6:LGT6"/>
    <mergeCell ref="LGU6:LGW6"/>
    <mergeCell ref="LFT6:LFV6"/>
    <mergeCell ref="LFW6:LFY6"/>
    <mergeCell ref="LFZ6:LGB6"/>
    <mergeCell ref="LGC6:LGE6"/>
    <mergeCell ref="LGF6:LGH6"/>
    <mergeCell ref="LFE6:LFG6"/>
    <mergeCell ref="LFH6:LFJ6"/>
    <mergeCell ref="LFK6:LFM6"/>
    <mergeCell ref="LFN6:LFP6"/>
    <mergeCell ref="LFQ6:LFS6"/>
    <mergeCell ref="LEP6:LER6"/>
    <mergeCell ref="LES6:LEU6"/>
    <mergeCell ref="LEV6:LEX6"/>
    <mergeCell ref="LEY6:LFA6"/>
    <mergeCell ref="LFB6:LFD6"/>
    <mergeCell ref="LEA6:LEC6"/>
    <mergeCell ref="LED6:LEF6"/>
    <mergeCell ref="LEG6:LEI6"/>
    <mergeCell ref="LEJ6:LEL6"/>
    <mergeCell ref="LEM6:LEO6"/>
    <mergeCell ref="LDL6:LDN6"/>
    <mergeCell ref="LDO6:LDQ6"/>
    <mergeCell ref="LDR6:LDT6"/>
    <mergeCell ref="LDU6:LDW6"/>
    <mergeCell ref="LDX6:LDZ6"/>
    <mergeCell ref="LCW6:LCY6"/>
    <mergeCell ref="LCZ6:LDB6"/>
    <mergeCell ref="LDC6:LDE6"/>
    <mergeCell ref="LDF6:LDH6"/>
    <mergeCell ref="LDI6:LDK6"/>
    <mergeCell ref="LKJ6:LKL6"/>
    <mergeCell ref="LKM6:LKO6"/>
    <mergeCell ref="LKP6:LKR6"/>
    <mergeCell ref="LKS6:LKU6"/>
    <mergeCell ref="LKV6:LKX6"/>
    <mergeCell ref="LJU6:LJW6"/>
    <mergeCell ref="LJX6:LJZ6"/>
    <mergeCell ref="LKA6:LKC6"/>
    <mergeCell ref="LKD6:LKF6"/>
    <mergeCell ref="LKG6:LKI6"/>
    <mergeCell ref="LJF6:LJH6"/>
    <mergeCell ref="LJI6:LJK6"/>
    <mergeCell ref="LJL6:LJN6"/>
    <mergeCell ref="LJO6:LJQ6"/>
    <mergeCell ref="LJR6:LJT6"/>
    <mergeCell ref="LIQ6:LIS6"/>
    <mergeCell ref="LIT6:LIV6"/>
    <mergeCell ref="LIW6:LIY6"/>
    <mergeCell ref="LIZ6:LJB6"/>
    <mergeCell ref="LJC6:LJE6"/>
    <mergeCell ref="LIB6:LID6"/>
    <mergeCell ref="LIE6:LIG6"/>
    <mergeCell ref="LIH6:LIJ6"/>
    <mergeCell ref="LIK6:LIM6"/>
    <mergeCell ref="LIN6:LIP6"/>
    <mergeCell ref="LHM6:LHO6"/>
    <mergeCell ref="LHP6:LHR6"/>
    <mergeCell ref="LHS6:LHU6"/>
    <mergeCell ref="LHV6:LHX6"/>
    <mergeCell ref="LHY6:LIA6"/>
    <mergeCell ref="LGX6:LGZ6"/>
    <mergeCell ref="LHA6:LHC6"/>
    <mergeCell ref="LHD6:LHF6"/>
    <mergeCell ref="LHG6:LHI6"/>
    <mergeCell ref="LHJ6:LHL6"/>
    <mergeCell ref="LOK6:LOM6"/>
    <mergeCell ref="LON6:LOP6"/>
    <mergeCell ref="LOQ6:LOS6"/>
    <mergeCell ref="LOT6:LOV6"/>
    <mergeCell ref="LOW6:LOY6"/>
    <mergeCell ref="LNV6:LNX6"/>
    <mergeCell ref="LNY6:LOA6"/>
    <mergeCell ref="LOB6:LOD6"/>
    <mergeCell ref="LOE6:LOG6"/>
    <mergeCell ref="LOH6:LOJ6"/>
    <mergeCell ref="LNG6:LNI6"/>
    <mergeCell ref="LNJ6:LNL6"/>
    <mergeCell ref="LNM6:LNO6"/>
    <mergeCell ref="LNP6:LNR6"/>
    <mergeCell ref="LNS6:LNU6"/>
    <mergeCell ref="LMR6:LMT6"/>
    <mergeCell ref="LMU6:LMW6"/>
    <mergeCell ref="LMX6:LMZ6"/>
    <mergeCell ref="LNA6:LNC6"/>
    <mergeCell ref="LND6:LNF6"/>
    <mergeCell ref="LMC6:LME6"/>
    <mergeCell ref="LMF6:LMH6"/>
    <mergeCell ref="LMI6:LMK6"/>
    <mergeCell ref="LML6:LMN6"/>
    <mergeCell ref="LMO6:LMQ6"/>
    <mergeCell ref="LLN6:LLP6"/>
    <mergeCell ref="LLQ6:LLS6"/>
    <mergeCell ref="LLT6:LLV6"/>
    <mergeCell ref="LLW6:LLY6"/>
    <mergeCell ref="LLZ6:LMB6"/>
    <mergeCell ref="LKY6:LLA6"/>
    <mergeCell ref="LLB6:LLD6"/>
    <mergeCell ref="LLE6:LLG6"/>
    <mergeCell ref="LLH6:LLJ6"/>
    <mergeCell ref="LLK6:LLM6"/>
    <mergeCell ref="LSL6:LSN6"/>
    <mergeCell ref="LSO6:LSQ6"/>
    <mergeCell ref="LSR6:LST6"/>
    <mergeCell ref="LSU6:LSW6"/>
    <mergeCell ref="LSX6:LSZ6"/>
    <mergeCell ref="LRW6:LRY6"/>
    <mergeCell ref="LRZ6:LSB6"/>
    <mergeCell ref="LSC6:LSE6"/>
    <mergeCell ref="LSF6:LSH6"/>
    <mergeCell ref="LSI6:LSK6"/>
    <mergeCell ref="LRH6:LRJ6"/>
    <mergeCell ref="LRK6:LRM6"/>
    <mergeCell ref="LRN6:LRP6"/>
    <mergeCell ref="LRQ6:LRS6"/>
    <mergeCell ref="LRT6:LRV6"/>
    <mergeCell ref="LQS6:LQU6"/>
    <mergeCell ref="LQV6:LQX6"/>
    <mergeCell ref="LQY6:LRA6"/>
    <mergeCell ref="LRB6:LRD6"/>
    <mergeCell ref="LRE6:LRG6"/>
    <mergeCell ref="LQD6:LQF6"/>
    <mergeCell ref="LQG6:LQI6"/>
    <mergeCell ref="LQJ6:LQL6"/>
    <mergeCell ref="LQM6:LQO6"/>
    <mergeCell ref="LQP6:LQR6"/>
    <mergeCell ref="LPO6:LPQ6"/>
    <mergeCell ref="LPR6:LPT6"/>
    <mergeCell ref="LPU6:LPW6"/>
    <mergeCell ref="LPX6:LPZ6"/>
    <mergeCell ref="LQA6:LQC6"/>
    <mergeCell ref="LOZ6:LPB6"/>
    <mergeCell ref="LPC6:LPE6"/>
    <mergeCell ref="LPF6:LPH6"/>
    <mergeCell ref="LPI6:LPK6"/>
    <mergeCell ref="LPL6:LPN6"/>
    <mergeCell ref="LWM6:LWO6"/>
    <mergeCell ref="LWP6:LWR6"/>
    <mergeCell ref="LWS6:LWU6"/>
    <mergeCell ref="LWV6:LWX6"/>
    <mergeCell ref="LWY6:LXA6"/>
    <mergeCell ref="LVX6:LVZ6"/>
    <mergeCell ref="LWA6:LWC6"/>
    <mergeCell ref="LWD6:LWF6"/>
    <mergeCell ref="LWG6:LWI6"/>
    <mergeCell ref="LWJ6:LWL6"/>
    <mergeCell ref="LVI6:LVK6"/>
    <mergeCell ref="LVL6:LVN6"/>
    <mergeCell ref="LVO6:LVQ6"/>
    <mergeCell ref="LVR6:LVT6"/>
    <mergeCell ref="LVU6:LVW6"/>
    <mergeCell ref="LUT6:LUV6"/>
    <mergeCell ref="LUW6:LUY6"/>
    <mergeCell ref="LUZ6:LVB6"/>
    <mergeCell ref="LVC6:LVE6"/>
    <mergeCell ref="LVF6:LVH6"/>
    <mergeCell ref="LUE6:LUG6"/>
    <mergeCell ref="LUH6:LUJ6"/>
    <mergeCell ref="LUK6:LUM6"/>
    <mergeCell ref="LUN6:LUP6"/>
    <mergeCell ref="LUQ6:LUS6"/>
    <mergeCell ref="LTP6:LTR6"/>
    <mergeCell ref="LTS6:LTU6"/>
    <mergeCell ref="LTV6:LTX6"/>
    <mergeCell ref="LTY6:LUA6"/>
    <mergeCell ref="LUB6:LUD6"/>
    <mergeCell ref="LTA6:LTC6"/>
    <mergeCell ref="LTD6:LTF6"/>
    <mergeCell ref="LTG6:LTI6"/>
    <mergeCell ref="LTJ6:LTL6"/>
    <mergeCell ref="LTM6:LTO6"/>
    <mergeCell ref="MAN6:MAP6"/>
    <mergeCell ref="MAQ6:MAS6"/>
    <mergeCell ref="MAT6:MAV6"/>
    <mergeCell ref="MAW6:MAY6"/>
    <mergeCell ref="MAZ6:MBB6"/>
    <mergeCell ref="LZY6:MAA6"/>
    <mergeCell ref="MAB6:MAD6"/>
    <mergeCell ref="MAE6:MAG6"/>
    <mergeCell ref="MAH6:MAJ6"/>
    <mergeCell ref="MAK6:MAM6"/>
    <mergeCell ref="LZJ6:LZL6"/>
    <mergeCell ref="LZM6:LZO6"/>
    <mergeCell ref="LZP6:LZR6"/>
    <mergeCell ref="LZS6:LZU6"/>
    <mergeCell ref="LZV6:LZX6"/>
    <mergeCell ref="LYU6:LYW6"/>
    <mergeCell ref="LYX6:LYZ6"/>
    <mergeCell ref="LZA6:LZC6"/>
    <mergeCell ref="LZD6:LZF6"/>
    <mergeCell ref="LZG6:LZI6"/>
    <mergeCell ref="LYF6:LYH6"/>
    <mergeCell ref="LYI6:LYK6"/>
    <mergeCell ref="LYL6:LYN6"/>
    <mergeCell ref="LYO6:LYQ6"/>
    <mergeCell ref="LYR6:LYT6"/>
    <mergeCell ref="LXQ6:LXS6"/>
    <mergeCell ref="LXT6:LXV6"/>
    <mergeCell ref="LXW6:LXY6"/>
    <mergeCell ref="LXZ6:LYB6"/>
    <mergeCell ref="LYC6:LYE6"/>
    <mergeCell ref="LXB6:LXD6"/>
    <mergeCell ref="LXE6:LXG6"/>
    <mergeCell ref="LXH6:LXJ6"/>
    <mergeCell ref="LXK6:LXM6"/>
    <mergeCell ref="LXN6:LXP6"/>
    <mergeCell ref="MEO6:MEQ6"/>
    <mergeCell ref="MER6:MET6"/>
    <mergeCell ref="MEU6:MEW6"/>
    <mergeCell ref="MEX6:MEZ6"/>
    <mergeCell ref="MFA6:MFC6"/>
    <mergeCell ref="MDZ6:MEB6"/>
    <mergeCell ref="MEC6:MEE6"/>
    <mergeCell ref="MEF6:MEH6"/>
    <mergeCell ref="MEI6:MEK6"/>
    <mergeCell ref="MEL6:MEN6"/>
    <mergeCell ref="MDK6:MDM6"/>
    <mergeCell ref="MDN6:MDP6"/>
    <mergeCell ref="MDQ6:MDS6"/>
    <mergeCell ref="MDT6:MDV6"/>
    <mergeCell ref="MDW6:MDY6"/>
    <mergeCell ref="MCV6:MCX6"/>
    <mergeCell ref="MCY6:MDA6"/>
    <mergeCell ref="MDB6:MDD6"/>
    <mergeCell ref="MDE6:MDG6"/>
    <mergeCell ref="MDH6:MDJ6"/>
    <mergeCell ref="MCG6:MCI6"/>
    <mergeCell ref="MCJ6:MCL6"/>
    <mergeCell ref="MCM6:MCO6"/>
    <mergeCell ref="MCP6:MCR6"/>
    <mergeCell ref="MCS6:MCU6"/>
    <mergeCell ref="MBR6:MBT6"/>
    <mergeCell ref="MBU6:MBW6"/>
    <mergeCell ref="MBX6:MBZ6"/>
    <mergeCell ref="MCA6:MCC6"/>
    <mergeCell ref="MCD6:MCF6"/>
    <mergeCell ref="MBC6:MBE6"/>
    <mergeCell ref="MBF6:MBH6"/>
    <mergeCell ref="MBI6:MBK6"/>
    <mergeCell ref="MBL6:MBN6"/>
    <mergeCell ref="MBO6:MBQ6"/>
    <mergeCell ref="MIP6:MIR6"/>
    <mergeCell ref="MIS6:MIU6"/>
    <mergeCell ref="MIV6:MIX6"/>
    <mergeCell ref="MIY6:MJA6"/>
    <mergeCell ref="MJB6:MJD6"/>
    <mergeCell ref="MIA6:MIC6"/>
    <mergeCell ref="MID6:MIF6"/>
    <mergeCell ref="MIG6:MII6"/>
    <mergeCell ref="MIJ6:MIL6"/>
    <mergeCell ref="MIM6:MIO6"/>
    <mergeCell ref="MHL6:MHN6"/>
    <mergeCell ref="MHO6:MHQ6"/>
    <mergeCell ref="MHR6:MHT6"/>
    <mergeCell ref="MHU6:MHW6"/>
    <mergeCell ref="MHX6:MHZ6"/>
    <mergeCell ref="MGW6:MGY6"/>
    <mergeCell ref="MGZ6:MHB6"/>
    <mergeCell ref="MHC6:MHE6"/>
    <mergeCell ref="MHF6:MHH6"/>
    <mergeCell ref="MHI6:MHK6"/>
    <mergeCell ref="MGH6:MGJ6"/>
    <mergeCell ref="MGK6:MGM6"/>
    <mergeCell ref="MGN6:MGP6"/>
    <mergeCell ref="MGQ6:MGS6"/>
    <mergeCell ref="MGT6:MGV6"/>
    <mergeCell ref="MFS6:MFU6"/>
    <mergeCell ref="MFV6:MFX6"/>
    <mergeCell ref="MFY6:MGA6"/>
    <mergeCell ref="MGB6:MGD6"/>
    <mergeCell ref="MGE6:MGG6"/>
    <mergeCell ref="MFD6:MFF6"/>
    <mergeCell ref="MFG6:MFI6"/>
    <mergeCell ref="MFJ6:MFL6"/>
    <mergeCell ref="MFM6:MFO6"/>
    <mergeCell ref="MFP6:MFR6"/>
    <mergeCell ref="MMQ6:MMS6"/>
    <mergeCell ref="MMT6:MMV6"/>
    <mergeCell ref="MMW6:MMY6"/>
    <mergeCell ref="MMZ6:MNB6"/>
    <mergeCell ref="MNC6:MNE6"/>
    <mergeCell ref="MMB6:MMD6"/>
    <mergeCell ref="MME6:MMG6"/>
    <mergeCell ref="MMH6:MMJ6"/>
    <mergeCell ref="MMK6:MMM6"/>
    <mergeCell ref="MMN6:MMP6"/>
    <mergeCell ref="MLM6:MLO6"/>
    <mergeCell ref="MLP6:MLR6"/>
    <mergeCell ref="MLS6:MLU6"/>
    <mergeCell ref="MLV6:MLX6"/>
    <mergeCell ref="MLY6:MMA6"/>
    <mergeCell ref="MKX6:MKZ6"/>
    <mergeCell ref="MLA6:MLC6"/>
    <mergeCell ref="MLD6:MLF6"/>
    <mergeCell ref="MLG6:MLI6"/>
    <mergeCell ref="MLJ6:MLL6"/>
    <mergeCell ref="MKI6:MKK6"/>
    <mergeCell ref="MKL6:MKN6"/>
    <mergeCell ref="MKO6:MKQ6"/>
    <mergeCell ref="MKR6:MKT6"/>
    <mergeCell ref="MKU6:MKW6"/>
    <mergeCell ref="MJT6:MJV6"/>
    <mergeCell ref="MJW6:MJY6"/>
    <mergeCell ref="MJZ6:MKB6"/>
    <mergeCell ref="MKC6:MKE6"/>
    <mergeCell ref="MKF6:MKH6"/>
    <mergeCell ref="MJE6:MJG6"/>
    <mergeCell ref="MJH6:MJJ6"/>
    <mergeCell ref="MJK6:MJM6"/>
    <mergeCell ref="MJN6:MJP6"/>
    <mergeCell ref="MJQ6:MJS6"/>
    <mergeCell ref="MQR6:MQT6"/>
    <mergeCell ref="MQU6:MQW6"/>
    <mergeCell ref="MQX6:MQZ6"/>
    <mergeCell ref="MRA6:MRC6"/>
    <mergeCell ref="MRD6:MRF6"/>
    <mergeCell ref="MQC6:MQE6"/>
    <mergeCell ref="MQF6:MQH6"/>
    <mergeCell ref="MQI6:MQK6"/>
    <mergeCell ref="MQL6:MQN6"/>
    <mergeCell ref="MQO6:MQQ6"/>
    <mergeCell ref="MPN6:MPP6"/>
    <mergeCell ref="MPQ6:MPS6"/>
    <mergeCell ref="MPT6:MPV6"/>
    <mergeCell ref="MPW6:MPY6"/>
    <mergeCell ref="MPZ6:MQB6"/>
    <mergeCell ref="MOY6:MPA6"/>
    <mergeCell ref="MPB6:MPD6"/>
    <mergeCell ref="MPE6:MPG6"/>
    <mergeCell ref="MPH6:MPJ6"/>
    <mergeCell ref="MPK6:MPM6"/>
    <mergeCell ref="MOJ6:MOL6"/>
    <mergeCell ref="MOM6:MOO6"/>
    <mergeCell ref="MOP6:MOR6"/>
    <mergeCell ref="MOS6:MOU6"/>
    <mergeCell ref="MOV6:MOX6"/>
    <mergeCell ref="MNU6:MNW6"/>
    <mergeCell ref="MNX6:MNZ6"/>
    <mergeCell ref="MOA6:MOC6"/>
    <mergeCell ref="MOD6:MOF6"/>
    <mergeCell ref="MOG6:MOI6"/>
    <mergeCell ref="MNF6:MNH6"/>
    <mergeCell ref="MNI6:MNK6"/>
    <mergeCell ref="MNL6:MNN6"/>
    <mergeCell ref="MNO6:MNQ6"/>
    <mergeCell ref="MNR6:MNT6"/>
    <mergeCell ref="MUS6:MUU6"/>
    <mergeCell ref="MUV6:MUX6"/>
    <mergeCell ref="MUY6:MVA6"/>
    <mergeCell ref="MVB6:MVD6"/>
    <mergeCell ref="MVE6:MVG6"/>
    <mergeCell ref="MUD6:MUF6"/>
    <mergeCell ref="MUG6:MUI6"/>
    <mergeCell ref="MUJ6:MUL6"/>
    <mergeCell ref="MUM6:MUO6"/>
    <mergeCell ref="MUP6:MUR6"/>
    <mergeCell ref="MTO6:MTQ6"/>
    <mergeCell ref="MTR6:MTT6"/>
    <mergeCell ref="MTU6:MTW6"/>
    <mergeCell ref="MTX6:MTZ6"/>
    <mergeCell ref="MUA6:MUC6"/>
    <mergeCell ref="MSZ6:MTB6"/>
    <mergeCell ref="MTC6:MTE6"/>
    <mergeCell ref="MTF6:MTH6"/>
    <mergeCell ref="MTI6:MTK6"/>
    <mergeCell ref="MTL6:MTN6"/>
    <mergeCell ref="MSK6:MSM6"/>
    <mergeCell ref="MSN6:MSP6"/>
    <mergeCell ref="MSQ6:MSS6"/>
    <mergeCell ref="MST6:MSV6"/>
    <mergeCell ref="MSW6:MSY6"/>
    <mergeCell ref="MRV6:MRX6"/>
    <mergeCell ref="MRY6:MSA6"/>
    <mergeCell ref="MSB6:MSD6"/>
    <mergeCell ref="MSE6:MSG6"/>
    <mergeCell ref="MSH6:MSJ6"/>
    <mergeCell ref="MRG6:MRI6"/>
    <mergeCell ref="MRJ6:MRL6"/>
    <mergeCell ref="MRM6:MRO6"/>
    <mergeCell ref="MRP6:MRR6"/>
    <mergeCell ref="MRS6:MRU6"/>
    <mergeCell ref="MYT6:MYV6"/>
    <mergeCell ref="MYW6:MYY6"/>
    <mergeCell ref="MYZ6:MZB6"/>
    <mergeCell ref="MZC6:MZE6"/>
    <mergeCell ref="MZF6:MZH6"/>
    <mergeCell ref="MYE6:MYG6"/>
    <mergeCell ref="MYH6:MYJ6"/>
    <mergeCell ref="MYK6:MYM6"/>
    <mergeCell ref="MYN6:MYP6"/>
    <mergeCell ref="MYQ6:MYS6"/>
    <mergeCell ref="MXP6:MXR6"/>
    <mergeCell ref="MXS6:MXU6"/>
    <mergeCell ref="MXV6:MXX6"/>
    <mergeCell ref="MXY6:MYA6"/>
    <mergeCell ref="MYB6:MYD6"/>
    <mergeCell ref="MXA6:MXC6"/>
    <mergeCell ref="MXD6:MXF6"/>
    <mergeCell ref="MXG6:MXI6"/>
    <mergeCell ref="MXJ6:MXL6"/>
    <mergeCell ref="MXM6:MXO6"/>
    <mergeCell ref="MWL6:MWN6"/>
    <mergeCell ref="MWO6:MWQ6"/>
    <mergeCell ref="MWR6:MWT6"/>
    <mergeCell ref="MWU6:MWW6"/>
    <mergeCell ref="MWX6:MWZ6"/>
    <mergeCell ref="MVW6:MVY6"/>
    <mergeCell ref="MVZ6:MWB6"/>
    <mergeCell ref="MWC6:MWE6"/>
    <mergeCell ref="MWF6:MWH6"/>
    <mergeCell ref="MWI6:MWK6"/>
    <mergeCell ref="MVH6:MVJ6"/>
    <mergeCell ref="MVK6:MVM6"/>
    <mergeCell ref="MVN6:MVP6"/>
    <mergeCell ref="MVQ6:MVS6"/>
    <mergeCell ref="MVT6:MVV6"/>
    <mergeCell ref="NCU6:NCW6"/>
    <mergeCell ref="NCX6:NCZ6"/>
    <mergeCell ref="NDA6:NDC6"/>
    <mergeCell ref="NDD6:NDF6"/>
    <mergeCell ref="NDG6:NDI6"/>
    <mergeCell ref="NCF6:NCH6"/>
    <mergeCell ref="NCI6:NCK6"/>
    <mergeCell ref="NCL6:NCN6"/>
    <mergeCell ref="NCO6:NCQ6"/>
    <mergeCell ref="NCR6:NCT6"/>
    <mergeCell ref="NBQ6:NBS6"/>
    <mergeCell ref="NBT6:NBV6"/>
    <mergeCell ref="NBW6:NBY6"/>
    <mergeCell ref="NBZ6:NCB6"/>
    <mergeCell ref="NCC6:NCE6"/>
    <mergeCell ref="NBB6:NBD6"/>
    <mergeCell ref="NBE6:NBG6"/>
    <mergeCell ref="NBH6:NBJ6"/>
    <mergeCell ref="NBK6:NBM6"/>
    <mergeCell ref="NBN6:NBP6"/>
    <mergeCell ref="NAM6:NAO6"/>
    <mergeCell ref="NAP6:NAR6"/>
    <mergeCell ref="NAS6:NAU6"/>
    <mergeCell ref="NAV6:NAX6"/>
    <mergeCell ref="NAY6:NBA6"/>
    <mergeCell ref="MZX6:MZZ6"/>
    <mergeCell ref="NAA6:NAC6"/>
    <mergeCell ref="NAD6:NAF6"/>
    <mergeCell ref="NAG6:NAI6"/>
    <mergeCell ref="NAJ6:NAL6"/>
    <mergeCell ref="MZI6:MZK6"/>
    <mergeCell ref="MZL6:MZN6"/>
    <mergeCell ref="MZO6:MZQ6"/>
    <mergeCell ref="MZR6:MZT6"/>
    <mergeCell ref="MZU6:MZW6"/>
    <mergeCell ref="NGV6:NGX6"/>
    <mergeCell ref="NGY6:NHA6"/>
    <mergeCell ref="NHB6:NHD6"/>
    <mergeCell ref="NHE6:NHG6"/>
    <mergeCell ref="NHH6:NHJ6"/>
    <mergeCell ref="NGG6:NGI6"/>
    <mergeCell ref="NGJ6:NGL6"/>
    <mergeCell ref="NGM6:NGO6"/>
    <mergeCell ref="NGP6:NGR6"/>
    <mergeCell ref="NGS6:NGU6"/>
    <mergeCell ref="NFR6:NFT6"/>
    <mergeCell ref="NFU6:NFW6"/>
    <mergeCell ref="NFX6:NFZ6"/>
    <mergeCell ref="NGA6:NGC6"/>
    <mergeCell ref="NGD6:NGF6"/>
    <mergeCell ref="NFC6:NFE6"/>
    <mergeCell ref="NFF6:NFH6"/>
    <mergeCell ref="NFI6:NFK6"/>
    <mergeCell ref="NFL6:NFN6"/>
    <mergeCell ref="NFO6:NFQ6"/>
    <mergeCell ref="NEN6:NEP6"/>
    <mergeCell ref="NEQ6:NES6"/>
    <mergeCell ref="NET6:NEV6"/>
    <mergeCell ref="NEW6:NEY6"/>
    <mergeCell ref="NEZ6:NFB6"/>
    <mergeCell ref="NDY6:NEA6"/>
    <mergeCell ref="NEB6:NED6"/>
    <mergeCell ref="NEE6:NEG6"/>
    <mergeCell ref="NEH6:NEJ6"/>
    <mergeCell ref="NEK6:NEM6"/>
    <mergeCell ref="NDJ6:NDL6"/>
    <mergeCell ref="NDM6:NDO6"/>
    <mergeCell ref="NDP6:NDR6"/>
    <mergeCell ref="NDS6:NDU6"/>
    <mergeCell ref="NDV6:NDX6"/>
    <mergeCell ref="NKW6:NKY6"/>
    <mergeCell ref="NKZ6:NLB6"/>
    <mergeCell ref="NLC6:NLE6"/>
    <mergeCell ref="NLF6:NLH6"/>
    <mergeCell ref="NLI6:NLK6"/>
    <mergeCell ref="NKH6:NKJ6"/>
    <mergeCell ref="NKK6:NKM6"/>
    <mergeCell ref="NKN6:NKP6"/>
    <mergeCell ref="NKQ6:NKS6"/>
    <mergeCell ref="NKT6:NKV6"/>
    <mergeCell ref="NJS6:NJU6"/>
    <mergeCell ref="NJV6:NJX6"/>
    <mergeCell ref="NJY6:NKA6"/>
    <mergeCell ref="NKB6:NKD6"/>
    <mergeCell ref="NKE6:NKG6"/>
    <mergeCell ref="NJD6:NJF6"/>
    <mergeCell ref="NJG6:NJI6"/>
    <mergeCell ref="NJJ6:NJL6"/>
    <mergeCell ref="NJM6:NJO6"/>
    <mergeCell ref="NJP6:NJR6"/>
    <mergeCell ref="NIO6:NIQ6"/>
    <mergeCell ref="NIR6:NIT6"/>
    <mergeCell ref="NIU6:NIW6"/>
    <mergeCell ref="NIX6:NIZ6"/>
    <mergeCell ref="NJA6:NJC6"/>
    <mergeCell ref="NHZ6:NIB6"/>
    <mergeCell ref="NIC6:NIE6"/>
    <mergeCell ref="NIF6:NIH6"/>
    <mergeCell ref="NII6:NIK6"/>
    <mergeCell ref="NIL6:NIN6"/>
    <mergeCell ref="NHK6:NHM6"/>
    <mergeCell ref="NHN6:NHP6"/>
    <mergeCell ref="NHQ6:NHS6"/>
    <mergeCell ref="NHT6:NHV6"/>
    <mergeCell ref="NHW6:NHY6"/>
    <mergeCell ref="NOX6:NOZ6"/>
    <mergeCell ref="NPA6:NPC6"/>
    <mergeCell ref="NPD6:NPF6"/>
    <mergeCell ref="NPG6:NPI6"/>
    <mergeCell ref="NPJ6:NPL6"/>
    <mergeCell ref="NOI6:NOK6"/>
    <mergeCell ref="NOL6:NON6"/>
    <mergeCell ref="NOO6:NOQ6"/>
    <mergeCell ref="NOR6:NOT6"/>
    <mergeCell ref="NOU6:NOW6"/>
    <mergeCell ref="NNT6:NNV6"/>
    <mergeCell ref="NNW6:NNY6"/>
    <mergeCell ref="NNZ6:NOB6"/>
    <mergeCell ref="NOC6:NOE6"/>
    <mergeCell ref="NOF6:NOH6"/>
    <mergeCell ref="NNE6:NNG6"/>
    <mergeCell ref="NNH6:NNJ6"/>
    <mergeCell ref="NNK6:NNM6"/>
    <mergeCell ref="NNN6:NNP6"/>
    <mergeCell ref="NNQ6:NNS6"/>
    <mergeCell ref="NMP6:NMR6"/>
    <mergeCell ref="NMS6:NMU6"/>
    <mergeCell ref="NMV6:NMX6"/>
    <mergeCell ref="NMY6:NNA6"/>
    <mergeCell ref="NNB6:NND6"/>
    <mergeCell ref="NMA6:NMC6"/>
    <mergeCell ref="NMD6:NMF6"/>
    <mergeCell ref="NMG6:NMI6"/>
    <mergeCell ref="NMJ6:NML6"/>
    <mergeCell ref="NMM6:NMO6"/>
    <mergeCell ref="NLL6:NLN6"/>
    <mergeCell ref="NLO6:NLQ6"/>
    <mergeCell ref="NLR6:NLT6"/>
    <mergeCell ref="NLU6:NLW6"/>
    <mergeCell ref="NLX6:NLZ6"/>
    <mergeCell ref="NSY6:NTA6"/>
    <mergeCell ref="NTB6:NTD6"/>
    <mergeCell ref="NTE6:NTG6"/>
    <mergeCell ref="NTH6:NTJ6"/>
    <mergeCell ref="NTK6:NTM6"/>
    <mergeCell ref="NSJ6:NSL6"/>
    <mergeCell ref="NSM6:NSO6"/>
    <mergeCell ref="NSP6:NSR6"/>
    <mergeCell ref="NSS6:NSU6"/>
    <mergeCell ref="NSV6:NSX6"/>
    <mergeCell ref="NRU6:NRW6"/>
    <mergeCell ref="NRX6:NRZ6"/>
    <mergeCell ref="NSA6:NSC6"/>
    <mergeCell ref="NSD6:NSF6"/>
    <mergeCell ref="NSG6:NSI6"/>
    <mergeCell ref="NRF6:NRH6"/>
    <mergeCell ref="NRI6:NRK6"/>
    <mergeCell ref="NRL6:NRN6"/>
    <mergeCell ref="NRO6:NRQ6"/>
    <mergeCell ref="NRR6:NRT6"/>
    <mergeCell ref="NQQ6:NQS6"/>
    <mergeCell ref="NQT6:NQV6"/>
    <mergeCell ref="NQW6:NQY6"/>
    <mergeCell ref="NQZ6:NRB6"/>
    <mergeCell ref="NRC6:NRE6"/>
    <mergeCell ref="NQB6:NQD6"/>
    <mergeCell ref="NQE6:NQG6"/>
    <mergeCell ref="NQH6:NQJ6"/>
    <mergeCell ref="NQK6:NQM6"/>
    <mergeCell ref="NQN6:NQP6"/>
    <mergeCell ref="NPM6:NPO6"/>
    <mergeCell ref="NPP6:NPR6"/>
    <mergeCell ref="NPS6:NPU6"/>
    <mergeCell ref="NPV6:NPX6"/>
    <mergeCell ref="NPY6:NQA6"/>
    <mergeCell ref="NWZ6:NXB6"/>
    <mergeCell ref="NXC6:NXE6"/>
    <mergeCell ref="NXF6:NXH6"/>
    <mergeCell ref="NXI6:NXK6"/>
    <mergeCell ref="NXL6:NXN6"/>
    <mergeCell ref="NWK6:NWM6"/>
    <mergeCell ref="NWN6:NWP6"/>
    <mergeCell ref="NWQ6:NWS6"/>
    <mergeCell ref="NWT6:NWV6"/>
    <mergeCell ref="NWW6:NWY6"/>
    <mergeCell ref="NVV6:NVX6"/>
    <mergeCell ref="NVY6:NWA6"/>
    <mergeCell ref="NWB6:NWD6"/>
    <mergeCell ref="NWE6:NWG6"/>
    <mergeCell ref="NWH6:NWJ6"/>
    <mergeCell ref="NVG6:NVI6"/>
    <mergeCell ref="NVJ6:NVL6"/>
    <mergeCell ref="NVM6:NVO6"/>
    <mergeCell ref="NVP6:NVR6"/>
    <mergeCell ref="NVS6:NVU6"/>
    <mergeCell ref="NUR6:NUT6"/>
    <mergeCell ref="NUU6:NUW6"/>
    <mergeCell ref="NUX6:NUZ6"/>
    <mergeCell ref="NVA6:NVC6"/>
    <mergeCell ref="NVD6:NVF6"/>
    <mergeCell ref="NUC6:NUE6"/>
    <mergeCell ref="NUF6:NUH6"/>
    <mergeCell ref="NUI6:NUK6"/>
    <mergeCell ref="NUL6:NUN6"/>
    <mergeCell ref="NUO6:NUQ6"/>
    <mergeCell ref="NTN6:NTP6"/>
    <mergeCell ref="NTQ6:NTS6"/>
    <mergeCell ref="NTT6:NTV6"/>
    <mergeCell ref="NTW6:NTY6"/>
    <mergeCell ref="NTZ6:NUB6"/>
    <mergeCell ref="OBA6:OBC6"/>
    <mergeCell ref="OBD6:OBF6"/>
    <mergeCell ref="OBG6:OBI6"/>
    <mergeCell ref="OBJ6:OBL6"/>
    <mergeCell ref="OBM6:OBO6"/>
    <mergeCell ref="OAL6:OAN6"/>
    <mergeCell ref="OAO6:OAQ6"/>
    <mergeCell ref="OAR6:OAT6"/>
    <mergeCell ref="OAU6:OAW6"/>
    <mergeCell ref="OAX6:OAZ6"/>
    <mergeCell ref="NZW6:NZY6"/>
    <mergeCell ref="NZZ6:OAB6"/>
    <mergeCell ref="OAC6:OAE6"/>
    <mergeCell ref="OAF6:OAH6"/>
    <mergeCell ref="OAI6:OAK6"/>
    <mergeCell ref="NZH6:NZJ6"/>
    <mergeCell ref="NZK6:NZM6"/>
    <mergeCell ref="NZN6:NZP6"/>
    <mergeCell ref="NZQ6:NZS6"/>
    <mergeCell ref="NZT6:NZV6"/>
    <mergeCell ref="NYS6:NYU6"/>
    <mergeCell ref="NYV6:NYX6"/>
    <mergeCell ref="NYY6:NZA6"/>
    <mergeCell ref="NZB6:NZD6"/>
    <mergeCell ref="NZE6:NZG6"/>
    <mergeCell ref="NYD6:NYF6"/>
    <mergeCell ref="NYG6:NYI6"/>
    <mergeCell ref="NYJ6:NYL6"/>
    <mergeCell ref="NYM6:NYO6"/>
    <mergeCell ref="NYP6:NYR6"/>
    <mergeCell ref="NXO6:NXQ6"/>
    <mergeCell ref="NXR6:NXT6"/>
    <mergeCell ref="NXU6:NXW6"/>
    <mergeCell ref="NXX6:NXZ6"/>
    <mergeCell ref="NYA6:NYC6"/>
    <mergeCell ref="OFB6:OFD6"/>
    <mergeCell ref="OFE6:OFG6"/>
    <mergeCell ref="OFH6:OFJ6"/>
    <mergeCell ref="OFK6:OFM6"/>
    <mergeCell ref="OFN6:OFP6"/>
    <mergeCell ref="OEM6:OEO6"/>
    <mergeCell ref="OEP6:OER6"/>
    <mergeCell ref="OES6:OEU6"/>
    <mergeCell ref="OEV6:OEX6"/>
    <mergeCell ref="OEY6:OFA6"/>
    <mergeCell ref="ODX6:ODZ6"/>
    <mergeCell ref="OEA6:OEC6"/>
    <mergeCell ref="OED6:OEF6"/>
    <mergeCell ref="OEG6:OEI6"/>
    <mergeCell ref="OEJ6:OEL6"/>
    <mergeCell ref="ODI6:ODK6"/>
    <mergeCell ref="ODL6:ODN6"/>
    <mergeCell ref="ODO6:ODQ6"/>
    <mergeCell ref="ODR6:ODT6"/>
    <mergeCell ref="ODU6:ODW6"/>
    <mergeCell ref="OCT6:OCV6"/>
    <mergeCell ref="OCW6:OCY6"/>
    <mergeCell ref="OCZ6:ODB6"/>
    <mergeCell ref="ODC6:ODE6"/>
    <mergeCell ref="ODF6:ODH6"/>
    <mergeCell ref="OCE6:OCG6"/>
    <mergeCell ref="OCH6:OCJ6"/>
    <mergeCell ref="OCK6:OCM6"/>
    <mergeCell ref="OCN6:OCP6"/>
    <mergeCell ref="OCQ6:OCS6"/>
    <mergeCell ref="OBP6:OBR6"/>
    <mergeCell ref="OBS6:OBU6"/>
    <mergeCell ref="OBV6:OBX6"/>
    <mergeCell ref="OBY6:OCA6"/>
    <mergeCell ref="OCB6:OCD6"/>
    <mergeCell ref="OJC6:OJE6"/>
    <mergeCell ref="OJF6:OJH6"/>
    <mergeCell ref="OJI6:OJK6"/>
    <mergeCell ref="OJL6:OJN6"/>
    <mergeCell ref="OJO6:OJQ6"/>
    <mergeCell ref="OIN6:OIP6"/>
    <mergeCell ref="OIQ6:OIS6"/>
    <mergeCell ref="OIT6:OIV6"/>
    <mergeCell ref="OIW6:OIY6"/>
    <mergeCell ref="OIZ6:OJB6"/>
    <mergeCell ref="OHY6:OIA6"/>
    <mergeCell ref="OIB6:OID6"/>
    <mergeCell ref="OIE6:OIG6"/>
    <mergeCell ref="OIH6:OIJ6"/>
    <mergeCell ref="OIK6:OIM6"/>
    <mergeCell ref="OHJ6:OHL6"/>
    <mergeCell ref="OHM6:OHO6"/>
    <mergeCell ref="OHP6:OHR6"/>
    <mergeCell ref="OHS6:OHU6"/>
    <mergeCell ref="OHV6:OHX6"/>
    <mergeCell ref="OGU6:OGW6"/>
    <mergeCell ref="OGX6:OGZ6"/>
    <mergeCell ref="OHA6:OHC6"/>
    <mergeCell ref="OHD6:OHF6"/>
    <mergeCell ref="OHG6:OHI6"/>
    <mergeCell ref="OGF6:OGH6"/>
    <mergeCell ref="OGI6:OGK6"/>
    <mergeCell ref="OGL6:OGN6"/>
    <mergeCell ref="OGO6:OGQ6"/>
    <mergeCell ref="OGR6:OGT6"/>
    <mergeCell ref="OFQ6:OFS6"/>
    <mergeCell ref="OFT6:OFV6"/>
    <mergeCell ref="OFW6:OFY6"/>
    <mergeCell ref="OFZ6:OGB6"/>
    <mergeCell ref="OGC6:OGE6"/>
    <mergeCell ref="OND6:ONF6"/>
    <mergeCell ref="ONG6:ONI6"/>
    <mergeCell ref="ONJ6:ONL6"/>
    <mergeCell ref="ONM6:ONO6"/>
    <mergeCell ref="ONP6:ONR6"/>
    <mergeCell ref="OMO6:OMQ6"/>
    <mergeCell ref="OMR6:OMT6"/>
    <mergeCell ref="OMU6:OMW6"/>
    <mergeCell ref="OMX6:OMZ6"/>
    <mergeCell ref="ONA6:ONC6"/>
    <mergeCell ref="OLZ6:OMB6"/>
    <mergeCell ref="OMC6:OME6"/>
    <mergeCell ref="OMF6:OMH6"/>
    <mergeCell ref="OMI6:OMK6"/>
    <mergeCell ref="OML6:OMN6"/>
    <mergeCell ref="OLK6:OLM6"/>
    <mergeCell ref="OLN6:OLP6"/>
    <mergeCell ref="OLQ6:OLS6"/>
    <mergeCell ref="OLT6:OLV6"/>
    <mergeCell ref="OLW6:OLY6"/>
    <mergeCell ref="OKV6:OKX6"/>
    <mergeCell ref="OKY6:OLA6"/>
    <mergeCell ref="OLB6:OLD6"/>
    <mergeCell ref="OLE6:OLG6"/>
    <mergeCell ref="OLH6:OLJ6"/>
    <mergeCell ref="OKG6:OKI6"/>
    <mergeCell ref="OKJ6:OKL6"/>
    <mergeCell ref="OKM6:OKO6"/>
    <mergeCell ref="OKP6:OKR6"/>
    <mergeCell ref="OKS6:OKU6"/>
    <mergeCell ref="OJR6:OJT6"/>
    <mergeCell ref="OJU6:OJW6"/>
    <mergeCell ref="OJX6:OJZ6"/>
    <mergeCell ref="OKA6:OKC6"/>
    <mergeCell ref="OKD6:OKF6"/>
    <mergeCell ref="ORE6:ORG6"/>
    <mergeCell ref="ORH6:ORJ6"/>
    <mergeCell ref="ORK6:ORM6"/>
    <mergeCell ref="ORN6:ORP6"/>
    <mergeCell ref="ORQ6:ORS6"/>
    <mergeCell ref="OQP6:OQR6"/>
    <mergeCell ref="OQS6:OQU6"/>
    <mergeCell ref="OQV6:OQX6"/>
    <mergeCell ref="OQY6:ORA6"/>
    <mergeCell ref="ORB6:ORD6"/>
    <mergeCell ref="OQA6:OQC6"/>
    <mergeCell ref="OQD6:OQF6"/>
    <mergeCell ref="OQG6:OQI6"/>
    <mergeCell ref="OQJ6:OQL6"/>
    <mergeCell ref="OQM6:OQO6"/>
    <mergeCell ref="OPL6:OPN6"/>
    <mergeCell ref="OPO6:OPQ6"/>
    <mergeCell ref="OPR6:OPT6"/>
    <mergeCell ref="OPU6:OPW6"/>
    <mergeCell ref="OPX6:OPZ6"/>
    <mergeCell ref="OOW6:OOY6"/>
    <mergeCell ref="OOZ6:OPB6"/>
    <mergeCell ref="OPC6:OPE6"/>
    <mergeCell ref="OPF6:OPH6"/>
    <mergeCell ref="OPI6:OPK6"/>
    <mergeCell ref="OOH6:OOJ6"/>
    <mergeCell ref="OOK6:OOM6"/>
    <mergeCell ref="OON6:OOP6"/>
    <mergeCell ref="OOQ6:OOS6"/>
    <mergeCell ref="OOT6:OOV6"/>
    <mergeCell ref="ONS6:ONU6"/>
    <mergeCell ref="ONV6:ONX6"/>
    <mergeCell ref="ONY6:OOA6"/>
    <mergeCell ref="OOB6:OOD6"/>
    <mergeCell ref="OOE6:OOG6"/>
    <mergeCell ref="OVF6:OVH6"/>
    <mergeCell ref="OVI6:OVK6"/>
    <mergeCell ref="OVL6:OVN6"/>
    <mergeCell ref="OVO6:OVQ6"/>
    <mergeCell ref="OVR6:OVT6"/>
    <mergeCell ref="OUQ6:OUS6"/>
    <mergeCell ref="OUT6:OUV6"/>
    <mergeCell ref="OUW6:OUY6"/>
    <mergeCell ref="OUZ6:OVB6"/>
    <mergeCell ref="OVC6:OVE6"/>
    <mergeCell ref="OUB6:OUD6"/>
    <mergeCell ref="OUE6:OUG6"/>
    <mergeCell ref="OUH6:OUJ6"/>
    <mergeCell ref="OUK6:OUM6"/>
    <mergeCell ref="OUN6:OUP6"/>
    <mergeCell ref="OTM6:OTO6"/>
    <mergeCell ref="OTP6:OTR6"/>
    <mergeCell ref="OTS6:OTU6"/>
    <mergeCell ref="OTV6:OTX6"/>
    <mergeCell ref="OTY6:OUA6"/>
    <mergeCell ref="OSX6:OSZ6"/>
    <mergeCell ref="OTA6:OTC6"/>
    <mergeCell ref="OTD6:OTF6"/>
    <mergeCell ref="OTG6:OTI6"/>
    <mergeCell ref="OTJ6:OTL6"/>
    <mergeCell ref="OSI6:OSK6"/>
    <mergeCell ref="OSL6:OSN6"/>
    <mergeCell ref="OSO6:OSQ6"/>
    <mergeCell ref="OSR6:OST6"/>
    <mergeCell ref="OSU6:OSW6"/>
    <mergeCell ref="ORT6:ORV6"/>
    <mergeCell ref="ORW6:ORY6"/>
    <mergeCell ref="ORZ6:OSB6"/>
    <mergeCell ref="OSC6:OSE6"/>
    <mergeCell ref="OSF6:OSH6"/>
    <mergeCell ref="OZG6:OZI6"/>
    <mergeCell ref="OZJ6:OZL6"/>
    <mergeCell ref="OZM6:OZO6"/>
    <mergeCell ref="OZP6:OZR6"/>
    <mergeCell ref="OZS6:OZU6"/>
    <mergeCell ref="OYR6:OYT6"/>
    <mergeCell ref="OYU6:OYW6"/>
    <mergeCell ref="OYX6:OYZ6"/>
    <mergeCell ref="OZA6:OZC6"/>
    <mergeCell ref="OZD6:OZF6"/>
    <mergeCell ref="OYC6:OYE6"/>
    <mergeCell ref="OYF6:OYH6"/>
    <mergeCell ref="OYI6:OYK6"/>
    <mergeCell ref="OYL6:OYN6"/>
    <mergeCell ref="OYO6:OYQ6"/>
    <mergeCell ref="OXN6:OXP6"/>
    <mergeCell ref="OXQ6:OXS6"/>
    <mergeCell ref="OXT6:OXV6"/>
    <mergeCell ref="OXW6:OXY6"/>
    <mergeCell ref="OXZ6:OYB6"/>
    <mergeCell ref="OWY6:OXA6"/>
    <mergeCell ref="OXB6:OXD6"/>
    <mergeCell ref="OXE6:OXG6"/>
    <mergeCell ref="OXH6:OXJ6"/>
    <mergeCell ref="OXK6:OXM6"/>
    <mergeCell ref="OWJ6:OWL6"/>
    <mergeCell ref="OWM6:OWO6"/>
    <mergeCell ref="OWP6:OWR6"/>
    <mergeCell ref="OWS6:OWU6"/>
    <mergeCell ref="OWV6:OWX6"/>
    <mergeCell ref="OVU6:OVW6"/>
    <mergeCell ref="OVX6:OVZ6"/>
    <mergeCell ref="OWA6:OWC6"/>
    <mergeCell ref="OWD6:OWF6"/>
    <mergeCell ref="OWG6:OWI6"/>
    <mergeCell ref="PDH6:PDJ6"/>
    <mergeCell ref="PDK6:PDM6"/>
    <mergeCell ref="PDN6:PDP6"/>
    <mergeCell ref="PDQ6:PDS6"/>
    <mergeCell ref="PDT6:PDV6"/>
    <mergeCell ref="PCS6:PCU6"/>
    <mergeCell ref="PCV6:PCX6"/>
    <mergeCell ref="PCY6:PDA6"/>
    <mergeCell ref="PDB6:PDD6"/>
    <mergeCell ref="PDE6:PDG6"/>
    <mergeCell ref="PCD6:PCF6"/>
    <mergeCell ref="PCG6:PCI6"/>
    <mergeCell ref="PCJ6:PCL6"/>
    <mergeCell ref="PCM6:PCO6"/>
    <mergeCell ref="PCP6:PCR6"/>
    <mergeCell ref="PBO6:PBQ6"/>
    <mergeCell ref="PBR6:PBT6"/>
    <mergeCell ref="PBU6:PBW6"/>
    <mergeCell ref="PBX6:PBZ6"/>
    <mergeCell ref="PCA6:PCC6"/>
    <mergeCell ref="PAZ6:PBB6"/>
    <mergeCell ref="PBC6:PBE6"/>
    <mergeCell ref="PBF6:PBH6"/>
    <mergeCell ref="PBI6:PBK6"/>
    <mergeCell ref="PBL6:PBN6"/>
    <mergeCell ref="PAK6:PAM6"/>
    <mergeCell ref="PAN6:PAP6"/>
    <mergeCell ref="PAQ6:PAS6"/>
    <mergeCell ref="PAT6:PAV6"/>
    <mergeCell ref="PAW6:PAY6"/>
    <mergeCell ref="OZV6:OZX6"/>
    <mergeCell ref="OZY6:PAA6"/>
    <mergeCell ref="PAB6:PAD6"/>
    <mergeCell ref="PAE6:PAG6"/>
    <mergeCell ref="PAH6:PAJ6"/>
    <mergeCell ref="PHI6:PHK6"/>
    <mergeCell ref="PHL6:PHN6"/>
    <mergeCell ref="PHO6:PHQ6"/>
    <mergeCell ref="PHR6:PHT6"/>
    <mergeCell ref="PHU6:PHW6"/>
    <mergeCell ref="PGT6:PGV6"/>
    <mergeCell ref="PGW6:PGY6"/>
    <mergeCell ref="PGZ6:PHB6"/>
    <mergeCell ref="PHC6:PHE6"/>
    <mergeCell ref="PHF6:PHH6"/>
    <mergeCell ref="PGE6:PGG6"/>
    <mergeCell ref="PGH6:PGJ6"/>
    <mergeCell ref="PGK6:PGM6"/>
    <mergeCell ref="PGN6:PGP6"/>
    <mergeCell ref="PGQ6:PGS6"/>
    <mergeCell ref="PFP6:PFR6"/>
    <mergeCell ref="PFS6:PFU6"/>
    <mergeCell ref="PFV6:PFX6"/>
    <mergeCell ref="PFY6:PGA6"/>
    <mergeCell ref="PGB6:PGD6"/>
    <mergeCell ref="PFA6:PFC6"/>
    <mergeCell ref="PFD6:PFF6"/>
    <mergeCell ref="PFG6:PFI6"/>
    <mergeCell ref="PFJ6:PFL6"/>
    <mergeCell ref="PFM6:PFO6"/>
    <mergeCell ref="PEL6:PEN6"/>
    <mergeCell ref="PEO6:PEQ6"/>
    <mergeCell ref="PER6:PET6"/>
    <mergeCell ref="PEU6:PEW6"/>
    <mergeCell ref="PEX6:PEZ6"/>
    <mergeCell ref="PDW6:PDY6"/>
    <mergeCell ref="PDZ6:PEB6"/>
    <mergeCell ref="PEC6:PEE6"/>
    <mergeCell ref="PEF6:PEH6"/>
    <mergeCell ref="PEI6:PEK6"/>
    <mergeCell ref="PLJ6:PLL6"/>
    <mergeCell ref="PLM6:PLO6"/>
    <mergeCell ref="PLP6:PLR6"/>
    <mergeCell ref="PLS6:PLU6"/>
    <mergeCell ref="PLV6:PLX6"/>
    <mergeCell ref="PKU6:PKW6"/>
    <mergeCell ref="PKX6:PKZ6"/>
    <mergeCell ref="PLA6:PLC6"/>
    <mergeCell ref="PLD6:PLF6"/>
    <mergeCell ref="PLG6:PLI6"/>
    <mergeCell ref="PKF6:PKH6"/>
    <mergeCell ref="PKI6:PKK6"/>
    <mergeCell ref="PKL6:PKN6"/>
    <mergeCell ref="PKO6:PKQ6"/>
    <mergeCell ref="PKR6:PKT6"/>
    <mergeCell ref="PJQ6:PJS6"/>
    <mergeCell ref="PJT6:PJV6"/>
    <mergeCell ref="PJW6:PJY6"/>
    <mergeCell ref="PJZ6:PKB6"/>
    <mergeCell ref="PKC6:PKE6"/>
    <mergeCell ref="PJB6:PJD6"/>
    <mergeCell ref="PJE6:PJG6"/>
    <mergeCell ref="PJH6:PJJ6"/>
    <mergeCell ref="PJK6:PJM6"/>
    <mergeCell ref="PJN6:PJP6"/>
    <mergeCell ref="PIM6:PIO6"/>
    <mergeCell ref="PIP6:PIR6"/>
    <mergeCell ref="PIS6:PIU6"/>
    <mergeCell ref="PIV6:PIX6"/>
    <mergeCell ref="PIY6:PJA6"/>
    <mergeCell ref="PHX6:PHZ6"/>
    <mergeCell ref="PIA6:PIC6"/>
    <mergeCell ref="PID6:PIF6"/>
    <mergeCell ref="PIG6:PII6"/>
    <mergeCell ref="PIJ6:PIL6"/>
    <mergeCell ref="PPK6:PPM6"/>
    <mergeCell ref="PPN6:PPP6"/>
    <mergeCell ref="PPQ6:PPS6"/>
    <mergeCell ref="PPT6:PPV6"/>
    <mergeCell ref="PPW6:PPY6"/>
    <mergeCell ref="POV6:POX6"/>
    <mergeCell ref="POY6:PPA6"/>
    <mergeCell ref="PPB6:PPD6"/>
    <mergeCell ref="PPE6:PPG6"/>
    <mergeCell ref="PPH6:PPJ6"/>
    <mergeCell ref="POG6:POI6"/>
    <mergeCell ref="POJ6:POL6"/>
    <mergeCell ref="POM6:POO6"/>
    <mergeCell ref="POP6:POR6"/>
    <mergeCell ref="POS6:POU6"/>
    <mergeCell ref="PNR6:PNT6"/>
    <mergeCell ref="PNU6:PNW6"/>
    <mergeCell ref="PNX6:PNZ6"/>
    <mergeCell ref="POA6:POC6"/>
    <mergeCell ref="POD6:POF6"/>
    <mergeCell ref="PNC6:PNE6"/>
    <mergeCell ref="PNF6:PNH6"/>
    <mergeCell ref="PNI6:PNK6"/>
    <mergeCell ref="PNL6:PNN6"/>
    <mergeCell ref="PNO6:PNQ6"/>
    <mergeCell ref="PMN6:PMP6"/>
    <mergeCell ref="PMQ6:PMS6"/>
    <mergeCell ref="PMT6:PMV6"/>
    <mergeCell ref="PMW6:PMY6"/>
    <mergeCell ref="PMZ6:PNB6"/>
    <mergeCell ref="PLY6:PMA6"/>
    <mergeCell ref="PMB6:PMD6"/>
    <mergeCell ref="PME6:PMG6"/>
    <mergeCell ref="PMH6:PMJ6"/>
    <mergeCell ref="PMK6:PMM6"/>
    <mergeCell ref="PTL6:PTN6"/>
    <mergeCell ref="PTO6:PTQ6"/>
    <mergeCell ref="PTR6:PTT6"/>
    <mergeCell ref="PTU6:PTW6"/>
    <mergeCell ref="PTX6:PTZ6"/>
    <mergeCell ref="PSW6:PSY6"/>
    <mergeCell ref="PSZ6:PTB6"/>
    <mergeCell ref="PTC6:PTE6"/>
    <mergeCell ref="PTF6:PTH6"/>
    <mergeCell ref="PTI6:PTK6"/>
    <mergeCell ref="PSH6:PSJ6"/>
    <mergeCell ref="PSK6:PSM6"/>
    <mergeCell ref="PSN6:PSP6"/>
    <mergeCell ref="PSQ6:PSS6"/>
    <mergeCell ref="PST6:PSV6"/>
    <mergeCell ref="PRS6:PRU6"/>
    <mergeCell ref="PRV6:PRX6"/>
    <mergeCell ref="PRY6:PSA6"/>
    <mergeCell ref="PSB6:PSD6"/>
    <mergeCell ref="PSE6:PSG6"/>
    <mergeCell ref="PRD6:PRF6"/>
    <mergeCell ref="PRG6:PRI6"/>
    <mergeCell ref="PRJ6:PRL6"/>
    <mergeCell ref="PRM6:PRO6"/>
    <mergeCell ref="PRP6:PRR6"/>
    <mergeCell ref="PQO6:PQQ6"/>
    <mergeCell ref="PQR6:PQT6"/>
    <mergeCell ref="PQU6:PQW6"/>
    <mergeCell ref="PQX6:PQZ6"/>
    <mergeCell ref="PRA6:PRC6"/>
    <mergeCell ref="PPZ6:PQB6"/>
    <mergeCell ref="PQC6:PQE6"/>
    <mergeCell ref="PQF6:PQH6"/>
    <mergeCell ref="PQI6:PQK6"/>
    <mergeCell ref="PQL6:PQN6"/>
    <mergeCell ref="PXM6:PXO6"/>
    <mergeCell ref="PXP6:PXR6"/>
    <mergeCell ref="PXS6:PXU6"/>
    <mergeCell ref="PXV6:PXX6"/>
    <mergeCell ref="PXY6:PYA6"/>
    <mergeCell ref="PWX6:PWZ6"/>
    <mergeCell ref="PXA6:PXC6"/>
    <mergeCell ref="PXD6:PXF6"/>
    <mergeCell ref="PXG6:PXI6"/>
    <mergeCell ref="PXJ6:PXL6"/>
    <mergeCell ref="PWI6:PWK6"/>
    <mergeCell ref="PWL6:PWN6"/>
    <mergeCell ref="PWO6:PWQ6"/>
    <mergeCell ref="PWR6:PWT6"/>
    <mergeCell ref="PWU6:PWW6"/>
    <mergeCell ref="PVT6:PVV6"/>
    <mergeCell ref="PVW6:PVY6"/>
    <mergeCell ref="PVZ6:PWB6"/>
    <mergeCell ref="PWC6:PWE6"/>
    <mergeCell ref="PWF6:PWH6"/>
    <mergeCell ref="PVE6:PVG6"/>
    <mergeCell ref="PVH6:PVJ6"/>
    <mergeCell ref="PVK6:PVM6"/>
    <mergeCell ref="PVN6:PVP6"/>
    <mergeCell ref="PVQ6:PVS6"/>
    <mergeCell ref="PUP6:PUR6"/>
    <mergeCell ref="PUS6:PUU6"/>
    <mergeCell ref="PUV6:PUX6"/>
    <mergeCell ref="PUY6:PVA6"/>
    <mergeCell ref="PVB6:PVD6"/>
    <mergeCell ref="PUA6:PUC6"/>
    <mergeCell ref="PUD6:PUF6"/>
    <mergeCell ref="PUG6:PUI6"/>
    <mergeCell ref="PUJ6:PUL6"/>
    <mergeCell ref="PUM6:PUO6"/>
    <mergeCell ref="QBN6:QBP6"/>
    <mergeCell ref="QBQ6:QBS6"/>
    <mergeCell ref="QBT6:QBV6"/>
    <mergeCell ref="QBW6:QBY6"/>
    <mergeCell ref="QBZ6:QCB6"/>
    <mergeCell ref="QAY6:QBA6"/>
    <mergeCell ref="QBB6:QBD6"/>
    <mergeCell ref="QBE6:QBG6"/>
    <mergeCell ref="QBH6:QBJ6"/>
    <mergeCell ref="QBK6:QBM6"/>
    <mergeCell ref="QAJ6:QAL6"/>
    <mergeCell ref="QAM6:QAO6"/>
    <mergeCell ref="QAP6:QAR6"/>
    <mergeCell ref="QAS6:QAU6"/>
    <mergeCell ref="QAV6:QAX6"/>
    <mergeCell ref="PZU6:PZW6"/>
    <mergeCell ref="PZX6:PZZ6"/>
    <mergeCell ref="QAA6:QAC6"/>
    <mergeCell ref="QAD6:QAF6"/>
    <mergeCell ref="QAG6:QAI6"/>
    <mergeCell ref="PZF6:PZH6"/>
    <mergeCell ref="PZI6:PZK6"/>
    <mergeCell ref="PZL6:PZN6"/>
    <mergeCell ref="PZO6:PZQ6"/>
    <mergeCell ref="PZR6:PZT6"/>
    <mergeCell ref="PYQ6:PYS6"/>
    <mergeCell ref="PYT6:PYV6"/>
    <mergeCell ref="PYW6:PYY6"/>
    <mergeCell ref="PYZ6:PZB6"/>
    <mergeCell ref="PZC6:PZE6"/>
    <mergeCell ref="PYB6:PYD6"/>
    <mergeCell ref="PYE6:PYG6"/>
    <mergeCell ref="PYH6:PYJ6"/>
    <mergeCell ref="PYK6:PYM6"/>
    <mergeCell ref="PYN6:PYP6"/>
    <mergeCell ref="QFO6:QFQ6"/>
    <mergeCell ref="QFR6:QFT6"/>
    <mergeCell ref="QFU6:QFW6"/>
    <mergeCell ref="QFX6:QFZ6"/>
    <mergeCell ref="QGA6:QGC6"/>
    <mergeCell ref="QEZ6:QFB6"/>
    <mergeCell ref="QFC6:QFE6"/>
    <mergeCell ref="QFF6:QFH6"/>
    <mergeCell ref="QFI6:QFK6"/>
    <mergeCell ref="QFL6:QFN6"/>
    <mergeCell ref="QEK6:QEM6"/>
    <mergeCell ref="QEN6:QEP6"/>
    <mergeCell ref="QEQ6:QES6"/>
    <mergeCell ref="QET6:QEV6"/>
    <mergeCell ref="QEW6:QEY6"/>
    <mergeCell ref="QDV6:QDX6"/>
    <mergeCell ref="QDY6:QEA6"/>
    <mergeCell ref="QEB6:QED6"/>
    <mergeCell ref="QEE6:QEG6"/>
    <mergeCell ref="QEH6:QEJ6"/>
    <mergeCell ref="QDG6:QDI6"/>
    <mergeCell ref="QDJ6:QDL6"/>
    <mergeCell ref="QDM6:QDO6"/>
    <mergeCell ref="QDP6:QDR6"/>
    <mergeCell ref="QDS6:QDU6"/>
    <mergeCell ref="QCR6:QCT6"/>
    <mergeCell ref="QCU6:QCW6"/>
    <mergeCell ref="QCX6:QCZ6"/>
    <mergeCell ref="QDA6:QDC6"/>
    <mergeCell ref="QDD6:QDF6"/>
    <mergeCell ref="QCC6:QCE6"/>
    <mergeCell ref="QCF6:QCH6"/>
    <mergeCell ref="QCI6:QCK6"/>
    <mergeCell ref="QCL6:QCN6"/>
    <mergeCell ref="QCO6:QCQ6"/>
    <mergeCell ref="QJP6:QJR6"/>
    <mergeCell ref="QJS6:QJU6"/>
    <mergeCell ref="QJV6:QJX6"/>
    <mergeCell ref="QJY6:QKA6"/>
    <mergeCell ref="QKB6:QKD6"/>
    <mergeCell ref="QJA6:QJC6"/>
    <mergeCell ref="QJD6:QJF6"/>
    <mergeCell ref="QJG6:QJI6"/>
    <mergeCell ref="QJJ6:QJL6"/>
    <mergeCell ref="QJM6:QJO6"/>
    <mergeCell ref="QIL6:QIN6"/>
    <mergeCell ref="QIO6:QIQ6"/>
    <mergeCell ref="QIR6:QIT6"/>
    <mergeCell ref="QIU6:QIW6"/>
    <mergeCell ref="QIX6:QIZ6"/>
    <mergeCell ref="QHW6:QHY6"/>
    <mergeCell ref="QHZ6:QIB6"/>
    <mergeCell ref="QIC6:QIE6"/>
    <mergeCell ref="QIF6:QIH6"/>
    <mergeCell ref="QII6:QIK6"/>
    <mergeCell ref="QHH6:QHJ6"/>
    <mergeCell ref="QHK6:QHM6"/>
    <mergeCell ref="QHN6:QHP6"/>
    <mergeCell ref="QHQ6:QHS6"/>
    <mergeCell ref="QHT6:QHV6"/>
    <mergeCell ref="QGS6:QGU6"/>
    <mergeCell ref="QGV6:QGX6"/>
    <mergeCell ref="QGY6:QHA6"/>
    <mergeCell ref="QHB6:QHD6"/>
    <mergeCell ref="QHE6:QHG6"/>
    <mergeCell ref="QGD6:QGF6"/>
    <mergeCell ref="QGG6:QGI6"/>
    <mergeCell ref="QGJ6:QGL6"/>
    <mergeCell ref="QGM6:QGO6"/>
    <mergeCell ref="QGP6:QGR6"/>
    <mergeCell ref="QNQ6:QNS6"/>
    <mergeCell ref="QNT6:QNV6"/>
    <mergeCell ref="QNW6:QNY6"/>
    <mergeCell ref="QNZ6:QOB6"/>
    <mergeCell ref="QOC6:QOE6"/>
    <mergeCell ref="QNB6:QND6"/>
    <mergeCell ref="QNE6:QNG6"/>
    <mergeCell ref="QNH6:QNJ6"/>
    <mergeCell ref="QNK6:QNM6"/>
    <mergeCell ref="QNN6:QNP6"/>
    <mergeCell ref="QMM6:QMO6"/>
    <mergeCell ref="QMP6:QMR6"/>
    <mergeCell ref="QMS6:QMU6"/>
    <mergeCell ref="QMV6:QMX6"/>
    <mergeCell ref="QMY6:QNA6"/>
    <mergeCell ref="QLX6:QLZ6"/>
    <mergeCell ref="QMA6:QMC6"/>
    <mergeCell ref="QMD6:QMF6"/>
    <mergeCell ref="QMG6:QMI6"/>
    <mergeCell ref="QMJ6:QML6"/>
    <mergeCell ref="QLI6:QLK6"/>
    <mergeCell ref="QLL6:QLN6"/>
    <mergeCell ref="QLO6:QLQ6"/>
    <mergeCell ref="QLR6:QLT6"/>
    <mergeCell ref="QLU6:QLW6"/>
    <mergeCell ref="QKT6:QKV6"/>
    <mergeCell ref="QKW6:QKY6"/>
    <mergeCell ref="QKZ6:QLB6"/>
    <mergeCell ref="QLC6:QLE6"/>
    <mergeCell ref="QLF6:QLH6"/>
    <mergeCell ref="QKE6:QKG6"/>
    <mergeCell ref="QKH6:QKJ6"/>
    <mergeCell ref="QKK6:QKM6"/>
    <mergeCell ref="QKN6:QKP6"/>
    <mergeCell ref="QKQ6:QKS6"/>
    <mergeCell ref="QRR6:QRT6"/>
    <mergeCell ref="QRU6:QRW6"/>
    <mergeCell ref="QRX6:QRZ6"/>
    <mergeCell ref="QSA6:QSC6"/>
    <mergeCell ref="QSD6:QSF6"/>
    <mergeCell ref="QRC6:QRE6"/>
    <mergeCell ref="QRF6:QRH6"/>
    <mergeCell ref="QRI6:QRK6"/>
    <mergeCell ref="QRL6:QRN6"/>
    <mergeCell ref="QRO6:QRQ6"/>
    <mergeCell ref="QQN6:QQP6"/>
    <mergeCell ref="QQQ6:QQS6"/>
    <mergeCell ref="QQT6:QQV6"/>
    <mergeCell ref="QQW6:QQY6"/>
    <mergeCell ref="QQZ6:QRB6"/>
    <mergeCell ref="QPY6:QQA6"/>
    <mergeCell ref="QQB6:QQD6"/>
    <mergeCell ref="QQE6:QQG6"/>
    <mergeCell ref="QQH6:QQJ6"/>
    <mergeCell ref="QQK6:QQM6"/>
    <mergeCell ref="QPJ6:QPL6"/>
    <mergeCell ref="QPM6:QPO6"/>
    <mergeCell ref="QPP6:QPR6"/>
    <mergeCell ref="QPS6:QPU6"/>
    <mergeCell ref="QPV6:QPX6"/>
    <mergeCell ref="QOU6:QOW6"/>
    <mergeCell ref="QOX6:QOZ6"/>
    <mergeCell ref="QPA6:QPC6"/>
    <mergeCell ref="QPD6:QPF6"/>
    <mergeCell ref="QPG6:QPI6"/>
    <mergeCell ref="QOF6:QOH6"/>
    <mergeCell ref="QOI6:QOK6"/>
    <mergeCell ref="QOL6:QON6"/>
    <mergeCell ref="QOO6:QOQ6"/>
    <mergeCell ref="QOR6:QOT6"/>
    <mergeCell ref="QVS6:QVU6"/>
    <mergeCell ref="QVV6:QVX6"/>
    <mergeCell ref="QVY6:QWA6"/>
    <mergeCell ref="QWB6:QWD6"/>
    <mergeCell ref="QWE6:QWG6"/>
    <mergeCell ref="QVD6:QVF6"/>
    <mergeCell ref="QVG6:QVI6"/>
    <mergeCell ref="QVJ6:QVL6"/>
    <mergeCell ref="QVM6:QVO6"/>
    <mergeCell ref="QVP6:QVR6"/>
    <mergeCell ref="QUO6:QUQ6"/>
    <mergeCell ref="QUR6:QUT6"/>
    <mergeCell ref="QUU6:QUW6"/>
    <mergeCell ref="QUX6:QUZ6"/>
    <mergeCell ref="QVA6:QVC6"/>
    <mergeCell ref="QTZ6:QUB6"/>
    <mergeCell ref="QUC6:QUE6"/>
    <mergeCell ref="QUF6:QUH6"/>
    <mergeCell ref="QUI6:QUK6"/>
    <mergeCell ref="QUL6:QUN6"/>
    <mergeCell ref="QTK6:QTM6"/>
    <mergeCell ref="QTN6:QTP6"/>
    <mergeCell ref="QTQ6:QTS6"/>
    <mergeCell ref="QTT6:QTV6"/>
    <mergeCell ref="QTW6:QTY6"/>
    <mergeCell ref="QSV6:QSX6"/>
    <mergeCell ref="QSY6:QTA6"/>
    <mergeCell ref="QTB6:QTD6"/>
    <mergeCell ref="QTE6:QTG6"/>
    <mergeCell ref="QTH6:QTJ6"/>
    <mergeCell ref="QSG6:QSI6"/>
    <mergeCell ref="QSJ6:QSL6"/>
    <mergeCell ref="QSM6:QSO6"/>
    <mergeCell ref="QSP6:QSR6"/>
    <mergeCell ref="QSS6:QSU6"/>
    <mergeCell ref="QZT6:QZV6"/>
    <mergeCell ref="QZW6:QZY6"/>
    <mergeCell ref="QZZ6:RAB6"/>
    <mergeCell ref="RAC6:RAE6"/>
    <mergeCell ref="RAF6:RAH6"/>
    <mergeCell ref="QZE6:QZG6"/>
    <mergeCell ref="QZH6:QZJ6"/>
    <mergeCell ref="QZK6:QZM6"/>
    <mergeCell ref="QZN6:QZP6"/>
    <mergeCell ref="QZQ6:QZS6"/>
    <mergeCell ref="QYP6:QYR6"/>
    <mergeCell ref="QYS6:QYU6"/>
    <mergeCell ref="QYV6:QYX6"/>
    <mergeCell ref="QYY6:QZA6"/>
    <mergeCell ref="QZB6:QZD6"/>
    <mergeCell ref="QYA6:QYC6"/>
    <mergeCell ref="QYD6:QYF6"/>
    <mergeCell ref="QYG6:QYI6"/>
    <mergeCell ref="QYJ6:QYL6"/>
    <mergeCell ref="QYM6:QYO6"/>
    <mergeCell ref="QXL6:QXN6"/>
    <mergeCell ref="QXO6:QXQ6"/>
    <mergeCell ref="QXR6:QXT6"/>
    <mergeCell ref="QXU6:QXW6"/>
    <mergeCell ref="QXX6:QXZ6"/>
    <mergeCell ref="QWW6:QWY6"/>
    <mergeCell ref="QWZ6:QXB6"/>
    <mergeCell ref="QXC6:QXE6"/>
    <mergeCell ref="QXF6:QXH6"/>
    <mergeCell ref="QXI6:QXK6"/>
    <mergeCell ref="QWH6:QWJ6"/>
    <mergeCell ref="QWK6:QWM6"/>
    <mergeCell ref="QWN6:QWP6"/>
    <mergeCell ref="QWQ6:QWS6"/>
    <mergeCell ref="QWT6:QWV6"/>
    <mergeCell ref="RDU6:RDW6"/>
    <mergeCell ref="RDX6:RDZ6"/>
    <mergeCell ref="REA6:REC6"/>
    <mergeCell ref="RED6:REF6"/>
    <mergeCell ref="REG6:REI6"/>
    <mergeCell ref="RDF6:RDH6"/>
    <mergeCell ref="RDI6:RDK6"/>
    <mergeCell ref="RDL6:RDN6"/>
    <mergeCell ref="RDO6:RDQ6"/>
    <mergeCell ref="RDR6:RDT6"/>
    <mergeCell ref="RCQ6:RCS6"/>
    <mergeCell ref="RCT6:RCV6"/>
    <mergeCell ref="RCW6:RCY6"/>
    <mergeCell ref="RCZ6:RDB6"/>
    <mergeCell ref="RDC6:RDE6"/>
    <mergeCell ref="RCB6:RCD6"/>
    <mergeCell ref="RCE6:RCG6"/>
    <mergeCell ref="RCH6:RCJ6"/>
    <mergeCell ref="RCK6:RCM6"/>
    <mergeCell ref="RCN6:RCP6"/>
    <mergeCell ref="RBM6:RBO6"/>
    <mergeCell ref="RBP6:RBR6"/>
    <mergeCell ref="RBS6:RBU6"/>
    <mergeCell ref="RBV6:RBX6"/>
    <mergeCell ref="RBY6:RCA6"/>
    <mergeCell ref="RAX6:RAZ6"/>
    <mergeCell ref="RBA6:RBC6"/>
    <mergeCell ref="RBD6:RBF6"/>
    <mergeCell ref="RBG6:RBI6"/>
    <mergeCell ref="RBJ6:RBL6"/>
    <mergeCell ref="RAI6:RAK6"/>
    <mergeCell ref="RAL6:RAN6"/>
    <mergeCell ref="RAO6:RAQ6"/>
    <mergeCell ref="RAR6:RAT6"/>
    <mergeCell ref="RAU6:RAW6"/>
    <mergeCell ref="RHV6:RHX6"/>
    <mergeCell ref="RHY6:RIA6"/>
    <mergeCell ref="RIB6:RID6"/>
    <mergeCell ref="RIE6:RIG6"/>
    <mergeCell ref="RIH6:RIJ6"/>
    <mergeCell ref="RHG6:RHI6"/>
    <mergeCell ref="RHJ6:RHL6"/>
    <mergeCell ref="RHM6:RHO6"/>
    <mergeCell ref="RHP6:RHR6"/>
    <mergeCell ref="RHS6:RHU6"/>
    <mergeCell ref="RGR6:RGT6"/>
    <mergeCell ref="RGU6:RGW6"/>
    <mergeCell ref="RGX6:RGZ6"/>
    <mergeCell ref="RHA6:RHC6"/>
    <mergeCell ref="RHD6:RHF6"/>
    <mergeCell ref="RGC6:RGE6"/>
    <mergeCell ref="RGF6:RGH6"/>
    <mergeCell ref="RGI6:RGK6"/>
    <mergeCell ref="RGL6:RGN6"/>
    <mergeCell ref="RGO6:RGQ6"/>
    <mergeCell ref="RFN6:RFP6"/>
    <mergeCell ref="RFQ6:RFS6"/>
    <mergeCell ref="RFT6:RFV6"/>
    <mergeCell ref="RFW6:RFY6"/>
    <mergeCell ref="RFZ6:RGB6"/>
    <mergeCell ref="REY6:RFA6"/>
    <mergeCell ref="RFB6:RFD6"/>
    <mergeCell ref="RFE6:RFG6"/>
    <mergeCell ref="RFH6:RFJ6"/>
    <mergeCell ref="RFK6:RFM6"/>
    <mergeCell ref="REJ6:REL6"/>
    <mergeCell ref="REM6:REO6"/>
    <mergeCell ref="REP6:RER6"/>
    <mergeCell ref="RES6:REU6"/>
    <mergeCell ref="REV6:REX6"/>
    <mergeCell ref="RLW6:RLY6"/>
    <mergeCell ref="RLZ6:RMB6"/>
    <mergeCell ref="RMC6:RME6"/>
    <mergeCell ref="RMF6:RMH6"/>
    <mergeCell ref="RMI6:RMK6"/>
    <mergeCell ref="RLH6:RLJ6"/>
    <mergeCell ref="RLK6:RLM6"/>
    <mergeCell ref="RLN6:RLP6"/>
    <mergeCell ref="RLQ6:RLS6"/>
    <mergeCell ref="RLT6:RLV6"/>
    <mergeCell ref="RKS6:RKU6"/>
    <mergeCell ref="RKV6:RKX6"/>
    <mergeCell ref="RKY6:RLA6"/>
    <mergeCell ref="RLB6:RLD6"/>
    <mergeCell ref="RLE6:RLG6"/>
    <mergeCell ref="RKD6:RKF6"/>
    <mergeCell ref="RKG6:RKI6"/>
    <mergeCell ref="RKJ6:RKL6"/>
    <mergeCell ref="RKM6:RKO6"/>
    <mergeCell ref="RKP6:RKR6"/>
    <mergeCell ref="RJO6:RJQ6"/>
    <mergeCell ref="RJR6:RJT6"/>
    <mergeCell ref="RJU6:RJW6"/>
    <mergeCell ref="RJX6:RJZ6"/>
    <mergeCell ref="RKA6:RKC6"/>
    <mergeCell ref="RIZ6:RJB6"/>
    <mergeCell ref="RJC6:RJE6"/>
    <mergeCell ref="RJF6:RJH6"/>
    <mergeCell ref="RJI6:RJK6"/>
    <mergeCell ref="RJL6:RJN6"/>
    <mergeCell ref="RIK6:RIM6"/>
    <mergeCell ref="RIN6:RIP6"/>
    <mergeCell ref="RIQ6:RIS6"/>
    <mergeCell ref="RIT6:RIV6"/>
    <mergeCell ref="RIW6:RIY6"/>
    <mergeCell ref="RPX6:RPZ6"/>
    <mergeCell ref="RQA6:RQC6"/>
    <mergeCell ref="RQD6:RQF6"/>
    <mergeCell ref="RQG6:RQI6"/>
    <mergeCell ref="RQJ6:RQL6"/>
    <mergeCell ref="RPI6:RPK6"/>
    <mergeCell ref="RPL6:RPN6"/>
    <mergeCell ref="RPO6:RPQ6"/>
    <mergeCell ref="RPR6:RPT6"/>
    <mergeCell ref="RPU6:RPW6"/>
    <mergeCell ref="ROT6:ROV6"/>
    <mergeCell ref="ROW6:ROY6"/>
    <mergeCell ref="ROZ6:RPB6"/>
    <mergeCell ref="RPC6:RPE6"/>
    <mergeCell ref="RPF6:RPH6"/>
    <mergeCell ref="ROE6:ROG6"/>
    <mergeCell ref="ROH6:ROJ6"/>
    <mergeCell ref="ROK6:ROM6"/>
    <mergeCell ref="RON6:ROP6"/>
    <mergeCell ref="ROQ6:ROS6"/>
    <mergeCell ref="RNP6:RNR6"/>
    <mergeCell ref="RNS6:RNU6"/>
    <mergeCell ref="RNV6:RNX6"/>
    <mergeCell ref="RNY6:ROA6"/>
    <mergeCell ref="ROB6:ROD6"/>
    <mergeCell ref="RNA6:RNC6"/>
    <mergeCell ref="RND6:RNF6"/>
    <mergeCell ref="RNG6:RNI6"/>
    <mergeCell ref="RNJ6:RNL6"/>
    <mergeCell ref="RNM6:RNO6"/>
    <mergeCell ref="RML6:RMN6"/>
    <mergeCell ref="RMO6:RMQ6"/>
    <mergeCell ref="RMR6:RMT6"/>
    <mergeCell ref="RMU6:RMW6"/>
    <mergeCell ref="RMX6:RMZ6"/>
    <mergeCell ref="RTY6:RUA6"/>
    <mergeCell ref="RUB6:RUD6"/>
    <mergeCell ref="RUE6:RUG6"/>
    <mergeCell ref="RUH6:RUJ6"/>
    <mergeCell ref="RUK6:RUM6"/>
    <mergeCell ref="RTJ6:RTL6"/>
    <mergeCell ref="RTM6:RTO6"/>
    <mergeCell ref="RTP6:RTR6"/>
    <mergeCell ref="RTS6:RTU6"/>
    <mergeCell ref="RTV6:RTX6"/>
    <mergeCell ref="RSU6:RSW6"/>
    <mergeCell ref="RSX6:RSZ6"/>
    <mergeCell ref="RTA6:RTC6"/>
    <mergeCell ref="RTD6:RTF6"/>
    <mergeCell ref="RTG6:RTI6"/>
    <mergeCell ref="RSF6:RSH6"/>
    <mergeCell ref="RSI6:RSK6"/>
    <mergeCell ref="RSL6:RSN6"/>
    <mergeCell ref="RSO6:RSQ6"/>
    <mergeCell ref="RSR6:RST6"/>
    <mergeCell ref="RRQ6:RRS6"/>
    <mergeCell ref="RRT6:RRV6"/>
    <mergeCell ref="RRW6:RRY6"/>
    <mergeCell ref="RRZ6:RSB6"/>
    <mergeCell ref="RSC6:RSE6"/>
    <mergeCell ref="RRB6:RRD6"/>
    <mergeCell ref="RRE6:RRG6"/>
    <mergeCell ref="RRH6:RRJ6"/>
    <mergeCell ref="RRK6:RRM6"/>
    <mergeCell ref="RRN6:RRP6"/>
    <mergeCell ref="RQM6:RQO6"/>
    <mergeCell ref="RQP6:RQR6"/>
    <mergeCell ref="RQS6:RQU6"/>
    <mergeCell ref="RQV6:RQX6"/>
    <mergeCell ref="RQY6:RRA6"/>
    <mergeCell ref="RXZ6:RYB6"/>
    <mergeCell ref="RYC6:RYE6"/>
    <mergeCell ref="RYF6:RYH6"/>
    <mergeCell ref="RYI6:RYK6"/>
    <mergeCell ref="RYL6:RYN6"/>
    <mergeCell ref="RXK6:RXM6"/>
    <mergeCell ref="RXN6:RXP6"/>
    <mergeCell ref="RXQ6:RXS6"/>
    <mergeCell ref="RXT6:RXV6"/>
    <mergeCell ref="RXW6:RXY6"/>
    <mergeCell ref="RWV6:RWX6"/>
    <mergeCell ref="RWY6:RXA6"/>
    <mergeCell ref="RXB6:RXD6"/>
    <mergeCell ref="RXE6:RXG6"/>
    <mergeCell ref="RXH6:RXJ6"/>
    <mergeCell ref="RWG6:RWI6"/>
    <mergeCell ref="RWJ6:RWL6"/>
    <mergeCell ref="RWM6:RWO6"/>
    <mergeCell ref="RWP6:RWR6"/>
    <mergeCell ref="RWS6:RWU6"/>
    <mergeCell ref="RVR6:RVT6"/>
    <mergeCell ref="RVU6:RVW6"/>
    <mergeCell ref="RVX6:RVZ6"/>
    <mergeCell ref="RWA6:RWC6"/>
    <mergeCell ref="RWD6:RWF6"/>
    <mergeCell ref="RVC6:RVE6"/>
    <mergeCell ref="RVF6:RVH6"/>
    <mergeCell ref="RVI6:RVK6"/>
    <mergeCell ref="RVL6:RVN6"/>
    <mergeCell ref="RVO6:RVQ6"/>
    <mergeCell ref="RUN6:RUP6"/>
    <mergeCell ref="RUQ6:RUS6"/>
    <mergeCell ref="RUT6:RUV6"/>
    <mergeCell ref="RUW6:RUY6"/>
    <mergeCell ref="RUZ6:RVB6"/>
    <mergeCell ref="SCA6:SCC6"/>
    <mergeCell ref="SCD6:SCF6"/>
    <mergeCell ref="SCG6:SCI6"/>
    <mergeCell ref="SCJ6:SCL6"/>
    <mergeCell ref="SCM6:SCO6"/>
    <mergeCell ref="SBL6:SBN6"/>
    <mergeCell ref="SBO6:SBQ6"/>
    <mergeCell ref="SBR6:SBT6"/>
    <mergeCell ref="SBU6:SBW6"/>
    <mergeCell ref="SBX6:SBZ6"/>
    <mergeCell ref="SAW6:SAY6"/>
    <mergeCell ref="SAZ6:SBB6"/>
    <mergeCell ref="SBC6:SBE6"/>
    <mergeCell ref="SBF6:SBH6"/>
    <mergeCell ref="SBI6:SBK6"/>
    <mergeCell ref="SAH6:SAJ6"/>
    <mergeCell ref="SAK6:SAM6"/>
    <mergeCell ref="SAN6:SAP6"/>
    <mergeCell ref="SAQ6:SAS6"/>
    <mergeCell ref="SAT6:SAV6"/>
    <mergeCell ref="RZS6:RZU6"/>
    <mergeCell ref="RZV6:RZX6"/>
    <mergeCell ref="RZY6:SAA6"/>
    <mergeCell ref="SAB6:SAD6"/>
    <mergeCell ref="SAE6:SAG6"/>
    <mergeCell ref="RZD6:RZF6"/>
    <mergeCell ref="RZG6:RZI6"/>
    <mergeCell ref="RZJ6:RZL6"/>
    <mergeCell ref="RZM6:RZO6"/>
    <mergeCell ref="RZP6:RZR6"/>
    <mergeCell ref="RYO6:RYQ6"/>
    <mergeCell ref="RYR6:RYT6"/>
    <mergeCell ref="RYU6:RYW6"/>
    <mergeCell ref="RYX6:RYZ6"/>
    <mergeCell ref="RZA6:RZC6"/>
    <mergeCell ref="SGB6:SGD6"/>
    <mergeCell ref="SGE6:SGG6"/>
    <mergeCell ref="SGH6:SGJ6"/>
    <mergeCell ref="SGK6:SGM6"/>
    <mergeCell ref="SGN6:SGP6"/>
    <mergeCell ref="SFM6:SFO6"/>
    <mergeCell ref="SFP6:SFR6"/>
    <mergeCell ref="SFS6:SFU6"/>
    <mergeCell ref="SFV6:SFX6"/>
    <mergeCell ref="SFY6:SGA6"/>
    <mergeCell ref="SEX6:SEZ6"/>
    <mergeCell ref="SFA6:SFC6"/>
    <mergeCell ref="SFD6:SFF6"/>
    <mergeCell ref="SFG6:SFI6"/>
    <mergeCell ref="SFJ6:SFL6"/>
    <mergeCell ref="SEI6:SEK6"/>
    <mergeCell ref="SEL6:SEN6"/>
    <mergeCell ref="SEO6:SEQ6"/>
    <mergeCell ref="SER6:SET6"/>
    <mergeCell ref="SEU6:SEW6"/>
    <mergeCell ref="SDT6:SDV6"/>
    <mergeCell ref="SDW6:SDY6"/>
    <mergeCell ref="SDZ6:SEB6"/>
    <mergeCell ref="SEC6:SEE6"/>
    <mergeCell ref="SEF6:SEH6"/>
    <mergeCell ref="SDE6:SDG6"/>
    <mergeCell ref="SDH6:SDJ6"/>
    <mergeCell ref="SDK6:SDM6"/>
    <mergeCell ref="SDN6:SDP6"/>
    <mergeCell ref="SDQ6:SDS6"/>
    <mergeCell ref="SCP6:SCR6"/>
    <mergeCell ref="SCS6:SCU6"/>
    <mergeCell ref="SCV6:SCX6"/>
    <mergeCell ref="SCY6:SDA6"/>
    <mergeCell ref="SDB6:SDD6"/>
    <mergeCell ref="SKC6:SKE6"/>
    <mergeCell ref="SKF6:SKH6"/>
    <mergeCell ref="SKI6:SKK6"/>
    <mergeCell ref="SKL6:SKN6"/>
    <mergeCell ref="SKO6:SKQ6"/>
    <mergeCell ref="SJN6:SJP6"/>
    <mergeCell ref="SJQ6:SJS6"/>
    <mergeCell ref="SJT6:SJV6"/>
    <mergeCell ref="SJW6:SJY6"/>
    <mergeCell ref="SJZ6:SKB6"/>
    <mergeCell ref="SIY6:SJA6"/>
    <mergeCell ref="SJB6:SJD6"/>
    <mergeCell ref="SJE6:SJG6"/>
    <mergeCell ref="SJH6:SJJ6"/>
    <mergeCell ref="SJK6:SJM6"/>
    <mergeCell ref="SIJ6:SIL6"/>
    <mergeCell ref="SIM6:SIO6"/>
    <mergeCell ref="SIP6:SIR6"/>
    <mergeCell ref="SIS6:SIU6"/>
    <mergeCell ref="SIV6:SIX6"/>
    <mergeCell ref="SHU6:SHW6"/>
    <mergeCell ref="SHX6:SHZ6"/>
    <mergeCell ref="SIA6:SIC6"/>
    <mergeCell ref="SID6:SIF6"/>
    <mergeCell ref="SIG6:SII6"/>
    <mergeCell ref="SHF6:SHH6"/>
    <mergeCell ref="SHI6:SHK6"/>
    <mergeCell ref="SHL6:SHN6"/>
    <mergeCell ref="SHO6:SHQ6"/>
    <mergeCell ref="SHR6:SHT6"/>
    <mergeCell ref="SGQ6:SGS6"/>
    <mergeCell ref="SGT6:SGV6"/>
    <mergeCell ref="SGW6:SGY6"/>
    <mergeCell ref="SGZ6:SHB6"/>
    <mergeCell ref="SHC6:SHE6"/>
    <mergeCell ref="SOD6:SOF6"/>
    <mergeCell ref="SOG6:SOI6"/>
    <mergeCell ref="SOJ6:SOL6"/>
    <mergeCell ref="SOM6:SOO6"/>
    <mergeCell ref="SOP6:SOR6"/>
    <mergeCell ref="SNO6:SNQ6"/>
    <mergeCell ref="SNR6:SNT6"/>
    <mergeCell ref="SNU6:SNW6"/>
    <mergeCell ref="SNX6:SNZ6"/>
    <mergeCell ref="SOA6:SOC6"/>
    <mergeCell ref="SMZ6:SNB6"/>
    <mergeCell ref="SNC6:SNE6"/>
    <mergeCell ref="SNF6:SNH6"/>
    <mergeCell ref="SNI6:SNK6"/>
    <mergeCell ref="SNL6:SNN6"/>
    <mergeCell ref="SMK6:SMM6"/>
    <mergeCell ref="SMN6:SMP6"/>
    <mergeCell ref="SMQ6:SMS6"/>
    <mergeCell ref="SMT6:SMV6"/>
    <mergeCell ref="SMW6:SMY6"/>
    <mergeCell ref="SLV6:SLX6"/>
    <mergeCell ref="SLY6:SMA6"/>
    <mergeCell ref="SMB6:SMD6"/>
    <mergeCell ref="SME6:SMG6"/>
    <mergeCell ref="SMH6:SMJ6"/>
    <mergeCell ref="SLG6:SLI6"/>
    <mergeCell ref="SLJ6:SLL6"/>
    <mergeCell ref="SLM6:SLO6"/>
    <mergeCell ref="SLP6:SLR6"/>
    <mergeCell ref="SLS6:SLU6"/>
    <mergeCell ref="SKR6:SKT6"/>
    <mergeCell ref="SKU6:SKW6"/>
    <mergeCell ref="SKX6:SKZ6"/>
    <mergeCell ref="SLA6:SLC6"/>
    <mergeCell ref="SLD6:SLF6"/>
    <mergeCell ref="SSE6:SSG6"/>
    <mergeCell ref="SSH6:SSJ6"/>
    <mergeCell ref="SSK6:SSM6"/>
    <mergeCell ref="SSN6:SSP6"/>
    <mergeCell ref="SSQ6:SSS6"/>
    <mergeCell ref="SRP6:SRR6"/>
    <mergeCell ref="SRS6:SRU6"/>
    <mergeCell ref="SRV6:SRX6"/>
    <mergeCell ref="SRY6:SSA6"/>
    <mergeCell ref="SSB6:SSD6"/>
    <mergeCell ref="SRA6:SRC6"/>
    <mergeCell ref="SRD6:SRF6"/>
    <mergeCell ref="SRG6:SRI6"/>
    <mergeCell ref="SRJ6:SRL6"/>
    <mergeCell ref="SRM6:SRO6"/>
    <mergeCell ref="SQL6:SQN6"/>
    <mergeCell ref="SQO6:SQQ6"/>
    <mergeCell ref="SQR6:SQT6"/>
    <mergeCell ref="SQU6:SQW6"/>
    <mergeCell ref="SQX6:SQZ6"/>
    <mergeCell ref="SPW6:SPY6"/>
    <mergeCell ref="SPZ6:SQB6"/>
    <mergeCell ref="SQC6:SQE6"/>
    <mergeCell ref="SQF6:SQH6"/>
    <mergeCell ref="SQI6:SQK6"/>
    <mergeCell ref="SPH6:SPJ6"/>
    <mergeCell ref="SPK6:SPM6"/>
    <mergeCell ref="SPN6:SPP6"/>
    <mergeCell ref="SPQ6:SPS6"/>
    <mergeCell ref="SPT6:SPV6"/>
    <mergeCell ref="SOS6:SOU6"/>
    <mergeCell ref="SOV6:SOX6"/>
    <mergeCell ref="SOY6:SPA6"/>
    <mergeCell ref="SPB6:SPD6"/>
    <mergeCell ref="SPE6:SPG6"/>
    <mergeCell ref="SWF6:SWH6"/>
    <mergeCell ref="SWI6:SWK6"/>
    <mergeCell ref="SWL6:SWN6"/>
    <mergeCell ref="SWO6:SWQ6"/>
    <mergeCell ref="SWR6:SWT6"/>
    <mergeCell ref="SVQ6:SVS6"/>
    <mergeCell ref="SVT6:SVV6"/>
    <mergeCell ref="SVW6:SVY6"/>
    <mergeCell ref="SVZ6:SWB6"/>
    <mergeCell ref="SWC6:SWE6"/>
    <mergeCell ref="SVB6:SVD6"/>
    <mergeCell ref="SVE6:SVG6"/>
    <mergeCell ref="SVH6:SVJ6"/>
    <mergeCell ref="SVK6:SVM6"/>
    <mergeCell ref="SVN6:SVP6"/>
    <mergeCell ref="SUM6:SUO6"/>
    <mergeCell ref="SUP6:SUR6"/>
    <mergeCell ref="SUS6:SUU6"/>
    <mergeCell ref="SUV6:SUX6"/>
    <mergeCell ref="SUY6:SVA6"/>
    <mergeCell ref="STX6:STZ6"/>
    <mergeCell ref="SUA6:SUC6"/>
    <mergeCell ref="SUD6:SUF6"/>
    <mergeCell ref="SUG6:SUI6"/>
    <mergeCell ref="SUJ6:SUL6"/>
    <mergeCell ref="STI6:STK6"/>
    <mergeCell ref="STL6:STN6"/>
    <mergeCell ref="STO6:STQ6"/>
    <mergeCell ref="STR6:STT6"/>
    <mergeCell ref="STU6:STW6"/>
    <mergeCell ref="SST6:SSV6"/>
    <mergeCell ref="SSW6:SSY6"/>
    <mergeCell ref="SSZ6:STB6"/>
    <mergeCell ref="STC6:STE6"/>
    <mergeCell ref="STF6:STH6"/>
    <mergeCell ref="TAG6:TAI6"/>
    <mergeCell ref="TAJ6:TAL6"/>
    <mergeCell ref="TAM6:TAO6"/>
    <mergeCell ref="TAP6:TAR6"/>
    <mergeCell ref="TAS6:TAU6"/>
    <mergeCell ref="SZR6:SZT6"/>
    <mergeCell ref="SZU6:SZW6"/>
    <mergeCell ref="SZX6:SZZ6"/>
    <mergeCell ref="TAA6:TAC6"/>
    <mergeCell ref="TAD6:TAF6"/>
    <mergeCell ref="SZC6:SZE6"/>
    <mergeCell ref="SZF6:SZH6"/>
    <mergeCell ref="SZI6:SZK6"/>
    <mergeCell ref="SZL6:SZN6"/>
    <mergeCell ref="SZO6:SZQ6"/>
    <mergeCell ref="SYN6:SYP6"/>
    <mergeCell ref="SYQ6:SYS6"/>
    <mergeCell ref="SYT6:SYV6"/>
    <mergeCell ref="SYW6:SYY6"/>
    <mergeCell ref="SYZ6:SZB6"/>
    <mergeCell ref="SXY6:SYA6"/>
    <mergeCell ref="SYB6:SYD6"/>
    <mergeCell ref="SYE6:SYG6"/>
    <mergeCell ref="SYH6:SYJ6"/>
    <mergeCell ref="SYK6:SYM6"/>
    <mergeCell ref="SXJ6:SXL6"/>
    <mergeCell ref="SXM6:SXO6"/>
    <mergeCell ref="SXP6:SXR6"/>
    <mergeCell ref="SXS6:SXU6"/>
    <mergeCell ref="SXV6:SXX6"/>
    <mergeCell ref="SWU6:SWW6"/>
    <mergeCell ref="SWX6:SWZ6"/>
    <mergeCell ref="SXA6:SXC6"/>
    <mergeCell ref="SXD6:SXF6"/>
    <mergeCell ref="SXG6:SXI6"/>
    <mergeCell ref="TEH6:TEJ6"/>
    <mergeCell ref="TEK6:TEM6"/>
    <mergeCell ref="TEN6:TEP6"/>
    <mergeCell ref="TEQ6:TES6"/>
    <mergeCell ref="TET6:TEV6"/>
    <mergeCell ref="TDS6:TDU6"/>
    <mergeCell ref="TDV6:TDX6"/>
    <mergeCell ref="TDY6:TEA6"/>
    <mergeCell ref="TEB6:TED6"/>
    <mergeCell ref="TEE6:TEG6"/>
    <mergeCell ref="TDD6:TDF6"/>
    <mergeCell ref="TDG6:TDI6"/>
    <mergeCell ref="TDJ6:TDL6"/>
    <mergeCell ref="TDM6:TDO6"/>
    <mergeCell ref="TDP6:TDR6"/>
    <mergeCell ref="TCO6:TCQ6"/>
    <mergeCell ref="TCR6:TCT6"/>
    <mergeCell ref="TCU6:TCW6"/>
    <mergeCell ref="TCX6:TCZ6"/>
    <mergeCell ref="TDA6:TDC6"/>
    <mergeCell ref="TBZ6:TCB6"/>
    <mergeCell ref="TCC6:TCE6"/>
    <mergeCell ref="TCF6:TCH6"/>
    <mergeCell ref="TCI6:TCK6"/>
    <mergeCell ref="TCL6:TCN6"/>
    <mergeCell ref="TBK6:TBM6"/>
    <mergeCell ref="TBN6:TBP6"/>
    <mergeCell ref="TBQ6:TBS6"/>
    <mergeCell ref="TBT6:TBV6"/>
    <mergeCell ref="TBW6:TBY6"/>
    <mergeCell ref="TAV6:TAX6"/>
    <mergeCell ref="TAY6:TBA6"/>
    <mergeCell ref="TBB6:TBD6"/>
    <mergeCell ref="TBE6:TBG6"/>
    <mergeCell ref="TBH6:TBJ6"/>
    <mergeCell ref="TII6:TIK6"/>
    <mergeCell ref="TIL6:TIN6"/>
    <mergeCell ref="TIO6:TIQ6"/>
    <mergeCell ref="TIR6:TIT6"/>
    <mergeCell ref="TIU6:TIW6"/>
    <mergeCell ref="THT6:THV6"/>
    <mergeCell ref="THW6:THY6"/>
    <mergeCell ref="THZ6:TIB6"/>
    <mergeCell ref="TIC6:TIE6"/>
    <mergeCell ref="TIF6:TIH6"/>
    <mergeCell ref="THE6:THG6"/>
    <mergeCell ref="THH6:THJ6"/>
    <mergeCell ref="THK6:THM6"/>
    <mergeCell ref="THN6:THP6"/>
    <mergeCell ref="THQ6:THS6"/>
    <mergeCell ref="TGP6:TGR6"/>
    <mergeCell ref="TGS6:TGU6"/>
    <mergeCell ref="TGV6:TGX6"/>
    <mergeCell ref="TGY6:THA6"/>
    <mergeCell ref="THB6:THD6"/>
    <mergeCell ref="TGA6:TGC6"/>
    <mergeCell ref="TGD6:TGF6"/>
    <mergeCell ref="TGG6:TGI6"/>
    <mergeCell ref="TGJ6:TGL6"/>
    <mergeCell ref="TGM6:TGO6"/>
    <mergeCell ref="TFL6:TFN6"/>
    <mergeCell ref="TFO6:TFQ6"/>
    <mergeCell ref="TFR6:TFT6"/>
    <mergeCell ref="TFU6:TFW6"/>
    <mergeCell ref="TFX6:TFZ6"/>
    <mergeCell ref="TEW6:TEY6"/>
    <mergeCell ref="TEZ6:TFB6"/>
    <mergeCell ref="TFC6:TFE6"/>
    <mergeCell ref="TFF6:TFH6"/>
    <mergeCell ref="TFI6:TFK6"/>
    <mergeCell ref="TMJ6:TML6"/>
    <mergeCell ref="TMM6:TMO6"/>
    <mergeCell ref="TMP6:TMR6"/>
    <mergeCell ref="TMS6:TMU6"/>
    <mergeCell ref="TMV6:TMX6"/>
    <mergeCell ref="TLU6:TLW6"/>
    <mergeCell ref="TLX6:TLZ6"/>
    <mergeCell ref="TMA6:TMC6"/>
    <mergeCell ref="TMD6:TMF6"/>
    <mergeCell ref="TMG6:TMI6"/>
    <mergeCell ref="TLF6:TLH6"/>
    <mergeCell ref="TLI6:TLK6"/>
    <mergeCell ref="TLL6:TLN6"/>
    <mergeCell ref="TLO6:TLQ6"/>
    <mergeCell ref="TLR6:TLT6"/>
    <mergeCell ref="TKQ6:TKS6"/>
    <mergeCell ref="TKT6:TKV6"/>
    <mergeCell ref="TKW6:TKY6"/>
    <mergeCell ref="TKZ6:TLB6"/>
    <mergeCell ref="TLC6:TLE6"/>
    <mergeCell ref="TKB6:TKD6"/>
    <mergeCell ref="TKE6:TKG6"/>
    <mergeCell ref="TKH6:TKJ6"/>
    <mergeCell ref="TKK6:TKM6"/>
    <mergeCell ref="TKN6:TKP6"/>
    <mergeCell ref="TJM6:TJO6"/>
    <mergeCell ref="TJP6:TJR6"/>
    <mergeCell ref="TJS6:TJU6"/>
    <mergeCell ref="TJV6:TJX6"/>
    <mergeCell ref="TJY6:TKA6"/>
    <mergeCell ref="TIX6:TIZ6"/>
    <mergeCell ref="TJA6:TJC6"/>
    <mergeCell ref="TJD6:TJF6"/>
    <mergeCell ref="TJG6:TJI6"/>
    <mergeCell ref="TJJ6:TJL6"/>
    <mergeCell ref="TQK6:TQM6"/>
    <mergeCell ref="TQN6:TQP6"/>
    <mergeCell ref="TQQ6:TQS6"/>
    <mergeCell ref="TQT6:TQV6"/>
    <mergeCell ref="TQW6:TQY6"/>
    <mergeCell ref="TPV6:TPX6"/>
    <mergeCell ref="TPY6:TQA6"/>
    <mergeCell ref="TQB6:TQD6"/>
    <mergeCell ref="TQE6:TQG6"/>
    <mergeCell ref="TQH6:TQJ6"/>
    <mergeCell ref="TPG6:TPI6"/>
    <mergeCell ref="TPJ6:TPL6"/>
    <mergeCell ref="TPM6:TPO6"/>
    <mergeCell ref="TPP6:TPR6"/>
    <mergeCell ref="TPS6:TPU6"/>
    <mergeCell ref="TOR6:TOT6"/>
    <mergeCell ref="TOU6:TOW6"/>
    <mergeCell ref="TOX6:TOZ6"/>
    <mergeCell ref="TPA6:TPC6"/>
    <mergeCell ref="TPD6:TPF6"/>
    <mergeCell ref="TOC6:TOE6"/>
    <mergeCell ref="TOF6:TOH6"/>
    <mergeCell ref="TOI6:TOK6"/>
    <mergeCell ref="TOL6:TON6"/>
    <mergeCell ref="TOO6:TOQ6"/>
    <mergeCell ref="TNN6:TNP6"/>
    <mergeCell ref="TNQ6:TNS6"/>
    <mergeCell ref="TNT6:TNV6"/>
    <mergeCell ref="TNW6:TNY6"/>
    <mergeCell ref="TNZ6:TOB6"/>
    <mergeCell ref="TMY6:TNA6"/>
    <mergeCell ref="TNB6:TND6"/>
    <mergeCell ref="TNE6:TNG6"/>
    <mergeCell ref="TNH6:TNJ6"/>
    <mergeCell ref="TNK6:TNM6"/>
    <mergeCell ref="TUL6:TUN6"/>
    <mergeCell ref="TUO6:TUQ6"/>
    <mergeCell ref="TUR6:TUT6"/>
    <mergeCell ref="TUU6:TUW6"/>
    <mergeCell ref="TUX6:TUZ6"/>
    <mergeCell ref="TTW6:TTY6"/>
    <mergeCell ref="TTZ6:TUB6"/>
    <mergeCell ref="TUC6:TUE6"/>
    <mergeCell ref="TUF6:TUH6"/>
    <mergeCell ref="TUI6:TUK6"/>
    <mergeCell ref="TTH6:TTJ6"/>
    <mergeCell ref="TTK6:TTM6"/>
    <mergeCell ref="TTN6:TTP6"/>
    <mergeCell ref="TTQ6:TTS6"/>
    <mergeCell ref="TTT6:TTV6"/>
    <mergeCell ref="TSS6:TSU6"/>
    <mergeCell ref="TSV6:TSX6"/>
    <mergeCell ref="TSY6:TTA6"/>
    <mergeCell ref="TTB6:TTD6"/>
    <mergeCell ref="TTE6:TTG6"/>
    <mergeCell ref="TSD6:TSF6"/>
    <mergeCell ref="TSG6:TSI6"/>
    <mergeCell ref="TSJ6:TSL6"/>
    <mergeCell ref="TSM6:TSO6"/>
    <mergeCell ref="TSP6:TSR6"/>
    <mergeCell ref="TRO6:TRQ6"/>
    <mergeCell ref="TRR6:TRT6"/>
    <mergeCell ref="TRU6:TRW6"/>
    <mergeCell ref="TRX6:TRZ6"/>
    <mergeCell ref="TSA6:TSC6"/>
    <mergeCell ref="TQZ6:TRB6"/>
    <mergeCell ref="TRC6:TRE6"/>
    <mergeCell ref="TRF6:TRH6"/>
    <mergeCell ref="TRI6:TRK6"/>
    <mergeCell ref="TRL6:TRN6"/>
    <mergeCell ref="TYM6:TYO6"/>
    <mergeCell ref="TYP6:TYR6"/>
    <mergeCell ref="TYS6:TYU6"/>
    <mergeCell ref="TYV6:TYX6"/>
    <mergeCell ref="TYY6:TZA6"/>
    <mergeCell ref="TXX6:TXZ6"/>
    <mergeCell ref="TYA6:TYC6"/>
    <mergeCell ref="TYD6:TYF6"/>
    <mergeCell ref="TYG6:TYI6"/>
    <mergeCell ref="TYJ6:TYL6"/>
    <mergeCell ref="TXI6:TXK6"/>
    <mergeCell ref="TXL6:TXN6"/>
    <mergeCell ref="TXO6:TXQ6"/>
    <mergeCell ref="TXR6:TXT6"/>
    <mergeCell ref="TXU6:TXW6"/>
    <mergeCell ref="TWT6:TWV6"/>
    <mergeCell ref="TWW6:TWY6"/>
    <mergeCell ref="TWZ6:TXB6"/>
    <mergeCell ref="TXC6:TXE6"/>
    <mergeCell ref="TXF6:TXH6"/>
    <mergeCell ref="TWE6:TWG6"/>
    <mergeCell ref="TWH6:TWJ6"/>
    <mergeCell ref="TWK6:TWM6"/>
    <mergeCell ref="TWN6:TWP6"/>
    <mergeCell ref="TWQ6:TWS6"/>
    <mergeCell ref="TVP6:TVR6"/>
    <mergeCell ref="TVS6:TVU6"/>
    <mergeCell ref="TVV6:TVX6"/>
    <mergeCell ref="TVY6:TWA6"/>
    <mergeCell ref="TWB6:TWD6"/>
    <mergeCell ref="TVA6:TVC6"/>
    <mergeCell ref="TVD6:TVF6"/>
    <mergeCell ref="TVG6:TVI6"/>
    <mergeCell ref="TVJ6:TVL6"/>
    <mergeCell ref="TVM6:TVO6"/>
    <mergeCell ref="UCN6:UCP6"/>
    <mergeCell ref="UCQ6:UCS6"/>
    <mergeCell ref="UCT6:UCV6"/>
    <mergeCell ref="UCW6:UCY6"/>
    <mergeCell ref="UCZ6:UDB6"/>
    <mergeCell ref="UBY6:UCA6"/>
    <mergeCell ref="UCB6:UCD6"/>
    <mergeCell ref="UCE6:UCG6"/>
    <mergeCell ref="UCH6:UCJ6"/>
    <mergeCell ref="UCK6:UCM6"/>
    <mergeCell ref="UBJ6:UBL6"/>
    <mergeCell ref="UBM6:UBO6"/>
    <mergeCell ref="UBP6:UBR6"/>
    <mergeCell ref="UBS6:UBU6"/>
    <mergeCell ref="UBV6:UBX6"/>
    <mergeCell ref="UAU6:UAW6"/>
    <mergeCell ref="UAX6:UAZ6"/>
    <mergeCell ref="UBA6:UBC6"/>
    <mergeCell ref="UBD6:UBF6"/>
    <mergeCell ref="UBG6:UBI6"/>
    <mergeCell ref="UAF6:UAH6"/>
    <mergeCell ref="UAI6:UAK6"/>
    <mergeCell ref="UAL6:UAN6"/>
    <mergeCell ref="UAO6:UAQ6"/>
    <mergeCell ref="UAR6:UAT6"/>
    <mergeCell ref="TZQ6:TZS6"/>
    <mergeCell ref="TZT6:TZV6"/>
    <mergeCell ref="TZW6:TZY6"/>
    <mergeCell ref="TZZ6:UAB6"/>
    <mergeCell ref="UAC6:UAE6"/>
    <mergeCell ref="TZB6:TZD6"/>
    <mergeCell ref="TZE6:TZG6"/>
    <mergeCell ref="TZH6:TZJ6"/>
    <mergeCell ref="TZK6:TZM6"/>
    <mergeCell ref="TZN6:TZP6"/>
    <mergeCell ref="UGO6:UGQ6"/>
    <mergeCell ref="UGR6:UGT6"/>
    <mergeCell ref="UGU6:UGW6"/>
    <mergeCell ref="UGX6:UGZ6"/>
    <mergeCell ref="UHA6:UHC6"/>
    <mergeCell ref="UFZ6:UGB6"/>
    <mergeCell ref="UGC6:UGE6"/>
    <mergeCell ref="UGF6:UGH6"/>
    <mergeCell ref="UGI6:UGK6"/>
    <mergeCell ref="UGL6:UGN6"/>
    <mergeCell ref="UFK6:UFM6"/>
    <mergeCell ref="UFN6:UFP6"/>
    <mergeCell ref="UFQ6:UFS6"/>
    <mergeCell ref="UFT6:UFV6"/>
    <mergeCell ref="UFW6:UFY6"/>
    <mergeCell ref="UEV6:UEX6"/>
    <mergeCell ref="UEY6:UFA6"/>
    <mergeCell ref="UFB6:UFD6"/>
    <mergeCell ref="UFE6:UFG6"/>
    <mergeCell ref="UFH6:UFJ6"/>
    <mergeCell ref="UEG6:UEI6"/>
    <mergeCell ref="UEJ6:UEL6"/>
    <mergeCell ref="UEM6:UEO6"/>
    <mergeCell ref="UEP6:UER6"/>
    <mergeCell ref="UES6:UEU6"/>
    <mergeCell ref="UDR6:UDT6"/>
    <mergeCell ref="UDU6:UDW6"/>
    <mergeCell ref="UDX6:UDZ6"/>
    <mergeCell ref="UEA6:UEC6"/>
    <mergeCell ref="UED6:UEF6"/>
    <mergeCell ref="UDC6:UDE6"/>
    <mergeCell ref="UDF6:UDH6"/>
    <mergeCell ref="UDI6:UDK6"/>
    <mergeCell ref="UDL6:UDN6"/>
    <mergeCell ref="UDO6:UDQ6"/>
    <mergeCell ref="UKP6:UKR6"/>
    <mergeCell ref="UKS6:UKU6"/>
    <mergeCell ref="UKV6:UKX6"/>
    <mergeCell ref="UKY6:ULA6"/>
    <mergeCell ref="ULB6:ULD6"/>
    <mergeCell ref="UKA6:UKC6"/>
    <mergeCell ref="UKD6:UKF6"/>
    <mergeCell ref="UKG6:UKI6"/>
    <mergeCell ref="UKJ6:UKL6"/>
    <mergeCell ref="UKM6:UKO6"/>
    <mergeCell ref="UJL6:UJN6"/>
    <mergeCell ref="UJO6:UJQ6"/>
    <mergeCell ref="UJR6:UJT6"/>
    <mergeCell ref="UJU6:UJW6"/>
    <mergeCell ref="UJX6:UJZ6"/>
    <mergeCell ref="UIW6:UIY6"/>
    <mergeCell ref="UIZ6:UJB6"/>
    <mergeCell ref="UJC6:UJE6"/>
    <mergeCell ref="UJF6:UJH6"/>
    <mergeCell ref="UJI6:UJK6"/>
    <mergeCell ref="UIH6:UIJ6"/>
    <mergeCell ref="UIK6:UIM6"/>
    <mergeCell ref="UIN6:UIP6"/>
    <mergeCell ref="UIQ6:UIS6"/>
    <mergeCell ref="UIT6:UIV6"/>
    <mergeCell ref="UHS6:UHU6"/>
    <mergeCell ref="UHV6:UHX6"/>
    <mergeCell ref="UHY6:UIA6"/>
    <mergeCell ref="UIB6:UID6"/>
    <mergeCell ref="UIE6:UIG6"/>
    <mergeCell ref="UHD6:UHF6"/>
    <mergeCell ref="UHG6:UHI6"/>
    <mergeCell ref="UHJ6:UHL6"/>
    <mergeCell ref="UHM6:UHO6"/>
    <mergeCell ref="UHP6:UHR6"/>
    <mergeCell ref="UOQ6:UOS6"/>
    <mergeCell ref="UOT6:UOV6"/>
    <mergeCell ref="UOW6:UOY6"/>
    <mergeCell ref="UOZ6:UPB6"/>
    <mergeCell ref="UPC6:UPE6"/>
    <mergeCell ref="UOB6:UOD6"/>
    <mergeCell ref="UOE6:UOG6"/>
    <mergeCell ref="UOH6:UOJ6"/>
    <mergeCell ref="UOK6:UOM6"/>
    <mergeCell ref="UON6:UOP6"/>
    <mergeCell ref="UNM6:UNO6"/>
    <mergeCell ref="UNP6:UNR6"/>
    <mergeCell ref="UNS6:UNU6"/>
    <mergeCell ref="UNV6:UNX6"/>
    <mergeCell ref="UNY6:UOA6"/>
    <mergeCell ref="UMX6:UMZ6"/>
    <mergeCell ref="UNA6:UNC6"/>
    <mergeCell ref="UND6:UNF6"/>
    <mergeCell ref="UNG6:UNI6"/>
    <mergeCell ref="UNJ6:UNL6"/>
    <mergeCell ref="UMI6:UMK6"/>
    <mergeCell ref="UML6:UMN6"/>
    <mergeCell ref="UMO6:UMQ6"/>
    <mergeCell ref="UMR6:UMT6"/>
    <mergeCell ref="UMU6:UMW6"/>
    <mergeCell ref="ULT6:ULV6"/>
    <mergeCell ref="ULW6:ULY6"/>
    <mergeCell ref="ULZ6:UMB6"/>
    <mergeCell ref="UMC6:UME6"/>
    <mergeCell ref="UMF6:UMH6"/>
    <mergeCell ref="ULE6:ULG6"/>
    <mergeCell ref="ULH6:ULJ6"/>
    <mergeCell ref="ULK6:ULM6"/>
    <mergeCell ref="ULN6:ULP6"/>
    <mergeCell ref="ULQ6:ULS6"/>
    <mergeCell ref="USR6:UST6"/>
    <mergeCell ref="USU6:USW6"/>
    <mergeCell ref="USX6:USZ6"/>
    <mergeCell ref="UTA6:UTC6"/>
    <mergeCell ref="UTD6:UTF6"/>
    <mergeCell ref="USC6:USE6"/>
    <mergeCell ref="USF6:USH6"/>
    <mergeCell ref="USI6:USK6"/>
    <mergeCell ref="USL6:USN6"/>
    <mergeCell ref="USO6:USQ6"/>
    <mergeCell ref="URN6:URP6"/>
    <mergeCell ref="URQ6:URS6"/>
    <mergeCell ref="URT6:URV6"/>
    <mergeCell ref="URW6:URY6"/>
    <mergeCell ref="URZ6:USB6"/>
    <mergeCell ref="UQY6:URA6"/>
    <mergeCell ref="URB6:URD6"/>
    <mergeCell ref="URE6:URG6"/>
    <mergeCell ref="URH6:URJ6"/>
    <mergeCell ref="URK6:URM6"/>
    <mergeCell ref="UQJ6:UQL6"/>
    <mergeCell ref="UQM6:UQO6"/>
    <mergeCell ref="UQP6:UQR6"/>
    <mergeCell ref="UQS6:UQU6"/>
    <mergeCell ref="UQV6:UQX6"/>
    <mergeCell ref="UPU6:UPW6"/>
    <mergeCell ref="UPX6:UPZ6"/>
    <mergeCell ref="UQA6:UQC6"/>
    <mergeCell ref="UQD6:UQF6"/>
    <mergeCell ref="UQG6:UQI6"/>
    <mergeCell ref="UPF6:UPH6"/>
    <mergeCell ref="UPI6:UPK6"/>
    <mergeCell ref="UPL6:UPN6"/>
    <mergeCell ref="UPO6:UPQ6"/>
    <mergeCell ref="UPR6:UPT6"/>
    <mergeCell ref="UWS6:UWU6"/>
    <mergeCell ref="UWV6:UWX6"/>
    <mergeCell ref="UWY6:UXA6"/>
    <mergeCell ref="UXB6:UXD6"/>
    <mergeCell ref="UXE6:UXG6"/>
    <mergeCell ref="UWD6:UWF6"/>
    <mergeCell ref="UWG6:UWI6"/>
    <mergeCell ref="UWJ6:UWL6"/>
    <mergeCell ref="UWM6:UWO6"/>
    <mergeCell ref="UWP6:UWR6"/>
    <mergeCell ref="UVO6:UVQ6"/>
    <mergeCell ref="UVR6:UVT6"/>
    <mergeCell ref="UVU6:UVW6"/>
    <mergeCell ref="UVX6:UVZ6"/>
    <mergeCell ref="UWA6:UWC6"/>
    <mergeCell ref="UUZ6:UVB6"/>
    <mergeCell ref="UVC6:UVE6"/>
    <mergeCell ref="UVF6:UVH6"/>
    <mergeCell ref="UVI6:UVK6"/>
    <mergeCell ref="UVL6:UVN6"/>
    <mergeCell ref="UUK6:UUM6"/>
    <mergeCell ref="UUN6:UUP6"/>
    <mergeCell ref="UUQ6:UUS6"/>
    <mergeCell ref="UUT6:UUV6"/>
    <mergeCell ref="UUW6:UUY6"/>
    <mergeCell ref="UTV6:UTX6"/>
    <mergeCell ref="UTY6:UUA6"/>
    <mergeCell ref="UUB6:UUD6"/>
    <mergeCell ref="UUE6:UUG6"/>
    <mergeCell ref="UUH6:UUJ6"/>
    <mergeCell ref="UTG6:UTI6"/>
    <mergeCell ref="UTJ6:UTL6"/>
    <mergeCell ref="UTM6:UTO6"/>
    <mergeCell ref="UTP6:UTR6"/>
    <mergeCell ref="UTS6:UTU6"/>
    <mergeCell ref="VAT6:VAV6"/>
    <mergeCell ref="VAW6:VAY6"/>
    <mergeCell ref="VAZ6:VBB6"/>
    <mergeCell ref="VBC6:VBE6"/>
    <mergeCell ref="VBF6:VBH6"/>
    <mergeCell ref="VAE6:VAG6"/>
    <mergeCell ref="VAH6:VAJ6"/>
    <mergeCell ref="VAK6:VAM6"/>
    <mergeCell ref="VAN6:VAP6"/>
    <mergeCell ref="VAQ6:VAS6"/>
    <mergeCell ref="UZP6:UZR6"/>
    <mergeCell ref="UZS6:UZU6"/>
    <mergeCell ref="UZV6:UZX6"/>
    <mergeCell ref="UZY6:VAA6"/>
    <mergeCell ref="VAB6:VAD6"/>
    <mergeCell ref="UZA6:UZC6"/>
    <mergeCell ref="UZD6:UZF6"/>
    <mergeCell ref="UZG6:UZI6"/>
    <mergeCell ref="UZJ6:UZL6"/>
    <mergeCell ref="UZM6:UZO6"/>
    <mergeCell ref="UYL6:UYN6"/>
    <mergeCell ref="UYO6:UYQ6"/>
    <mergeCell ref="UYR6:UYT6"/>
    <mergeCell ref="UYU6:UYW6"/>
    <mergeCell ref="UYX6:UYZ6"/>
    <mergeCell ref="UXW6:UXY6"/>
    <mergeCell ref="UXZ6:UYB6"/>
    <mergeCell ref="UYC6:UYE6"/>
    <mergeCell ref="UYF6:UYH6"/>
    <mergeCell ref="UYI6:UYK6"/>
    <mergeCell ref="UXH6:UXJ6"/>
    <mergeCell ref="UXK6:UXM6"/>
    <mergeCell ref="UXN6:UXP6"/>
    <mergeCell ref="UXQ6:UXS6"/>
    <mergeCell ref="UXT6:UXV6"/>
    <mergeCell ref="VEU6:VEW6"/>
    <mergeCell ref="VEX6:VEZ6"/>
    <mergeCell ref="VFA6:VFC6"/>
    <mergeCell ref="VFD6:VFF6"/>
    <mergeCell ref="VFG6:VFI6"/>
    <mergeCell ref="VEF6:VEH6"/>
    <mergeCell ref="VEI6:VEK6"/>
    <mergeCell ref="VEL6:VEN6"/>
    <mergeCell ref="VEO6:VEQ6"/>
    <mergeCell ref="VER6:VET6"/>
    <mergeCell ref="VDQ6:VDS6"/>
    <mergeCell ref="VDT6:VDV6"/>
    <mergeCell ref="VDW6:VDY6"/>
    <mergeCell ref="VDZ6:VEB6"/>
    <mergeCell ref="VEC6:VEE6"/>
    <mergeCell ref="VDB6:VDD6"/>
    <mergeCell ref="VDE6:VDG6"/>
    <mergeCell ref="VDH6:VDJ6"/>
    <mergeCell ref="VDK6:VDM6"/>
    <mergeCell ref="VDN6:VDP6"/>
    <mergeCell ref="VCM6:VCO6"/>
    <mergeCell ref="VCP6:VCR6"/>
    <mergeCell ref="VCS6:VCU6"/>
    <mergeCell ref="VCV6:VCX6"/>
    <mergeCell ref="VCY6:VDA6"/>
    <mergeCell ref="VBX6:VBZ6"/>
    <mergeCell ref="VCA6:VCC6"/>
    <mergeCell ref="VCD6:VCF6"/>
    <mergeCell ref="VCG6:VCI6"/>
    <mergeCell ref="VCJ6:VCL6"/>
    <mergeCell ref="VBI6:VBK6"/>
    <mergeCell ref="VBL6:VBN6"/>
    <mergeCell ref="VBO6:VBQ6"/>
    <mergeCell ref="VBR6:VBT6"/>
    <mergeCell ref="VBU6:VBW6"/>
    <mergeCell ref="VIV6:VIX6"/>
    <mergeCell ref="VIY6:VJA6"/>
    <mergeCell ref="VJB6:VJD6"/>
    <mergeCell ref="VJE6:VJG6"/>
    <mergeCell ref="VJH6:VJJ6"/>
    <mergeCell ref="VIG6:VII6"/>
    <mergeCell ref="VIJ6:VIL6"/>
    <mergeCell ref="VIM6:VIO6"/>
    <mergeCell ref="VIP6:VIR6"/>
    <mergeCell ref="VIS6:VIU6"/>
    <mergeCell ref="VHR6:VHT6"/>
    <mergeCell ref="VHU6:VHW6"/>
    <mergeCell ref="VHX6:VHZ6"/>
    <mergeCell ref="VIA6:VIC6"/>
    <mergeCell ref="VID6:VIF6"/>
    <mergeCell ref="VHC6:VHE6"/>
    <mergeCell ref="VHF6:VHH6"/>
    <mergeCell ref="VHI6:VHK6"/>
    <mergeCell ref="VHL6:VHN6"/>
    <mergeCell ref="VHO6:VHQ6"/>
    <mergeCell ref="VGN6:VGP6"/>
    <mergeCell ref="VGQ6:VGS6"/>
    <mergeCell ref="VGT6:VGV6"/>
    <mergeCell ref="VGW6:VGY6"/>
    <mergeCell ref="VGZ6:VHB6"/>
    <mergeCell ref="VFY6:VGA6"/>
    <mergeCell ref="VGB6:VGD6"/>
    <mergeCell ref="VGE6:VGG6"/>
    <mergeCell ref="VGH6:VGJ6"/>
    <mergeCell ref="VGK6:VGM6"/>
    <mergeCell ref="VFJ6:VFL6"/>
    <mergeCell ref="VFM6:VFO6"/>
    <mergeCell ref="VFP6:VFR6"/>
    <mergeCell ref="VFS6:VFU6"/>
    <mergeCell ref="VFV6:VFX6"/>
    <mergeCell ref="VMW6:VMY6"/>
    <mergeCell ref="VMZ6:VNB6"/>
    <mergeCell ref="VNC6:VNE6"/>
    <mergeCell ref="VNF6:VNH6"/>
    <mergeCell ref="VNI6:VNK6"/>
    <mergeCell ref="VMH6:VMJ6"/>
    <mergeCell ref="VMK6:VMM6"/>
    <mergeCell ref="VMN6:VMP6"/>
    <mergeCell ref="VMQ6:VMS6"/>
    <mergeCell ref="VMT6:VMV6"/>
    <mergeCell ref="VLS6:VLU6"/>
    <mergeCell ref="VLV6:VLX6"/>
    <mergeCell ref="VLY6:VMA6"/>
    <mergeCell ref="VMB6:VMD6"/>
    <mergeCell ref="VME6:VMG6"/>
    <mergeCell ref="VLD6:VLF6"/>
    <mergeCell ref="VLG6:VLI6"/>
    <mergeCell ref="VLJ6:VLL6"/>
    <mergeCell ref="VLM6:VLO6"/>
    <mergeCell ref="VLP6:VLR6"/>
    <mergeCell ref="VKO6:VKQ6"/>
    <mergeCell ref="VKR6:VKT6"/>
    <mergeCell ref="VKU6:VKW6"/>
    <mergeCell ref="VKX6:VKZ6"/>
    <mergeCell ref="VLA6:VLC6"/>
    <mergeCell ref="VJZ6:VKB6"/>
    <mergeCell ref="VKC6:VKE6"/>
    <mergeCell ref="VKF6:VKH6"/>
    <mergeCell ref="VKI6:VKK6"/>
    <mergeCell ref="VKL6:VKN6"/>
    <mergeCell ref="VJK6:VJM6"/>
    <mergeCell ref="VJN6:VJP6"/>
    <mergeCell ref="VJQ6:VJS6"/>
    <mergeCell ref="VJT6:VJV6"/>
    <mergeCell ref="VJW6:VJY6"/>
    <mergeCell ref="VQX6:VQZ6"/>
    <mergeCell ref="VRA6:VRC6"/>
    <mergeCell ref="VRD6:VRF6"/>
    <mergeCell ref="VRG6:VRI6"/>
    <mergeCell ref="VRJ6:VRL6"/>
    <mergeCell ref="VQI6:VQK6"/>
    <mergeCell ref="VQL6:VQN6"/>
    <mergeCell ref="VQO6:VQQ6"/>
    <mergeCell ref="VQR6:VQT6"/>
    <mergeCell ref="VQU6:VQW6"/>
    <mergeCell ref="VPT6:VPV6"/>
    <mergeCell ref="VPW6:VPY6"/>
    <mergeCell ref="VPZ6:VQB6"/>
    <mergeCell ref="VQC6:VQE6"/>
    <mergeCell ref="VQF6:VQH6"/>
    <mergeCell ref="VPE6:VPG6"/>
    <mergeCell ref="VPH6:VPJ6"/>
    <mergeCell ref="VPK6:VPM6"/>
    <mergeCell ref="VPN6:VPP6"/>
    <mergeCell ref="VPQ6:VPS6"/>
    <mergeCell ref="VOP6:VOR6"/>
    <mergeCell ref="VOS6:VOU6"/>
    <mergeCell ref="VOV6:VOX6"/>
    <mergeCell ref="VOY6:VPA6"/>
    <mergeCell ref="VPB6:VPD6"/>
    <mergeCell ref="VOA6:VOC6"/>
    <mergeCell ref="VOD6:VOF6"/>
    <mergeCell ref="VOG6:VOI6"/>
    <mergeCell ref="VOJ6:VOL6"/>
    <mergeCell ref="VOM6:VOO6"/>
    <mergeCell ref="VNL6:VNN6"/>
    <mergeCell ref="VNO6:VNQ6"/>
    <mergeCell ref="VNR6:VNT6"/>
    <mergeCell ref="VNU6:VNW6"/>
    <mergeCell ref="VNX6:VNZ6"/>
    <mergeCell ref="VUY6:VVA6"/>
    <mergeCell ref="VVB6:VVD6"/>
    <mergeCell ref="VVE6:VVG6"/>
    <mergeCell ref="VVH6:VVJ6"/>
    <mergeCell ref="VVK6:VVM6"/>
    <mergeCell ref="VUJ6:VUL6"/>
    <mergeCell ref="VUM6:VUO6"/>
    <mergeCell ref="VUP6:VUR6"/>
    <mergeCell ref="VUS6:VUU6"/>
    <mergeCell ref="VUV6:VUX6"/>
    <mergeCell ref="VTU6:VTW6"/>
    <mergeCell ref="VTX6:VTZ6"/>
    <mergeCell ref="VUA6:VUC6"/>
    <mergeCell ref="VUD6:VUF6"/>
    <mergeCell ref="VUG6:VUI6"/>
    <mergeCell ref="VTF6:VTH6"/>
    <mergeCell ref="VTI6:VTK6"/>
    <mergeCell ref="VTL6:VTN6"/>
    <mergeCell ref="VTO6:VTQ6"/>
    <mergeCell ref="VTR6:VTT6"/>
    <mergeCell ref="VSQ6:VSS6"/>
    <mergeCell ref="VST6:VSV6"/>
    <mergeCell ref="VSW6:VSY6"/>
    <mergeCell ref="VSZ6:VTB6"/>
    <mergeCell ref="VTC6:VTE6"/>
    <mergeCell ref="VSB6:VSD6"/>
    <mergeCell ref="VSE6:VSG6"/>
    <mergeCell ref="VSH6:VSJ6"/>
    <mergeCell ref="VSK6:VSM6"/>
    <mergeCell ref="VSN6:VSP6"/>
    <mergeCell ref="VRM6:VRO6"/>
    <mergeCell ref="VRP6:VRR6"/>
    <mergeCell ref="VRS6:VRU6"/>
    <mergeCell ref="VRV6:VRX6"/>
    <mergeCell ref="VRY6:VSA6"/>
    <mergeCell ref="VYZ6:VZB6"/>
    <mergeCell ref="VZC6:VZE6"/>
    <mergeCell ref="VZF6:VZH6"/>
    <mergeCell ref="VZI6:VZK6"/>
    <mergeCell ref="VZL6:VZN6"/>
    <mergeCell ref="VYK6:VYM6"/>
    <mergeCell ref="VYN6:VYP6"/>
    <mergeCell ref="VYQ6:VYS6"/>
    <mergeCell ref="VYT6:VYV6"/>
    <mergeCell ref="VYW6:VYY6"/>
    <mergeCell ref="VXV6:VXX6"/>
    <mergeCell ref="VXY6:VYA6"/>
    <mergeCell ref="VYB6:VYD6"/>
    <mergeCell ref="VYE6:VYG6"/>
    <mergeCell ref="VYH6:VYJ6"/>
    <mergeCell ref="VXG6:VXI6"/>
    <mergeCell ref="VXJ6:VXL6"/>
    <mergeCell ref="VXM6:VXO6"/>
    <mergeCell ref="VXP6:VXR6"/>
    <mergeCell ref="VXS6:VXU6"/>
    <mergeCell ref="VWR6:VWT6"/>
    <mergeCell ref="VWU6:VWW6"/>
    <mergeCell ref="VWX6:VWZ6"/>
    <mergeCell ref="VXA6:VXC6"/>
    <mergeCell ref="VXD6:VXF6"/>
    <mergeCell ref="VWC6:VWE6"/>
    <mergeCell ref="VWF6:VWH6"/>
    <mergeCell ref="VWI6:VWK6"/>
    <mergeCell ref="VWL6:VWN6"/>
    <mergeCell ref="VWO6:VWQ6"/>
    <mergeCell ref="VVN6:VVP6"/>
    <mergeCell ref="VVQ6:VVS6"/>
    <mergeCell ref="VVT6:VVV6"/>
    <mergeCell ref="VVW6:VVY6"/>
    <mergeCell ref="VVZ6:VWB6"/>
    <mergeCell ref="WDA6:WDC6"/>
    <mergeCell ref="WDD6:WDF6"/>
    <mergeCell ref="WDG6:WDI6"/>
    <mergeCell ref="WDJ6:WDL6"/>
    <mergeCell ref="WDM6:WDO6"/>
    <mergeCell ref="WCL6:WCN6"/>
    <mergeCell ref="WCO6:WCQ6"/>
    <mergeCell ref="WCR6:WCT6"/>
    <mergeCell ref="WCU6:WCW6"/>
    <mergeCell ref="WCX6:WCZ6"/>
    <mergeCell ref="WBW6:WBY6"/>
    <mergeCell ref="WBZ6:WCB6"/>
    <mergeCell ref="WCC6:WCE6"/>
    <mergeCell ref="WCF6:WCH6"/>
    <mergeCell ref="WCI6:WCK6"/>
    <mergeCell ref="WBH6:WBJ6"/>
    <mergeCell ref="WBK6:WBM6"/>
    <mergeCell ref="WBN6:WBP6"/>
    <mergeCell ref="WBQ6:WBS6"/>
    <mergeCell ref="WBT6:WBV6"/>
    <mergeCell ref="WAS6:WAU6"/>
    <mergeCell ref="WAV6:WAX6"/>
    <mergeCell ref="WAY6:WBA6"/>
    <mergeCell ref="WBB6:WBD6"/>
    <mergeCell ref="WBE6:WBG6"/>
    <mergeCell ref="WAD6:WAF6"/>
    <mergeCell ref="WAG6:WAI6"/>
    <mergeCell ref="WAJ6:WAL6"/>
    <mergeCell ref="WAM6:WAO6"/>
    <mergeCell ref="WAP6:WAR6"/>
    <mergeCell ref="VZO6:VZQ6"/>
    <mergeCell ref="VZR6:VZT6"/>
    <mergeCell ref="VZU6:VZW6"/>
    <mergeCell ref="VZX6:VZZ6"/>
    <mergeCell ref="WAA6:WAC6"/>
    <mergeCell ref="WHB6:WHD6"/>
    <mergeCell ref="WHE6:WHG6"/>
    <mergeCell ref="WHH6:WHJ6"/>
    <mergeCell ref="WHK6:WHM6"/>
    <mergeCell ref="WHN6:WHP6"/>
    <mergeCell ref="WGM6:WGO6"/>
    <mergeCell ref="WGP6:WGR6"/>
    <mergeCell ref="WGS6:WGU6"/>
    <mergeCell ref="WGV6:WGX6"/>
    <mergeCell ref="WGY6:WHA6"/>
    <mergeCell ref="WFX6:WFZ6"/>
    <mergeCell ref="WGA6:WGC6"/>
    <mergeCell ref="WGD6:WGF6"/>
    <mergeCell ref="WGG6:WGI6"/>
    <mergeCell ref="WGJ6:WGL6"/>
    <mergeCell ref="WFI6:WFK6"/>
    <mergeCell ref="WFL6:WFN6"/>
    <mergeCell ref="WFO6:WFQ6"/>
    <mergeCell ref="WFR6:WFT6"/>
    <mergeCell ref="WFU6:WFW6"/>
    <mergeCell ref="WET6:WEV6"/>
    <mergeCell ref="WEW6:WEY6"/>
    <mergeCell ref="WEZ6:WFB6"/>
    <mergeCell ref="WFC6:WFE6"/>
    <mergeCell ref="WFF6:WFH6"/>
    <mergeCell ref="WEE6:WEG6"/>
    <mergeCell ref="WEH6:WEJ6"/>
    <mergeCell ref="WEK6:WEM6"/>
    <mergeCell ref="WEN6:WEP6"/>
    <mergeCell ref="WEQ6:WES6"/>
    <mergeCell ref="WDP6:WDR6"/>
    <mergeCell ref="WDS6:WDU6"/>
    <mergeCell ref="WDV6:WDX6"/>
    <mergeCell ref="WDY6:WEA6"/>
    <mergeCell ref="WEB6:WED6"/>
    <mergeCell ref="WLC6:WLE6"/>
    <mergeCell ref="WLF6:WLH6"/>
    <mergeCell ref="WLI6:WLK6"/>
    <mergeCell ref="WLL6:WLN6"/>
    <mergeCell ref="WLO6:WLQ6"/>
    <mergeCell ref="WKN6:WKP6"/>
    <mergeCell ref="WKQ6:WKS6"/>
    <mergeCell ref="WKT6:WKV6"/>
    <mergeCell ref="WKW6:WKY6"/>
    <mergeCell ref="WKZ6:WLB6"/>
    <mergeCell ref="WJY6:WKA6"/>
    <mergeCell ref="WKB6:WKD6"/>
    <mergeCell ref="WKE6:WKG6"/>
    <mergeCell ref="WKH6:WKJ6"/>
    <mergeCell ref="WKK6:WKM6"/>
    <mergeCell ref="WJJ6:WJL6"/>
    <mergeCell ref="WJM6:WJO6"/>
    <mergeCell ref="WJP6:WJR6"/>
    <mergeCell ref="WJS6:WJU6"/>
    <mergeCell ref="WJV6:WJX6"/>
    <mergeCell ref="WIU6:WIW6"/>
    <mergeCell ref="WIX6:WIZ6"/>
    <mergeCell ref="WJA6:WJC6"/>
    <mergeCell ref="WJD6:WJF6"/>
    <mergeCell ref="WJG6:WJI6"/>
    <mergeCell ref="WIF6:WIH6"/>
    <mergeCell ref="WII6:WIK6"/>
    <mergeCell ref="WIL6:WIN6"/>
    <mergeCell ref="WIO6:WIQ6"/>
    <mergeCell ref="WIR6:WIT6"/>
    <mergeCell ref="WHQ6:WHS6"/>
    <mergeCell ref="WHT6:WHV6"/>
    <mergeCell ref="WHW6:WHY6"/>
    <mergeCell ref="WHZ6:WIB6"/>
    <mergeCell ref="WIC6:WIE6"/>
    <mergeCell ref="WQB6:WQD6"/>
    <mergeCell ref="WQE6:WQG6"/>
    <mergeCell ref="WPD6:WPF6"/>
    <mergeCell ref="WPG6:WPI6"/>
    <mergeCell ref="WPJ6:WPL6"/>
    <mergeCell ref="WPM6:WPO6"/>
    <mergeCell ref="WPP6:WPR6"/>
    <mergeCell ref="WOO6:WOQ6"/>
    <mergeCell ref="WOR6:WOT6"/>
    <mergeCell ref="WOU6:WOW6"/>
    <mergeCell ref="WOX6:WOZ6"/>
    <mergeCell ref="WPA6:WPC6"/>
    <mergeCell ref="WNZ6:WOB6"/>
    <mergeCell ref="WOC6:WOE6"/>
    <mergeCell ref="WOF6:WOH6"/>
    <mergeCell ref="WOI6:WOK6"/>
    <mergeCell ref="WOL6:WON6"/>
    <mergeCell ref="WNK6:WNM6"/>
    <mergeCell ref="WNN6:WNP6"/>
    <mergeCell ref="WNQ6:WNS6"/>
    <mergeCell ref="WNT6:WNV6"/>
    <mergeCell ref="WNW6:WNY6"/>
    <mergeCell ref="WMV6:WMX6"/>
    <mergeCell ref="WMY6:WNA6"/>
    <mergeCell ref="WNB6:WND6"/>
    <mergeCell ref="WNE6:WNG6"/>
    <mergeCell ref="WNH6:WNJ6"/>
    <mergeCell ref="WMG6:WMI6"/>
    <mergeCell ref="WMJ6:WML6"/>
    <mergeCell ref="WMM6:WMO6"/>
    <mergeCell ref="WMP6:WMR6"/>
    <mergeCell ref="WMS6:WMU6"/>
    <mergeCell ref="WLR6:WLT6"/>
    <mergeCell ref="WLU6:WLW6"/>
    <mergeCell ref="WLX6:WLZ6"/>
    <mergeCell ref="WMA6:WMC6"/>
    <mergeCell ref="WMD6:WMF6"/>
    <mergeCell ref="WWQ6:WWS6"/>
    <mergeCell ref="WWT6:WWV6"/>
    <mergeCell ref="WWW6:WWY6"/>
    <mergeCell ref="WWZ6:WXB6"/>
    <mergeCell ref="WXC6:WXE6"/>
    <mergeCell ref="WWB6:WWD6"/>
    <mergeCell ref="WWE6:WWG6"/>
    <mergeCell ref="WWH6:WWJ6"/>
    <mergeCell ref="WWK6:WWM6"/>
    <mergeCell ref="WWN6:WWP6"/>
    <mergeCell ref="WVM6:WVO6"/>
    <mergeCell ref="WVP6:WVR6"/>
    <mergeCell ref="WVS6:WVU6"/>
    <mergeCell ref="WVV6:WVX6"/>
    <mergeCell ref="WVY6:WWA6"/>
    <mergeCell ref="WUX6:WUZ6"/>
    <mergeCell ref="WVA6:WVC6"/>
    <mergeCell ref="WVD6:WVF6"/>
    <mergeCell ref="WVG6:WVI6"/>
    <mergeCell ref="WVJ6:WVL6"/>
    <mergeCell ref="WUI6:WUK6"/>
    <mergeCell ref="WUL6:WUN6"/>
    <mergeCell ref="ML7:MN7"/>
    <mergeCell ref="WUO6:WUQ6"/>
    <mergeCell ref="WUR6:WUT6"/>
    <mergeCell ref="WUU6:WUW6"/>
    <mergeCell ref="WTT6:WTV6"/>
    <mergeCell ref="WTW6:WTY6"/>
    <mergeCell ref="WTZ6:WUB6"/>
    <mergeCell ref="WUC6:WUE6"/>
    <mergeCell ref="WUF6:WUH6"/>
    <mergeCell ref="WTE6:WTG6"/>
    <mergeCell ref="WTH6:WTJ6"/>
    <mergeCell ref="WTK6:WTM6"/>
    <mergeCell ref="WTN6:WTP6"/>
    <mergeCell ref="WTQ6:WTS6"/>
    <mergeCell ref="WSP6:WSR6"/>
    <mergeCell ref="WSS6:WSU6"/>
    <mergeCell ref="WSV6:WSX6"/>
    <mergeCell ref="WSY6:WTA6"/>
    <mergeCell ref="WTB6:WTD6"/>
    <mergeCell ref="WSA6:WSC6"/>
    <mergeCell ref="WSD6:WSF6"/>
    <mergeCell ref="WSG6:WSI6"/>
    <mergeCell ref="WSJ6:WSL6"/>
    <mergeCell ref="WSM6:WSO6"/>
    <mergeCell ref="WRL6:WRN6"/>
    <mergeCell ref="WRO6:WRQ6"/>
    <mergeCell ref="WRR6:WRT6"/>
    <mergeCell ref="WRU6:WRW6"/>
    <mergeCell ref="WRX6:WRZ6"/>
    <mergeCell ref="WQW6:WQY6"/>
    <mergeCell ref="WQZ6:WRB6"/>
    <mergeCell ref="WRC6:WRE6"/>
    <mergeCell ref="WRF6:WRH6"/>
    <mergeCell ref="WRI6:WRK6"/>
    <mergeCell ref="WQH6:WQJ6"/>
    <mergeCell ref="WQK6:WQM6"/>
    <mergeCell ref="WQN6:WQP6"/>
    <mergeCell ref="WQQ6:WQS6"/>
    <mergeCell ref="WQT6:WQV6"/>
    <mergeCell ref="WPS6:WPU6"/>
    <mergeCell ref="WPV6:WPX6"/>
    <mergeCell ref="WPY6:WQA6"/>
    <mergeCell ref="XBP6:XBR6"/>
    <mergeCell ref="XBS6:XBU6"/>
    <mergeCell ref="XAR6:XAT6"/>
    <mergeCell ref="XAU6:XAW6"/>
    <mergeCell ref="XAX6:XAZ6"/>
    <mergeCell ref="XBA6:XBC6"/>
    <mergeCell ref="XBD6:XBF6"/>
    <mergeCell ref="XAC6:XAE6"/>
    <mergeCell ref="XAF6:XAH6"/>
    <mergeCell ref="XAI6:XAK6"/>
    <mergeCell ref="XAL6:XAN6"/>
    <mergeCell ref="XAO6:XAQ6"/>
    <mergeCell ref="WZN6:WZP6"/>
    <mergeCell ref="WZQ6:WZS6"/>
    <mergeCell ref="WZT6:WZV6"/>
    <mergeCell ref="WZW6:WZY6"/>
    <mergeCell ref="WZZ6:XAB6"/>
    <mergeCell ref="WYY6:WZA6"/>
    <mergeCell ref="WZB6:WZD6"/>
    <mergeCell ref="WZE6:WZG6"/>
    <mergeCell ref="WZH6:WZJ6"/>
    <mergeCell ref="WZK6:WZM6"/>
    <mergeCell ref="WYJ6:WYL6"/>
    <mergeCell ref="WYM6:WYO6"/>
    <mergeCell ref="WYP6:WYR6"/>
    <mergeCell ref="WYS6:WYU6"/>
    <mergeCell ref="WYV6:WYX6"/>
    <mergeCell ref="WXU6:WXW6"/>
    <mergeCell ref="WXX6:WXZ6"/>
    <mergeCell ref="WYA6:WYC6"/>
    <mergeCell ref="WYD6:WYF6"/>
    <mergeCell ref="WYG6:WYI6"/>
    <mergeCell ref="WXF6:WXH6"/>
    <mergeCell ref="WXI6:WXK6"/>
    <mergeCell ref="WXL6:WXN6"/>
    <mergeCell ref="WXO6:WXQ6"/>
    <mergeCell ref="WXR6:WXT6"/>
    <mergeCell ref="XES6:XEU6"/>
    <mergeCell ref="XEV6:XEX6"/>
    <mergeCell ref="XEY6:XFA6"/>
    <mergeCell ref="XFB6:XFD6"/>
    <mergeCell ref="N7:P7"/>
    <mergeCell ref="Q7:S7"/>
    <mergeCell ref="T7:V7"/>
    <mergeCell ref="W7:Y7"/>
    <mergeCell ref="Z7:AB7"/>
    <mergeCell ref="AC7:AE7"/>
    <mergeCell ref="AF7:AH7"/>
    <mergeCell ref="AI7:AK7"/>
    <mergeCell ref="AL7:AN7"/>
    <mergeCell ref="AO7:AQ7"/>
    <mergeCell ref="AR7:AT7"/>
    <mergeCell ref="AU7:AW7"/>
    <mergeCell ref="XED6:XEF6"/>
    <mergeCell ref="XEG6:XEI6"/>
    <mergeCell ref="XEJ6:XEL6"/>
    <mergeCell ref="XEM6:XEO6"/>
    <mergeCell ref="XEP6:XER6"/>
    <mergeCell ref="XDO6:XDQ6"/>
    <mergeCell ref="XDR6:XDT6"/>
    <mergeCell ref="XDU6:XDW6"/>
    <mergeCell ref="XDX6:XDZ6"/>
    <mergeCell ref="XEA6:XEC6"/>
    <mergeCell ref="XCZ6:XDB6"/>
    <mergeCell ref="XDC6:XDE6"/>
    <mergeCell ref="XDF6:XDH6"/>
    <mergeCell ref="XDI6:XDK6"/>
    <mergeCell ref="XDL6:XDN6"/>
    <mergeCell ref="XCK6:XCM6"/>
    <mergeCell ref="XCN6:XCP6"/>
    <mergeCell ref="XCQ6:XCS6"/>
    <mergeCell ref="XCT6:XCV6"/>
    <mergeCell ref="XCW6:XCY6"/>
    <mergeCell ref="XBV6:XBX6"/>
    <mergeCell ref="XBY6:XCA6"/>
    <mergeCell ref="XCB6:XCD6"/>
    <mergeCell ref="XCE6:XCG6"/>
    <mergeCell ref="XCH6:XCJ6"/>
    <mergeCell ref="XBG6:XBI6"/>
    <mergeCell ref="XBJ6:XBL6"/>
    <mergeCell ref="XBM6:XBO6"/>
    <mergeCell ref="GR7:GT7"/>
    <mergeCell ref="GU7:GW7"/>
    <mergeCell ref="GX7:GZ7"/>
    <mergeCell ref="HA7:HC7"/>
    <mergeCell ref="HD7:HF7"/>
    <mergeCell ref="GC7:GE7"/>
    <mergeCell ref="GF7:GH7"/>
    <mergeCell ref="GI7:GK7"/>
    <mergeCell ref="GL7:GN7"/>
    <mergeCell ref="GO7:GQ7"/>
    <mergeCell ref="FN7:FP7"/>
    <mergeCell ref="FQ7:FS7"/>
    <mergeCell ref="FT7:FV7"/>
    <mergeCell ref="FW7:FY7"/>
    <mergeCell ref="FZ7:GB7"/>
    <mergeCell ref="NA7:NC7"/>
    <mergeCell ref="ND7:NF7"/>
    <mergeCell ref="NG7:NI7"/>
    <mergeCell ref="NJ7:NL7"/>
    <mergeCell ref="NM7:NO7"/>
    <mergeCell ref="MO7:MQ7"/>
    <mergeCell ref="MR7:MT7"/>
    <mergeCell ref="MU7:MW7"/>
    <mergeCell ref="MX7:MZ7"/>
    <mergeCell ref="LW7:LY7"/>
    <mergeCell ref="LZ7:MB7"/>
    <mergeCell ref="MC7:ME7"/>
    <mergeCell ref="MF7:MH7"/>
    <mergeCell ref="MI7:MK7"/>
    <mergeCell ref="LH7:LJ7"/>
    <mergeCell ref="LK7:LM7"/>
    <mergeCell ref="LN7:LP7"/>
    <mergeCell ref="LQ7:LS7"/>
    <mergeCell ref="LT7:LV7"/>
    <mergeCell ref="DI7:DK7"/>
    <mergeCell ref="DL7:DN7"/>
    <mergeCell ref="DO7:DQ7"/>
    <mergeCell ref="DR7:DT7"/>
    <mergeCell ref="KS7:KU7"/>
    <mergeCell ref="KV7:KX7"/>
    <mergeCell ref="KY7:LA7"/>
    <mergeCell ref="LB7:LD7"/>
    <mergeCell ref="LE7:LG7"/>
    <mergeCell ref="KD7:KF7"/>
    <mergeCell ref="KG7:KI7"/>
    <mergeCell ref="KJ7:KL7"/>
    <mergeCell ref="KM7:KO7"/>
    <mergeCell ref="KP7:KR7"/>
    <mergeCell ref="JO7:JQ7"/>
    <mergeCell ref="JR7:JT7"/>
    <mergeCell ref="JU7:JW7"/>
    <mergeCell ref="JX7:JZ7"/>
    <mergeCell ref="KA7:KC7"/>
    <mergeCell ref="IZ7:JB7"/>
    <mergeCell ref="JC7:JE7"/>
    <mergeCell ref="JF7:JH7"/>
    <mergeCell ref="JI7:JK7"/>
    <mergeCell ref="JL7:JN7"/>
    <mergeCell ref="IK7:IM7"/>
    <mergeCell ref="IN7:IP7"/>
    <mergeCell ref="IQ7:IS7"/>
    <mergeCell ref="IT7:IV7"/>
    <mergeCell ref="IW7:IY7"/>
    <mergeCell ref="HV7:HX7"/>
    <mergeCell ref="HY7:IA7"/>
    <mergeCell ref="IB7:ID7"/>
    <mergeCell ref="IE7:IG7"/>
    <mergeCell ref="IH7:IJ7"/>
    <mergeCell ref="HG7:HI7"/>
    <mergeCell ref="HJ7:HL7"/>
    <mergeCell ref="HM7:HO7"/>
    <mergeCell ref="HP7:HR7"/>
    <mergeCell ref="HS7:HU7"/>
    <mergeCell ref="EJ7:EL7"/>
    <mergeCell ref="EM7:EO7"/>
    <mergeCell ref="EP7:ER7"/>
    <mergeCell ref="ES7:EU7"/>
    <mergeCell ref="EV7:EX7"/>
    <mergeCell ref="FB7:FD7"/>
    <mergeCell ref="FE7:FG7"/>
    <mergeCell ref="FH7:FJ7"/>
    <mergeCell ref="FK7:FM7"/>
    <mergeCell ref="RB7:RD7"/>
    <mergeCell ref="RE7:RG7"/>
    <mergeCell ref="RH7:RJ7"/>
    <mergeCell ref="RK7:RM7"/>
    <mergeCell ref="RN7:RP7"/>
    <mergeCell ref="QM7:QO7"/>
    <mergeCell ref="QP7:QR7"/>
    <mergeCell ref="QS7:QU7"/>
    <mergeCell ref="QV7:QX7"/>
    <mergeCell ref="QY7:RA7"/>
    <mergeCell ref="PX7:PZ7"/>
    <mergeCell ref="QA7:QC7"/>
    <mergeCell ref="QD7:QF7"/>
    <mergeCell ref="QG7:QI7"/>
    <mergeCell ref="QJ7:QL7"/>
    <mergeCell ref="PI7:PK7"/>
    <mergeCell ref="PL7:PN7"/>
    <mergeCell ref="PO7:PQ7"/>
    <mergeCell ref="PR7:PT7"/>
    <mergeCell ref="PU7:PW7"/>
    <mergeCell ref="OT7:OV7"/>
    <mergeCell ref="OW7:OY7"/>
    <mergeCell ref="OZ7:PB7"/>
    <mergeCell ref="PC7:PE7"/>
    <mergeCell ref="PF7:PH7"/>
    <mergeCell ref="OE7:OG7"/>
    <mergeCell ref="OH7:OJ7"/>
    <mergeCell ref="OK7:OM7"/>
    <mergeCell ref="ON7:OP7"/>
    <mergeCell ref="OQ7:OS7"/>
    <mergeCell ref="NP7:NR7"/>
    <mergeCell ref="NS7:NU7"/>
    <mergeCell ref="NV7:NX7"/>
    <mergeCell ref="NY7:OA7"/>
    <mergeCell ref="OB7:OD7"/>
    <mergeCell ref="VC7:VE7"/>
    <mergeCell ref="VF7:VH7"/>
    <mergeCell ref="VI7:VK7"/>
    <mergeCell ref="VL7:VN7"/>
    <mergeCell ref="VO7:VQ7"/>
    <mergeCell ref="UN7:UP7"/>
    <mergeCell ref="UQ7:US7"/>
    <mergeCell ref="UT7:UV7"/>
    <mergeCell ref="UW7:UY7"/>
    <mergeCell ref="UZ7:VB7"/>
    <mergeCell ref="TY7:UA7"/>
    <mergeCell ref="UB7:UD7"/>
    <mergeCell ref="UE7:UG7"/>
    <mergeCell ref="UH7:UJ7"/>
    <mergeCell ref="UK7:UM7"/>
    <mergeCell ref="TJ7:TL7"/>
    <mergeCell ref="TM7:TO7"/>
    <mergeCell ref="TP7:TR7"/>
    <mergeCell ref="TS7:TU7"/>
    <mergeCell ref="TV7:TX7"/>
    <mergeCell ref="SU7:SW7"/>
    <mergeCell ref="SX7:SZ7"/>
    <mergeCell ref="TA7:TC7"/>
    <mergeCell ref="TD7:TF7"/>
    <mergeCell ref="TG7:TI7"/>
    <mergeCell ref="SF7:SH7"/>
    <mergeCell ref="SI7:SK7"/>
    <mergeCell ref="SL7:SN7"/>
    <mergeCell ref="SO7:SQ7"/>
    <mergeCell ref="SR7:ST7"/>
    <mergeCell ref="RQ7:RS7"/>
    <mergeCell ref="RT7:RV7"/>
    <mergeCell ref="RW7:RY7"/>
    <mergeCell ref="RZ7:SB7"/>
    <mergeCell ref="SC7:SE7"/>
    <mergeCell ref="ZD7:ZF7"/>
    <mergeCell ref="ZG7:ZI7"/>
    <mergeCell ref="ZJ7:ZL7"/>
    <mergeCell ref="ZM7:ZO7"/>
    <mergeCell ref="ZP7:ZR7"/>
    <mergeCell ref="YO7:YQ7"/>
    <mergeCell ref="YR7:YT7"/>
    <mergeCell ref="YU7:YW7"/>
    <mergeCell ref="YX7:YZ7"/>
    <mergeCell ref="ZA7:ZC7"/>
    <mergeCell ref="XZ7:YB7"/>
    <mergeCell ref="YC7:YE7"/>
    <mergeCell ref="YF7:YH7"/>
    <mergeCell ref="YI7:YK7"/>
    <mergeCell ref="YL7:YN7"/>
    <mergeCell ref="XK7:XM7"/>
    <mergeCell ref="XN7:XP7"/>
    <mergeCell ref="XQ7:XS7"/>
    <mergeCell ref="XT7:XV7"/>
    <mergeCell ref="XW7:XY7"/>
    <mergeCell ref="WV7:WX7"/>
    <mergeCell ref="WY7:XA7"/>
    <mergeCell ref="XB7:XD7"/>
    <mergeCell ref="XE7:XG7"/>
    <mergeCell ref="XH7:XJ7"/>
    <mergeCell ref="WG7:WI7"/>
    <mergeCell ref="WJ7:WL7"/>
    <mergeCell ref="WM7:WO7"/>
    <mergeCell ref="WP7:WR7"/>
    <mergeCell ref="WS7:WU7"/>
    <mergeCell ref="VR7:VT7"/>
    <mergeCell ref="VU7:VW7"/>
    <mergeCell ref="VX7:VZ7"/>
    <mergeCell ref="WA7:WC7"/>
    <mergeCell ref="WD7:WF7"/>
    <mergeCell ref="ADE7:ADG7"/>
    <mergeCell ref="ADH7:ADJ7"/>
    <mergeCell ref="ADK7:ADM7"/>
    <mergeCell ref="ADN7:ADP7"/>
    <mergeCell ref="ADQ7:ADS7"/>
    <mergeCell ref="ACP7:ACR7"/>
    <mergeCell ref="ACS7:ACU7"/>
    <mergeCell ref="ACV7:ACX7"/>
    <mergeCell ref="ACY7:ADA7"/>
    <mergeCell ref="ADB7:ADD7"/>
    <mergeCell ref="ACA7:ACC7"/>
    <mergeCell ref="ACD7:ACF7"/>
    <mergeCell ref="ACG7:ACI7"/>
    <mergeCell ref="ACJ7:ACL7"/>
    <mergeCell ref="ACM7:ACO7"/>
    <mergeCell ref="ABL7:ABN7"/>
    <mergeCell ref="ABO7:ABQ7"/>
    <mergeCell ref="ABR7:ABT7"/>
    <mergeCell ref="ABU7:ABW7"/>
    <mergeCell ref="ABX7:ABZ7"/>
    <mergeCell ref="AAW7:AAY7"/>
    <mergeCell ref="AAZ7:ABB7"/>
    <mergeCell ref="ABC7:ABE7"/>
    <mergeCell ref="ABF7:ABH7"/>
    <mergeCell ref="ABI7:ABK7"/>
    <mergeCell ref="AAH7:AAJ7"/>
    <mergeCell ref="AAK7:AAM7"/>
    <mergeCell ref="AAN7:AAP7"/>
    <mergeCell ref="AAQ7:AAS7"/>
    <mergeCell ref="AAT7:AAV7"/>
    <mergeCell ref="ZS7:ZU7"/>
    <mergeCell ref="ZV7:ZX7"/>
    <mergeCell ref="ZY7:AAA7"/>
    <mergeCell ref="AAB7:AAD7"/>
    <mergeCell ref="AAE7:AAG7"/>
    <mergeCell ref="AHF7:AHH7"/>
    <mergeCell ref="AHI7:AHK7"/>
    <mergeCell ref="AHL7:AHN7"/>
    <mergeCell ref="AHO7:AHQ7"/>
    <mergeCell ref="AHR7:AHT7"/>
    <mergeCell ref="AGQ7:AGS7"/>
    <mergeCell ref="AGT7:AGV7"/>
    <mergeCell ref="AGW7:AGY7"/>
    <mergeCell ref="AGZ7:AHB7"/>
    <mergeCell ref="AHC7:AHE7"/>
    <mergeCell ref="AGB7:AGD7"/>
    <mergeCell ref="AGE7:AGG7"/>
    <mergeCell ref="AGH7:AGJ7"/>
    <mergeCell ref="AGK7:AGM7"/>
    <mergeCell ref="AGN7:AGP7"/>
    <mergeCell ref="AFM7:AFO7"/>
    <mergeCell ref="AFP7:AFR7"/>
    <mergeCell ref="AFS7:AFU7"/>
    <mergeCell ref="AFV7:AFX7"/>
    <mergeCell ref="AFY7:AGA7"/>
    <mergeCell ref="AEX7:AEZ7"/>
    <mergeCell ref="AFA7:AFC7"/>
    <mergeCell ref="AFD7:AFF7"/>
    <mergeCell ref="AFG7:AFI7"/>
    <mergeCell ref="AFJ7:AFL7"/>
    <mergeCell ref="AEI7:AEK7"/>
    <mergeCell ref="AEL7:AEN7"/>
    <mergeCell ref="AEO7:AEQ7"/>
    <mergeCell ref="AER7:AET7"/>
    <mergeCell ref="AEU7:AEW7"/>
    <mergeCell ref="ADT7:ADV7"/>
    <mergeCell ref="ADW7:ADY7"/>
    <mergeCell ref="ADZ7:AEB7"/>
    <mergeCell ref="AEC7:AEE7"/>
    <mergeCell ref="AEF7:AEH7"/>
    <mergeCell ref="ALG7:ALI7"/>
    <mergeCell ref="ALJ7:ALL7"/>
    <mergeCell ref="ALM7:ALO7"/>
    <mergeCell ref="ALP7:ALR7"/>
    <mergeCell ref="ALS7:ALU7"/>
    <mergeCell ref="AKR7:AKT7"/>
    <mergeCell ref="AKU7:AKW7"/>
    <mergeCell ref="AKX7:AKZ7"/>
    <mergeCell ref="ALA7:ALC7"/>
    <mergeCell ref="ALD7:ALF7"/>
    <mergeCell ref="AKC7:AKE7"/>
    <mergeCell ref="AKF7:AKH7"/>
    <mergeCell ref="AKI7:AKK7"/>
    <mergeCell ref="AKL7:AKN7"/>
    <mergeCell ref="AKO7:AKQ7"/>
    <mergeCell ref="AJN7:AJP7"/>
    <mergeCell ref="AJQ7:AJS7"/>
    <mergeCell ref="AJT7:AJV7"/>
    <mergeCell ref="AJW7:AJY7"/>
    <mergeCell ref="AJZ7:AKB7"/>
    <mergeCell ref="AIY7:AJA7"/>
    <mergeCell ref="AJB7:AJD7"/>
    <mergeCell ref="AJE7:AJG7"/>
    <mergeCell ref="AJH7:AJJ7"/>
    <mergeCell ref="AJK7:AJM7"/>
    <mergeCell ref="AIJ7:AIL7"/>
    <mergeCell ref="AIM7:AIO7"/>
    <mergeCell ref="AIP7:AIR7"/>
    <mergeCell ref="AIS7:AIU7"/>
    <mergeCell ref="AIV7:AIX7"/>
    <mergeCell ref="AHU7:AHW7"/>
    <mergeCell ref="AHX7:AHZ7"/>
    <mergeCell ref="AIA7:AIC7"/>
    <mergeCell ref="AID7:AIF7"/>
    <mergeCell ref="AIG7:AII7"/>
    <mergeCell ref="APH7:APJ7"/>
    <mergeCell ref="APK7:APM7"/>
    <mergeCell ref="APN7:APP7"/>
    <mergeCell ref="APQ7:APS7"/>
    <mergeCell ref="APT7:APV7"/>
    <mergeCell ref="AOS7:AOU7"/>
    <mergeCell ref="AOV7:AOX7"/>
    <mergeCell ref="AOY7:APA7"/>
    <mergeCell ref="APB7:APD7"/>
    <mergeCell ref="APE7:APG7"/>
    <mergeCell ref="AOD7:AOF7"/>
    <mergeCell ref="AOG7:AOI7"/>
    <mergeCell ref="AOJ7:AOL7"/>
    <mergeCell ref="AOM7:AOO7"/>
    <mergeCell ref="AOP7:AOR7"/>
    <mergeCell ref="ANO7:ANQ7"/>
    <mergeCell ref="ANR7:ANT7"/>
    <mergeCell ref="ANU7:ANW7"/>
    <mergeCell ref="ANX7:ANZ7"/>
    <mergeCell ref="AOA7:AOC7"/>
    <mergeCell ref="AMZ7:ANB7"/>
    <mergeCell ref="ANC7:ANE7"/>
    <mergeCell ref="ANF7:ANH7"/>
    <mergeCell ref="ANI7:ANK7"/>
    <mergeCell ref="ANL7:ANN7"/>
    <mergeCell ref="AMK7:AMM7"/>
    <mergeCell ref="AMN7:AMP7"/>
    <mergeCell ref="AMQ7:AMS7"/>
    <mergeCell ref="AMT7:AMV7"/>
    <mergeCell ref="AMW7:AMY7"/>
    <mergeCell ref="ALV7:ALX7"/>
    <mergeCell ref="ALY7:AMA7"/>
    <mergeCell ref="AMB7:AMD7"/>
    <mergeCell ref="AME7:AMG7"/>
    <mergeCell ref="AMH7:AMJ7"/>
    <mergeCell ref="ATI7:ATK7"/>
    <mergeCell ref="ATL7:ATN7"/>
    <mergeCell ref="ATO7:ATQ7"/>
    <mergeCell ref="ATR7:ATT7"/>
    <mergeCell ref="ATU7:ATW7"/>
    <mergeCell ref="AST7:ASV7"/>
    <mergeCell ref="ASW7:ASY7"/>
    <mergeCell ref="ASZ7:ATB7"/>
    <mergeCell ref="ATC7:ATE7"/>
    <mergeCell ref="ATF7:ATH7"/>
    <mergeCell ref="ASE7:ASG7"/>
    <mergeCell ref="ASH7:ASJ7"/>
    <mergeCell ref="ASK7:ASM7"/>
    <mergeCell ref="ASN7:ASP7"/>
    <mergeCell ref="ASQ7:ASS7"/>
    <mergeCell ref="ARP7:ARR7"/>
    <mergeCell ref="ARS7:ARU7"/>
    <mergeCell ref="ARV7:ARX7"/>
    <mergeCell ref="ARY7:ASA7"/>
    <mergeCell ref="ASB7:ASD7"/>
    <mergeCell ref="ARA7:ARC7"/>
    <mergeCell ref="ARD7:ARF7"/>
    <mergeCell ref="ARG7:ARI7"/>
    <mergeCell ref="ARJ7:ARL7"/>
    <mergeCell ref="ARM7:ARO7"/>
    <mergeCell ref="AQL7:AQN7"/>
    <mergeCell ref="AQO7:AQQ7"/>
    <mergeCell ref="AQR7:AQT7"/>
    <mergeCell ref="AQU7:AQW7"/>
    <mergeCell ref="AQX7:AQZ7"/>
    <mergeCell ref="APW7:APY7"/>
    <mergeCell ref="APZ7:AQB7"/>
    <mergeCell ref="AQC7:AQE7"/>
    <mergeCell ref="AQF7:AQH7"/>
    <mergeCell ref="AQI7:AQK7"/>
    <mergeCell ref="AXJ7:AXL7"/>
    <mergeCell ref="AXM7:AXO7"/>
    <mergeCell ref="AXP7:AXR7"/>
    <mergeCell ref="AXS7:AXU7"/>
    <mergeCell ref="AXV7:AXX7"/>
    <mergeCell ref="AWU7:AWW7"/>
    <mergeCell ref="AWX7:AWZ7"/>
    <mergeCell ref="AXA7:AXC7"/>
    <mergeCell ref="AXD7:AXF7"/>
    <mergeCell ref="AXG7:AXI7"/>
    <mergeCell ref="AWF7:AWH7"/>
    <mergeCell ref="AWI7:AWK7"/>
    <mergeCell ref="AWL7:AWN7"/>
    <mergeCell ref="AWO7:AWQ7"/>
    <mergeCell ref="AWR7:AWT7"/>
    <mergeCell ref="AVQ7:AVS7"/>
    <mergeCell ref="AVT7:AVV7"/>
    <mergeCell ref="AVW7:AVY7"/>
    <mergeCell ref="AVZ7:AWB7"/>
    <mergeCell ref="AWC7:AWE7"/>
    <mergeCell ref="AVB7:AVD7"/>
    <mergeCell ref="AVE7:AVG7"/>
    <mergeCell ref="AVH7:AVJ7"/>
    <mergeCell ref="AVK7:AVM7"/>
    <mergeCell ref="AVN7:AVP7"/>
    <mergeCell ref="AUM7:AUO7"/>
    <mergeCell ref="AUP7:AUR7"/>
    <mergeCell ref="AUS7:AUU7"/>
    <mergeCell ref="AUV7:AUX7"/>
    <mergeCell ref="AUY7:AVA7"/>
    <mergeCell ref="ATX7:ATZ7"/>
    <mergeCell ref="AUA7:AUC7"/>
    <mergeCell ref="AUD7:AUF7"/>
    <mergeCell ref="AUG7:AUI7"/>
    <mergeCell ref="AUJ7:AUL7"/>
    <mergeCell ref="BBK7:BBM7"/>
    <mergeCell ref="BBN7:BBP7"/>
    <mergeCell ref="BBQ7:BBS7"/>
    <mergeCell ref="BBT7:BBV7"/>
    <mergeCell ref="BBW7:BBY7"/>
    <mergeCell ref="BAV7:BAX7"/>
    <mergeCell ref="BAY7:BBA7"/>
    <mergeCell ref="BBB7:BBD7"/>
    <mergeCell ref="BBE7:BBG7"/>
    <mergeCell ref="BBH7:BBJ7"/>
    <mergeCell ref="BAG7:BAI7"/>
    <mergeCell ref="BAJ7:BAL7"/>
    <mergeCell ref="BAM7:BAO7"/>
    <mergeCell ref="BAP7:BAR7"/>
    <mergeCell ref="BAS7:BAU7"/>
    <mergeCell ref="AZR7:AZT7"/>
    <mergeCell ref="AZU7:AZW7"/>
    <mergeCell ref="AZX7:AZZ7"/>
    <mergeCell ref="BAA7:BAC7"/>
    <mergeCell ref="BAD7:BAF7"/>
    <mergeCell ref="AZC7:AZE7"/>
    <mergeCell ref="AZF7:AZH7"/>
    <mergeCell ref="AZI7:AZK7"/>
    <mergeCell ref="AZL7:AZN7"/>
    <mergeCell ref="AZO7:AZQ7"/>
    <mergeCell ref="AYN7:AYP7"/>
    <mergeCell ref="AYQ7:AYS7"/>
    <mergeCell ref="AYT7:AYV7"/>
    <mergeCell ref="AYW7:AYY7"/>
    <mergeCell ref="AYZ7:AZB7"/>
    <mergeCell ref="AXY7:AYA7"/>
    <mergeCell ref="AYB7:AYD7"/>
    <mergeCell ref="AYE7:AYG7"/>
    <mergeCell ref="AYH7:AYJ7"/>
    <mergeCell ref="AYK7:AYM7"/>
    <mergeCell ref="BFL7:BFN7"/>
    <mergeCell ref="BFO7:BFQ7"/>
    <mergeCell ref="BFR7:BFT7"/>
    <mergeCell ref="BFU7:BFW7"/>
    <mergeCell ref="BFX7:BFZ7"/>
    <mergeCell ref="BEW7:BEY7"/>
    <mergeCell ref="BEZ7:BFB7"/>
    <mergeCell ref="BFC7:BFE7"/>
    <mergeCell ref="BFF7:BFH7"/>
    <mergeCell ref="BFI7:BFK7"/>
    <mergeCell ref="BEH7:BEJ7"/>
    <mergeCell ref="BEK7:BEM7"/>
    <mergeCell ref="BEN7:BEP7"/>
    <mergeCell ref="BEQ7:BES7"/>
    <mergeCell ref="BET7:BEV7"/>
    <mergeCell ref="BDS7:BDU7"/>
    <mergeCell ref="BDV7:BDX7"/>
    <mergeCell ref="BDY7:BEA7"/>
    <mergeCell ref="BEB7:BED7"/>
    <mergeCell ref="BEE7:BEG7"/>
    <mergeCell ref="BDD7:BDF7"/>
    <mergeCell ref="BDG7:BDI7"/>
    <mergeCell ref="BDJ7:BDL7"/>
    <mergeCell ref="BDM7:BDO7"/>
    <mergeCell ref="BDP7:BDR7"/>
    <mergeCell ref="BCO7:BCQ7"/>
    <mergeCell ref="BCR7:BCT7"/>
    <mergeCell ref="BCU7:BCW7"/>
    <mergeCell ref="BCX7:BCZ7"/>
    <mergeCell ref="BDA7:BDC7"/>
    <mergeCell ref="BBZ7:BCB7"/>
    <mergeCell ref="BCC7:BCE7"/>
    <mergeCell ref="BCF7:BCH7"/>
    <mergeCell ref="BCI7:BCK7"/>
    <mergeCell ref="BCL7:BCN7"/>
    <mergeCell ref="BJM7:BJO7"/>
    <mergeCell ref="BJP7:BJR7"/>
    <mergeCell ref="BJS7:BJU7"/>
    <mergeCell ref="BJV7:BJX7"/>
    <mergeCell ref="BJY7:BKA7"/>
    <mergeCell ref="BIX7:BIZ7"/>
    <mergeCell ref="BJA7:BJC7"/>
    <mergeCell ref="BJD7:BJF7"/>
    <mergeCell ref="BJG7:BJI7"/>
    <mergeCell ref="BJJ7:BJL7"/>
    <mergeCell ref="BII7:BIK7"/>
    <mergeCell ref="BIL7:BIN7"/>
    <mergeCell ref="BIO7:BIQ7"/>
    <mergeCell ref="BIR7:BIT7"/>
    <mergeCell ref="BIU7:BIW7"/>
    <mergeCell ref="BHT7:BHV7"/>
    <mergeCell ref="BHW7:BHY7"/>
    <mergeCell ref="BHZ7:BIB7"/>
    <mergeCell ref="BIC7:BIE7"/>
    <mergeCell ref="BIF7:BIH7"/>
    <mergeCell ref="BHE7:BHG7"/>
    <mergeCell ref="BHH7:BHJ7"/>
    <mergeCell ref="BHK7:BHM7"/>
    <mergeCell ref="BHN7:BHP7"/>
    <mergeCell ref="BHQ7:BHS7"/>
    <mergeCell ref="BGP7:BGR7"/>
    <mergeCell ref="BGS7:BGU7"/>
    <mergeCell ref="BGV7:BGX7"/>
    <mergeCell ref="BGY7:BHA7"/>
    <mergeCell ref="BHB7:BHD7"/>
    <mergeCell ref="BGA7:BGC7"/>
    <mergeCell ref="BGD7:BGF7"/>
    <mergeCell ref="BGG7:BGI7"/>
    <mergeCell ref="BGJ7:BGL7"/>
    <mergeCell ref="BGM7:BGO7"/>
    <mergeCell ref="BNN7:BNP7"/>
    <mergeCell ref="BNQ7:BNS7"/>
    <mergeCell ref="BNT7:BNV7"/>
    <mergeCell ref="BNW7:BNY7"/>
    <mergeCell ref="BNZ7:BOB7"/>
    <mergeCell ref="BMY7:BNA7"/>
    <mergeCell ref="BNB7:BND7"/>
    <mergeCell ref="BNE7:BNG7"/>
    <mergeCell ref="BNH7:BNJ7"/>
    <mergeCell ref="BNK7:BNM7"/>
    <mergeCell ref="BMJ7:BML7"/>
    <mergeCell ref="BMM7:BMO7"/>
    <mergeCell ref="BMP7:BMR7"/>
    <mergeCell ref="BMS7:BMU7"/>
    <mergeCell ref="BMV7:BMX7"/>
    <mergeCell ref="BLU7:BLW7"/>
    <mergeCell ref="BLX7:BLZ7"/>
    <mergeCell ref="BMA7:BMC7"/>
    <mergeCell ref="BMD7:BMF7"/>
    <mergeCell ref="BMG7:BMI7"/>
    <mergeCell ref="BLF7:BLH7"/>
    <mergeCell ref="BLI7:BLK7"/>
    <mergeCell ref="BLL7:BLN7"/>
    <mergeCell ref="BLO7:BLQ7"/>
    <mergeCell ref="BLR7:BLT7"/>
    <mergeCell ref="BKQ7:BKS7"/>
    <mergeCell ref="BKT7:BKV7"/>
    <mergeCell ref="BKW7:BKY7"/>
    <mergeCell ref="BKZ7:BLB7"/>
    <mergeCell ref="BLC7:BLE7"/>
    <mergeCell ref="BKB7:BKD7"/>
    <mergeCell ref="BKE7:BKG7"/>
    <mergeCell ref="BKH7:BKJ7"/>
    <mergeCell ref="BKK7:BKM7"/>
    <mergeCell ref="BKN7:BKP7"/>
    <mergeCell ref="BRO7:BRQ7"/>
    <mergeCell ref="BRR7:BRT7"/>
    <mergeCell ref="BRU7:BRW7"/>
    <mergeCell ref="BRX7:BRZ7"/>
    <mergeCell ref="BSA7:BSC7"/>
    <mergeCell ref="BQZ7:BRB7"/>
    <mergeCell ref="BRC7:BRE7"/>
    <mergeCell ref="BRF7:BRH7"/>
    <mergeCell ref="BRI7:BRK7"/>
    <mergeCell ref="BRL7:BRN7"/>
    <mergeCell ref="BQK7:BQM7"/>
    <mergeCell ref="BQN7:BQP7"/>
    <mergeCell ref="BQQ7:BQS7"/>
    <mergeCell ref="BQT7:BQV7"/>
    <mergeCell ref="BQW7:BQY7"/>
    <mergeCell ref="BPV7:BPX7"/>
    <mergeCell ref="BPY7:BQA7"/>
    <mergeCell ref="BQB7:BQD7"/>
    <mergeCell ref="BQE7:BQG7"/>
    <mergeCell ref="BQH7:BQJ7"/>
    <mergeCell ref="BPG7:BPI7"/>
    <mergeCell ref="BPJ7:BPL7"/>
    <mergeCell ref="BPM7:BPO7"/>
    <mergeCell ref="BPP7:BPR7"/>
    <mergeCell ref="BPS7:BPU7"/>
    <mergeCell ref="BOR7:BOT7"/>
    <mergeCell ref="BOU7:BOW7"/>
    <mergeCell ref="BOX7:BOZ7"/>
    <mergeCell ref="BPA7:BPC7"/>
    <mergeCell ref="BPD7:BPF7"/>
    <mergeCell ref="BOC7:BOE7"/>
    <mergeCell ref="BOF7:BOH7"/>
    <mergeCell ref="BOI7:BOK7"/>
    <mergeCell ref="BOL7:BON7"/>
    <mergeCell ref="BOO7:BOQ7"/>
    <mergeCell ref="BVP7:BVR7"/>
    <mergeCell ref="BVS7:BVU7"/>
    <mergeCell ref="BVV7:BVX7"/>
    <mergeCell ref="BVY7:BWA7"/>
    <mergeCell ref="BWB7:BWD7"/>
    <mergeCell ref="BVA7:BVC7"/>
    <mergeCell ref="BVD7:BVF7"/>
    <mergeCell ref="BVG7:BVI7"/>
    <mergeCell ref="BVJ7:BVL7"/>
    <mergeCell ref="BVM7:BVO7"/>
    <mergeCell ref="BUL7:BUN7"/>
    <mergeCell ref="BUO7:BUQ7"/>
    <mergeCell ref="BUR7:BUT7"/>
    <mergeCell ref="BUU7:BUW7"/>
    <mergeCell ref="BUX7:BUZ7"/>
    <mergeCell ref="BTW7:BTY7"/>
    <mergeCell ref="BTZ7:BUB7"/>
    <mergeCell ref="BUC7:BUE7"/>
    <mergeCell ref="BUF7:BUH7"/>
    <mergeCell ref="BUI7:BUK7"/>
    <mergeCell ref="BTH7:BTJ7"/>
    <mergeCell ref="BTK7:BTM7"/>
    <mergeCell ref="BTN7:BTP7"/>
    <mergeCell ref="BTQ7:BTS7"/>
    <mergeCell ref="BTT7:BTV7"/>
    <mergeCell ref="BSS7:BSU7"/>
    <mergeCell ref="BSV7:BSX7"/>
    <mergeCell ref="BSY7:BTA7"/>
    <mergeCell ref="BTB7:BTD7"/>
    <mergeCell ref="BTE7:BTG7"/>
    <mergeCell ref="BSD7:BSF7"/>
    <mergeCell ref="BSG7:BSI7"/>
    <mergeCell ref="BSJ7:BSL7"/>
    <mergeCell ref="BSM7:BSO7"/>
    <mergeCell ref="BSP7:BSR7"/>
    <mergeCell ref="BZQ7:BZS7"/>
    <mergeCell ref="BZT7:BZV7"/>
    <mergeCell ref="BZW7:BZY7"/>
    <mergeCell ref="BZZ7:CAB7"/>
    <mergeCell ref="CAC7:CAE7"/>
    <mergeCell ref="BZB7:BZD7"/>
    <mergeCell ref="BZE7:BZG7"/>
    <mergeCell ref="BZH7:BZJ7"/>
    <mergeCell ref="BZK7:BZM7"/>
    <mergeCell ref="BZN7:BZP7"/>
    <mergeCell ref="BYM7:BYO7"/>
    <mergeCell ref="BYP7:BYR7"/>
    <mergeCell ref="BYS7:BYU7"/>
    <mergeCell ref="BYV7:BYX7"/>
    <mergeCell ref="BYY7:BZA7"/>
    <mergeCell ref="BXX7:BXZ7"/>
    <mergeCell ref="BYA7:BYC7"/>
    <mergeCell ref="BYD7:BYF7"/>
    <mergeCell ref="BYG7:BYI7"/>
    <mergeCell ref="BYJ7:BYL7"/>
    <mergeCell ref="BXI7:BXK7"/>
    <mergeCell ref="BXL7:BXN7"/>
    <mergeCell ref="BXO7:BXQ7"/>
    <mergeCell ref="BXR7:BXT7"/>
    <mergeCell ref="BXU7:BXW7"/>
    <mergeCell ref="BWT7:BWV7"/>
    <mergeCell ref="BWW7:BWY7"/>
    <mergeCell ref="BWZ7:BXB7"/>
    <mergeCell ref="BXC7:BXE7"/>
    <mergeCell ref="BXF7:BXH7"/>
    <mergeCell ref="BWE7:BWG7"/>
    <mergeCell ref="BWH7:BWJ7"/>
    <mergeCell ref="BWK7:BWM7"/>
    <mergeCell ref="BWN7:BWP7"/>
    <mergeCell ref="BWQ7:BWS7"/>
    <mergeCell ref="CDR7:CDT7"/>
    <mergeCell ref="CDU7:CDW7"/>
    <mergeCell ref="CDX7:CDZ7"/>
    <mergeCell ref="CEA7:CEC7"/>
    <mergeCell ref="CED7:CEF7"/>
    <mergeCell ref="CDC7:CDE7"/>
    <mergeCell ref="CDF7:CDH7"/>
    <mergeCell ref="CDI7:CDK7"/>
    <mergeCell ref="CDL7:CDN7"/>
    <mergeCell ref="CDO7:CDQ7"/>
    <mergeCell ref="CCN7:CCP7"/>
    <mergeCell ref="CCQ7:CCS7"/>
    <mergeCell ref="CCT7:CCV7"/>
    <mergeCell ref="CCW7:CCY7"/>
    <mergeCell ref="CCZ7:CDB7"/>
    <mergeCell ref="CBY7:CCA7"/>
    <mergeCell ref="CCB7:CCD7"/>
    <mergeCell ref="CCE7:CCG7"/>
    <mergeCell ref="CCH7:CCJ7"/>
    <mergeCell ref="CCK7:CCM7"/>
    <mergeCell ref="CBJ7:CBL7"/>
    <mergeCell ref="CBM7:CBO7"/>
    <mergeCell ref="CBP7:CBR7"/>
    <mergeCell ref="CBS7:CBU7"/>
    <mergeCell ref="CBV7:CBX7"/>
    <mergeCell ref="CAU7:CAW7"/>
    <mergeCell ref="CAX7:CAZ7"/>
    <mergeCell ref="CBA7:CBC7"/>
    <mergeCell ref="CBD7:CBF7"/>
    <mergeCell ref="CBG7:CBI7"/>
    <mergeCell ref="CAF7:CAH7"/>
    <mergeCell ref="CAI7:CAK7"/>
    <mergeCell ref="CAL7:CAN7"/>
    <mergeCell ref="CAO7:CAQ7"/>
    <mergeCell ref="CAR7:CAT7"/>
    <mergeCell ref="CHS7:CHU7"/>
    <mergeCell ref="CHV7:CHX7"/>
    <mergeCell ref="CHY7:CIA7"/>
    <mergeCell ref="CIB7:CID7"/>
    <mergeCell ref="CIE7:CIG7"/>
    <mergeCell ref="CHD7:CHF7"/>
    <mergeCell ref="CHG7:CHI7"/>
    <mergeCell ref="CHJ7:CHL7"/>
    <mergeCell ref="CHM7:CHO7"/>
    <mergeCell ref="CHP7:CHR7"/>
    <mergeCell ref="CGO7:CGQ7"/>
    <mergeCell ref="CGR7:CGT7"/>
    <mergeCell ref="CGU7:CGW7"/>
    <mergeCell ref="CGX7:CGZ7"/>
    <mergeCell ref="CHA7:CHC7"/>
    <mergeCell ref="CFZ7:CGB7"/>
    <mergeCell ref="CGC7:CGE7"/>
    <mergeCell ref="CGF7:CGH7"/>
    <mergeCell ref="CGI7:CGK7"/>
    <mergeCell ref="CGL7:CGN7"/>
    <mergeCell ref="CFK7:CFM7"/>
    <mergeCell ref="CFN7:CFP7"/>
    <mergeCell ref="CFQ7:CFS7"/>
    <mergeCell ref="CFT7:CFV7"/>
    <mergeCell ref="CFW7:CFY7"/>
    <mergeCell ref="CEV7:CEX7"/>
    <mergeCell ref="CEY7:CFA7"/>
    <mergeCell ref="CFB7:CFD7"/>
    <mergeCell ref="CFE7:CFG7"/>
    <mergeCell ref="CFH7:CFJ7"/>
    <mergeCell ref="CEG7:CEI7"/>
    <mergeCell ref="CEJ7:CEL7"/>
    <mergeCell ref="CEM7:CEO7"/>
    <mergeCell ref="CEP7:CER7"/>
    <mergeCell ref="CES7:CEU7"/>
    <mergeCell ref="CLT7:CLV7"/>
    <mergeCell ref="CLW7:CLY7"/>
    <mergeCell ref="CLZ7:CMB7"/>
    <mergeCell ref="CMC7:CME7"/>
    <mergeCell ref="CMF7:CMH7"/>
    <mergeCell ref="CLE7:CLG7"/>
    <mergeCell ref="CLH7:CLJ7"/>
    <mergeCell ref="CLK7:CLM7"/>
    <mergeCell ref="CLN7:CLP7"/>
    <mergeCell ref="CLQ7:CLS7"/>
    <mergeCell ref="CKP7:CKR7"/>
    <mergeCell ref="CKS7:CKU7"/>
    <mergeCell ref="CKV7:CKX7"/>
    <mergeCell ref="CKY7:CLA7"/>
    <mergeCell ref="CLB7:CLD7"/>
    <mergeCell ref="CKA7:CKC7"/>
    <mergeCell ref="CKD7:CKF7"/>
    <mergeCell ref="CKG7:CKI7"/>
    <mergeCell ref="CKJ7:CKL7"/>
    <mergeCell ref="CKM7:CKO7"/>
    <mergeCell ref="CJL7:CJN7"/>
    <mergeCell ref="CJO7:CJQ7"/>
    <mergeCell ref="CJR7:CJT7"/>
    <mergeCell ref="CJU7:CJW7"/>
    <mergeCell ref="CJX7:CJZ7"/>
    <mergeCell ref="CIW7:CIY7"/>
    <mergeCell ref="CIZ7:CJB7"/>
    <mergeCell ref="CJC7:CJE7"/>
    <mergeCell ref="CJF7:CJH7"/>
    <mergeCell ref="CJI7:CJK7"/>
    <mergeCell ref="CIH7:CIJ7"/>
    <mergeCell ref="CIK7:CIM7"/>
    <mergeCell ref="CIN7:CIP7"/>
    <mergeCell ref="CIQ7:CIS7"/>
    <mergeCell ref="CIT7:CIV7"/>
    <mergeCell ref="CPU7:CPW7"/>
    <mergeCell ref="CPX7:CPZ7"/>
    <mergeCell ref="CQA7:CQC7"/>
    <mergeCell ref="CQD7:CQF7"/>
    <mergeCell ref="CQG7:CQI7"/>
    <mergeCell ref="CPF7:CPH7"/>
    <mergeCell ref="CPI7:CPK7"/>
    <mergeCell ref="CPL7:CPN7"/>
    <mergeCell ref="CPO7:CPQ7"/>
    <mergeCell ref="CPR7:CPT7"/>
    <mergeCell ref="COQ7:COS7"/>
    <mergeCell ref="COT7:COV7"/>
    <mergeCell ref="COW7:COY7"/>
    <mergeCell ref="COZ7:CPB7"/>
    <mergeCell ref="CPC7:CPE7"/>
    <mergeCell ref="COB7:COD7"/>
    <mergeCell ref="COE7:COG7"/>
    <mergeCell ref="COH7:COJ7"/>
    <mergeCell ref="COK7:COM7"/>
    <mergeCell ref="CON7:COP7"/>
    <mergeCell ref="CNM7:CNO7"/>
    <mergeCell ref="CNP7:CNR7"/>
    <mergeCell ref="CNS7:CNU7"/>
    <mergeCell ref="CNV7:CNX7"/>
    <mergeCell ref="CNY7:COA7"/>
    <mergeCell ref="CMX7:CMZ7"/>
    <mergeCell ref="CNA7:CNC7"/>
    <mergeCell ref="CND7:CNF7"/>
    <mergeCell ref="CNG7:CNI7"/>
    <mergeCell ref="CNJ7:CNL7"/>
    <mergeCell ref="CMI7:CMK7"/>
    <mergeCell ref="CML7:CMN7"/>
    <mergeCell ref="CMO7:CMQ7"/>
    <mergeCell ref="CMR7:CMT7"/>
    <mergeCell ref="CMU7:CMW7"/>
    <mergeCell ref="CTV7:CTX7"/>
    <mergeCell ref="CTY7:CUA7"/>
    <mergeCell ref="CUB7:CUD7"/>
    <mergeCell ref="CUE7:CUG7"/>
    <mergeCell ref="CUH7:CUJ7"/>
    <mergeCell ref="CTG7:CTI7"/>
    <mergeCell ref="CTJ7:CTL7"/>
    <mergeCell ref="CTM7:CTO7"/>
    <mergeCell ref="CTP7:CTR7"/>
    <mergeCell ref="CTS7:CTU7"/>
    <mergeCell ref="CSR7:CST7"/>
    <mergeCell ref="CSU7:CSW7"/>
    <mergeCell ref="CSX7:CSZ7"/>
    <mergeCell ref="CTA7:CTC7"/>
    <mergeCell ref="CTD7:CTF7"/>
    <mergeCell ref="CSC7:CSE7"/>
    <mergeCell ref="CSF7:CSH7"/>
    <mergeCell ref="CSI7:CSK7"/>
    <mergeCell ref="CSL7:CSN7"/>
    <mergeCell ref="CSO7:CSQ7"/>
    <mergeCell ref="CRN7:CRP7"/>
    <mergeCell ref="CRQ7:CRS7"/>
    <mergeCell ref="CRT7:CRV7"/>
    <mergeCell ref="CRW7:CRY7"/>
    <mergeCell ref="CRZ7:CSB7"/>
    <mergeCell ref="CQY7:CRA7"/>
    <mergeCell ref="CRB7:CRD7"/>
    <mergeCell ref="CRE7:CRG7"/>
    <mergeCell ref="CRH7:CRJ7"/>
    <mergeCell ref="CRK7:CRM7"/>
    <mergeCell ref="CQJ7:CQL7"/>
    <mergeCell ref="CQM7:CQO7"/>
    <mergeCell ref="CQP7:CQR7"/>
    <mergeCell ref="CQS7:CQU7"/>
    <mergeCell ref="CQV7:CQX7"/>
    <mergeCell ref="CXW7:CXY7"/>
    <mergeCell ref="CXZ7:CYB7"/>
    <mergeCell ref="CYC7:CYE7"/>
    <mergeCell ref="CYF7:CYH7"/>
    <mergeCell ref="CYI7:CYK7"/>
    <mergeCell ref="CXH7:CXJ7"/>
    <mergeCell ref="CXK7:CXM7"/>
    <mergeCell ref="CXN7:CXP7"/>
    <mergeCell ref="CXQ7:CXS7"/>
    <mergeCell ref="CXT7:CXV7"/>
    <mergeCell ref="CWS7:CWU7"/>
    <mergeCell ref="CWV7:CWX7"/>
    <mergeCell ref="CWY7:CXA7"/>
    <mergeCell ref="CXB7:CXD7"/>
    <mergeCell ref="CXE7:CXG7"/>
    <mergeCell ref="CWD7:CWF7"/>
    <mergeCell ref="CWG7:CWI7"/>
    <mergeCell ref="CWJ7:CWL7"/>
    <mergeCell ref="CWM7:CWO7"/>
    <mergeCell ref="CWP7:CWR7"/>
    <mergeCell ref="CVO7:CVQ7"/>
    <mergeCell ref="CVR7:CVT7"/>
    <mergeCell ref="CVU7:CVW7"/>
    <mergeCell ref="CVX7:CVZ7"/>
    <mergeCell ref="CWA7:CWC7"/>
    <mergeCell ref="CUZ7:CVB7"/>
    <mergeCell ref="CVC7:CVE7"/>
    <mergeCell ref="CVF7:CVH7"/>
    <mergeCell ref="CVI7:CVK7"/>
    <mergeCell ref="CVL7:CVN7"/>
    <mergeCell ref="CUK7:CUM7"/>
    <mergeCell ref="CUN7:CUP7"/>
    <mergeCell ref="CUQ7:CUS7"/>
    <mergeCell ref="CUT7:CUV7"/>
    <mergeCell ref="CUW7:CUY7"/>
    <mergeCell ref="DBX7:DBZ7"/>
    <mergeCell ref="DCA7:DCC7"/>
    <mergeCell ref="DCD7:DCF7"/>
    <mergeCell ref="DCG7:DCI7"/>
    <mergeCell ref="DCJ7:DCL7"/>
    <mergeCell ref="DBI7:DBK7"/>
    <mergeCell ref="DBL7:DBN7"/>
    <mergeCell ref="DBO7:DBQ7"/>
    <mergeCell ref="DBR7:DBT7"/>
    <mergeCell ref="DBU7:DBW7"/>
    <mergeCell ref="DAT7:DAV7"/>
    <mergeCell ref="DAW7:DAY7"/>
    <mergeCell ref="DAZ7:DBB7"/>
    <mergeCell ref="DBC7:DBE7"/>
    <mergeCell ref="DBF7:DBH7"/>
    <mergeCell ref="DAE7:DAG7"/>
    <mergeCell ref="DAH7:DAJ7"/>
    <mergeCell ref="DAK7:DAM7"/>
    <mergeCell ref="DAN7:DAP7"/>
    <mergeCell ref="DAQ7:DAS7"/>
    <mergeCell ref="CZP7:CZR7"/>
    <mergeCell ref="CZS7:CZU7"/>
    <mergeCell ref="CZV7:CZX7"/>
    <mergeCell ref="CZY7:DAA7"/>
    <mergeCell ref="DAB7:DAD7"/>
    <mergeCell ref="CZA7:CZC7"/>
    <mergeCell ref="CZD7:CZF7"/>
    <mergeCell ref="CZG7:CZI7"/>
    <mergeCell ref="CZJ7:CZL7"/>
    <mergeCell ref="CZM7:CZO7"/>
    <mergeCell ref="CYL7:CYN7"/>
    <mergeCell ref="CYO7:CYQ7"/>
    <mergeCell ref="CYR7:CYT7"/>
    <mergeCell ref="CYU7:CYW7"/>
    <mergeCell ref="CYX7:CYZ7"/>
    <mergeCell ref="DFY7:DGA7"/>
    <mergeCell ref="DGB7:DGD7"/>
    <mergeCell ref="DGE7:DGG7"/>
    <mergeCell ref="DGH7:DGJ7"/>
    <mergeCell ref="DGK7:DGM7"/>
    <mergeCell ref="DFJ7:DFL7"/>
    <mergeCell ref="DFM7:DFO7"/>
    <mergeCell ref="DFP7:DFR7"/>
    <mergeCell ref="DFS7:DFU7"/>
    <mergeCell ref="DFV7:DFX7"/>
    <mergeCell ref="DEU7:DEW7"/>
    <mergeCell ref="DEX7:DEZ7"/>
    <mergeCell ref="DFA7:DFC7"/>
    <mergeCell ref="DFD7:DFF7"/>
    <mergeCell ref="DFG7:DFI7"/>
    <mergeCell ref="DEF7:DEH7"/>
    <mergeCell ref="DEI7:DEK7"/>
    <mergeCell ref="DEL7:DEN7"/>
    <mergeCell ref="DEO7:DEQ7"/>
    <mergeCell ref="DER7:DET7"/>
    <mergeCell ref="DDQ7:DDS7"/>
    <mergeCell ref="DDT7:DDV7"/>
    <mergeCell ref="DDW7:DDY7"/>
    <mergeCell ref="DDZ7:DEB7"/>
    <mergeCell ref="DEC7:DEE7"/>
    <mergeCell ref="DDB7:DDD7"/>
    <mergeCell ref="DDE7:DDG7"/>
    <mergeCell ref="DDH7:DDJ7"/>
    <mergeCell ref="DDK7:DDM7"/>
    <mergeCell ref="DDN7:DDP7"/>
    <mergeCell ref="DCM7:DCO7"/>
    <mergeCell ref="DCP7:DCR7"/>
    <mergeCell ref="DCS7:DCU7"/>
    <mergeCell ref="DCV7:DCX7"/>
    <mergeCell ref="DCY7:DDA7"/>
    <mergeCell ref="DJZ7:DKB7"/>
    <mergeCell ref="DKC7:DKE7"/>
    <mergeCell ref="DKF7:DKH7"/>
    <mergeCell ref="DKI7:DKK7"/>
    <mergeCell ref="DKL7:DKN7"/>
    <mergeCell ref="DJK7:DJM7"/>
    <mergeCell ref="DJN7:DJP7"/>
    <mergeCell ref="DJQ7:DJS7"/>
    <mergeCell ref="DJT7:DJV7"/>
    <mergeCell ref="DJW7:DJY7"/>
    <mergeCell ref="DIV7:DIX7"/>
    <mergeCell ref="DIY7:DJA7"/>
    <mergeCell ref="DJB7:DJD7"/>
    <mergeCell ref="DJE7:DJG7"/>
    <mergeCell ref="DJH7:DJJ7"/>
    <mergeCell ref="DIG7:DII7"/>
    <mergeCell ref="DIJ7:DIL7"/>
    <mergeCell ref="DIM7:DIO7"/>
    <mergeCell ref="DIP7:DIR7"/>
    <mergeCell ref="DIS7:DIU7"/>
    <mergeCell ref="DHR7:DHT7"/>
    <mergeCell ref="DHU7:DHW7"/>
    <mergeCell ref="DHX7:DHZ7"/>
    <mergeCell ref="DIA7:DIC7"/>
    <mergeCell ref="DID7:DIF7"/>
    <mergeCell ref="DHC7:DHE7"/>
    <mergeCell ref="DHF7:DHH7"/>
    <mergeCell ref="DHI7:DHK7"/>
    <mergeCell ref="DHL7:DHN7"/>
    <mergeCell ref="DHO7:DHQ7"/>
    <mergeCell ref="DGN7:DGP7"/>
    <mergeCell ref="DGQ7:DGS7"/>
    <mergeCell ref="DGT7:DGV7"/>
    <mergeCell ref="DGW7:DGY7"/>
    <mergeCell ref="DGZ7:DHB7"/>
    <mergeCell ref="DOA7:DOC7"/>
    <mergeCell ref="DOD7:DOF7"/>
    <mergeCell ref="DOG7:DOI7"/>
    <mergeCell ref="DOJ7:DOL7"/>
    <mergeCell ref="DOM7:DOO7"/>
    <mergeCell ref="DNL7:DNN7"/>
    <mergeCell ref="DNO7:DNQ7"/>
    <mergeCell ref="DNR7:DNT7"/>
    <mergeCell ref="DNU7:DNW7"/>
    <mergeCell ref="DNX7:DNZ7"/>
    <mergeCell ref="DMW7:DMY7"/>
    <mergeCell ref="DMZ7:DNB7"/>
    <mergeCell ref="DNC7:DNE7"/>
    <mergeCell ref="DNF7:DNH7"/>
    <mergeCell ref="DNI7:DNK7"/>
    <mergeCell ref="DMH7:DMJ7"/>
    <mergeCell ref="DMK7:DMM7"/>
    <mergeCell ref="DMN7:DMP7"/>
    <mergeCell ref="DMQ7:DMS7"/>
    <mergeCell ref="DMT7:DMV7"/>
    <mergeCell ref="DLS7:DLU7"/>
    <mergeCell ref="DLV7:DLX7"/>
    <mergeCell ref="DLY7:DMA7"/>
    <mergeCell ref="DMB7:DMD7"/>
    <mergeCell ref="DME7:DMG7"/>
    <mergeCell ref="DLD7:DLF7"/>
    <mergeCell ref="DLG7:DLI7"/>
    <mergeCell ref="DLJ7:DLL7"/>
    <mergeCell ref="DLM7:DLO7"/>
    <mergeCell ref="DLP7:DLR7"/>
    <mergeCell ref="DKO7:DKQ7"/>
    <mergeCell ref="DKR7:DKT7"/>
    <mergeCell ref="DKU7:DKW7"/>
    <mergeCell ref="DKX7:DKZ7"/>
    <mergeCell ref="DLA7:DLC7"/>
    <mergeCell ref="DSB7:DSD7"/>
    <mergeCell ref="DSE7:DSG7"/>
    <mergeCell ref="DSH7:DSJ7"/>
    <mergeCell ref="DSK7:DSM7"/>
    <mergeCell ref="DSN7:DSP7"/>
    <mergeCell ref="DRM7:DRO7"/>
    <mergeCell ref="DRP7:DRR7"/>
    <mergeCell ref="DRS7:DRU7"/>
    <mergeCell ref="DRV7:DRX7"/>
    <mergeCell ref="DRY7:DSA7"/>
    <mergeCell ref="DQX7:DQZ7"/>
    <mergeCell ref="DRA7:DRC7"/>
    <mergeCell ref="DRD7:DRF7"/>
    <mergeCell ref="DRG7:DRI7"/>
    <mergeCell ref="DRJ7:DRL7"/>
    <mergeCell ref="DQI7:DQK7"/>
    <mergeCell ref="DQL7:DQN7"/>
    <mergeCell ref="DQO7:DQQ7"/>
    <mergeCell ref="DQR7:DQT7"/>
    <mergeCell ref="DQU7:DQW7"/>
    <mergeCell ref="DPT7:DPV7"/>
    <mergeCell ref="DPW7:DPY7"/>
    <mergeCell ref="DPZ7:DQB7"/>
    <mergeCell ref="DQC7:DQE7"/>
    <mergeCell ref="DQF7:DQH7"/>
    <mergeCell ref="DPE7:DPG7"/>
    <mergeCell ref="DPH7:DPJ7"/>
    <mergeCell ref="DPK7:DPM7"/>
    <mergeCell ref="DPN7:DPP7"/>
    <mergeCell ref="DPQ7:DPS7"/>
    <mergeCell ref="DOP7:DOR7"/>
    <mergeCell ref="DOS7:DOU7"/>
    <mergeCell ref="DOV7:DOX7"/>
    <mergeCell ref="DOY7:DPA7"/>
    <mergeCell ref="DPB7:DPD7"/>
    <mergeCell ref="DWC7:DWE7"/>
    <mergeCell ref="DWF7:DWH7"/>
    <mergeCell ref="DWI7:DWK7"/>
    <mergeCell ref="DWL7:DWN7"/>
    <mergeCell ref="DWO7:DWQ7"/>
    <mergeCell ref="DVN7:DVP7"/>
    <mergeCell ref="DVQ7:DVS7"/>
    <mergeCell ref="DVT7:DVV7"/>
    <mergeCell ref="DVW7:DVY7"/>
    <mergeCell ref="DVZ7:DWB7"/>
    <mergeCell ref="DUY7:DVA7"/>
    <mergeCell ref="DVB7:DVD7"/>
    <mergeCell ref="DVE7:DVG7"/>
    <mergeCell ref="DVH7:DVJ7"/>
    <mergeCell ref="DVK7:DVM7"/>
    <mergeCell ref="DUJ7:DUL7"/>
    <mergeCell ref="DUM7:DUO7"/>
    <mergeCell ref="DUP7:DUR7"/>
    <mergeCell ref="DUS7:DUU7"/>
    <mergeCell ref="DUV7:DUX7"/>
    <mergeCell ref="DTU7:DTW7"/>
    <mergeCell ref="DTX7:DTZ7"/>
    <mergeCell ref="DUA7:DUC7"/>
    <mergeCell ref="DUD7:DUF7"/>
    <mergeCell ref="DUG7:DUI7"/>
    <mergeCell ref="DTF7:DTH7"/>
    <mergeCell ref="DTI7:DTK7"/>
    <mergeCell ref="DTL7:DTN7"/>
    <mergeCell ref="DTO7:DTQ7"/>
    <mergeCell ref="DTR7:DTT7"/>
    <mergeCell ref="DSQ7:DSS7"/>
    <mergeCell ref="DST7:DSV7"/>
    <mergeCell ref="DSW7:DSY7"/>
    <mergeCell ref="DSZ7:DTB7"/>
    <mergeCell ref="DTC7:DTE7"/>
    <mergeCell ref="EAD7:EAF7"/>
    <mergeCell ref="EAG7:EAI7"/>
    <mergeCell ref="EAJ7:EAL7"/>
    <mergeCell ref="EAM7:EAO7"/>
    <mergeCell ref="EAP7:EAR7"/>
    <mergeCell ref="DZO7:DZQ7"/>
    <mergeCell ref="DZR7:DZT7"/>
    <mergeCell ref="DZU7:DZW7"/>
    <mergeCell ref="DZX7:DZZ7"/>
    <mergeCell ref="EAA7:EAC7"/>
    <mergeCell ref="DYZ7:DZB7"/>
    <mergeCell ref="DZC7:DZE7"/>
    <mergeCell ref="DZF7:DZH7"/>
    <mergeCell ref="DZI7:DZK7"/>
    <mergeCell ref="DZL7:DZN7"/>
    <mergeCell ref="DYK7:DYM7"/>
    <mergeCell ref="DYN7:DYP7"/>
    <mergeCell ref="DYQ7:DYS7"/>
    <mergeCell ref="DYT7:DYV7"/>
    <mergeCell ref="DYW7:DYY7"/>
    <mergeCell ref="DXV7:DXX7"/>
    <mergeCell ref="DXY7:DYA7"/>
    <mergeCell ref="DYB7:DYD7"/>
    <mergeCell ref="DYE7:DYG7"/>
    <mergeCell ref="DYH7:DYJ7"/>
    <mergeCell ref="DXG7:DXI7"/>
    <mergeCell ref="DXJ7:DXL7"/>
    <mergeCell ref="DXM7:DXO7"/>
    <mergeCell ref="DXP7:DXR7"/>
    <mergeCell ref="DXS7:DXU7"/>
    <mergeCell ref="DWR7:DWT7"/>
    <mergeCell ref="DWU7:DWW7"/>
    <mergeCell ref="DWX7:DWZ7"/>
    <mergeCell ref="DXA7:DXC7"/>
    <mergeCell ref="DXD7:DXF7"/>
    <mergeCell ref="EEE7:EEG7"/>
    <mergeCell ref="EEH7:EEJ7"/>
    <mergeCell ref="EEK7:EEM7"/>
    <mergeCell ref="EEN7:EEP7"/>
    <mergeCell ref="EEQ7:EES7"/>
    <mergeCell ref="EDP7:EDR7"/>
    <mergeCell ref="EDS7:EDU7"/>
    <mergeCell ref="EDV7:EDX7"/>
    <mergeCell ref="EDY7:EEA7"/>
    <mergeCell ref="EEB7:EED7"/>
    <mergeCell ref="EDA7:EDC7"/>
    <mergeCell ref="EDD7:EDF7"/>
    <mergeCell ref="EDG7:EDI7"/>
    <mergeCell ref="EDJ7:EDL7"/>
    <mergeCell ref="EDM7:EDO7"/>
    <mergeCell ref="ECL7:ECN7"/>
    <mergeCell ref="ECO7:ECQ7"/>
    <mergeCell ref="ECR7:ECT7"/>
    <mergeCell ref="ECU7:ECW7"/>
    <mergeCell ref="ECX7:ECZ7"/>
    <mergeCell ref="EBW7:EBY7"/>
    <mergeCell ref="EBZ7:ECB7"/>
    <mergeCell ref="ECC7:ECE7"/>
    <mergeCell ref="ECF7:ECH7"/>
    <mergeCell ref="ECI7:ECK7"/>
    <mergeCell ref="EBH7:EBJ7"/>
    <mergeCell ref="EBK7:EBM7"/>
    <mergeCell ref="EBN7:EBP7"/>
    <mergeCell ref="EBQ7:EBS7"/>
    <mergeCell ref="EBT7:EBV7"/>
    <mergeCell ref="EAS7:EAU7"/>
    <mergeCell ref="EAV7:EAX7"/>
    <mergeCell ref="EAY7:EBA7"/>
    <mergeCell ref="EBB7:EBD7"/>
    <mergeCell ref="EBE7:EBG7"/>
    <mergeCell ref="EIF7:EIH7"/>
    <mergeCell ref="EII7:EIK7"/>
    <mergeCell ref="EIL7:EIN7"/>
    <mergeCell ref="EIO7:EIQ7"/>
    <mergeCell ref="EIR7:EIT7"/>
    <mergeCell ref="EHQ7:EHS7"/>
    <mergeCell ref="EHT7:EHV7"/>
    <mergeCell ref="EHW7:EHY7"/>
    <mergeCell ref="EHZ7:EIB7"/>
    <mergeCell ref="EIC7:EIE7"/>
    <mergeCell ref="EHB7:EHD7"/>
    <mergeCell ref="EHE7:EHG7"/>
    <mergeCell ref="EHH7:EHJ7"/>
    <mergeCell ref="EHK7:EHM7"/>
    <mergeCell ref="EHN7:EHP7"/>
    <mergeCell ref="EGM7:EGO7"/>
    <mergeCell ref="EGP7:EGR7"/>
    <mergeCell ref="EGS7:EGU7"/>
    <mergeCell ref="EGV7:EGX7"/>
    <mergeCell ref="EGY7:EHA7"/>
    <mergeCell ref="EFX7:EFZ7"/>
    <mergeCell ref="EGA7:EGC7"/>
    <mergeCell ref="EGD7:EGF7"/>
    <mergeCell ref="EGG7:EGI7"/>
    <mergeCell ref="EGJ7:EGL7"/>
    <mergeCell ref="EFI7:EFK7"/>
    <mergeCell ref="EFL7:EFN7"/>
    <mergeCell ref="EFO7:EFQ7"/>
    <mergeCell ref="EFR7:EFT7"/>
    <mergeCell ref="EFU7:EFW7"/>
    <mergeCell ref="EET7:EEV7"/>
    <mergeCell ref="EEW7:EEY7"/>
    <mergeCell ref="EEZ7:EFB7"/>
    <mergeCell ref="EFC7:EFE7"/>
    <mergeCell ref="EFF7:EFH7"/>
    <mergeCell ref="EMG7:EMI7"/>
    <mergeCell ref="EMJ7:EML7"/>
    <mergeCell ref="EMM7:EMO7"/>
    <mergeCell ref="EMP7:EMR7"/>
    <mergeCell ref="EMS7:EMU7"/>
    <mergeCell ref="ELR7:ELT7"/>
    <mergeCell ref="ELU7:ELW7"/>
    <mergeCell ref="ELX7:ELZ7"/>
    <mergeCell ref="EMA7:EMC7"/>
    <mergeCell ref="EMD7:EMF7"/>
    <mergeCell ref="ELC7:ELE7"/>
    <mergeCell ref="ELF7:ELH7"/>
    <mergeCell ref="ELI7:ELK7"/>
    <mergeCell ref="ELL7:ELN7"/>
    <mergeCell ref="ELO7:ELQ7"/>
    <mergeCell ref="EKN7:EKP7"/>
    <mergeCell ref="EKQ7:EKS7"/>
    <mergeCell ref="EKT7:EKV7"/>
    <mergeCell ref="EKW7:EKY7"/>
    <mergeCell ref="EKZ7:ELB7"/>
    <mergeCell ref="EJY7:EKA7"/>
    <mergeCell ref="EKB7:EKD7"/>
    <mergeCell ref="EKE7:EKG7"/>
    <mergeCell ref="EKH7:EKJ7"/>
    <mergeCell ref="EKK7:EKM7"/>
    <mergeCell ref="EJJ7:EJL7"/>
    <mergeCell ref="EJM7:EJO7"/>
    <mergeCell ref="EJP7:EJR7"/>
    <mergeCell ref="EJS7:EJU7"/>
    <mergeCell ref="EJV7:EJX7"/>
    <mergeCell ref="EIU7:EIW7"/>
    <mergeCell ref="EIX7:EIZ7"/>
    <mergeCell ref="EJA7:EJC7"/>
    <mergeCell ref="EJD7:EJF7"/>
    <mergeCell ref="EJG7:EJI7"/>
    <mergeCell ref="EQH7:EQJ7"/>
    <mergeCell ref="EQK7:EQM7"/>
    <mergeCell ref="EQN7:EQP7"/>
    <mergeCell ref="EQQ7:EQS7"/>
    <mergeCell ref="EQT7:EQV7"/>
    <mergeCell ref="EPS7:EPU7"/>
    <mergeCell ref="EPV7:EPX7"/>
    <mergeCell ref="EPY7:EQA7"/>
    <mergeCell ref="EQB7:EQD7"/>
    <mergeCell ref="EQE7:EQG7"/>
    <mergeCell ref="EPD7:EPF7"/>
    <mergeCell ref="EPG7:EPI7"/>
    <mergeCell ref="EPJ7:EPL7"/>
    <mergeCell ref="EPM7:EPO7"/>
    <mergeCell ref="EPP7:EPR7"/>
    <mergeCell ref="EOO7:EOQ7"/>
    <mergeCell ref="EOR7:EOT7"/>
    <mergeCell ref="EOU7:EOW7"/>
    <mergeCell ref="EOX7:EOZ7"/>
    <mergeCell ref="EPA7:EPC7"/>
    <mergeCell ref="ENZ7:EOB7"/>
    <mergeCell ref="EOC7:EOE7"/>
    <mergeCell ref="EOF7:EOH7"/>
    <mergeCell ref="EOI7:EOK7"/>
    <mergeCell ref="EOL7:EON7"/>
    <mergeCell ref="ENK7:ENM7"/>
    <mergeCell ref="ENN7:ENP7"/>
    <mergeCell ref="ENQ7:ENS7"/>
    <mergeCell ref="ENT7:ENV7"/>
    <mergeCell ref="ENW7:ENY7"/>
    <mergeCell ref="EMV7:EMX7"/>
    <mergeCell ref="EMY7:ENA7"/>
    <mergeCell ref="ENB7:END7"/>
    <mergeCell ref="ENE7:ENG7"/>
    <mergeCell ref="ENH7:ENJ7"/>
    <mergeCell ref="EUI7:EUK7"/>
    <mergeCell ref="EUL7:EUN7"/>
    <mergeCell ref="EUO7:EUQ7"/>
    <mergeCell ref="EUR7:EUT7"/>
    <mergeCell ref="EUU7:EUW7"/>
    <mergeCell ref="ETT7:ETV7"/>
    <mergeCell ref="ETW7:ETY7"/>
    <mergeCell ref="ETZ7:EUB7"/>
    <mergeCell ref="EUC7:EUE7"/>
    <mergeCell ref="EUF7:EUH7"/>
    <mergeCell ref="ETE7:ETG7"/>
    <mergeCell ref="ETH7:ETJ7"/>
    <mergeCell ref="ETK7:ETM7"/>
    <mergeCell ref="ETN7:ETP7"/>
    <mergeCell ref="ETQ7:ETS7"/>
    <mergeCell ref="ESP7:ESR7"/>
    <mergeCell ref="ESS7:ESU7"/>
    <mergeCell ref="ESV7:ESX7"/>
    <mergeCell ref="ESY7:ETA7"/>
    <mergeCell ref="ETB7:ETD7"/>
    <mergeCell ref="ESA7:ESC7"/>
    <mergeCell ref="ESD7:ESF7"/>
    <mergeCell ref="ESG7:ESI7"/>
    <mergeCell ref="ESJ7:ESL7"/>
    <mergeCell ref="ESM7:ESO7"/>
    <mergeCell ref="ERL7:ERN7"/>
    <mergeCell ref="ERO7:ERQ7"/>
    <mergeCell ref="ERR7:ERT7"/>
    <mergeCell ref="ERU7:ERW7"/>
    <mergeCell ref="ERX7:ERZ7"/>
    <mergeCell ref="EQW7:EQY7"/>
    <mergeCell ref="EQZ7:ERB7"/>
    <mergeCell ref="ERC7:ERE7"/>
    <mergeCell ref="ERF7:ERH7"/>
    <mergeCell ref="ERI7:ERK7"/>
    <mergeCell ref="EYJ7:EYL7"/>
    <mergeCell ref="EYM7:EYO7"/>
    <mergeCell ref="EYP7:EYR7"/>
    <mergeCell ref="EYS7:EYU7"/>
    <mergeCell ref="EYV7:EYX7"/>
    <mergeCell ref="EXU7:EXW7"/>
    <mergeCell ref="EXX7:EXZ7"/>
    <mergeCell ref="EYA7:EYC7"/>
    <mergeCell ref="EYD7:EYF7"/>
    <mergeCell ref="EYG7:EYI7"/>
    <mergeCell ref="EXF7:EXH7"/>
    <mergeCell ref="EXI7:EXK7"/>
    <mergeCell ref="EXL7:EXN7"/>
    <mergeCell ref="EXO7:EXQ7"/>
    <mergeCell ref="EXR7:EXT7"/>
    <mergeCell ref="EWQ7:EWS7"/>
    <mergeCell ref="EWT7:EWV7"/>
    <mergeCell ref="EWW7:EWY7"/>
    <mergeCell ref="EWZ7:EXB7"/>
    <mergeCell ref="EXC7:EXE7"/>
    <mergeCell ref="EWB7:EWD7"/>
    <mergeCell ref="EWE7:EWG7"/>
    <mergeCell ref="EWH7:EWJ7"/>
    <mergeCell ref="EWK7:EWM7"/>
    <mergeCell ref="EWN7:EWP7"/>
    <mergeCell ref="EVM7:EVO7"/>
    <mergeCell ref="EVP7:EVR7"/>
    <mergeCell ref="EVS7:EVU7"/>
    <mergeCell ref="EVV7:EVX7"/>
    <mergeCell ref="EVY7:EWA7"/>
    <mergeCell ref="EUX7:EUZ7"/>
    <mergeCell ref="EVA7:EVC7"/>
    <mergeCell ref="EVD7:EVF7"/>
    <mergeCell ref="EVG7:EVI7"/>
    <mergeCell ref="EVJ7:EVL7"/>
    <mergeCell ref="FCK7:FCM7"/>
    <mergeCell ref="FCN7:FCP7"/>
    <mergeCell ref="FCQ7:FCS7"/>
    <mergeCell ref="FCT7:FCV7"/>
    <mergeCell ref="FCW7:FCY7"/>
    <mergeCell ref="FBV7:FBX7"/>
    <mergeCell ref="FBY7:FCA7"/>
    <mergeCell ref="FCB7:FCD7"/>
    <mergeCell ref="FCE7:FCG7"/>
    <mergeCell ref="FCH7:FCJ7"/>
    <mergeCell ref="FBG7:FBI7"/>
    <mergeCell ref="FBJ7:FBL7"/>
    <mergeCell ref="FBM7:FBO7"/>
    <mergeCell ref="FBP7:FBR7"/>
    <mergeCell ref="FBS7:FBU7"/>
    <mergeCell ref="FAR7:FAT7"/>
    <mergeCell ref="FAU7:FAW7"/>
    <mergeCell ref="FAX7:FAZ7"/>
    <mergeCell ref="FBA7:FBC7"/>
    <mergeCell ref="FBD7:FBF7"/>
    <mergeCell ref="FAC7:FAE7"/>
    <mergeCell ref="FAF7:FAH7"/>
    <mergeCell ref="FAI7:FAK7"/>
    <mergeCell ref="FAL7:FAN7"/>
    <mergeCell ref="FAO7:FAQ7"/>
    <mergeCell ref="EZN7:EZP7"/>
    <mergeCell ref="EZQ7:EZS7"/>
    <mergeCell ref="EZT7:EZV7"/>
    <mergeCell ref="EZW7:EZY7"/>
    <mergeCell ref="EZZ7:FAB7"/>
    <mergeCell ref="EYY7:EZA7"/>
    <mergeCell ref="EZB7:EZD7"/>
    <mergeCell ref="EZE7:EZG7"/>
    <mergeCell ref="EZH7:EZJ7"/>
    <mergeCell ref="EZK7:EZM7"/>
    <mergeCell ref="FGL7:FGN7"/>
    <mergeCell ref="FGO7:FGQ7"/>
    <mergeCell ref="FGR7:FGT7"/>
    <mergeCell ref="FGU7:FGW7"/>
    <mergeCell ref="FGX7:FGZ7"/>
    <mergeCell ref="FFW7:FFY7"/>
    <mergeCell ref="FFZ7:FGB7"/>
    <mergeCell ref="FGC7:FGE7"/>
    <mergeCell ref="FGF7:FGH7"/>
    <mergeCell ref="FGI7:FGK7"/>
    <mergeCell ref="FFH7:FFJ7"/>
    <mergeCell ref="FFK7:FFM7"/>
    <mergeCell ref="FFN7:FFP7"/>
    <mergeCell ref="FFQ7:FFS7"/>
    <mergeCell ref="FFT7:FFV7"/>
    <mergeCell ref="FES7:FEU7"/>
    <mergeCell ref="FEV7:FEX7"/>
    <mergeCell ref="FEY7:FFA7"/>
    <mergeCell ref="FFB7:FFD7"/>
    <mergeCell ref="FFE7:FFG7"/>
    <mergeCell ref="FED7:FEF7"/>
    <mergeCell ref="FEG7:FEI7"/>
    <mergeCell ref="FEJ7:FEL7"/>
    <mergeCell ref="FEM7:FEO7"/>
    <mergeCell ref="FEP7:FER7"/>
    <mergeCell ref="FDO7:FDQ7"/>
    <mergeCell ref="FDR7:FDT7"/>
    <mergeCell ref="FDU7:FDW7"/>
    <mergeCell ref="FDX7:FDZ7"/>
    <mergeCell ref="FEA7:FEC7"/>
    <mergeCell ref="FCZ7:FDB7"/>
    <mergeCell ref="FDC7:FDE7"/>
    <mergeCell ref="FDF7:FDH7"/>
    <mergeCell ref="FDI7:FDK7"/>
    <mergeCell ref="FDL7:FDN7"/>
    <mergeCell ref="FKM7:FKO7"/>
    <mergeCell ref="FKP7:FKR7"/>
    <mergeCell ref="FKS7:FKU7"/>
    <mergeCell ref="FKV7:FKX7"/>
    <mergeCell ref="FKY7:FLA7"/>
    <mergeCell ref="FJX7:FJZ7"/>
    <mergeCell ref="FKA7:FKC7"/>
    <mergeCell ref="FKD7:FKF7"/>
    <mergeCell ref="FKG7:FKI7"/>
    <mergeCell ref="FKJ7:FKL7"/>
    <mergeCell ref="FJI7:FJK7"/>
    <mergeCell ref="FJL7:FJN7"/>
    <mergeCell ref="FJO7:FJQ7"/>
    <mergeCell ref="FJR7:FJT7"/>
    <mergeCell ref="FJU7:FJW7"/>
    <mergeCell ref="FIT7:FIV7"/>
    <mergeCell ref="FIW7:FIY7"/>
    <mergeCell ref="FIZ7:FJB7"/>
    <mergeCell ref="FJC7:FJE7"/>
    <mergeCell ref="FJF7:FJH7"/>
    <mergeCell ref="FIE7:FIG7"/>
    <mergeCell ref="FIH7:FIJ7"/>
    <mergeCell ref="FIK7:FIM7"/>
    <mergeCell ref="FIN7:FIP7"/>
    <mergeCell ref="FIQ7:FIS7"/>
    <mergeCell ref="FHP7:FHR7"/>
    <mergeCell ref="FHS7:FHU7"/>
    <mergeCell ref="FHV7:FHX7"/>
    <mergeCell ref="FHY7:FIA7"/>
    <mergeCell ref="FIB7:FID7"/>
    <mergeCell ref="FHA7:FHC7"/>
    <mergeCell ref="FHD7:FHF7"/>
    <mergeCell ref="FHG7:FHI7"/>
    <mergeCell ref="FHJ7:FHL7"/>
    <mergeCell ref="FHM7:FHO7"/>
    <mergeCell ref="FON7:FOP7"/>
    <mergeCell ref="FOQ7:FOS7"/>
    <mergeCell ref="FOT7:FOV7"/>
    <mergeCell ref="FOW7:FOY7"/>
    <mergeCell ref="FOZ7:FPB7"/>
    <mergeCell ref="FNY7:FOA7"/>
    <mergeCell ref="FOB7:FOD7"/>
    <mergeCell ref="FOE7:FOG7"/>
    <mergeCell ref="FOH7:FOJ7"/>
    <mergeCell ref="FOK7:FOM7"/>
    <mergeCell ref="FNJ7:FNL7"/>
    <mergeCell ref="FNM7:FNO7"/>
    <mergeCell ref="FNP7:FNR7"/>
    <mergeCell ref="FNS7:FNU7"/>
    <mergeCell ref="FNV7:FNX7"/>
    <mergeCell ref="FMU7:FMW7"/>
    <mergeCell ref="FMX7:FMZ7"/>
    <mergeCell ref="FNA7:FNC7"/>
    <mergeCell ref="FND7:FNF7"/>
    <mergeCell ref="FNG7:FNI7"/>
    <mergeCell ref="FMF7:FMH7"/>
    <mergeCell ref="FMI7:FMK7"/>
    <mergeCell ref="FML7:FMN7"/>
    <mergeCell ref="FMO7:FMQ7"/>
    <mergeCell ref="FMR7:FMT7"/>
    <mergeCell ref="FLQ7:FLS7"/>
    <mergeCell ref="FLT7:FLV7"/>
    <mergeCell ref="FLW7:FLY7"/>
    <mergeCell ref="FLZ7:FMB7"/>
    <mergeCell ref="FMC7:FME7"/>
    <mergeCell ref="FLB7:FLD7"/>
    <mergeCell ref="FLE7:FLG7"/>
    <mergeCell ref="FLH7:FLJ7"/>
    <mergeCell ref="FLK7:FLM7"/>
    <mergeCell ref="FLN7:FLP7"/>
    <mergeCell ref="FSO7:FSQ7"/>
    <mergeCell ref="FSR7:FST7"/>
    <mergeCell ref="FSU7:FSW7"/>
    <mergeCell ref="FSX7:FSZ7"/>
    <mergeCell ref="FTA7:FTC7"/>
    <mergeCell ref="FRZ7:FSB7"/>
    <mergeCell ref="FSC7:FSE7"/>
    <mergeCell ref="FSF7:FSH7"/>
    <mergeCell ref="FSI7:FSK7"/>
    <mergeCell ref="FSL7:FSN7"/>
    <mergeCell ref="FRK7:FRM7"/>
    <mergeCell ref="FRN7:FRP7"/>
    <mergeCell ref="FRQ7:FRS7"/>
    <mergeCell ref="FRT7:FRV7"/>
    <mergeCell ref="FRW7:FRY7"/>
    <mergeCell ref="FQV7:FQX7"/>
    <mergeCell ref="FQY7:FRA7"/>
    <mergeCell ref="FRB7:FRD7"/>
    <mergeCell ref="FRE7:FRG7"/>
    <mergeCell ref="FRH7:FRJ7"/>
    <mergeCell ref="FQG7:FQI7"/>
    <mergeCell ref="FQJ7:FQL7"/>
    <mergeCell ref="FQM7:FQO7"/>
    <mergeCell ref="FQP7:FQR7"/>
    <mergeCell ref="FQS7:FQU7"/>
    <mergeCell ref="FPR7:FPT7"/>
    <mergeCell ref="FPU7:FPW7"/>
    <mergeCell ref="FPX7:FPZ7"/>
    <mergeCell ref="FQA7:FQC7"/>
    <mergeCell ref="FQD7:FQF7"/>
    <mergeCell ref="FPC7:FPE7"/>
    <mergeCell ref="FPF7:FPH7"/>
    <mergeCell ref="FPI7:FPK7"/>
    <mergeCell ref="FPL7:FPN7"/>
    <mergeCell ref="FPO7:FPQ7"/>
    <mergeCell ref="FWP7:FWR7"/>
    <mergeCell ref="FWS7:FWU7"/>
    <mergeCell ref="FWV7:FWX7"/>
    <mergeCell ref="FWY7:FXA7"/>
    <mergeCell ref="FXB7:FXD7"/>
    <mergeCell ref="FWA7:FWC7"/>
    <mergeCell ref="FWD7:FWF7"/>
    <mergeCell ref="FWG7:FWI7"/>
    <mergeCell ref="FWJ7:FWL7"/>
    <mergeCell ref="FWM7:FWO7"/>
    <mergeCell ref="FVL7:FVN7"/>
    <mergeCell ref="FVO7:FVQ7"/>
    <mergeCell ref="FVR7:FVT7"/>
    <mergeCell ref="FVU7:FVW7"/>
    <mergeCell ref="FVX7:FVZ7"/>
    <mergeCell ref="FUW7:FUY7"/>
    <mergeCell ref="FUZ7:FVB7"/>
    <mergeCell ref="FVC7:FVE7"/>
    <mergeCell ref="FVF7:FVH7"/>
    <mergeCell ref="FVI7:FVK7"/>
    <mergeCell ref="FUH7:FUJ7"/>
    <mergeCell ref="FUK7:FUM7"/>
    <mergeCell ref="FUN7:FUP7"/>
    <mergeCell ref="FUQ7:FUS7"/>
    <mergeCell ref="FUT7:FUV7"/>
    <mergeCell ref="FTS7:FTU7"/>
    <mergeCell ref="FTV7:FTX7"/>
    <mergeCell ref="FTY7:FUA7"/>
    <mergeCell ref="FUB7:FUD7"/>
    <mergeCell ref="FUE7:FUG7"/>
    <mergeCell ref="FTD7:FTF7"/>
    <mergeCell ref="FTG7:FTI7"/>
    <mergeCell ref="FTJ7:FTL7"/>
    <mergeCell ref="FTM7:FTO7"/>
    <mergeCell ref="FTP7:FTR7"/>
    <mergeCell ref="GAQ7:GAS7"/>
    <mergeCell ref="GAT7:GAV7"/>
    <mergeCell ref="GAW7:GAY7"/>
    <mergeCell ref="GAZ7:GBB7"/>
    <mergeCell ref="GBC7:GBE7"/>
    <mergeCell ref="GAB7:GAD7"/>
    <mergeCell ref="GAE7:GAG7"/>
    <mergeCell ref="GAH7:GAJ7"/>
    <mergeCell ref="GAK7:GAM7"/>
    <mergeCell ref="GAN7:GAP7"/>
    <mergeCell ref="FZM7:FZO7"/>
    <mergeCell ref="FZP7:FZR7"/>
    <mergeCell ref="FZS7:FZU7"/>
    <mergeCell ref="FZV7:FZX7"/>
    <mergeCell ref="FZY7:GAA7"/>
    <mergeCell ref="FYX7:FYZ7"/>
    <mergeCell ref="FZA7:FZC7"/>
    <mergeCell ref="FZD7:FZF7"/>
    <mergeCell ref="FZG7:FZI7"/>
    <mergeCell ref="FZJ7:FZL7"/>
    <mergeCell ref="FYI7:FYK7"/>
    <mergeCell ref="FYL7:FYN7"/>
    <mergeCell ref="FYO7:FYQ7"/>
    <mergeCell ref="FYR7:FYT7"/>
    <mergeCell ref="FYU7:FYW7"/>
    <mergeCell ref="FXT7:FXV7"/>
    <mergeCell ref="FXW7:FXY7"/>
    <mergeCell ref="FXZ7:FYB7"/>
    <mergeCell ref="FYC7:FYE7"/>
    <mergeCell ref="FYF7:FYH7"/>
    <mergeCell ref="FXE7:FXG7"/>
    <mergeCell ref="FXH7:FXJ7"/>
    <mergeCell ref="FXK7:FXM7"/>
    <mergeCell ref="FXN7:FXP7"/>
    <mergeCell ref="FXQ7:FXS7"/>
    <mergeCell ref="GER7:GET7"/>
    <mergeCell ref="GEU7:GEW7"/>
    <mergeCell ref="GEX7:GEZ7"/>
    <mergeCell ref="GFA7:GFC7"/>
    <mergeCell ref="GFD7:GFF7"/>
    <mergeCell ref="GEC7:GEE7"/>
    <mergeCell ref="GEF7:GEH7"/>
    <mergeCell ref="GEI7:GEK7"/>
    <mergeCell ref="GEL7:GEN7"/>
    <mergeCell ref="GEO7:GEQ7"/>
    <mergeCell ref="GDN7:GDP7"/>
    <mergeCell ref="GDQ7:GDS7"/>
    <mergeCell ref="GDT7:GDV7"/>
    <mergeCell ref="GDW7:GDY7"/>
    <mergeCell ref="GDZ7:GEB7"/>
    <mergeCell ref="GCY7:GDA7"/>
    <mergeCell ref="GDB7:GDD7"/>
    <mergeCell ref="GDE7:GDG7"/>
    <mergeCell ref="GDH7:GDJ7"/>
    <mergeCell ref="GDK7:GDM7"/>
    <mergeCell ref="GCJ7:GCL7"/>
    <mergeCell ref="GCM7:GCO7"/>
    <mergeCell ref="GCP7:GCR7"/>
    <mergeCell ref="GCS7:GCU7"/>
    <mergeCell ref="GCV7:GCX7"/>
    <mergeCell ref="GBU7:GBW7"/>
    <mergeCell ref="GBX7:GBZ7"/>
    <mergeCell ref="GCA7:GCC7"/>
    <mergeCell ref="GCD7:GCF7"/>
    <mergeCell ref="GCG7:GCI7"/>
    <mergeCell ref="GBF7:GBH7"/>
    <mergeCell ref="GBI7:GBK7"/>
    <mergeCell ref="GBL7:GBN7"/>
    <mergeCell ref="GBO7:GBQ7"/>
    <mergeCell ref="GBR7:GBT7"/>
    <mergeCell ref="GIS7:GIU7"/>
    <mergeCell ref="GIV7:GIX7"/>
    <mergeCell ref="GIY7:GJA7"/>
    <mergeCell ref="GJB7:GJD7"/>
    <mergeCell ref="GJE7:GJG7"/>
    <mergeCell ref="GID7:GIF7"/>
    <mergeCell ref="GIG7:GII7"/>
    <mergeCell ref="GIJ7:GIL7"/>
    <mergeCell ref="GIM7:GIO7"/>
    <mergeCell ref="GIP7:GIR7"/>
    <mergeCell ref="GHO7:GHQ7"/>
    <mergeCell ref="GHR7:GHT7"/>
    <mergeCell ref="GHU7:GHW7"/>
    <mergeCell ref="GHX7:GHZ7"/>
    <mergeCell ref="GIA7:GIC7"/>
    <mergeCell ref="GGZ7:GHB7"/>
    <mergeCell ref="GHC7:GHE7"/>
    <mergeCell ref="GHF7:GHH7"/>
    <mergeCell ref="GHI7:GHK7"/>
    <mergeCell ref="GHL7:GHN7"/>
    <mergeCell ref="GGK7:GGM7"/>
    <mergeCell ref="GGN7:GGP7"/>
    <mergeCell ref="GGQ7:GGS7"/>
    <mergeCell ref="GGT7:GGV7"/>
    <mergeCell ref="GGW7:GGY7"/>
    <mergeCell ref="GFV7:GFX7"/>
    <mergeCell ref="GFY7:GGA7"/>
    <mergeCell ref="GGB7:GGD7"/>
    <mergeCell ref="GGE7:GGG7"/>
    <mergeCell ref="GGH7:GGJ7"/>
    <mergeCell ref="GFG7:GFI7"/>
    <mergeCell ref="GFJ7:GFL7"/>
    <mergeCell ref="GFM7:GFO7"/>
    <mergeCell ref="GFP7:GFR7"/>
    <mergeCell ref="GFS7:GFU7"/>
    <mergeCell ref="GMT7:GMV7"/>
    <mergeCell ref="GMW7:GMY7"/>
    <mergeCell ref="GMZ7:GNB7"/>
    <mergeCell ref="GNC7:GNE7"/>
    <mergeCell ref="GNF7:GNH7"/>
    <mergeCell ref="GME7:GMG7"/>
    <mergeCell ref="GMH7:GMJ7"/>
    <mergeCell ref="GMK7:GMM7"/>
    <mergeCell ref="GMN7:GMP7"/>
    <mergeCell ref="GMQ7:GMS7"/>
    <mergeCell ref="GLP7:GLR7"/>
    <mergeCell ref="GLS7:GLU7"/>
    <mergeCell ref="GLV7:GLX7"/>
    <mergeCell ref="GLY7:GMA7"/>
    <mergeCell ref="GMB7:GMD7"/>
    <mergeCell ref="GLA7:GLC7"/>
    <mergeCell ref="GLD7:GLF7"/>
    <mergeCell ref="GLG7:GLI7"/>
    <mergeCell ref="GLJ7:GLL7"/>
    <mergeCell ref="GLM7:GLO7"/>
    <mergeCell ref="GKL7:GKN7"/>
    <mergeCell ref="GKO7:GKQ7"/>
    <mergeCell ref="GKR7:GKT7"/>
    <mergeCell ref="GKU7:GKW7"/>
    <mergeCell ref="GKX7:GKZ7"/>
    <mergeCell ref="GJW7:GJY7"/>
    <mergeCell ref="GJZ7:GKB7"/>
    <mergeCell ref="GKC7:GKE7"/>
    <mergeCell ref="GKF7:GKH7"/>
    <mergeCell ref="GKI7:GKK7"/>
    <mergeCell ref="GJH7:GJJ7"/>
    <mergeCell ref="GJK7:GJM7"/>
    <mergeCell ref="GJN7:GJP7"/>
    <mergeCell ref="GJQ7:GJS7"/>
    <mergeCell ref="GJT7:GJV7"/>
    <mergeCell ref="GQU7:GQW7"/>
    <mergeCell ref="GQX7:GQZ7"/>
    <mergeCell ref="GRA7:GRC7"/>
    <mergeCell ref="GRD7:GRF7"/>
    <mergeCell ref="GRG7:GRI7"/>
    <mergeCell ref="GQF7:GQH7"/>
    <mergeCell ref="GQI7:GQK7"/>
    <mergeCell ref="GQL7:GQN7"/>
    <mergeCell ref="GQO7:GQQ7"/>
    <mergeCell ref="GQR7:GQT7"/>
    <mergeCell ref="GPQ7:GPS7"/>
    <mergeCell ref="GPT7:GPV7"/>
    <mergeCell ref="GPW7:GPY7"/>
    <mergeCell ref="GPZ7:GQB7"/>
    <mergeCell ref="GQC7:GQE7"/>
    <mergeCell ref="GPB7:GPD7"/>
    <mergeCell ref="GPE7:GPG7"/>
    <mergeCell ref="GPH7:GPJ7"/>
    <mergeCell ref="GPK7:GPM7"/>
    <mergeCell ref="GPN7:GPP7"/>
    <mergeCell ref="GOM7:GOO7"/>
    <mergeCell ref="GOP7:GOR7"/>
    <mergeCell ref="GOS7:GOU7"/>
    <mergeCell ref="GOV7:GOX7"/>
    <mergeCell ref="GOY7:GPA7"/>
    <mergeCell ref="GNX7:GNZ7"/>
    <mergeCell ref="GOA7:GOC7"/>
    <mergeCell ref="GOD7:GOF7"/>
    <mergeCell ref="GOG7:GOI7"/>
    <mergeCell ref="GOJ7:GOL7"/>
    <mergeCell ref="GNI7:GNK7"/>
    <mergeCell ref="GNL7:GNN7"/>
    <mergeCell ref="GNO7:GNQ7"/>
    <mergeCell ref="GNR7:GNT7"/>
    <mergeCell ref="GNU7:GNW7"/>
    <mergeCell ref="GUV7:GUX7"/>
    <mergeCell ref="GUY7:GVA7"/>
    <mergeCell ref="GVB7:GVD7"/>
    <mergeCell ref="GVE7:GVG7"/>
    <mergeCell ref="GVH7:GVJ7"/>
    <mergeCell ref="GUG7:GUI7"/>
    <mergeCell ref="GUJ7:GUL7"/>
    <mergeCell ref="GUM7:GUO7"/>
    <mergeCell ref="GUP7:GUR7"/>
    <mergeCell ref="GUS7:GUU7"/>
    <mergeCell ref="GTR7:GTT7"/>
    <mergeCell ref="GTU7:GTW7"/>
    <mergeCell ref="GTX7:GTZ7"/>
    <mergeCell ref="GUA7:GUC7"/>
    <mergeCell ref="GUD7:GUF7"/>
    <mergeCell ref="GTC7:GTE7"/>
    <mergeCell ref="GTF7:GTH7"/>
    <mergeCell ref="GTI7:GTK7"/>
    <mergeCell ref="GTL7:GTN7"/>
    <mergeCell ref="GTO7:GTQ7"/>
    <mergeCell ref="GSN7:GSP7"/>
    <mergeCell ref="GSQ7:GSS7"/>
    <mergeCell ref="GST7:GSV7"/>
    <mergeCell ref="GSW7:GSY7"/>
    <mergeCell ref="GSZ7:GTB7"/>
    <mergeCell ref="GRY7:GSA7"/>
    <mergeCell ref="GSB7:GSD7"/>
    <mergeCell ref="GSE7:GSG7"/>
    <mergeCell ref="GSH7:GSJ7"/>
    <mergeCell ref="GSK7:GSM7"/>
    <mergeCell ref="GRJ7:GRL7"/>
    <mergeCell ref="GRM7:GRO7"/>
    <mergeCell ref="GRP7:GRR7"/>
    <mergeCell ref="GRS7:GRU7"/>
    <mergeCell ref="GRV7:GRX7"/>
    <mergeCell ref="GYW7:GYY7"/>
    <mergeCell ref="GYZ7:GZB7"/>
    <mergeCell ref="GZC7:GZE7"/>
    <mergeCell ref="GZF7:GZH7"/>
    <mergeCell ref="GZI7:GZK7"/>
    <mergeCell ref="GYH7:GYJ7"/>
    <mergeCell ref="GYK7:GYM7"/>
    <mergeCell ref="GYN7:GYP7"/>
    <mergeCell ref="GYQ7:GYS7"/>
    <mergeCell ref="GYT7:GYV7"/>
    <mergeCell ref="GXS7:GXU7"/>
    <mergeCell ref="GXV7:GXX7"/>
    <mergeCell ref="GXY7:GYA7"/>
    <mergeCell ref="GYB7:GYD7"/>
    <mergeCell ref="GYE7:GYG7"/>
    <mergeCell ref="GXD7:GXF7"/>
    <mergeCell ref="GXG7:GXI7"/>
    <mergeCell ref="GXJ7:GXL7"/>
    <mergeCell ref="GXM7:GXO7"/>
    <mergeCell ref="GXP7:GXR7"/>
    <mergeCell ref="GWO7:GWQ7"/>
    <mergeCell ref="GWR7:GWT7"/>
    <mergeCell ref="GWU7:GWW7"/>
    <mergeCell ref="GWX7:GWZ7"/>
    <mergeCell ref="GXA7:GXC7"/>
    <mergeCell ref="GVZ7:GWB7"/>
    <mergeCell ref="GWC7:GWE7"/>
    <mergeCell ref="GWF7:GWH7"/>
    <mergeCell ref="GWI7:GWK7"/>
    <mergeCell ref="GWL7:GWN7"/>
    <mergeCell ref="GVK7:GVM7"/>
    <mergeCell ref="GVN7:GVP7"/>
    <mergeCell ref="GVQ7:GVS7"/>
    <mergeCell ref="GVT7:GVV7"/>
    <mergeCell ref="GVW7:GVY7"/>
    <mergeCell ref="HCX7:HCZ7"/>
    <mergeCell ref="HDA7:HDC7"/>
    <mergeCell ref="HDD7:HDF7"/>
    <mergeCell ref="HDG7:HDI7"/>
    <mergeCell ref="HDJ7:HDL7"/>
    <mergeCell ref="HCI7:HCK7"/>
    <mergeCell ref="HCL7:HCN7"/>
    <mergeCell ref="HCO7:HCQ7"/>
    <mergeCell ref="HCR7:HCT7"/>
    <mergeCell ref="HCU7:HCW7"/>
    <mergeCell ref="HBT7:HBV7"/>
    <mergeCell ref="HBW7:HBY7"/>
    <mergeCell ref="HBZ7:HCB7"/>
    <mergeCell ref="HCC7:HCE7"/>
    <mergeCell ref="HCF7:HCH7"/>
    <mergeCell ref="HBE7:HBG7"/>
    <mergeCell ref="HBH7:HBJ7"/>
    <mergeCell ref="HBK7:HBM7"/>
    <mergeCell ref="HBN7:HBP7"/>
    <mergeCell ref="HBQ7:HBS7"/>
    <mergeCell ref="HAP7:HAR7"/>
    <mergeCell ref="HAS7:HAU7"/>
    <mergeCell ref="HAV7:HAX7"/>
    <mergeCell ref="HAY7:HBA7"/>
    <mergeCell ref="HBB7:HBD7"/>
    <mergeCell ref="HAA7:HAC7"/>
    <mergeCell ref="HAD7:HAF7"/>
    <mergeCell ref="HAG7:HAI7"/>
    <mergeCell ref="HAJ7:HAL7"/>
    <mergeCell ref="HAM7:HAO7"/>
    <mergeCell ref="GZL7:GZN7"/>
    <mergeCell ref="GZO7:GZQ7"/>
    <mergeCell ref="GZR7:GZT7"/>
    <mergeCell ref="GZU7:GZW7"/>
    <mergeCell ref="GZX7:GZZ7"/>
    <mergeCell ref="HGY7:HHA7"/>
    <mergeCell ref="HHB7:HHD7"/>
    <mergeCell ref="HHE7:HHG7"/>
    <mergeCell ref="HHH7:HHJ7"/>
    <mergeCell ref="HHK7:HHM7"/>
    <mergeCell ref="HGJ7:HGL7"/>
    <mergeCell ref="HGM7:HGO7"/>
    <mergeCell ref="HGP7:HGR7"/>
    <mergeCell ref="HGS7:HGU7"/>
    <mergeCell ref="HGV7:HGX7"/>
    <mergeCell ref="HFU7:HFW7"/>
    <mergeCell ref="HFX7:HFZ7"/>
    <mergeCell ref="HGA7:HGC7"/>
    <mergeCell ref="HGD7:HGF7"/>
    <mergeCell ref="HGG7:HGI7"/>
    <mergeCell ref="HFF7:HFH7"/>
    <mergeCell ref="HFI7:HFK7"/>
    <mergeCell ref="HFL7:HFN7"/>
    <mergeCell ref="HFO7:HFQ7"/>
    <mergeCell ref="HFR7:HFT7"/>
    <mergeCell ref="HEQ7:HES7"/>
    <mergeCell ref="HET7:HEV7"/>
    <mergeCell ref="HEW7:HEY7"/>
    <mergeCell ref="HEZ7:HFB7"/>
    <mergeCell ref="HFC7:HFE7"/>
    <mergeCell ref="HEB7:HED7"/>
    <mergeCell ref="HEE7:HEG7"/>
    <mergeCell ref="HEH7:HEJ7"/>
    <mergeCell ref="HEK7:HEM7"/>
    <mergeCell ref="HEN7:HEP7"/>
    <mergeCell ref="HDM7:HDO7"/>
    <mergeCell ref="HDP7:HDR7"/>
    <mergeCell ref="HDS7:HDU7"/>
    <mergeCell ref="HDV7:HDX7"/>
    <mergeCell ref="HDY7:HEA7"/>
    <mergeCell ref="HKZ7:HLB7"/>
    <mergeCell ref="HLC7:HLE7"/>
    <mergeCell ref="HLF7:HLH7"/>
    <mergeCell ref="HLI7:HLK7"/>
    <mergeCell ref="HLL7:HLN7"/>
    <mergeCell ref="HKK7:HKM7"/>
    <mergeCell ref="HKN7:HKP7"/>
    <mergeCell ref="HKQ7:HKS7"/>
    <mergeCell ref="HKT7:HKV7"/>
    <mergeCell ref="HKW7:HKY7"/>
    <mergeCell ref="HJV7:HJX7"/>
    <mergeCell ref="HJY7:HKA7"/>
    <mergeCell ref="HKB7:HKD7"/>
    <mergeCell ref="HKE7:HKG7"/>
    <mergeCell ref="HKH7:HKJ7"/>
    <mergeCell ref="HJG7:HJI7"/>
    <mergeCell ref="HJJ7:HJL7"/>
    <mergeCell ref="HJM7:HJO7"/>
    <mergeCell ref="HJP7:HJR7"/>
    <mergeCell ref="HJS7:HJU7"/>
    <mergeCell ref="HIR7:HIT7"/>
    <mergeCell ref="HIU7:HIW7"/>
    <mergeCell ref="HIX7:HIZ7"/>
    <mergeCell ref="HJA7:HJC7"/>
    <mergeCell ref="HJD7:HJF7"/>
    <mergeCell ref="HIC7:HIE7"/>
    <mergeCell ref="HIF7:HIH7"/>
    <mergeCell ref="HII7:HIK7"/>
    <mergeCell ref="HIL7:HIN7"/>
    <mergeCell ref="HIO7:HIQ7"/>
    <mergeCell ref="HHN7:HHP7"/>
    <mergeCell ref="HHQ7:HHS7"/>
    <mergeCell ref="HHT7:HHV7"/>
    <mergeCell ref="HHW7:HHY7"/>
    <mergeCell ref="HHZ7:HIB7"/>
    <mergeCell ref="HPA7:HPC7"/>
    <mergeCell ref="HPD7:HPF7"/>
    <mergeCell ref="HPG7:HPI7"/>
    <mergeCell ref="HPJ7:HPL7"/>
    <mergeCell ref="HPM7:HPO7"/>
    <mergeCell ref="HOL7:HON7"/>
    <mergeCell ref="HOO7:HOQ7"/>
    <mergeCell ref="HOR7:HOT7"/>
    <mergeCell ref="HOU7:HOW7"/>
    <mergeCell ref="HOX7:HOZ7"/>
    <mergeCell ref="HNW7:HNY7"/>
    <mergeCell ref="HNZ7:HOB7"/>
    <mergeCell ref="HOC7:HOE7"/>
    <mergeCell ref="HOF7:HOH7"/>
    <mergeCell ref="HOI7:HOK7"/>
    <mergeCell ref="HNH7:HNJ7"/>
    <mergeCell ref="HNK7:HNM7"/>
    <mergeCell ref="HNN7:HNP7"/>
    <mergeCell ref="HNQ7:HNS7"/>
    <mergeCell ref="HNT7:HNV7"/>
    <mergeCell ref="HMS7:HMU7"/>
    <mergeCell ref="HMV7:HMX7"/>
    <mergeCell ref="HMY7:HNA7"/>
    <mergeCell ref="HNB7:HND7"/>
    <mergeCell ref="HNE7:HNG7"/>
    <mergeCell ref="HMD7:HMF7"/>
    <mergeCell ref="HMG7:HMI7"/>
    <mergeCell ref="HMJ7:HML7"/>
    <mergeCell ref="HMM7:HMO7"/>
    <mergeCell ref="HMP7:HMR7"/>
    <mergeCell ref="HLO7:HLQ7"/>
    <mergeCell ref="HLR7:HLT7"/>
    <mergeCell ref="HLU7:HLW7"/>
    <mergeCell ref="HLX7:HLZ7"/>
    <mergeCell ref="HMA7:HMC7"/>
    <mergeCell ref="HTB7:HTD7"/>
    <mergeCell ref="HTE7:HTG7"/>
    <mergeCell ref="HTH7:HTJ7"/>
    <mergeCell ref="HTK7:HTM7"/>
    <mergeCell ref="HTN7:HTP7"/>
    <mergeCell ref="HSM7:HSO7"/>
    <mergeCell ref="HSP7:HSR7"/>
    <mergeCell ref="HSS7:HSU7"/>
    <mergeCell ref="HSV7:HSX7"/>
    <mergeCell ref="HSY7:HTA7"/>
    <mergeCell ref="HRX7:HRZ7"/>
    <mergeCell ref="HSA7:HSC7"/>
    <mergeCell ref="HSD7:HSF7"/>
    <mergeCell ref="HSG7:HSI7"/>
    <mergeCell ref="HSJ7:HSL7"/>
    <mergeCell ref="HRI7:HRK7"/>
    <mergeCell ref="HRL7:HRN7"/>
    <mergeCell ref="HRO7:HRQ7"/>
    <mergeCell ref="HRR7:HRT7"/>
    <mergeCell ref="HRU7:HRW7"/>
    <mergeCell ref="HQT7:HQV7"/>
    <mergeCell ref="HQW7:HQY7"/>
    <mergeCell ref="HQZ7:HRB7"/>
    <mergeCell ref="HRC7:HRE7"/>
    <mergeCell ref="HRF7:HRH7"/>
    <mergeCell ref="HQE7:HQG7"/>
    <mergeCell ref="HQH7:HQJ7"/>
    <mergeCell ref="HQK7:HQM7"/>
    <mergeCell ref="HQN7:HQP7"/>
    <mergeCell ref="HQQ7:HQS7"/>
    <mergeCell ref="HPP7:HPR7"/>
    <mergeCell ref="HPS7:HPU7"/>
    <mergeCell ref="HPV7:HPX7"/>
    <mergeCell ref="HPY7:HQA7"/>
    <mergeCell ref="HQB7:HQD7"/>
    <mergeCell ref="HXC7:HXE7"/>
    <mergeCell ref="HXF7:HXH7"/>
    <mergeCell ref="HXI7:HXK7"/>
    <mergeCell ref="HXL7:HXN7"/>
    <mergeCell ref="HXO7:HXQ7"/>
    <mergeCell ref="HWN7:HWP7"/>
    <mergeCell ref="HWQ7:HWS7"/>
    <mergeCell ref="HWT7:HWV7"/>
    <mergeCell ref="HWW7:HWY7"/>
    <mergeCell ref="HWZ7:HXB7"/>
    <mergeCell ref="HVY7:HWA7"/>
    <mergeCell ref="HWB7:HWD7"/>
    <mergeCell ref="HWE7:HWG7"/>
    <mergeCell ref="HWH7:HWJ7"/>
    <mergeCell ref="HWK7:HWM7"/>
    <mergeCell ref="HVJ7:HVL7"/>
    <mergeCell ref="HVM7:HVO7"/>
    <mergeCell ref="HVP7:HVR7"/>
    <mergeCell ref="HVS7:HVU7"/>
    <mergeCell ref="HVV7:HVX7"/>
    <mergeCell ref="HUU7:HUW7"/>
    <mergeCell ref="HUX7:HUZ7"/>
    <mergeCell ref="HVA7:HVC7"/>
    <mergeCell ref="HVD7:HVF7"/>
    <mergeCell ref="HVG7:HVI7"/>
    <mergeCell ref="HUF7:HUH7"/>
    <mergeCell ref="HUI7:HUK7"/>
    <mergeCell ref="HUL7:HUN7"/>
    <mergeCell ref="HUO7:HUQ7"/>
    <mergeCell ref="HUR7:HUT7"/>
    <mergeCell ref="HTQ7:HTS7"/>
    <mergeCell ref="HTT7:HTV7"/>
    <mergeCell ref="HTW7:HTY7"/>
    <mergeCell ref="HTZ7:HUB7"/>
    <mergeCell ref="HUC7:HUE7"/>
    <mergeCell ref="IBD7:IBF7"/>
    <mergeCell ref="IBG7:IBI7"/>
    <mergeCell ref="IBJ7:IBL7"/>
    <mergeCell ref="IBM7:IBO7"/>
    <mergeCell ref="IBP7:IBR7"/>
    <mergeCell ref="IAO7:IAQ7"/>
    <mergeCell ref="IAR7:IAT7"/>
    <mergeCell ref="IAU7:IAW7"/>
    <mergeCell ref="IAX7:IAZ7"/>
    <mergeCell ref="IBA7:IBC7"/>
    <mergeCell ref="HZZ7:IAB7"/>
    <mergeCell ref="IAC7:IAE7"/>
    <mergeCell ref="IAF7:IAH7"/>
    <mergeCell ref="IAI7:IAK7"/>
    <mergeCell ref="IAL7:IAN7"/>
    <mergeCell ref="HZK7:HZM7"/>
    <mergeCell ref="HZN7:HZP7"/>
    <mergeCell ref="HZQ7:HZS7"/>
    <mergeCell ref="HZT7:HZV7"/>
    <mergeCell ref="HZW7:HZY7"/>
    <mergeCell ref="HYV7:HYX7"/>
    <mergeCell ref="HYY7:HZA7"/>
    <mergeCell ref="HZB7:HZD7"/>
    <mergeCell ref="HZE7:HZG7"/>
    <mergeCell ref="HZH7:HZJ7"/>
    <mergeCell ref="HYG7:HYI7"/>
    <mergeCell ref="HYJ7:HYL7"/>
    <mergeCell ref="HYM7:HYO7"/>
    <mergeCell ref="HYP7:HYR7"/>
    <mergeCell ref="HYS7:HYU7"/>
    <mergeCell ref="HXR7:HXT7"/>
    <mergeCell ref="HXU7:HXW7"/>
    <mergeCell ref="HXX7:HXZ7"/>
    <mergeCell ref="HYA7:HYC7"/>
    <mergeCell ref="HYD7:HYF7"/>
    <mergeCell ref="IFE7:IFG7"/>
    <mergeCell ref="IFH7:IFJ7"/>
    <mergeCell ref="IFK7:IFM7"/>
    <mergeCell ref="IFN7:IFP7"/>
    <mergeCell ref="IFQ7:IFS7"/>
    <mergeCell ref="IEP7:IER7"/>
    <mergeCell ref="IES7:IEU7"/>
    <mergeCell ref="IEV7:IEX7"/>
    <mergeCell ref="IEY7:IFA7"/>
    <mergeCell ref="IFB7:IFD7"/>
    <mergeCell ref="IEA7:IEC7"/>
    <mergeCell ref="IED7:IEF7"/>
    <mergeCell ref="IEG7:IEI7"/>
    <mergeCell ref="IEJ7:IEL7"/>
    <mergeCell ref="IEM7:IEO7"/>
    <mergeCell ref="IDL7:IDN7"/>
    <mergeCell ref="IDO7:IDQ7"/>
    <mergeCell ref="IDR7:IDT7"/>
    <mergeCell ref="IDU7:IDW7"/>
    <mergeCell ref="IDX7:IDZ7"/>
    <mergeCell ref="ICW7:ICY7"/>
    <mergeCell ref="ICZ7:IDB7"/>
    <mergeCell ref="IDC7:IDE7"/>
    <mergeCell ref="IDF7:IDH7"/>
    <mergeCell ref="IDI7:IDK7"/>
    <mergeCell ref="ICH7:ICJ7"/>
    <mergeCell ref="ICK7:ICM7"/>
    <mergeCell ref="ICN7:ICP7"/>
    <mergeCell ref="ICQ7:ICS7"/>
    <mergeCell ref="ICT7:ICV7"/>
    <mergeCell ref="IBS7:IBU7"/>
    <mergeCell ref="IBV7:IBX7"/>
    <mergeCell ref="IBY7:ICA7"/>
    <mergeCell ref="ICB7:ICD7"/>
    <mergeCell ref="ICE7:ICG7"/>
    <mergeCell ref="IJF7:IJH7"/>
    <mergeCell ref="IJI7:IJK7"/>
    <mergeCell ref="IJL7:IJN7"/>
    <mergeCell ref="IJO7:IJQ7"/>
    <mergeCell ref="IJR7:IJT7"/>
    <mergeCell ref="IIQ7:IIS7"/>
    <mergeCell ref="IIT7:IIV7"/>
    <mergeCell ref="IIW7:IIY7"/>
    <mergeCell ref="IIZ7:IJB7"/>
    <mergeCell ref="IJC7:IJE7"/>
    <mergeCell ref="IIB7:IID7"/>
    <mergeCell ref="IIE7:IIG7"/>
    <mergeCell ref="IIH7:IIJ7"/>
    <mergeCell ref="IIK7:IIM7"/>
    <mergeCell ref="IIN7:IIP7"/>
    <mergeCell ref="IHM7:IHO7"/>
    <mergeCell ref="IHP7:IHR7"/>
    <mergeCell ref="IHS7:IHU7"/>
    <mergeCell ref="IHV7:IHX7"/>
    <mergeCell ref="IHY7:IIA7"/>
    <mergeCell ref="IGX7:IGZ7"/>
    <mergeCell ref="IHA7:IHC7"/>
    <mergeCell ref="IHD7:IHF7"/>
    <mergeCell ref="IHG7:IHI7"/>
    <mergeCell ref="IHJ7:IHL7"/>
    <mergeCell ref="IGI7:IGK7"/>
    <mergeCell ref="IGL7:IGN7"/>
    <mergeCell ref="IGO7:IGQ7"/>
    <mergeCell ref="IGR7:IGT7"/>
    <mergeCell ref="IGU7:IGW7"/>
    <mergeCell ref="IFT7:IFV7"/>
    <mergeCell ref="IFW7:IFY7"/>
    <mergeCell ref="IFZ7:IGB7"/>
    <mergeCell ref="IGC7:IGE7"/>
    <mergeCell ref="IGF7:IGH7"/>
    <mergeCell ref="ING7:INI7"/>
    <mergeCell ref="INJ7:INL7"/>
    <mergeCell ref="INM7:INO7"/>
    <mergeCell ref="INP7:INR7"/>
    <mergeCell ref="INS7:INU7"/>
    <mergeCell ref="IMR7:IMT7"/>
    <mergeCell ref="IMU7:IMW7"/>
    <mergeCell ref="IMX7:IMZ7"/>
    <mergeCell ref="INA7:INC7"/>
    <mergeCell ref="IND7:INF7"/>
    <mergeCell ref="IMC7:IME7"/>
    <mergeCell ref="IMF7:IMH7"/>
    <mergeCell ref="IMI7:IMK7"/>
    <mergeCell ref="IML7:IMN7"/>
    <mergeCell ref="IMO7:IMQ7"/>
    <mergeCell ref="ILN7:ILP7"/>
    <mergeCell ref="ILQ7:ILS7"/>
    <mergeCell ref="ILT7:ILV7"/>
    <mergeCell ref="ILW7:ILY7"/>
    <mergeCell ref="ILZ7:IMB7"/>
    <mergeCell ref="IKY7:ILA7"/>
    <mergeCell ref="ILB7:ILD7"/>
    <mergeCell ref="ILE7:ILG7"/>
    <mergeCell ref="ILH7:ILJ7"/>
    <mergeCell ref="ILK7:ILM7"/>
    <mergeCell ref="IKJ7:IKL7"/>
    <mergeCell ref="IKM7:IKO7"/>
    <mergeCell ref="IKP7:IKR7"/>
    <mergeCell ref="IKS7:IKU7"/>
    <mergeCell ref="IKV7:IKX7"/>
    <mergeCell ref="IJU7:IJW7"/>
    <mergeCell ref="IJX7:IJZ7"/>
    <mergeCell ref="IKA7:IKC7"/>
    <mergeCell ref="IKD7:IKF7"/>
    <mergeCell ref="IKG7:IKI7"/>
    <mergeCell ref="IRH7:IRJ7"/>
    <mergeCell ref="IRK7:IRM7"/>
    <mergeCell ref="IRN7:IRP7"/>
    <mergeCell ref="IRQ7:IRS7"/>
    <mergeCell ref="IRT7:IRV7"/>
    <mergeCell ref="IQS7:IQU7"/>
    <mergeCell ref="IQV7:IQX7"/>
    <mergeCell ref="IQY7:IRA7"/>
    <mergeCell ref="IRB7:IRD7"/>
    <mergeCell ref="IRE7:IRG7"/>
    <mergeCell ref="IQD7:IQF7"/>
    <mergeCell ref="IQG7:IQI7"/>
    <mergeCell ref="IQJ7:IQL7"/>
    <mergeCell ref="IQM7:IQO7"/>
    <mergeCell ref="IQP7:IQR7"/>
    <mergeCell ref="IPO7:IPQ7"/>
    <mergeCell ref="IPR7:IPT7"/>
    <mergeCell ref="IPU7:IPW7"/>
    <mergeCell ref="IPX7:IPZ7"/>
    <mergeCell ref="IQA7:IQC7"/>
    <mergeCell ref="IOZ7:IPB7"/>
    <mergeCell ref="IPC7:IPE7"/>
    <mergeCell ref="IPF7:IPH7"/>
    <mergeCell ref="IPI7:IPK7"/>
    <mergeCell ref="IPL7:IPN7"/>
    <mergeCell ref="IOK7:IOM7"/>
    <mergeCell ref="ION7:IOP7"/>
    <mergeCell ref="IOQ7:IOS7"/>
    <mergeCell ref="IOT7:IOV7"/>
    <mergeCell ref="IOW7:IOY7"/>
    <mergeCell ref="INV7:INX7"/>
    <mergeCell ref="INY7:IOA7"/>
    <mergeCell ref="IOB7:IOD7"/>
    <mergeCell ref="IOE7:IOG7"/>
    <mergeCell ref="IOH7:IOJ7"/>
    <mergeCell ref="IVI7:IVK7"/>
    <mergeCell ref="IVL7:IVN7"/>
    <mergeCell ref="IVO7:IVQ7"/>
    <mergeCell ref="IVR7:IVT7"/>
    <mergeCell ref="IVU7:IVW7"/>
    <mergeCell ref="IUT7:IUV7"/>
    <mergeCell ref="IUW7:IUY7"/>
    <mergeCell ref="IUZ7:IVB7"/>
    <mergeCell ref="IVC7:IVE7"/>
    <mergeCell ref="IVF7:IVH7"/>
    <mergeCell ref="IUE7:IUG7"/>
    <mergeCell ref="IUH7:IUJ7"/>
    <mergeCell ref="IUK7:IUM7"/>
    <mergeCell ref="IUN7:IUP7"/>
    <mergeCell ref="IUQ7:IUS7"/>
    <mergeCell ref="ITP7:ITR7"/>
    <mergeCell ref="ITS7:ITU7"/>
    <mergeCell ref="ITV7:ITX7"/>
    <mergeCell ref="ITY7:IUA7"/>
    <mergeCell ref="IUB7:IUD7"/>
    <mergeCell ref="ITA7:ITC7"/>
    <mergeCell ref="ITD7:ITF7"/>
    <mergeCell ref="ITG7:ITI7"/>
    <mergeCell ref="ITJ7:ITL7"/>
    <mergeCell ref="ITM7:ITO7"/>
    <mergeCell ref="ISL7:ISN7"/>
    <mergeCell ref="ISO7:ISQ7"/>
    <mergeCell ref="ISR7:IST7"/>
    <mergeCell ref="ISU7:ISW7"/>
    <mergeCell ref="ISX7:ISZ7"/>
    <mergeCell ref="IRW7:IRY7"/>
    <mergeCell ref="IRZ7:ISB7"/>
    <mergeCell ref="ISC7:ISE7"/>
    <mergeCell ref="ISF7:ISH7"/>
    <mergeCell ref="ISI7:ISK7"/>
    <mergeCell ref="IZJ7:IZL7"/>
    <mergeCell ref="IZM7:IZO7"/>
    <mergeCell ref="IZP7:IZR7"/>
    <mergeCell ref="IZS7:IZU7"/>
    <mergeCell ref="IZV7:IZX7"/>
    <mergeCell ref="IYU7:IYW7"/>
    <mergeCell ref="IYX7:IYZ7"/>
    <mergeCell ref="IZA7:IZC7"/>
    <mergeCell ref="IZD7:IZF7"/>
    <mergeCell ref="IZG7:IZI7"/>
    <mergeCell ref="IYF7:IYH7"/>
    <mergeCell ref="IYI7:IYK7"/>
    <mergeCell ref="IYL7:IYN7"/>
    <mergeCell ref="IYO7:IYQ7"/>
    <mergeCell ref="IYR7:IYT7"/>
    <mergeCell ref="IXQ7:IXS7"/>
    <mergeCell ref="IXT7:IXV7"/>
    <mergeCell ref="IXW7:IXY7"/>
    <mergeCell ref="IXZ7:IYB7"/>
    <mergeCell ref="IYC7:IYE7"/>
    <mergeCell ref="IXB7:IXD7"/>
    <mergeCell ref="IXE7:IXG7"/>
    <mergeCell ref="IXH7:IXJ7"/>
    <mergeCell ref="IXK7:IXM7"/>
    <mergeCell ref="IXN7:IXP7"/>
    <mergeCell ref="IWM7:IWO7"/>
    <mergeCell ref="IWP7:IWR7"/>
    <mergeCell ref="IWS7:IWU7"/>
    <mergeCell ref="IWV7:IWX7"/>
    <mergeCell ref="IWY7:IXA7"/>
    <mergeCell ref="IVX7:IVZ7"/>
    <mergeCell ref="IWA7:IWC7"/>
    <mergeCell ref="IWD7:IWF7"/>
    <mergeCell ref="IWG7:IWI7"/>
    <mergeCell ref="IWJ7:IWL7"/>
    <mergeCell ref="JDK7:JDM7"/>
    <mergeCell ref="JDN7:JDP7"/>
    <mergeCell ref="JDQ7:JDS7"/>
    <mergeCell ref="JDT7:JDV7"/>
    <mergeCell ref="JDW7:JDY7"/>
    <mergeCell ref="JCV7:JCX7"/>
    <mergeCell ref="JCY7:JDA7"/>
    <mergeCell ref="JDB7:JDD7"/>
    <mergeCell ref="JDE7:JDG7"/>
    <mergeCell ref="JDH7:JDJ7"/>
    <mergeCell ref="JCG7:JCI7"/>
    <mergeCell ref="JCJ7:JCL7"/>
    <mergeCell ref="JCM7:JCO7"/>
    <mergeCell ref="JCP7:JCR7"/>
    <mergeCell ref="JCS7:JCU7"/>
    <mergeCell ref="JBR7:JBT7"/>
    <mergeCell ref="JBU7:JBW7"/>
    <mergeCell ref="JBX7:JBZ7"/>
    <mergeCell ref="JCA7:JCC7"/>
    <mergeCell ref="JCD7:JCF7"/>
    <mergeCell ref="JBC7:JBE7"/>
    <mergeCell ref="JBF7:JBH7"/>
    <mergeCell ref="JBI7:JBK7"/>
    <mergeCell ref="JBL7:JBN7"/>
    <mergeCell ref="JBO7:JBQ7"/>
    <mergeCell ref="JAN7:JAP7"/>
    <mergeCell ref="JAQ7:JAS7"/>
    <mergeCell ref="JAT7:JAV7"/>
    <mergeCell ref="JAW7:JAY7"/>
    <mergeCell ref="JAZ7:JBB7"/>
    <mergeCell ref="IZY7:JAA7"/>
    <mergeCell ref="JAB7:JAD7"/>
    <mergeCell ref="JAE7:JAG7"/>
    <mergeCell ref="JAH7:JAJ7"/>
    <mergeCell ref="JAK7:JAM7"/>
    <mergeCell ref="JHL7:JHN7"/>
    <mergeCell ref="JHO7:JHQ7"/>
    <mergeCell ref="JHR7:JHT7"/>
    <mergeCell ref="JHU7:JHW7"/>
    <mergeCell ref="JHX7:JHZ7"/>
    <mergeCell ref="JGW7:JGY7"/>
    <mergeCell ref="JGZ7:JHB7"/>
    <mergeCell ref="JHC7:JHE7"/>
    <mergeCell ref="JHF7:JHH7"/>
    <mergeCell ref="JHI7:JHK7"/>
    <mergeCell ref="JGH7:JGJ7"/>
    <mergeCell ref="JGK7:JGM7"/>
    <mergeCell ref="JGN7:JGP7"/>
    <mergeCell ref="JGQ7:JGS7"/>
    <mergeCell ref="JGT7:JGV7"/>
    <mergeCell ref="JFS7:JFU7"/>
    <mergeCell ref="JFV7:JFX7"/>
    <mergeCell ref="JFY7:JGA7"/>
    <mergeCell ref="JGB7:JGD7"/>
    <mergeCell ref="JGE7:JGG7"/>
    <mergeCell ref="JFD7:JFF7"/>
    <mergeCell ref="JFG7:JFI7"/>
    <mergeCell ref="JFJ7:JFL7"/>
    <mergeCell ref="JFM7:JFO7"/>
    <mergeCell ref="JFP7:JFR7"/>
    <mergeCell ref="JEO7:JEQ7"/>
    <mergeCell ref="JER7:JET7"/>
    <mergeCell ref="JEU7:JEW7"/>
    <mergeCell ref="JEX7:JEZ7"/>
    <mergeCell ref="JFA7:JFC7"/>
    <mergeCell ref="JDZ7:JEB7"/>
    <mergeCell ref="JEC7:JEE7"/>
    <mergeCell ref="JEF7:JEH7"/>
    <mergeCell ref="JEI7:JEK7"/>
    <mergeCell ref="JEL7:JEN7"/>
    <mergeCell ref="JLM7:JLO7"/>
    <mergeCell ref="JLP7:JLR7"/>
    <mergeCell ref="JLS7:JLU7"/>
    <mergeCell ref="JLV7:JLX7"/>
    <mergeCell ref="JLY7:JMA7"/>
    <mergeCell ref="JKX7:JKZ7"/>
    <mergeCell ref="JLA7:JLC7"/>
    <mergeCell ref="JLD7:JLF7"/>
    <mergeCell ref="JLG7:JLI7"/>
    <mergeCell ref="JLJ7:JLL7"/>
    <mergeCell ref="JKI7:JKK7"/>
    <mergeCell ref="JKL7:JKN7"/>
    <mergeCell ref="JKO7:JKQ7"/>
    <mergeCell ref="JKR7:JKT7"/>
    <mergeCell ref="JKU7:JKW7"/>
    <mergeCell ref="JJT7:JJV7"/>
    <mergeCell ref="JJW7:JJY7"/>
    <mergeCell ref="JJZ7:JKB7"/>
    <mergeCell ref="JKC7:JKE7"/>
    <mergeCell ref="JKF7:JKH7"/>
    <mergeCell ref="JJE7:JJG7"/>
    <mergeCell ref="JJH7:JJJ7"/>
    <mergeCell ref="JJK7:JJM7"/>
    <mergeCell ref="JJN7:JJP7"/>
    <mergeCell ref="JJQ7:JJS7"/>
    <mergeCell ref="JIP7:JIR7"/>
    <mergeCell ref="JIS7:JIU7"/>
    <mergeCell ref="JIV7:JIX7"/>
    <mergeCell ref="JIY7:JJA7"/>
    <mergeCell ref="JJB7:JJD7"/>
    <mergeCell ref="JIA7:JIC7"/>
    <mergeCell ref="JID7:JIF7"/>
    <mergeCell ref="JIG7:JII7"/>
    <mergeCell ref="JIJ7:JIL7"/>
    <mergeCell ref="JIM7:JIO7"/>
    <mergeCell ref="JPN7:JPP7"/>
    <mergeCell ref="JPQ7:JPS7"/>
    <mergeCell ref="JPT7:JPV7"/>
    <mergeCell ref="JPW7:JPY7"/>
    <mergeCell ref="JPZ7:JQB7"/>
    <mergeCell ref="JOY7:JPA7"/>
    <mergeCell ref="JPB7:JPD7"/>
    <mergeCell ref="JPE7:JPG7"/>
    <mergeCell ref="JPH7:JPJ7"/>
    <mergeCell ref="JPK7:JPM7"/>
    <mergeCell ref="JOJ7:JOL7"/>
    <mergeCell ref="JOM7:JOO7"/>
    <mergeCell ref="JOP7:JOR7"/>
    <mergeCell ref="JOS7:JOU7"/>
    <mergeCell ref="JOV7:JOX7"/>
    <mergeCell ref="JNU7:JNW7"/>
    <mergeCell ref="JNX7:JNZ7"/>
    <mergeCell ref="JOA7:JOC7"/>
    <mergeCell ref="JOD7:JOF7"/>
    <mergeCell ref="JOG7:JOI7"/>
    <mergeCell ref="JNF7:JNH7"/>
    <mergeCell ref="JNI7:JNK7"/>
    <mergeCell ref="JNL7:JNN7"/>
    <mergeCell ref="JNO7:JNQ7"/>
    <mergeCell ref="JNR7:JNT7"/>
    <mergeCell ref="JMQ7:JMS7"/>
    <mergeCell ref="JMT7:JMV7"/>
    <mergeCell ref="JMW7:JMY7"/>
    <mergeCell ref="JMZ7:JNB7"/>
    <mergeCell ref="JNC7:JNE7"/>
    <mergeCell ref="JMB7:JMD7"/>
    <mergeCell ref="JME7:JMG7"/>
    <mergeCell ref="JMH7:JMJ7"/>
    <mergeCell ref="JMK7:JMM7"/>
    <mergeCell ref="JMN7:JMP7"/>
    <mergeCell ref="JTO7:JTQ7"/>
    <mergeCell ref="JTR7:JTT7"/>
    <mergeCell ref="JTU7:JTW7"/>
    <mergeCell ref="JTX7:JTZ7"/>
    <mergeCell ref="JUA7:JUC7"/>
    <mergeCell ref="JSZ7:JTB7"/>
    <mergeCell ref="JTC7:JTE7"/>
    <mergeCell ref="JTF7:JTH7"/>
    <mergeCell ref="JTI7:JTK7"/>
    <mergeCell ref="JTL7:JTN7"/>
    <mergeCell ref="JSK7:JSM7"/>
    <mergeCell ref="JSN7:JSP7"/>
    <mergeCell ref="JSQ7:JSS7"/>
    <mergeCell ref="JST7:JSV7"/>
    <mergeCell ref="JSW7:JSY7"/>
    <mergeCell ref="JRV7:JRX7"/>
    <mergeCell ref="JRY7:JSA7"/>
    <mergeCell ref="JSB7:JSD7"/>
    <mergeCell ref="JSE7:JSG7"/>
    <mergeCell ref="JSH7:JSJ7"/>
    <mergeCell ref="JRG7:JRI7"/>
    <mergeCell ref="JRJ7:JRL7"/>
    <mergeCell ref="JRM7:JRO7"/>
    <mergeCell ref="JRP7:JRR7"/>
    <mergeCell ref="JRS7:JRU7"/>
    <mergeCell ref="JQR7:JQT7"/>
    <mergeCell ref="JQU7:JQW7"/>
    <mergeCell ref="JQX7:JQZ7"/>
    <mergeCell ref="JRA7:JRC7"/>
    <mergeCell ref="JRD7:JRF7"/>
    <mergeCell ref="JQC7:JQE7"/>
    <mergeCell ref="JQF7:JQH7"/>
    <mergeCell ref="JQI7:JQK7"/>
    <mergeCell ref="JQL7:JQN7"/>
    <mergeCell ref="JQO7:JQQ7"/>
    <mergeCell ref="JXP7:JXR7"/>
    <mergeCell ref="JXS7:JXU7"/>
    <mergeCell ref="JXV7:JXX7"/>
    <mergeCell ref="JXY7:JYA7"/>
    <mergeCell ref="JYB7:JYD7"/>
    <mergeCell ref="JXA7:JXC7"/>
    <mergeCell ref="JXD7:JXF7"/>
    <mergeCell ref="JXG7:JXI7"/>
    <mergeCell ref="JXJ7:JXL7"/>
    <mergeCell ref="JXM7:JXO7"/>
    <mergeCell ref="JWL7:JWN7"/>
    <mergeCell ref="JWO7:JWQ7"/>
    <mergeCell ref="JWR7:JWT7"/>
    <mergeCell ref="JWU7:JWW7"/>
    <mergeCell ref="JWX7:JWZ7"/>
    <mergeCell ref="JVW7:JVY7"/>
    <mergeCell ref="JVZ7:JWB7"/>
    <mergeCell ref="JWC7:JWE7"/>
    <mergeCell ref="JWF7:JWH7"/>
    <mergeCell ref="JWI7:JWK7"/>
    <mergeCell ref="JVH7:JVJ7"/>
    <mergeCell ref="JVK7:JVM7"/>
    <mergeCell ref="JVN7:JVP7"/>
    <mergeCell ref="JVQ7:JVS7"/>
    <mergeCell ref="JVT7:JVV7"/>
    <mergeCell ref="JUS7:JUU7"/>
    <mergeCell ref="JUV7:JUX7"/>
    <mergeCell ref="JUY7:JVA7"/>
    <mergeCell ref="JVB7:JVD7"/>
    <mergeCell ref="JVE7:JVG7"/>
    <mergeCell ref="JUD7:JUF7"/>
    <mergeCell ref="JUG7:JUI7"/>
    <mergeCell ref="JUJ7:JUL7"/>
    <mergeCell ref="JUM7:JUO7"/>
    <mergeCell ref="JUP7:JUR7"/>
    <mergeCell ref="KBQ7:KBS7"/>
    <mergeCell ref="KBT7:KBV7"/>
    <mergeCell ref="KBW7:KBY7"/>
    <mergeCell ref="KBZ7:KCB7"/>
    <mergeCell ref="KCC7:KCE7"/>
    <mergeCell ref="KBB7:KBD7"/>
    <mergeCell ref="KBE7:KBG7"/>
    <mergeCell ref="KBH7:KBJ7"/>
    <mergeCell ref="KBK7:KBM7"/>
    <mergeCell ref="KBN7:KBP7"/>
    <mergeCell ref="KAM7:KAO7"/>
    <mergeCell ref="KAP7:KAR7"/>
    <mergeCell ref="KAS7:KAU7"/>
    <mergeCell ref="KAV7:KAX7"/>
    <mergeCell ref="KAY7:KBA7"/>
    <mergeCell ref="JZX7:JZZ7"/>
    <mergeCell ref="KAA7:KAC7"/>
    <mergeCell ref="KAD7:KAF7"/>
    <mergeCell ref="KAG7:KAI7"/>
    <mergeCell ref="KAJ7:KAL7"/>
    <mergeCell ref="JZI7:JZK7"/>
    <mergeCell ref="JZL7:JZN7"/>
    <mergeCell ref="JZO7:JZQ7"/>
    <mergeCell ref="JZR7:JZT7"/>
    <mergeCell ref="JZU7:JZW7"/>
    <mergeCell ref="JYT7:JYV7"/>
    <mergeCell ref="JYW7:JYY7"/>
    <mergeCell ref="JYZ7:JZB7"/>
    <mergeCell ref="JZC7:JZE7"/>
    <mergeCell ref="JZF7:JZH7"/>
    <mergeCell ref="JYE7:JYG7"/>
    <mergeCell ref="JYH7:JYJ7"/>
    <mergeCell ref="JYK7:JYM7"/>
    <mergeCell ref="JYN7:JYP7"/>
    <mergeCell ref="JYQ7:JYS7"/>
    <mergeCell ref="KFR7:KFT7"/>
    <mergeCell ref="KFU7:KFW7"/>
    <mergeCell ref="KFX7:KFZ7"/>
    <mergeCell ref="KGA7:KGC7"/>
    <mergeCell ref="KGD7:KGF7"/>
    <mergeCell ref="KFC7:KFE7"/>
    <mergeCell ref="KFF7:KFH7"/>
    <mergeCell ref="KFI7:KFK7"/>
    <mergeCell ref="KFL7:KFN7"/>
    <mergeCell ref="KFO7:KFQ7"/>
    <mergeCell ref="KEN7:KEP7"/>
    <mergeCell ref="KEQ7:KES7"/>
    <mergeCell ref="KET7:KEV7"/>
    <mergeCell ref="KEW7:KEY7"/>
    <mergeCell ref="KEZ7:KFB7"/>
    <mergeCell ref="KDY7:KEA7"/>
    <mergeCell ref="KEB7:KED7"/>
    <mergeCell ref="KEE7:KEG7"/>
    <mergeCell ref="KEH7:KEJ7"/>
    <mergeCell ref="KEK7:KEM7"/>
    <mergeCell ref="KDJ7:KDL7"/>
    <mergeCell ref="KDM7:KDO7"/>
    <mergeCell ref="KDP7:KDR7"/>
    <mergeCell ref="KDS7:KDU7"/>
    <mergeCell ref="KDV7:KDX7"/>
    <mergeCell ref="KCU7:KCW7"/>
    <mergeCell ref="KCX7:KCZ7"/>
    <mergeCell ref="KDA7:KDC7"/>
    <mergeCell ref="KDD7:KDF7"/>
    <mergeCell ref="KDG7:KDI7"/>
    <mergeCell ref="KCF7:KCH7"/>
    <mergeCell ref="KCI7:KCK7"/>
    <mergeCell ref="KCL7:KCN7"/>
    <mergeCell ref="KCO7:KCQ7"/>
    <mergeCell ref="KCR7:KCT7"/>
    <mergeCell ref="KJS7:KJU7"/>
    <mergeCell ref="KJV7:KJX7"/>
    <mergeCell ref="KJY7:KKA7"/>
    <mergeCell ref="KKB7:KKD7"/>
    <mergeCell ref="KKE7:KKG7"/>
    <mergeCell ref="KJD7:KJF7"/>
    <mergeCell ref="KJG7:KJI7"/>
    <mergeCell ref="KJJ7:KJL7"/>
    <mergeCell ref="KJM7:KJO7"/>
    <mergeCell ref="KJP7:KJR7"/>
    <mergeCell ref="KIO7:KIQ7"/>
    <mergeCell ref="KIR7:KIT7"/>
    <mergeCell ref="KIU7:KIW7"/>
    <mergeCell ref="KIX7:KIZ7"/>
    <mergeCell ref="KJA7:KJC7"/>
    <mergeCell ref="KHZ7:KIB7"/>
    <mergeCell ref="KIC7:KIE7"/>
    <mergeCell ref="KIF7:KIH7"/>
    <mergeCell ref="KII7:KIK7"/>
    <mergeCell ref="KIL7:KIN7"/>
    <mergeCell ref="KHK7:KHM7"/>
    <mergeCell ref="KHN7:KHP7"/>
    <mergeCell ref="KHQ7:KHS7"/>
    <mergeCell ref="KHT7:KHV7"/>
    <mergeCell ref="KHW7:KHY7"/>
    <mergeCell ref="KGV7:KGX7"/>
    <mergeCell ref="KGY7:KHA7"/>
    <mergeCell ref="KHB7:KHD7"/>
    <mergeCell ref="KHE7:KHG7"/>
    <mergeCell ref="KHH7:KHJ7"/>
    <mergeCell ref="KGG7:KGI7"/>
    <mergeCell ref="KGJ7:KGL7"/>
    <mergeCell ref="KGM7:KGO7"/>
    <mergeCell ref="KGP7:KGR7"/>
    <mergeCell ref="KGS7:KGU7"/>
    <mergeCell ref="KNT7:KNV7"/>
    <mergeCell ref="KNW7:KNY7"/>
    <mergeCell ref="KNZ7:KOB7"/>
    <mergeCell ref="KOC7:KOE7"/>
    <mergeCell ref="KOF7:KOH7"/>
    <mergeCell ref="KNE7:KNG7"/>
    <mergeCell ref="KNH7:KNJ7"/>
    <mergeCell ref="KNK7:KNM7"/>
    <mergeCell ref="KNN7:KNP7"/>
    <mergeCell ref="KNQ7:KNS7"/>
    <mergeCell ref="KMP7:KMR7"/>
    <mergeCell ref="KMS7:KMU7"/>
    <mergeCell ref="KMV7:KMX7"/>
    <mergeCell ref="KMY7:KNA7"/>
    <mergeCell ref="KNB7:KND7"/>
    <mergeCell ref="KMA7:KMC7"/>
    <mergeCell ref="KMD7:KMF7"/>
    <mergeCell ref="KMG7:KMI7"/>
    <mergeCell ref="KMJ7:KML7"/>
    <mergeCell ref="KMM7:KMO7"/>
    <mergeCell ref="KLL7:KLN7"/>
    <mergeCell ref="KLO7:KLQ7"/>
    <mergeCell ref="KLR7:KLT7"/>
    <mergeCell ref="KLU7:KLW7"/>
    <mergeCell ref="KLX7:KLZ7"/>
    <mergeCell ref="KKW7:KKY7"/>
    <mergeCell ref="KKZ7:KLB7"/>
    <mergeCell ref="KLC7:KLE7"/>
    <mergeCell ref="KLF7:KLH7"/>
    <mergeCell ref="KLI7:KLK7"/>
    <mergeCell ref="KKH7:KKJ7"/>
    <mergeCell ref="KKK7:KKM7"/>
    <mergeCell ref="KKN7:KKP7"/>
    <mergeCell ref="KKQ7:KKS7"/>
    <mergeCell ref="KKT7:KKV7"/>
    <mergeCell ref="KRU7:KRW7"/>
    <mergeCell ref="KRX7:KRZ7"/>
    <mergeCell ref="KSA7:KSC7"/>
    <mergeCell ref="KSD7:KSF7"/>
    <mergeCell ref="KSG7:KSI7"/>
    <mergeCell ref="KRF7:KRH7"/>
    <mergeCell ref="KRI7:KRK7"/>
    <mergeCell ref="KRL7:KRN7"/>
    <mergeCell ref="KRO7:KRQ7"/>
    <mergeCell ref="KRR7:KRT7"/>
    <mergeCell ref="KQQ7:KQS7"/>
    <mergeCell ref="KQT7:KQV7"/>
    <mergeCell ref="KQW7:KQY7"/>
    <mergeCell ref="KQZ7:KRB7"/>
    <mergeCell ref="KRC7:KRE7"/>
    <mergeCell ref="KQB7:KQD7"/>
    <mergeCell ref="KQE7:KQG7"/>
    <mergeCell ref="KQH7:KQJ7"/>
    <mergeCell ref="KQK7:KQM7"/>
    <mergeCell ref="KQN7:KQP7"/>
    <mergeCell ref="KPM7:KPO7"/>
    <mergeCell ref="KPP7:KPR7"/>
    <mergeCell ref="KPS7:KPU7"/>
    <mergeCell ref="KPV7:KPX7"/>
    <mergeCell ref="KPY7:KQA7"/>
    <mergeCell ref="KOX7:KOZ7"/>
    <mergeCell ref="KPA7:KPC7"/>
    <mergeCell ref="KPD7:KPF7"/>
    <mergeCell ref="KPG7:KPI7"/>
    <mergeCell ref="KPJ7:KPL7"/>
    <mergeCell ref="KOI7:KOK7"/>
    <mergeCell ref="KOL7:KON7"/>
    <mergeCell ref="KOO7:KOQ7"/>
    <mergeCell ref="KOR7:KOT7"/>
    <mergeCell ref="KOU7:KOW7"/>
    <mergeCell ref="KVV7:KVX7"/>
    <mergeCell ref="KVY7:KWA7"/>
    <mergeCell ref="KWB7:KWD7"/>
    <mergeCell ref="KWE7:KWG7"/>
    <mergeCell ref="KWH7:KWJ7"/>
    <mergeCell ref="KVG7:KVI7"/>
    <mergeCell ref="KVJ7:KVL7"/>
    <mergeCell ref="KVM7:KVO7"/>
    <mergeCell ref="KVP7:KVR7"/>
    <mergeCell ref="KVS7:KVU7"/>
    <mergeCell ref="KUR7:KUT7"/>
    <mergeCell ref="KUU7:KUW7"/>
    <mergeCell ref="KUX7:KUZ7"/>
    <mergeCell ref="KVA7:KVC7"/>
    <mergeCell ref="KVD7:KVF7"/>
    <mergeCell ref="KUC7:KUE7"/>
    <mergeCell ref="KUF7:KUH7"/>
    <mergeCell ref="KUI7:KUK7"/>
    <mergeCell ref="KUL7:KUN7"/>
    <mergeCell ref="KUO7:KUQ7"/>
    <mergeCell ref="KTN7:KTP7"/>
    <mergeCell ref="KTQ7:KTS7"/>
    <mergeCell ref="KTT7:KTV7"/>
    <mergeCell ref="KTW7:KTY7"/>
    <mergeCell ref="KTZ7:KUB7"/>
    <mergeCell ref="KSY7:KTA7"/>
    <mergeCell ref="KTB7:KTD7"/>
    <mergeCell ref="KTE7:KTG7"/>
    <mergeCell ref="KTH7:KTJ7"/>
    <mergeCell ref="KTK7:KTM7"/>
    <mergeCell ref="KSJ7:KSL7"/>
    <mergeCell ref="KSM7:KSO7"/>
    <mergeCell ref="KSP7:KSR7"/>
    <mergeCell ref="KSS7:KSU7"/>
    <mergeCell ref="KSV7:KSX7"/>
    <mergeCell ref="KZW7:KZY7"/>
    <mergeCell ref="KZZ7:LAB7"/>
    <mergeCell ref="LAC7:LAE7"/>
    <mergeCell ref="LAF7:LAH7"/>
    <mergeCell ref="LAI7:LAK7"/>
    <mergeCell ref="KZH7:KZJ7"/>
    <mergeCell ref="KZK7:KZM7"/>
    <mergeCell ref="KZN7:KZP7"/>
    <mergeCell ref="KZQ7:KZS7"/>
    <mergeCell ref="KZT7:KZV7"/>
    <mergeCell ref="KYS7:KYU7"/>
    <mergeCell ref="KYV7:KYX7"/>
    <mergeCell ref="KYY7:KZA7"/>
    <mergeCell ref="KZB7:KZD7"/>
    <mergeCell ref="KZE7:KZG7"/>
    <mergeCell ref="KYD7:KYF7"/>
    <mergeCell ref="KYG7:KYI7"/>
    <mergeCell ref="KYJ7:KYL7"/>
    <mergeCell ref="KYM7:KYO7"/>
    <mergeCell ref="KYP7:KYR7"/>
    <mergeCell ref="KXO7:KXQ7"/>
    <mergeCell ref="KXR7:KXT7"/>
    <mergeCell ref="KXU7:KXW7"/>
    <mergeCell ref="KXX7:KXZ7"/>
    <mergeCell ref="KYA7:KYC7"/>
    <mergeCell ref="KWZ7:KXB7"/>
    <mergeCell ref="KXC7:KXE7"/>
    <mergeCell ref="KXF7:KXH7"/>
    <mergeCell ref="KXI7:KXK7"/>
    <mergeCell ref="KXL7:KXN7"/>
    <mergeCell ref="KWK7:KWM7"/>
    <mergeCell ref="KWN7:KWP7"/>
    <mergeCell ref="KWQ7:KWS7"/>
    <mergeCell ref="KWT7:KWV7"/>
    <mergeCell ref="KWW7:KWY7"/>
    <mergeCell ref="LDX7:LDZ7"/>
    <mergeCell ref="LEA7:LEC7"/>
    <mergeCell ref="LED7:LEF7"/>
    <mergeCell ref="LEG7:LEI7"/>
    <mergeCell ref="LEJ7:LEL7"/>
    <mergeCell ref="LDI7:LDK7"/>
    <mergeCell ref="LDL7:LDN7"/>
    <mergeCell ref="LDO7:LDQ7"/>
    <mergeCell ref="LDR7:LDT7"/>
    <mergeCell ref="LDU7:LDW7"/>
    <mergeCell ref="LCT7:LCV7"/>
    <mergeCell ref="LCW7:LCY7"/>
    <mergeCell ref="LCZ7:LDB7"/>
    <mergeCell ref="LDC7:LDE7"/>
    <mergeCell ref="LDF7:LDH7"/>
    <mergeCell ref="LCE7:LCG7"/>
    <mergeCell ref="LCH7:LCJ7"/>
    <mergeCell ref="LCK7:LCM7"/>
    <mergeCell ref="LCN7:LCP7"/>
    <mergeCell ref="LCQ7:LCS7"/>
    <mergeCell ref="LBP7:LBR7"/>
    <mergeCell ref="LBS7:LBU7"/>
    <mergeCell ref="LBV7:LBX7"/>
    <mergeCell ref="LBY7:LCA7"/>
    <mergeCell ref="LCB7:LCD7"/>
    <mergeCell ref="LBA7:LBC7"/>
    <mergeCell ref="LBD7:LBF7"/>
    <mergeCell ref="LBG7:LBI7"/>
    <mergeCell ref="LBJ7:LBL7"/>
    <mergeCell ref="LBM7:LBO7"/>
    <mergeCell ref="LAL7:LAN7"/>
    <mergeCell ref="LAO7:LAQ7"/>
    <mergeCell ref="LAR7:LAT7"/>
    <mergeCell ref="LAU7:LAW7"/>
    <mergeCell ref="LAX7:LAZ7"/>
    <mergeCell ref="LHY7:LIA7"/>
    <mergeCell ref="LIB7:LID7"/>
    <mergeCell ref="LIE7:LIG7"/>
    <mergeCell ref="LIH7:LIJ7"/>
    <mergeCell ref="LIK7:LIM7"/>
    <mergeCell ref="LHJ7:LHL7"/>
    <mergeCell ref="LHM7:LHO7"/>
    <mergeCell ref="LHP7:LHR7"/>
    <mergeCell ref="LHS7:LHU7"/>
    <mergeCell ref="LHV7:LHX7"/>
    <mergeCell ref="LGU7:LGW7"/>
    <mergeCell ref="LGX7:LGZ7"/>
    <mergeCell ref="LHA7:LHC7"/>
    <mergeCell ref="LHD7:LHF7"/>
    <mergeCell ref="LHG7:LHI7"/>
    <mergeCell ref="LGF7:LGH7"/>
    <mergeCell ref="LGI7:LGK7"/>
    <mergeCell ref="LGL7:LGN7"/>
    <mergeCell ref="LGO7:LGQ7"/>
    <mergeCell ref="LGR7:LGT7"/>
    <mergeCell ref="LFQ7:LFS7"/>
    <mergeCell ref="LFT7:LFV7"/>
    <mergeCell ref="LFW7:LFY7"/>
    <mergeCell ref="LFZ7:LGB7"/>
    <mergeCell ref="LGC7:LGE7"/>
    <mergeCell ref="LFB7:LFD7"/>
    <mergeCell ref="LFE7:LFG7"/>
    <mergeCell ref="LFH7:LFJ7"/>
    <mergeCell ref="LFK7:LFM7"/>
    <mergeCell ref="LFN7:LFP7"/>
    <mergeCell ref="LEM7:LEO7"/>
    <mergeCell ref="LEP7:LER7"/>
    <mergeCell ref="LES7:LEU7"/>
    <mergeCell ref="LEV7:LEX7"/>
    <mergeCell ref="LEY7:LFA7"/>
    <mergeCell ref="LLZ7:LMB7"/>
    <mergeCell ref="LMC7:LME7"/>
    <mergeCell ref="LMF7:LMH7"/>
    <mergeCell ref="LMI7:LMK7"/>
    <mergeCell ref="LML7:LMN7"/>
    <mergeCell ref="LLK7:LLM7"/>
    <mergeCell ref="LLN7:LLP7"/>
    <mergeCell ref="LLQ7:LLS7"/>
    <mergeCell ref="LLT7:LLV7"/>
    <mergeCell ref="LLW7:LLY7"/>
    <mergeCell ref="LKV7:LKX7"/>
    <mergeCell ref="LKY7:LLA7"/>
    <mergeCell ref="LLB7:LLD7"/>
    <mergeCell ref="LLE7:LLG7"/>
    <mergeCell ref="LLH7:LLJ7"/>
    <mergeCell ref="LKG7:LKI7"/>
    <mergeCell ref="LKJ7:LKL7"/>
    <mergeCell ref="LKM7:LKO7"/>
    <mergeCell ref="LKP7:LKR7"/>
    <mergeCell ref="LKS7:LKU7"/>
    <mergeCell ref="LJR7:LJT7"/>
    <mergeCell ref="LJU7:LJW7"/>
    <mergeCell ref="LJX7:LJZ7"/>
    <mergeCell ref="LKA7:LKC7"/>
    <mergeCell ref="LKD7:LKF7"/>
    <mergeCell ref="LJC7:LJE7"/>
    <mergeCell ref="LJF7:LJH7"/>
    <mergeCell ref="LJI7:LJK7"/>
    <mergeCell ref="LJL7:LJN7"/>
    <mergeCell ref="LJO7:LJQ7"/>
    <mergeCell ref="LIN7:LIP7"/>
    <mergeCell ref="LIQ7:LIS7"/>
    <mergeCell ref="LIT7:LIV7"/>
    <mergeCell ref="LIW7:LIY7"/>
    <mergeCell ref="LIZ7:LJB7"/>
    <mergeCell ref="LQA7:LQC7"/>
    <mergeCell ref="LQD7:LQF7"/>
    <mergeCell ref="LQG7:LQI7"/>
    <mergeCell ref="LQJ7:LQL7"/>
    <mergeCell ref="LQM7:LQO7"/>
    <mergeCell ref="LPL7:LPN7"/>
    <mergeCell ref="LPO7:LPQ7"/>
    <mergeCell ref="LPR7:LPT7"/>
    <mergeCell ref="LPU7:LPW7"/>
    <mergeCell ref="LPX7:LPZ7"/>
    <mergeCell ref="LOW7:LOY7"/>
    <mergeCell ref="LOZ7:LPB7"/>
    <mergeCell ref="LPC7:LPE7"/>
    <mergeCell ref="LPF7:LPH7"/>
    <mergeCell ref="LPI7:LPK7"/>
    <mergeCell ref="LOH7:LOJ7"/>
    <mergeCell ref="LOK7:LOM7"/>
    <mergeCell ref="LON7:LOP7"/>
    <mergeCell ref="LOQ7:LOS7"/>
    <mergeCell ref="LOT7:LOV7"/>
    <mergeCell ref="LNS7:LNU7"/>
    <mergeCell ref="LNV7:LNX7"/>
    <mergeCell ref="LNY7:LOA7"/>
    <mergeCell ref="LOB7:LOD7"/>
    <mergeCell ref="LOE7:LOG7"/>
    <mergeCell ref="LND7:LNF7"/>
    <mergeCell ref="LNG7:LNI7"/>
    <mergeCell ref="LNJ7:LNL7"/>
    <mergeCell ref="LNM7:LNO7"/>
    <mergeCell ref="LNP7:LNR7"/>
    <mergeCell ref="LMO7:LMQ7"/>
    <mergeCell ref="LMR7:LMT7"/>
    <mergeCell ref="LMU7:LMW7"/>
    <mergeCell ref="LMX7:LMZ7"/>
    <mergeCell ref="LNA7:LNC7"/>
    <mergeCell ref="LUB7:LUD7"/>
    <mergeCell ref="LUE7:LUG7"/>
    <mergeCell ref="LUH7:LUJ7"/>
    <mergeCell ref="LUK7:LUM7"/>
    <mergeCell ref="LUN7:LUP7"/>
    <mergeCell ref="LTM7:LTO7"/>
    <mergeCell ref="LTP7:LTR7"/>
    <mergeCell ref="LTS7:LTU7"/>
    <mergeCell ref="LTV7:LTX7"/>
    <mergeCell ref="LTY7:LUA7"/>
    <mergeCell ref="LSX7:LSZ7"/>
    <mergeCell ref="LTA7:LTC7"/>
    <mergeCell ref="LTD7:LTF7"/>
    <mergeCell ref="LTG7:LTI7"/>
    <mergeCell ref="LTJ7:LTL7"/>
    <mergeCell ref="LSI7:LSK7"/>
    <mergeCell ref="LSL7:LSN7"/>
    <mergeCell ref="LSO7:LSQ7"/>
    <mergeCell ref="LSR7:LST7"/>
    <mergeCell ref="LSU7:LSW7"/>
    <mergeCell ref="LRT7:LRV7"/>
    <mergeCell ref="LRW7:LRY7"/>
    <mergeCell ref="LRZ7:LSB7"/>
    <mergeCell ref="LSC7:LSE7"/>
    <mergeCell ref="LSF7:LSH7"/>
    <mergeCell ref="LRE7:LRG7"/>
    <mergeCell ref="LRH7:LRJ7"/>
    <mergeCell ref="LRK7:LRM7"/>
    <mergeCell ref="LRN7:LRP7"/>
    <mergeCell ref="LRQ7:LRS7"/>
    <mergeCell ref="LQP7:LQR7"/>
    <mergeCell ref="LQS7:LQU7"/>
    <mergeCell ref="LQV7:LQX7"/>
    <mergeCell ref="LQY7:LRA7"/>
    <mergeCell ref="LRB7:LRD7"/>
    <mergeCell ref="LYC7:LYE7"/>
    <mergeCell ref="LYF7:LYH7"/>
    <mergeCell ref="LYI7:LYK7"/>
    <mergeCell ref="LYL7:LYN7"/>
    <mergeCell ref="LYO7:LYQ7"/>
    <mergeCell ref="LXN7:LXP7"/>
    <mergeCell ref="LXQ7:LXS7"/>
    <mergeCell ref="LXT7:LXV7"/>
    <mergeCell ref="LXW7:LXY7"/>
    <mergeCell ref="LXZ7:LYB7"/>
    <mergeCell ref="LWY7:LXA7"/>
    <mergeCell ref="LXB7:LXD7"/>
    <mergeCell ref="LXE7:LXG7"/>
    <mergeCell ref="LXH7:LXJ7"/>
    <mergeCell ref="LXK7:LXM7"/>
    <mergeCell ref="LWJ7:LWL7"/>
    <mergeCell ref="LWM7:LWO7"/>
    <mergeCell ref="LWP7:LWR7"/>
    <mergeCell ref="LWS7:LWU7"/>
    <mergeCell ref="LWV7:LWX7"/>
    <mergeCell ref="LVU7:LVW7"/>
    <mergeCell ref="LVX7:LVZ7"/>
    <mergeCell ref="LWA7:LWC7"/>
    <mergeCell ref="LWD7:LWF7"/>
    <mergeCell ref="LWG7:LWI7"/>
    <mergeCell ref="LVF7:LVH7"/>
    <mergeCell ref="LVI7:LVK7"/>
    <mergeCell ref="LVL7:LVN7"/>
    <mergeCell ref="LVO7:LVQ7"/>
    <mergeCell ref="LVR7:LVT7"/>
    <mergeCell ref="LUQ7:LUS7"/>
    <mergeCell ref="LUT7:LUV7"/>
    <mergeCell ref="LUW7:LUY7"/>
    <mergeCell ref="LUZ7:LVB7"/>
    <mergeCell ref="LVC7:LVE7"/>
    <mergeCell ref="MCD7:MCF7"/>
    <mergeCell ref="MCG7:MCI7"/>
    <mergeCell ref="MCJ7:MCL7"/>
    <mergeCell ref="MCM7:MCO7"/>
    <mergeCell ref="MCP7:MCR7"/>
    <mergeCell ref="MBO7:MBQ7"/>
    <mergeCell ref="MBR7:MBT7"/>
    <mergeCell ref="MBU7:MBW7"/>
    <mergeCell ref="MBX7:MBZ7"/>
    <mergeCell ref="MCA7:MCC7"/>
    <mergeCell ref="MAZ7:MBB7"/>
    <mergeCell ref="MBC7:MBE7"/>
    <mergeCell ref="MBF7:MBH7"/>
    <mergeCell ref="MBI7:MBK7"/>
    <mergeCell ref="MBL7:MBN7"/>
    <mergeCell ref="MAK7:MAM7"/>
    <mergeCell ref="MAN7:MAP7"/>
    <mergeCell ref="MAQ7:MAS7"/>
    <mergeCell ref="MAT7:MAV7"/>
    <mergeCell ref="MAW7:MAY7"/>
    <mergeCell ref="LZV7:LZX7"/>
    <mergeCell ref="LZY7:MAA7"/>
    <mergeCell ref="MAB7:MAD7"/>
    <mergeCell ref="MAE7:MAG7"/>
    <mergeCell ref="MAH7:MAJ7"/>
    <mergeCell ref="LZG7:LZI7"/>
    <mergeCell ref="LZJ7:LZL7"/>
    <mergeCell ref="LZM7:LZO7"/>
    <mergeCell ref="LZP7:LZR7"/>
    <mergeCell ref="LZS7:LZU7"/>
    <mergeCell ref="LYR7:LYT7"/>
    <mergeCell ref="LYU7:LYW7"/>
    <mergeCell ref="LYX7:LYZ7"/>
    <mergeCell ref="LZA7:LZC7"/>
    <mergeCell ref="LZD7:LZF7"/>
    <mergeCell ref="MGE7:MGG7"/>
    <mergeCell ref="MGH7:MGJ7"/>
    <mergeCell ref="MGK7:MGM7"/>
    <mergeCell ref="MGN7:MGP7"/>
    <mergeCell ref="MGQ7:MGS7"/>
    <mergeCell ref="MFP7:MFR7"/>
    <mergeCell ref="MFS7:MFU7"/>
    <mergeCell ref="MFV7:MFX7"/>
    <mergeCell ref="MFY7:MGA7"/>
    <mergeCell ref="MGB7:MGD7"/>
    <mergeCell ref="MFA7:MFC7"/>
    <mergeCell ref="MFD7:MFF7"/>
    <mergeCell ref="MFG7:MFI7"/>
    <mergeCell ref="MFJ7:MFL7"/>
    <mergeCell ref="MFM7:MFO7"/>
    <mergeCell ref="MEL7:MEN7"/>
    <mergeCell ref="MEO7:MEQ7"/>
    <mergeCell ref="MER7:MET7"/>
    <mergeCell ref="MEU7:MEW7"/>
    <mergeCell ref="MEX7:MEZ7"/>
    <mergeCell ref="MDW7:MDY7"/>
    <mergeCell ref="MDZ7:MEB7"/>
    <mergeCell ref="MEC7:MEE7"/>
    <mergeCell ref="MEF7:MEH7"/>
    <mergeCell ref="MEI7:MEK7"/>
    <mergeCell ref="MDH7:MDJ7"/>
    <mergeCell ref="MDK7:MDM7"/>
    <mergeCell ref="MDN7:MDP7"/>
    <mergeCell ref="MDQ7:MDS7"/>
    <mergeCell ref="MDT7:MDV7"/>
    <mergeCell ref="MCS7:MCU7"/>
    <mergeCell ref="MCV7:MCX7"/>
    <mergeCell ref="MCY7:MDA7"/>
    <mergeCell ref="MDB7:MDD7"/>
    <mergeCell ref="MDE7:MDG7"/>
    <mergeCell ref="MKF7:MKH7"/>
    <mergeCell ref="MKI7:MKK7"/>
    <mergeCell ref="MKL7:MKN7"/>
    <mergeCell ref="MKO7:MKQ7"/>
    <mergeCell ref="MKR7:MKT7"/>
    <mergeCell ref="MJQ7:MJS7"/>
    <mergeCell ref="MJT7:MJV7"/>
    <mergeCell ref="MJW7:MJY7"/>
    <mergeCell ref="MJZ7:MKB7"/>
    <mergeCell ref="MKC7:MKE7"/>
    <mergeCell ref="MJB7:MJD7"/>
    <mergeCell ref="MJE7:MJG7"/>
    <mergeCell ref="MJH7:MJJ7"/>
    <mergeCell ref="MJK7:MJM7"/>
    <mergeCell ref="MJN7:MJP7"/>
    <mergeCell ref="MIM7:MIO7"/>
    <mergeCell ref="MIP7:MIR7"/>
    <mergeCell ref="MIS7:MIU7"/>
    <mergeCell ref="MIV7:MIX7"/>
    <mergeCell ref="MIY7:MJA7"/>
    <mergeCell ref="MHX7:MHZ7"/>
    <mergeCell ref="MIA7:MIC7"/>
    <mergeCell ref="MID7:MIF7"/>
    <mergeCell ref="MIG7:MII7"/>
    <mergeCell ref="MIJ7:MIL7"/>
    <mergeCell ref="MHI7:MHK7"/>
    <mergeCell ref="MHL7:MHN7"/>
    <mergeCell ref="MHO7:MHQ7"/>
    <mergeCell ref="MHR7:MHT7"/>
    <mergeCell ref="MHU7:MHW7"/>
    <mergeCell ref="MGT7:MGV7"/>
    <mergeCell ref="MGW7:MGY7"/>
    <mergeCell ref="MGZ7:MHB7"/>
    <mergeCell ref="MHC7:MHE7"/>
    <mergeCell ref="MHF7:MHH7"/>
    <mergeCell ref="MOG7:MOI7"/>
    <mergeCell ref="MOJ7:MOL7"/>
    <mergeCell ref="MOM7:MOO7"/>
    <mergeCell ref="MOP7:MOR7"/>
    <mergeCell ref="MOS7:MOU7"/>
    <mergeCell ref="MNR7:MNT7"/>
    <mergeCell ref="MNU7:MNW7"/>
    <mergeCell ref="MNX7:MNZ7"/>
    <mergeCell ref="MOA7:MOC7"/>
    <mergeCell ref="MOD7:MOF7"/>
    <mergeCell ref="MNC7:MNE7"/>
    <mergeCell ref="MNF7:MNH7"/>
    <mergeCell ref="MNI7:MNK7"/>
    <mergeCell ref="MNL7:MNN7"/>
    <mergeCell ref="MNO7:MNQ7"/>
    <mergeCell ref="MMN7:MMP7"/>
    <mergeCell ref="MMQ7:MMS7"/>
    <mergeCell ref="MMT7:MMV7"/>
    <mergeCell ref="MMW7:MMY7"/>
    <mergeCell ref="MMZ7:MNB7"/>
    <mergeCell ref="MLY7:MMA7"/>
    <mergeCell ref="MMB7:MMD7"/>
    <mergeCell ref="MME7:MMG7"/>
    <mergeCell ref="MMH7:MMJ7"/>
    <mergeCell ref="MMK7:MMM7"/>
    <mergeCell ref="MLJ7:MLL7"/>
    <mergeCell ref="MLM7:MLO7"/>
    <mergeCell ref="MLP7:MLR7"/>
    <mergeCell ref="MLS7:MLU7"/>
    <mergeCell ref="MLV7:MLX7"/>
    <mergeCell ref="MKU7:MKW7"/>
    <mergeCell ref="MKX7:MKZ7"/>
    <mergeCell ref="MLA7:MLC7"/>
    <mergeCell ref="MLD7:MLF7"/>
    <mergeCell ref="MLG7:MLI7"/>
    <mergeCell ref="MSH7:MSJ7"/>
    <mergeCell ref="MSK7:MSM7"/>
    <mergeCell ref="MSN7:MSP7"/>
    <mergeCell ref="MSQ7:MSS7"/>
    <mergeCell ref="MST7:MSV7"/>
    <mergeCell ref="MRS7:MRU7"/>
    <mergeCell ref="MRV7:MRX7"/>
    <mergeCell ref="MRY7:MSA7"/>
    <mergeCell ref="MSB7:MSD7"/>
    <mergeCell ref="MSE7:MSG7"/>
    <mergeCell ref="MRD7:MRF7"/>
    <mergeCell ref="MRG7:MRI7"/>
    <mergeCell ref="MRJ7:MRL7"/>
    <mergeCell ref="MRM7:MRO7"/>
    <mergeCell ref="MRP7:MRR7"/>
    <mergeCell ref="MQO7:MQQ7"/>
    <mergeCell ref="MQR7:MQT7"/>
    <mergeCell ref="MQU7:MQW7"/>
    <mergeCell ref="MQX7:MQZ7"/>
    <mergeCell ref="MRA7:MRC7"/>
    <mergeCell ref="MPZ7:MQB7"/>
    <mergeCell ref="MQC7:MQE7"/>
    <mergeCell ref="MQF7:MQH7"/>
    <mergeCell ref="MQI7:MQK7"/>
    <mergeCell ref="MQL7:MQN7"/>
    <mergeCell ref="MPK7:MPM7"/>
    <mergeCell ref="MPN7:MPP7"/>
    <mergeCell ref="MPQ7:MPS7"/>
    <mergeCell ref="MPT7:MPV7"/>
    <mergeCell ref="MPW7:MPY7"/>
    <mergeCell ref="MOV7:MOX7"/>
    <mergeCell ref="MOY7:MPA7"/>
    <mergeCell ref="MPB7:MPD7"/>
    <mergeCell ref="MPE7:MPG7"/>
    <mergeCell ref="MPH7:MPJ7"/>
    <mergeCell ref="MWI7:MWK7"/>
    <mergeCell ref="MWL7:MWN7"/>
    <mergeCell ref="MWO7:MWQ7"/>
    <mergeCell ref="MWR7:MWT7"/>
    <mergeCell ref="MWU7:MWW7"/>
    <mergeCell ref="MVT7:MVV7"/>
    <mergeCell ref="MVW7:MVY7"/>
    <mergeCell ref="MVZ7:MWB7"/>
    <mergeCell ref="MWC7:MWE7"/>
    <mergeCell ref="MWF7:MWH7"/>
    <mergeCell ref="MVE7:MVG7"/>
    <mergeCell ref="MVH7:MVJ7"/>
    <mergeCell ref="MVK7:MVM7"/>
    <mergeCell ref="MVN7:MVP7"/>
    <mergeCell ref="MVQ7:MVS7"/>
    <mergeCell ref="MUP7:MUR7"/>
    <mergeCell ref="MUS7:MUU7"/>
    <mergeCell ref="MUV7:MUX7"/>
    <mergeCell ref="MUY7:MVA7"/>
    <mergeCell ref="MVB7:MVD7"/>
    <mergeCell ref="MUA7:MUC7"/>
    <mergeCell ref="MUD7:MUF7"/>
    <mergeCell ref="MUG7:MUI7"/>
    <mergeCell ref="MUJ7:MUL7"/>
    <mergeCell ref="MUM7:MUO7"/>
    <mergeCell ref="MTL7:MTN7"/>
    <mergeCell ref="MTO7:MTQ7"/>
    <mergeCell ref="MTR7:MTT7"/>
    <mergeCell ref="MTU7:MTW7"/>
    <mergeCell ref="MTX7:MTZ7"/>
    <mergeCell ref="MSW7:MSY7"/>
    <mergeCell ref="MSZ7:MTB7"/>
    <mergeCell ref="MTC7:MTE7"/>
    <mergeCell ref="MTF7:MTH7"/>
    <mergeCell ref="MTI7:MTK7"/>
    <mergeCell ref="NAJ7:NAL7"/>
    <mergeCell ref="NAM7:NAO7"/>
    <mergeCell ref="NAP7:NAR7"/>
    <mergeCell ref="NAS7:NAU7"/>
    <mergeCell ref="NAV7:NAX7"/>
    <mergeCell ref="MZU7:MZW7"/>
    <mergeCell ref="MZX7:MZZ7"/>
    <mergeCell ref="NAA7:NAC7"/>
    <mergeCell ref="NAD7:NAF7"/>
    <mergeCell ref="NAG7:NAI7"/>
    <mergeCell ref="MZF7:MZH7"/>
    <mergeCell ref="MZI7:MZK7"/>
    <mergeCell ref="MZL7:MZN7"/>
    <mergeCell ref="MZO7:MZQ7"/>
    <mergeCell ref="MZR7:MZT7"/>
    <mergeCell ref="MYQ7:MYS7"/>
    <mergeCell ref="MYT7:MYV7"/>
    <mergeCell ref="MYW7:MYY7"/>
    <mergeCell ref="MYZ7:MZB7"/>
    <mergeCell ref="MZC7:MZE7"/>
    <mergeCell ref="MYB7:MYD7"/>
    <mergeCell ref="MYE7:MYG7"/>
    <mergeCell ref="MYH7:MYJ7"/>
    <mergeCell ref="MYK7:MYM7"/>
    <mergeCell ref="MYN7:MYP7"/>
    <mergeCell ref="MXM7:MXO7"/>
    <mergeCell ref="MXP7:MXR7"/>
    <mergeCell ref="MXS7:MXU7"/>
    <mergeCell ref="MXV7:MXX7"/>
    <mergeCell ref="MXY7:MYA7"/>
    <mergeCell ref="MWX7:MWZ7"/>
    <mergeCell ref="MXA7:MXC7"/>
    <mergeCell ref="MXD7:MXF7"/>
    <mergeCell ref="MXG7:MXI7"/>
    <mergeCell ref="MXJ7:MXL7"/>
    <mergeCell ref="NEK7:NEM7"/>
    <mergeCell ref="NEN7:NEP7"/>
    <mergeCell ref="NEQ7:NES7"/>
    <mergeCell ref="NET7:NEV7"/>
    <mergeCell ref="NEW7:NEY7"/>
    <mergeCell ref="NDV7:NDX7"/>
    <mergeCell ref="NDY7:NEA7"/>
    <mergeCell ref="NEB7:NED7"/>
    <mergeCell ref="NEE7:NEG7"/>
    <mergeCell ref="NEH7:NEJ7"/>
    <mergeCell ref="NDG7:NDI7"/>
    <mergeCell ref="NDJ7:NDL7"/>
    <mergeCell ref="NDM7:NDO7"/>
    <mergeCell ref="NDP7:NDR7"/>
    <mergeCell ref="NDS7:NDU7"/>
    <mergeCell ref="NCR7:NCT7"/>
    <mergeCell ref="NCU7:NCW7"/>
    <mergeCell ref="NCX7:NCZ7"/>
    <mergeCell ref="NDA7:NDC7"/>
    <mergeCell ref="NDD7:NDF7"/>
    <mergeCell ref="NCC7:NCE7"/>
    <mergeCell ref="NCF7:NCH7"/>
    <mergeCell ref="NCI7:NCK7"/>
    <mergeCell ref="NCL7:NCN7"/>
    <mergeCell ref="NCO7:NCQ7"/>
    <mergeCell ref="NBN7:NBP7"/>
    <mergeCell ref="NBQ7:NBS7"/>
    <mergeCell ref="NBT7:NBV7"/>
    <mergeCell ref="NBW7:NBY7"/>
    <mergeCell ref="NBZ7:NCB7"/>
    <mergeCell ref="NAY7:NBA7"/>
    <mergeCell ref="NBB7:NBD7"/>
    <mergeCell ref="NBE7:NBG7"/>
    <mergeCell ref="NBH7:NBJ7"/>
    <mergeCell ref="NBK7:NBM7"/>
    <mergeCell ref="NIL7:NIN7"/>
    <mergeCell ref="NIO7:NIQ7"/>
    <mergeCell ref="NIR7:NIT7"/>
    <mergeCell ref="NIU7:NIW7"/>
    <mergeCell ref="NIX7:NIZ7"/>
    <mergeCell ref="NHW7:NHY7"/>
    <mergeCell ref="NHZ7:NIB7"/>
    <mergeCell ref="NIC7:NIE7"/>
    <mergeCell ref="NIF7:NIH7"/>
    <mergeCell ref="NII7:NIK7"/>
    <mergeCell ref="NHH7:NHJ7"/>
    <mergeCell ref="NHK7:NHM7"/>
    <mergeCell ref="NHN7:NHP7"/>
    <mergeCell ref="NHQ7:NHS7"/>
    <mergeCell ref="NHT7:NHV7"/>
    <mergeCell ref="NGS7:NGU7"/>
    <mergeCell ref="NGV7:NGX7"/>
    <mergeCell ref="NGY7:NHA7"/>
    <mergeCell ref="NHB7:NHD7"/>
    <mergeCell ref="NHE7:NHG7"/>
    <mergeCell ref="NGD7:NGF7"/>
    <mergeCell ref="NGG7:NGI7"/>
    <mergeCell ref="NGJ7:NGL7"/>
    <mergeCell ref="NGM7:NGO7"/>
    <mergeCell ref="NGP7:NGR7"/>
    <mergeCell ref="NFO7:NFQ7"/>
    <mergeCell ref="NFR7:NFT7"/>
    <mergeCell ref="NFU7:NFW7"/>
    <mergeCell ref="NFX7:NFZ7"/>
    <mergeCell ref="NGA7:NGC7"/>
    <mergeCell ref="NEZ7:NFB7"/>
    <mergeCell ref="NFC7:NFE7"/>
    <mergeCell ref="NFF7:NFH7"/>
    <mergeCell ref="NFI7:NFK7"/>
    <mergeCell ref="NFL7:NFN7"/>
    <mergeCell ref="NMM7:NMO7"/>
    <mergeCell ref="NMP7:NMR7"/>
    <mergeCell ref="NMS7:NMU7"/>
    <mergeCell ref="NMV7:NMX7"/>
    <mergeCell ref="NMY7:NNA7"/>
    <mergeCell ref="NLX7:NLZ7"/>
    <mergeCell ref="NMA7:NMC7"/>
    <mergeCell ref="NMD7:NMF7"/>
    <mergeCell ref="NMG7:NMI7"/>
    <mergeCell ref="NMJ7:NML7"/>
    <mergeCell ref="NLI7:NLK7"/>
    <mergeCell ref="NLL7:NLN7"/>
    <mergeCell ref="NLO7:NLQ7"/>
    <mergeCell ref="NLR7:NLT7"/>
    <mergeCell ref="NLU7:NLW7"/>
    <mergeCell ref="NKT7:NKV7"/>
    <mergeCell ref="NKW7:NKY7"/>
    <mergeCell ref="NKZ7:NLB7"/>
    <mergeCell ref="NLC7:NLE7"/>
    <mergeCell ref="NLF7:NLH7"/>
    <mergeCell ref="NKE7:NKG7"/>
    <mergeCell ref="NKH7:NKJ7"/>
    <mergeCell ref="NKK7:NKM7"/>
    <mergeCell ref="NKN7:NKP7"/>
    <mergeCell ref="NKQ7:NKS7"/>
    <mergeCell ref="NJP7:NJR7"/>
    <mergeCell ref="NJS7:NJU7"/>
    <mergeCell ref="NJV7:NJX7"/>
    <mergeCell ref="NJY7:NKA7"/>
    <mergeCell ref="NKB7:NKD7"/>
    <mergeCell ref="NJA7:NJC7"/>
    <mergeCell ref="NJD7:NJF7"/>
    <mergeCell ref="NJG7:NJI7"/>
    <mergeCell ref="NJJ7:NJL7"/>
    <mergeCell ref="NJM7:NJO7"/>
    <mergeCell ref="NQN7:NQP7"/>
    <mergeCell ref="NQQ7:NQS7"/>
    <mergeCell ref="NQT7:NQV7"/>
    <mergeCell ref="NQW7:NQY7"/>
    <mergeCell ref="NQZ7:NRB7"/>
    <mergeCell ref="NPY7:NQA7"/>
    <mergeCell ref="NQB7:NQD7"/>
    <mergeCell ref="NQE7:NQG7"/>
    <mergeCell ref="NQH7:NQJ7"/>
    <mergeCell ref="NQK7:NQM7"/>
    <mergeCell ref="NPJ7:NPL7"/>
    <mergeCell ref="NPM7:NPO7"/>
    <mergeCell ref="NPP7:NPR7"/>
    <mergeCell ref="NPS7:NPU7"/>
    <mergeCell ref="NPV7:NPX7"/>
    <mergeCell ref="NOU7:NOW7"/>
    <mergeCell ref="NOX7:NOZ7"/>
    <mergeCell ref="NPA7:NPC7"/>
    <mergeCell ref="NPD7:NPF7"/>
    <mergeCell ref="NPG7:NPI7"/>
    <mergeCell ref="NOF7:NOH7"/>
    <mergeCell ref="NOI7:NOK7"/>
    <mergeCell ref="NOL7:NON7"/>
    <mergeCell ref="NOO7:NOQ7"/>
    <mergeCell ref="NOR7:NOT7"/>
    <mergeCell ref="NNQ7:NNS7"/>
    <mergeCell ref="NNT7:NNV7"/>
    <mergeCell ref="NNW7:NNY7"/>
    <mergeCell ref="NNZ7:NOB7"/>
    <mergeCell ref="NOC7:NOE7"/>
    <mergeCell ref="NNB7:NND7"/>
    <mergeCell ref="NNE7:NNG7"/>
    <mergeCell ref="NNH7:NNJ7"/>
    <mergeCell ref="NNK7:NNM7"/>
    <mergeCell ref="NNN7:NNP7"/>
    <mergeCell ref="NUO7:NUQ7"/>
    <mergeCell ref="NUR7:NUT7"/>
    <mergeCell ref="NUU7:NUW7"/>
    <mergeCell ref="NUX7:NUZ7"/>
    <mergeCell ref="NVA7:NVC7"/>
    <mergeCell ref="NTZ7:NUB7"/>
    <mergeCell ref="NUC7:NUE7"/>
    <mergeCell ref="NUF7:NUH7"/>
    <mergeCell ref="NUI7:NUK7"/>
    <mergeCell ref="NUL7:NUN7"/>
    <mergeCell ref="NTK7:NTM7"/>
    <mergeCell ref="NTN7:NTP7"/>
    <mergeCell ref="NTQ7:NTS7"/>
    <mergeCell ref="NTT7:NTV7"/>
    <mergeCell ref="NTW7:NTY7"/>
    <mergeCell ref="NSV7:NSX7"/>
    <mergeCell ref="NSY7:NTA7"/>
    <mergeCell ref="NTB7:NTD7"/>
    <mergeCell ref="NTE7:NTG7"/>
    <mergeCell ref="NTH7:NTJ7"/>
    <mergeCell ref="NSG7:NSI7"/>
    <mergeCell ref="NSJ7:NSL7"/>
    <mergeCell ref="NSM7:NSO7"/>
    <mergeCell ref="NSP7:NSR7"/>
    <mergeCell ref="NSS7:NSU7"/>
    <mergeCell ref="NRR7:NRT7"/>
    <mergeCell ref="NRU7:NRW7"/>
    <mergeCell ref="NRX7:NRZ7"/>
    <mergeCell ref="NSA7:NSC7"/>
    <mergeCell ref="NSD7:NSF7"/>
    <mergeCell ref="NRC7:NRE7"/>
    <mergeCell ref="NRF7:NRH7"/>
    <mergeCell ref="NRI7:NRK7"/>
    <mergeCell ref="NRL7:NRN7"/>
    <mergeCell ref="NRO7:NRQ7"/>
    <mergeCell ref="NYP7:NYR7"/>
    <mergeCell ref="NYS7:NYU7"/>
    <mergeCell ref="NYV7:NYX7"/>
    <mergeCell ref="NYY7:NZA7"/>
    <mergeCell ref="NZB7:NZD7"/>
    <mergeCell ref="NYA7:NYC7"/>
    <mergeCell ref="NYD7:NYF7"/>
    <mergeCell ref="NYG7:NYI7"/>
    <mergeCell ref="NYJ7:NYL7"/>
    <mergeCell ref="NYM7:NYO7"/>
    <mergeCell ref="NXL7:NXN7"/>
    <mergeCell ref="NXO7:NXQ7"/>
    <mergeCell ref="NXR7:NXT7"/>
    <mergeCell ref="NXU7:NXW7"/>
    <mergeCell ref="NXX7:NXZ7"/>
    <mergeCell ref="NWW7:NWY7"/>
    <mergeCell ref="NWZ7:NXB7"/>
    <mergeCell ref="NXC7:NXE7"/>
    <mergeCell ref="NXF7:NXH7"/>
    <mergeCell ref="NXI7:NXK7"/>
    <mergeCell ref="NWH7:NWJ7"/>
    <mergeCell ref="NWK7:NWM7"/>
    <mergeCell ref="NWN7:NWP7"/>
    <mergeCell ref="NWQ7:NWS7"/>
    <mergeCell ref="NWT7:NWV7"/>
    <mergeCell ref="NVS7:NVU7"/>
    <mergeCell ref="NVV7:NVX7"/>
    <mergeCell ref="NVY7:NWA7"/>
    <mergeCell ref="NWB7:NWD7"/>
    <mergeCell ref="NWE7:NWG7"/>
    <mergeCell ref="NVD7:NVF7"/>
    <mergeCell ref="NVG7:NVI7"/>
    <mergeCell ref="NVJ7:NVL7"/>
    <mergeCell ref="NVM7:NVO7"/>
    <mergeCell ref="NVP7:NVR7"/>
    <mergeCell ref="OCQ7:OCS7"/>
    <mergeCell ref="OCT7:OCV7"/>
    <mergeCell ref="OCW7:OCY7"/>
    <mergeCell ref="OCZ7:ODB7"/>
    <mergeCell ref="ODC7:ODE7"/>
    <mergeCell ref="OCB7:OCD7"/>
    <mergeCell ref="OCE7:OCG7"/>
    <mergeCell ref="OCH7:OCJ7"/>
    <mergeCell ref="OCK7:OCM7"/>
    <mergeCell ref="OCN7:OCP7"/>
    <mergeCell ref="OBM7:OBO7"/>
    <mergeCell ref="OBP7:OBR7"/>
    <mergeCell ref="OBS7:OBU7"/>
    <mergeCell ref="OBV7:OBX7"/>
    <mergeCell ref="OBY7:OCA7"/>
    <mergeCell ref="OAX7:OAZ7"/>
    <mergeCell ref="OBA7:OBC7"/>
    <mergeCell ref="OBD7:OBF7"/>
    <mergeCell ref="OBG7:OBI7"/>
    <mergeCell ref="OBJ7:OBL7"/>
    <mergeCell ref="OAI7:OAK7"/>
    <mergeCell ref="OAL7:OAN7"/>
    <mergeCell ref="OAO7:OAQ7"/>
    <mergeCell ref="OAR7:OAT7"/>
    <mergeCell ref="OAU7:OAW7"/>
    <mergeCell ref="NZT7:NZV7"/>
    <mergeCell ref="NZW7:NZY7"/>
    <mergeCell ref="NZZ7:OAB7"/>
    <mergeCell ref="OAC7:OAE7"/>
    <mergeCell ref="OAF7:OAH7"/>
    <mergeCell ref="NZE7:NZG7"/>
    <mergeCell ref="NZH7:NZJ7"/>
    <mergeCell ref="NZK7:NZM7"/>
    <mergeCell ref="NZN7:NZP7"/>
    <mergeCell ref="NZQ7:NZS7"/>
    <mergeCell ref="OGR7:OGT7"/>
    <mergeCell ref="OGU7:OGW7"/>
    <mergeCell ref="OGX7:OGZ7"/>
    <mergeCell ref="OHA7:OHC7"/>
    <mergeCell ref="OHD7:OHF7"/>
    <mergeCell ref="OGC7:OGE7"/>
    <mergeCell ref="OGF7:OGH7"/>
    <mergeCell ref="OGI7:OGK7"/>
    <mergeCell ref="OGL7:OGN7"/>
    <mergeCell ref="OGO7:OGQ7"/>
    <mergeCell ref="OFN7:OFP7"/>
    <mergeCell ref="OFQ7:OFS7"/>
    <mergeCell ref="OFT7:OFV7"/>
    <mergeCell ref="OFW7:OFY7"/>
    <mergeCell ref="OFZ7:OGB7"/>
    <mergeCell ref="OEY7:OFA7"/>
    <mergeCell ref="OFB7:OFD7"/>
    <mergeCell ref="OFE7:OFG7"/>
    <mergeCell ref="OFH7:OFJ7"/>
    <mergeCell ref="OFK7:OFM7"/>
    <mergeCell ref="OEJ7:OEL7"/>
    <mergeCell ref="OEM7:OEO7"/>
    <mergeCell ref="OEP7:OER7"/>
    <mergeCell ref="OES7:OEU7"/>
    <mergeCell ref="OEV7:OEX7"/>
    <mergeCell ref="ODU7:ODW7"/>
    <mergeCell ref="ODX7:ODZ7"/>
    <mergeCell ref="OEA7:OEC7"/>
    <mergeCell ref="OED7:OEF7"/>
    <mergeCell ref="OEG7:OEI7"/>
    <mergeCell ref="ODF7:ODH7"/>
    <mergeCell ref="ODI7:ODK7"/>
    <mergeCell ref="ODL7:ODN7"/>
    <mergeCell ref="ODO7:ODQ7"/>
    <mergeCell ref="ODR7:ODT7"/>
    <mergeCell ref="OKS7:OKU7"/>
    <mergeCell ref="OKV7:OKX7"/>
    <mergeCell ref="OKY7:OLA7"/>
    <mergeCell ref="OLB7:OLD7"/>
    <mergeCell ref="OLE7:OLG7"/>
    <mergeCell ref="OKD7:OKF7"/>
    <mergeCell ref="OKG7:OKI7"/>
    <mergeCell ref="OKJ7:OKL7"/>
    <mergeCell ref="OKM7:OKO7"/>
    <mergeCell ref="OKP7:OKR7"/>
    <mergeCell ref="OJO7:OJQ7"/>
    <mergeCell ref="OJR7:OJT7"/>
    <mergeCell ref="OJU7:OJW7"/>
    <mergeCell ref="OJX7:OJZ7"/>
    <mergeCell ref="OKA7:OKC7"/>
    <mergeCell ref="OIZ7:OJB7"/>
    <mergeCell ref="OJC7:OJE7"/>
    <mergeCell ref="OJF7:OJH7"/>
    <mergeCell ref="OJI7:OJK7"/>
    <mergeCell ref="OJL7:OJN7"/>
    <mergeCell ref="OIK7:OIM7"/>
    <mergeCell ref="OIN7:OIP7"/>
    <mergeCell ref="OIQ7:OIS7"/>
    <mergeCell ref="OIT7:OIV7"/>
    <mergeCell ref="OIW7:OIY7"/>
    <mergeCell ref="OHV7:OHX7"/>
    <mergeCell ref="OHY7:OIA7"/>
    <mergeCell ref="OIB7:OID7"/>
    <mergeCell ref="OIE7:OIG7"/>
    <mergeCell ref="OIH7:OIJ7"/>
    <mergeCell ref="OHG7:OHI7"/>
    <mergeCell ref="OHJ7:OHL7"/>
    <mergeCell ref="OHM7:OHO7"/>
    <mergeCell ref="OHP7:OHR7"/>
    <mergeCell ref="OHS7:OHU7"/>
    <mergeCell ref="OOT7:OOV7"/>
    <mergeCell ref="OOW7:OOY7"/>
    <mergeCell ref="OOZ7:OPB7"/>
    <mergeCell ref="OPC7:OPE7"/>
    <mergeCell ref="OPF7:OPH7"/>
    <mergeCell ref="OOE7:OOG7"/>
    <mergeCell ref="OOH7:OOJ7"/>
    <mergeCell ref="OOK7:OOM7"/>
    <mergeCell ref="OON7:OOP7"/>
    <mergeCell ref="OOQ7:OOS7"/>
    <mergeCell ref="ONP7:ONR7"/>
    <mergeCell ref="ONS7:ONU7"/>
    <mergeCell ref="ONV7:ONX7"/>
    <mergeCell ref="ONY7:OOA7"/>
    <mergeCell ref="OOB7:OOD7"/>
    <mergeCell ref="ONA7:ONC7"/>
    <mergeCell ref="OND7:ONF7"/>
    <mergeCell ref="ONG7:ONI7"/>
    <mergeCell ref="ONJ7:ONL7"/>
    <mergeCell ref="ONM7:ONO7"/>
    <mergeCell ref="OML7:OMN7"/>
    <mergeCell ref="OMO7:OMQ7"/>
    <mergeCell ref="OMR7:OMT7"/>
    <mergeCell ref="OMU7:OMW7"/>
    <mergeCell ref="OMX7:OMZ7"/>
    <mergeCell ref="OLW7:OLY7"/>
    <mergeCell ref="OLZ7:OMB7"/>
    <mergeCell ref="OMC7:OME7"/>
    <mergeCell ref="OMF7:OMH7"/>
    <mergeCell ref="OMI7:OMK7"/>
    <mergeCell ref="OLH7:OLJ7"/>
    <mergeCell ref="OLK7:OLM7"/>
    <mergeCell ref="OLN7:OLP7"/>
    <mergeCell ref="OLQ7:OLS7"/>
    <mergeCell ref="OLT7:OLV7"/>
    <mergeCell ref="OSU7:OSW7"/>
    <mergeCell ref="OSX7:OSZ7"/>
    <mergeCell ref="OTA7:OTC7"/>
    <mergeCell ref="OTD7:OTF7"/>
    <mergeCell ref="OTG7:OTI7"/>
    <mergeCell ref="OSF7:OSH7"/>
    <mergeCell ref="OSI7:OSK7"/>
    <mergeCell ref="OSL7:OSN7"/>
    <mergeCell ref="OSO7:OSQ7"/>
    <mergeCell ref="OSR7:OST7"/>
    <mergeCell ref="ORQ7:ORS7"/>
    <mergeCell ref="ORT7:ORV7"/>
    <mergeCell ref="ORW7:ORY7"/>
    <mergeCell ref="ORZ7:OSB7"/>
    <mergeCell ref="OSC7:OSE7"/>
    <mergeCell ref="ORB7:ORD7"/>
    <mergeCell ref="ORE7:ORG7"/>
    <mergeCell ref="ORH7:ORJ7"/>
    <mergeCell ref="ORK7:ORM7"/>
    <mergeCell ref="ORN7:ORP7"/>
    <mergeCell ref="OQM7:OQO7"/>
    <mergeCell ref="OQP7:OQR7"/>
    <mergeCell ref="OQS7:OQU7"/>
    <mergeCell ref="OQV7:OQX7"/>
    <mergeCell ref="OQY7:ORA7"/>
    <mergeCell ref="OPX7:OPZ7"/>
    <mergeCell ref="OQA7:OQC7"/>
    <mergeCell ref="OQD7:OQF7"/>
    <mergeCell ref="OQG7:OQI7"/>
    <mergeCell ref="OQJ7:OQL7"/>
    <mergeCell ref="OPI7:OPK7"/>
    <mergeCell ref="OPL7:OPN7"/>
    <mergeCell ref="OPO7:OPQ7"/>
    <mergeCell ref="OPR7:OPT7"/>
    <mergeCell ref="OPU7:OPW7"/>
    <mergeCell ref="OWV7:OWX7"/>
    <mergeCell ref="OWY7:OXA7"/>
    <mergeCell ref="OXB7:OXD7"/>
    <mergeCell ref="OXE7:OXG7"/>
    <mergeCell ref="OXH7:OXJ7"/>
    <mergeCell ref="OWG7:OWI7"/>
    <mergeCell ref="OWJ7:OWL7"/>
    <mergeCell ref="OWM7:OWO7"/>
    <mergeCell ref="OWP7:OWR7"/>
    <mergeCell ref="OWS7:OWU7"/>
    <mergeCell ref="OVR7:OVT7"/>
    <mergeCell ref="OVU7:OVW7"/>
    <mergeCell ref="OVX7:OVZ7"/>
    <mergeCell ref="OWA7:OWC7"/>
    <mergeCell ref="OWD7:OWF7"/>
    <mergeCell ref="OVC7:OVE7"/>
    <mergeCell ref="OVF7:OVH7"/>
    <mergeCell ref="OVI7:OVK7"/>
    <mergeCell ref="OVL7:OVN7"/>
    <mergeCell ref="OVO7:OVQ7"/>
    <mergeCell ref="OUN7:OUP7"/>
    <mergeCell ref="OUQ7:OUS7"/>
    <mergeCell ref="OUT7:OUV7"/>
    <mergeCell ref="OUW7:OUY7"/>
    <mergeCell ref="OUZ7:OVB7"/>
    <mergeCell ref="OTY7:OUA7"/>
    <mergeCell ref="OUB7:OUD7"/>
    <mergeCell ref="OUE7:OUG7"/>
    <mergeCell ref="OUH7:OUJ7"/>
    <mergeCell ref="OUK7:OUM7"/>
    <mergeCell ref="OTJ7:OTL7"/>
    <mergeCell ref="OTM7:OTO7"/>
    <mergeCell ref="OTP7:OTR7"/>
    <mergeCell ref="OTS7:OTU7"/>
    <mergeCell ref="OTV7:OTX7"/>
    <mergeCell ref="PAW7:PAY7"/>
    <mergeCell ref="PAZ7:PBB7"/>
    <mergeCell ref="PBC7:PBE7"/>
    <mergeCell ref="PBF7:PBH7"/>
    <mergeCell ref="PBI7:PBK7"/>
    <mergeCell ref="PAH7:PAJ7"/>
    <mergeCell ref="PAK7:PAM7"/>
    <mergeCell ref="PAN7:PAP7"/>
    <mergeCell ref="PAQ7:PAS7"/>
    <mergeCell ref="PAT7:PAV7"/>
    <mergeCell ref="OZS7:OZU7"/>
    <mergeCell ref="OZV7:OZX7"/>
    <mergeCell ref="OZY7:PAA7"/>
    <mergeCell ref="PAB7:PAD7"/>
    <mergeCell ref="PAE7:PAG7"/>
    <mergeCell ref="OZD7:OZF7"/>
    <mergeCell ref="OZG7:OZI7"/>
    <mergeCell ref="OZJ7:OZL7"/>
    <mergeCell ref="OZM7:OZO7"/>
    <mergeCell ref="OZP7:OZR7"/>
    <mergeCell ref="OYO7:OYQ7"/>
    <mergeCell ref="OYR7:OYT7"/>
    <mergeCell ref="OYU7:OYW7"/>
    <mergeCell ref="OYX7:OYZ7"/>
    <mergeCell ref="OZA7:OZC7"/>
    <mergeCell ref="OXZ7:OYB7"/>
    <mergeCell ref="OYC7:OYE7"/>
    <mergeCell ref="OYF7:OYH7"/>
    <mergeCell ref="OYI7:OYK7"/>
    <mergeCell ref="OYL7:OYN7"/>
    <mergeCell ref="OXK7:OXM7"/>
    <mergeCell ref="OXN7:OXP7"/>
    <mergeCell ref="OXQ7:OXS7"/>
    <mergeCell ref="OXT7:OXV7"/>
    <mergeCell ref="OXW7:OXY7"/>
    <mergeCell ref="PEX7:PEZ7"/>
    <mergeCell ref="PFA7:PFC7"/>
    <mergeCell ref="PFD7:PFF7"/>
    <mergeCell ref="PFG7:PFI7"/>
    <mergeCell ref="PFJ7:PFL7"/>
    <mergeCell ref="PEI7:PEK7"/>
    <mergeCell ref="PEL7:PEN7"/>
    <mergeCell ref="PEO7:PEQ7"/>
    <mergeCell ref="PER7:PET7"/>
    <mergeCell ref="PEU7:PEW7"/>
    <mergeCell ref="PDT7:PDV7"/>
    <mergeCell ref="PDW7:PDY7"/>
    <mergeCell ref="PDZ7:PEB7"/>
    <mergeCell ref="PEC7:PEE7"/>
    <mergeCell ref="PEF7:PEH7"/>
    <mergeCell ref="PDE7:PDG7"/>
    <mergeCell ref="PDH7:PDJ7"/>
    <mergeCell ref="PDK7:PDM7"/>
    <mergeCell ref="PDN7:PDP7"/>
    <mergeCell ref="PDQ7:PDS7"/>
    <mergeCell ref="PCP7:PCR7"/>
    <mergeCell ref="PCS7:PCU7"/>
    <mergeCell ref="PCV7:PCX7"/>
    <mergeCell ref="PCY7:PDA7"/>
    <mergeCell ref="PDB7:PDD7"/>
    <mergeCell ref="PCA7:PCC7"/>
    <mergeCell ref="PCD7:PCF7"/>
    <mergeCell ref="PCG7:PCI7"/>
    <mergeCell ref="PCJ7:PCL7"/>
    <mergeCell ref="PCM7:PCO7"/>
    <mergeCell ref="PBL7:PBN7"/>
    <mergeCell ref="PBO7:PBQ7"/>
    <mergeCell ref="PBR7:PBT7"/>
    <mergeCell ref="PBU7:PBW7"/>
    <mergeCell ref="PBX7:PBZ7"/>
    <mergeCell ref="PIY7:PJA7"/>
    <mergeCell ref="PJB7:PJD7"/>
    <mergeCell ref="PJE7:PJG7"/>
    <mergeCell ref="PJH7:PJJ7"/>
    <mergeCell ref="PJK7:PJM7"/>
    <mergeCell ref="PIJ7:PIL7"/>
    <mergeCell ref="PIM7:PIO7"/>
    <mergeCell ref="PIP7:PIR7"/>
    <mergeCell ref="PIS7:PIU7"/>
    <mergeCell ref="PIV7:PIX7"/>
    <mergeCell ref="PHU7:PHW7"/>
    <mergeCell ref="PHX7:PHZ7"/>
    <mergeCell ref="PIA7:PIC7"/>
    <mergeCell ref="PID7:PIF7"/>
    <mergeCell ref="PIG7:PII7"/>
    <mergeCell ref="PHF7:PHH7"/>
    <mergeCell ref="PHI7:PHK7"/>
    <mergeCell ref="PHL7:PHN7"/>
    <mergeCell ref="PHO7:PHQ7"/>
    <mergeCell ref="PHR7:PHT7"/>
    <mergeCell ref="PGQ7:PGS7"/>
    <mergeCell ref="PGT7:PGV7"/>
    <mergeCell ref="PGW7:PGY7"/>
    <mergeCell ref="PGZ7:PHB7"/>
    <mergeCell ref="PHC7:PHE7"/>
    <mergeCell ref="PGB7:PGD7"/>
    <mergeCell ref="PGE7:PGG7"/>
    <mergeCell ref="PGH7:PGJ7"/>
    <mergeCell ref="PGK7:PGM7"/>
    <mergeCell ref="PGN7:PGP7"/>
    <mergeCell ref="PFM7:PFO7"/>
    <mergeCell ref="PFP7:PFR7"/>
    <mergeCell ref="PFS7:PFU7"/>
    <mergeCell ref="PFV7:PFX7"/>
    <mergeCell ref="PFY7:PGA7"/>
    <mergeCell ref="PMZ7:PNB7"/>
    <mergeCell ref="PNC7:PNE7"/>
    <mergeCell ref="PNF7:PNH7"/>
    <mergeCell ref="PNI7:PNK7"/>
    <mergeCell ref="PNL7:PNN7"/>
    <mergeCell ref="PMK7:PMM7"/>
    <mergeCell ref="PMN7:PMP7"/>
    <mergeCell ref="PMQ7:PMS7"/>
    <mergeCell ref="PMT7:PMV7"/>
    <mergeCell ref="PMW7:PMY7"/>
    <mergeCell ref="PLV7:PLX7"/>
    <mergeCell ref="PLY7:PMA7"/>
    <mergeCell ref="PMB7:PMD7"/>
    <mergeCell ref="PME7:PMG7"/>
    <mergeCell ref="PMH7:PMJ7"/>
    <mergeCell ref="PLG7:PLI7"/>
    <mergeCell ref="PLJ7:PLL7"/>
    <mergeCell ref="PLM7:PLO7"/>
    <mergeCell ref="PLP7:PLR7"/>
    <mergeCell ref="PLS7:PLU7"/>
    <mergeCell ref="PKR7:PKT7"/>
    <mergeCell ref="PKU7:PKW7"/>
    <mergeCell ref="PKX7:PKZ7"/>
    <mergeCell ref="PLA7:PLC7"/>
    <mergeCell ref="PLD7:PLF7"/>
    <mergeCell ref="PKC7:PKE7"/>
    <mergeCell ref="PKF7:PKH7"/>
    <mergeCell ref="PKI7:PKK7"/>
    <mergeCell ref="PKL7:PKN7"/>
    <mergeCell ref="PKO7:PKQ7"/>
    <mergeCell ref="PJN7:PJP7"/>
    <mergeCell ref="PJQ7:PJS7"/>
    <mergeCell ref="PJT7:PJV7"/>
    <mergeCell ref="PJW7:PJY7"/>
    <mergeCell ref="PJZ7:PKB7"/>
    <mergeCell ref="PRA7:PRC7"/>
    <mergeCell ref="PRD7:PRF7"/>
    <mergeCell ref="PRG7:PRI7"/>
    <mergeCell ref="PRJ7:PRL7"/>
    <mergeCell ref="PRM7:PRO7"/>
    <mergeCell ref="PQL7:PQN7"/>
    <mergeCell ref="PQO7:PQQ7"/>
    <mergeCell ref="PQR7:PQT7"/>
    <mergeCell ref="PQU7:PQW7"/>
    <mergeCell ref="PQX7:PQZ7"/>
    <mergeCell ref="PPW7:PPY7"/>
    <mergeCell ref="PPZ7:PQB7"/>
    <mergeCell ref="PQC7:PQE7"/>
    <mergeCell ref="PQF7:PQH7"/>
    <mergeCell ref="PQI7:PQK7"/>
    <mergeCell ref="PPH7:PPJ7"/>
    <mergeCell ref="PPK7:PPM7"/>
    <mergeCell ref="PPN7:PPP7"/>
    <mergeCell ref="PPQ7:PPS7"/>
    <mergeCell ref="PPT7:PPV7"/>
    <mergeCell ref="POS7:POU7"/>
    <mergeCell ref="POV7:POX7"/>
    <mergeCell ref="POY7:PPA7"/>
    <mergeCell ref="PPB7:PPD7"/>
    <mergeCell ref="PPE7:PPG7"/>
    <mergeCell ref="POD7:POF7"/>
    <mergeCell ref="POG7:POI7"/>
    <mergeCell ref="POJ7:POL7"/>
    <mergeCell ref="POM7:POO7"/>
    <mergeCell ref="POP7:POR7"/>
    <mergeCell ref="PNO7:PNQ7"/>
    <mergeCell ref="PNR7:PNT7"/>
    <mergeCell ref="PNU7:PNW7"/>
    <mergeCell ref="PNX7:PNZ7"/>
    <mergeCell ref="POA7:POC7"/>
    <mergeCell ref="PVB7:PVD7"/>
    <mergeCell ref="PVE7:PVG7"/>
    <mergeCell ref="PVH7:PVJ7"/>
    <mergeCell ref="PVK7:PVM7"/>
    <mergeCell ref="PVN7:PVP7"/>
    <mergeCell ref="PUM7:PUO7"/>
    <mergeCell ref="PUP7:PUR7"/>
    <mergeCell ref="PUS7:PUU7"/>
    <mergeCell ref="PUV7:PUX7"/>
    <mergeCell ref="PUY7:PVA7"/>
    <mergeCell ref="PTX7:PTZ7"/>
    <mergeCell ref="PUA7:PUC7"/>
    <mergeCell ref="PUD7:PUF7"/>
    <mergeCell ref="PUG7:PUI7"/>
    <mergeCell ref="PUJ7:PUL7"/>
    <mergeCell ref="PTI7:PTK7"/>
    <mergeCell ref="PTL7:PTN7"/>
    <mergeCell ref="PTO7:PTQ7"/>
    <mergeCell ref="PTR7:PTT7"/>
    <mergeCell ref="PTU7:PTW7"/>
    <mergeCell ref="PST7:PSV7"/>
    <mergeCell ref="PSW7:PSY7"/>
    <mergeCell ref="PSZ7:PTB7"/>
    <mergeCell ref="PTC7:PTE7"/>
    <mergeCell ref="PTF7:PTH7"/>
    <mergeCell ref="PSE7:PSG7"/>
    <mergeCell ref="PSH7:PSJ7"/>
    <mergeCell ref="PSK7:PSM7"/>
    <mergeCell ref="PSN7:PSP7"/>
    <mergeCell ref="PSQ7:PSS7"/>
    <mergeCell ref="PRP7:PRR7"/>
    <mergeCell ref="PRS7:PRU7"/>
    <mergeCell ref="PRV7:PRX7"/>
    <mergeCell ref="PRY7:PSA7"/>
    <mergeCell ref="PSB7:PSD7"/>
    <mergeCell ref="PZC7:PZE7"/>
    <mergeCell ref="PZF7:PZH7"/>
    <mergeCell ref="PZI7:PZK7"/>
    <mergeCell ref="PZL7:PZN7"/>
    <mergeCell ref="PZO7:PZQ7"/>
    <mergeCell ref="PYN7:PYP7"/>
    <mergeCell ref="PYQ7:PYS7"/>
    <mergeCell ref="PYT7:PYV7"/>
    <mergeCell ref="PYW7:PYY7"/>
    <mergeCell ref="PYZ7:PZB7"/>
    <mergeCell ref="PXY7:PYA7"/>
    <mergeCell ref="PYB7:PYD7"/>
    <mergeCell ref="PYE7:PYG7"/>
    <mergeCell ref="PYH7:PYJ7"/>
    <mergeCell ref="PYK7:PYM7"/>
    <mergeCell ref="PXJ7:PXL7"/>
    <mergeCell ref="PXM7:PXO7"/>
    <mergeCell ref="PXP7:PXR7"/>
    <mergeCell ref="PXS7:PXU7"/>
    <mergeCell ref="PXV7:PXX7"/>
    <mergeCell ref="PWU7:PWW7"/>
    <mergeCell ref="PWX7:PWZ7"/>
    <mergeCell ref="PXA7:PXC7"/>
    <mergeCell ref="PXD7:PXF7"/>
    <mergeCell ref="PXG7:PXI7"/>
    <mergeCell ref="PWF7:PWH7"/>
    <mergeCell ref="PWI7:PWK7"/>
    <mergeCell ref="PWL7:PWN7"/>
    <mergeCell ref="PWO7:PWQ7"/>
    <mergeCell ref="PWR7:PWT7"/>
    <mergeCell ref="PVQ7:PVS7"/>
    <mergeCell ref="PVT7:PVV7"/>
    <mergeCell ref="PVW7:PVY7"/>
    <mergeCell ref="PVZ7:PWB7"/>
    <mergeCell ref="PWC7:PWE7"/>
    <mergeCell ref="QDD7:QDF7"/>
    <mergeCell ref="QDG7:QDI7"/>
    <mergeCell ref="QDJ7:QDL7"/>
    <mergeCell ref="QDM7:QDO7"/>
    <mergeCell ref="QDP7:QDR7"/>
    <mergeCell ref="QCO7:QCQ7"/>
    <mergeCell ref="QCR7:QCT7"/>
    <mergeCell ref="QCU7:QCW7"/>
    <mergeCell ref="QCX7:QCZ7"/>
    <mergeCell ref="QDA7:QDC7"/>
    <mergeCell ref="QBZ7:QCB7"/>
    <mergeCell ref="QCC7:QCE7"/>
    <mergeCell ref="QCF7:QCH7"/>
    <mergeCell ref="QCI7:QCK7"/>
    <mergeCell ref="QCL7:QCN7"/>
    <mergeCell ref="QBK7:QBM7"/>
    <mergeCell ref="QBN7:QBP7"/>
    <mergeCell ref="QBQ7:QBS7"/>
    <mergeCell ref="QBT7:QBV7"/>
    <mergeCell ref="QBW7:QBY7"/>
    <mergeCell ref="QAV7:QAX7"/>
    <mergeCell ref="QAY7:QBA7"/>
    <mergeCell ref="QBB7:QBD7"/>
    <mergeCell ref="QBE7:QBG7"/>
    <mergeCell ref="QBH7:QBJ7"/>
    <mergeCell ref="QAG7:QAI7"/>
    <mergeCell ref="QAJ7:QAL7"/>
    <mergeCell ref="QAM7:QAO7"/>
    <mergeCell ref="QAP7:QAR7"/>
    <mergeCell ref="QAS7:QAU7"/>
    <mergeCell ref="PZR7:PZT7"/>
    <mergeCell ref="PZU7:PZW7"/>
    <mergeCell ref="PZX7:PZZ7"/>
    <mergeCell ref="QAA7:QAC7"/>
    <mergeCell ref="QAD7:QAF7"/>
    <mergeCell ref="QHE7:QHG7"/>
    <mergeCell ref="QHH7:QHJ7"/>
    <mergeCell ref="QHK7:QHM7"/>
    <mergeCell ref="QHN7:QHP7"/>
    <mergeCell ref="QHQ7:QHS7"/>
    <mergeCell ref="QGP7:QGR7"/>
    <mergeCell ref="QGS7:QGU7"/>
    <mergeCell ref="QGV7:QGX7"/>
    <mergeCell ref="QGY7:QHA7"/>
    <mergeCell ref="QHB7:QHD7"/>
    <mergeCell ref="QGA7:QGC7"/>
    <mergeCell ref="QGD7:QGF7"/>
    <mergeCell ref="QGG7:QGI7"/>
    <mergeCell ref="QGJ7:QGL7"/>
    <mergeCell ref="QGM7:QGO7"/>
    <mergeCell ref="QFL7:QFN7"/>
    <mergeCell ref="QFO7:QFQ7"/>
    <mergeCell ref="QFR7:QFT7"/>
    <mergeCell ref="QFU7:QFW7"/>
    <mergeCell ref="QFX7:QFZ7"/>
    <mergeCell ref="QEW7:QEY7"/>
    <mergeCell ref="QEZ7:QFB7"/>
    <mergeCell ref="QFC7:QFE7"/>
    <mergeCell ref="QFF7:QFH7"/>
    <mergeCell ref="QFI7:QFK7"/>
    <mergeCell ref="QEH7:QEJ7"/>
    <mergeCell ref="QEK7:QEM7"/>
    <mergeCell ref="QEN7:QEP7"/>
    <mergeCell ref="QEQ7:QES7"/>
    <mergeCell ref="QET7:QEV7"/>
    <mergeCell ref="QDS7:QDU7"/>
    <mergeCell ref="QDV7:QDX7"/>
    <mergeCell ref="QDY7:QEA7"/>
    <mergeCell ref="QEB7:QED7"/>
    <mergeCell ref="QEE7:QEG7"/>
    <mergeCell ref="QLF7:QLH7"/>
    <mergeCell ref="QLI7:QLK7"/>
    <mergeCell ref="QLL7:QLN7"/>
    <mergeCell ref="QLO7:QLQ7"/>
    <mergeCell ref="QLR7:QLT7"/>
    <mergeCell ref="QKQ7:QKS7"/>
    <mergeCell ref="QKT7:QKV7"/>
    <mergeCell ref="QKW7:QKY7"/>
    <mergeCell ref="QKZ7:QLB7"/>
    <mergeCell ref="QLC7:QLE7"/>
    <mergeCell ref="QKB7:QKD7"/>
    <mergeCell ref="QKE7:QKG7"/>
    <mergeCell ref="QKH7:QKJ7"/>
    <mergeCell ref="QKK7:QKM7"/>
    <mergeCell ref="QKN7:QKP7"/>
    <mergeCell ref="QJM7:QJO7"/>
    <mergeCell ref="QJP7:QJR7"/>
    <mergeCell ref="QJS7:QJU7"/>
    <mergeCell ref="QJV7:QJX7"/>
    <mergeCell ref="QJY7:QKA7"/>
    <mergeCell ref="QIX7:QIZ7"/>
    <mergeCell ref="QJA7:QJC7"/>
    <mergeCell ref="QJD7:QJF7"/>
    <mergeCell ref="QJG7:QJI7"/>
    <mergeCell ref="QJJ7:QJL7"/>
    <mergeCell ref="QII7:QIK7"/>
    <mergeCell ref="QIL7:QIN7"/>
    <mergeCell ref="QIO7:QIQ7"/>
    <mergeCell ref="QIR7:QIT7"/>
    <mergeCell ref="QIU7:QIW7"/>
    <mergeCell ref="QHT7:QHV7"/>
    <mergeCell ref="QHW7:QHY7"/>
    <mergeCell ref="QHZ7:QIB7"/>
    <mergeCell ref="QIC7:QIE7"/>
    <mergeCell ref="QIF7:QIH7"/>
    <mergeCell ref="QPG7:QPI7"/>
    <mergeCell ref="QPJ7:QPL7"/>
    <mergeCell ref="QPM7:QPO7"/>
    <mergeCell ref="QPP7:QPR7"/>
    <mergeCell ref="QPS7:QPU7"/>
    <mergeCell ref="QOR7:QOT7"/>
    <mergeCell ref="QOU7:QOW7"/>
    <mergeCell ref="QOX7:QOZ7"/>
    <mergeCell ref="QPA7:QPC7"/>
    <mergeCell ref="QPD7:QPF7"/>
    <mergeCell ref="QOC7:QOE7"/>
    <mergeCell ref="QOF7:QOH7"/>
    <mergeCell ref="QOI7:QOK7"/>
    <mergeCell ref="QOL7:QON7"/>
    <mergeCell ref="QOO7:QOQ7"/>
    <mergeCell ref="QNN7:QNP7"/>
    <mergeCell ref="QNQ7:QNS7"/>
    <mergeCell ref="QNT7:QNV7"/>
    <mergeCell ref="QNW7:QNY7"/>
    <mergeCell ref="QNZ7:QOB7"/>
    <mergeCell ref="QMY7:QNA7"/>
    <mergeCell ref="QNB7:QND7"/>
    <mergeCell ref="QNE7:QNG7"/>
    <mergeCell ref="QNH7:QNJ7"/>
    <mergeCell ref="QNK7:QNM7"/>
    <mergeCell ref="QMJ7:QML7"/>
    <mergeCell ref="QMM7:QMO7"/>
    <mergeCell ref="QMP7:QMR7"/>
    <mergeCell ref="QMS7:QMU7"/>
    <mergeCell ref="QMV7:QMX7"/>
    <mergeCell ref="QLU7:QLW7"/>
    <mergeCell ref="QLX7:QLZ7"/>
    <mergeCell ref="QMA7:QMC7"/>
    <mergeCell ref="QMD7:QMF7"/>
    <mergeCell ref="QMG7:QMI7"/>
    <mergeCell ref="QTH7:QTJ7"/>
    <mergeCell ref="QTK7:QTM7"/>
    <mergeCell ref="QTN7:QTP7"/>
    <mergeCell ref="QTQ7:QTS7"/>
    <mergeCell ref="QTT7:QTV7"/>
    <mergeCell ref="QSS7:QSU7"/>
    <mergeCell ref="QSV7:QSX7"/>
    <mergeCell ref="QSY7:QTA7"/>
    <mergeCell ref="QTB7:QTD7"/>
    <mergeCell ref="QTE7:QTG7"/>
    <mergeCell ref="QSD7:QSF7"/>
    <mergeCell ref="QSG7:QSI7"/>
    <mergeCell ref="QSJ7:QSL7"/>
    <mergeCell ref="QSM7:QSO7"/>
    <mergeCell ref="QSP7:QSR7"/>
    <mergeCell ref="QRO7:QRQ7"/>
    <mergeCell ref="QRR7:QRT7"/>
    <mergeCell ref="QRU7:QRW7"/>
    <mergeCell ref="QRX7:QRZ7"/>
    <mergeCell ref="QSA7:QSC7"/>
    <mergeCell ref="QQZ7:QRB7"/>
    <mergeCell ref="QRC7:QRE7"/>
    <mergeCell ref="QRF7:QRH7"/>
    <mergeCell ref="QRI7:QRK7"/>
    <mergeCell ref="QRL7:QRN7"/>
    <mergeCell ref="QQK7:QQM7"/>
    <mergeCell ref="QQN7:QQP7"/>
    <mergeCell ref="QQQ7:QQS7"/>
    <mergeCell ref="QQT7:QQV7"/>
    <mergeCell ref="QQW7:QQY7"/>
    <mergeCell ref="QPV7:QPX7"/>
    <mergeCell ref="QPY7:QQA7"/>
    <mergeCell ref="QQB7:QQD7"/>
    <mergeCell ref="QQE7:QQG7"/>
    <mergeCell ref="QQH7:QQJ7"/>
    <mergeCell ref="QXI7:QXK7"/>
    <mergeCell ref="QXL7:QXN7"/>
    <mergeCell ref="QXO7:QXQ7"/>
    <mergeCell ref="QXR7:QXT7"/>
    <mergeCell ref="QXU7:QXW7"/>
    <mergeCell ref="QWT7:QWV7"/>
    <mergeCell ref="QWW7:QWY7"/>
    <mergeCell ref="QWZ7:QXB7"/>
    <mergeCell ref="QXC7:QXE7"/>
    <mergeCell ref="QXF7:QXH7"/>
    <mergeCell ref="QWE7:QWG7"/>
    <mergeCell ref="QWH7:QWJ7"/>
    <mergeCell ref="QWK7:QWM7"/>
    <mergeCell ref="QWN7:QWP7"/>
    <mergeCell ref="QWQ7:QWS7"/>
    <mergeCell ref="QVP7:QVR7"/>
    <mergeCell ref="QVS7:QVU7"/>
    <mergeCell ref="QVV7:QVX7"/>
    <mergeCell ref="QVY7:QWA7"/>
    <mergeCell ref="QWB7:QWD7"/>
    <mergeCell ref="QVA7:QVC7"/>
    <mergeCell ref="QVD7:QVF7"/>
    <mergeCell ref="QVG7:QVI7"/>
    <mergeCell ref="QVJ7:QVL7"/>
    <mergeCell ref="QVM7:QVO7"/>
    <mergeCell ref="QUL7:QUN7"/>
    <mergeCell ref="QUO7:QUQ7"/>
    <mergeCell ref="QUR7:QUT7"/>
    <mergeCell ref="QUU7:QUW7"/>
    <mergeCell ref="QUX7:QUZ7"/>
    <mergeCell ref="QTW7:QTY7"/>
    <mergeCell ref="QTZ7:QUB7"/>
    <mergeCell ref="QUC7:QUE7"/>
    <mergeCell ref="QUF7:QUH7"/>
    <mergeCell ref="QUI7:QUK7"/>
    <mergeCell ref="RBJ7:RBL7"/>
    <mergeCell ref="RBM7:RBO7"/>
    <mergeCell ref="RBP7:RBR7"/>
    <mergeCell ref="RBS7:RBU7"/>
    <mergeCell ref="RBV7:RBX7"/>
    <mergeCell ref="RAU7:RAW7"/>
    <mergeCell ref="RAX7:RAZ7"/>
    <mergeCell ref="RBA7:RBC7"/>
    <mergeCell ref="RBD7:RBF7"/>
    <mergeCell ref="RBG7:RBI7"/>
    <mergeCell ref="RAF7:RAH7"/>
    <mergeCell ref="RAI7:RAK7"/>
    <mergeCell ref="RAL7:RAN7"/>
    <mergeCell ref="RAO7:RAQ7"/>
    <mergeCell ref="RAR7:RAT7"/>
    <mergeCell ref="QZQ7:QZS7"/>
    <mergeCell ref="QZT7:QZV7"/>
    <mergeCell ref="QZW7:QZY7"/>
    <mergeCell ref="QZZ7:RAB7"/>
    <mergeCell ref="RAC7:RAE7"/>
    <mergeCell ref="QZB7:QZD7"/>
    <mergeCell ref="QZE7:QZG7"/>
    <mergeCell ref="QZH7:QZJ7"/>
    <mergeCell ref="QZK7:QZM7"/>
    <mergeCell ref="QZN7:QZP7"/>
    <mergeCell ref="QYM7:QYO7"/>
    <mergeCell ref="QYP7:QYR7"/>
    <mergeCell ref="QYS7:QYU7"/>
    <mergeCell ref="QYV7:QYX7"/>
    <mergeCell ref="QYY7:QZA7"/>
    <mergeCell ref="QXX7:QXZ7"/>
    <mergeCell ref="QYA7:QYC7"/>
    <mergeCell ref="QYD7:QYF7"/>
    <mergeCell ref="QYG7:QYI7"/>
    <mergeCell ref="QYJ7:QYL7"/>
    <mergeCell ref="RFK7:RFM7"/>
    <mergeCell ref="RFN7:RFP7"/>
    <mergeCell ref="RFQ7:RFS7"/>
    <mergeCell ref="RFT7:RFV7"/>
    <mergeCell ref="RFW7:RFY7"/>
    <mergeCell ref="REV7:REX7"/>
    <mergeCell ref="REY7:RFA7"/>
    <mergeCell ref="RFB7:RFD7"/>
    <mergeCell ref="RFE7:RFG7"/>
    <mergeCell ref="RFH7:RFJ7"/>
    <mergeCell ref="REG7:REI7"/>
    <mergeCell ref="REJ7:REL7"/>
    <mergeCell ref="REM7:REO7"/>
    <mergeCell ref="REP7:RER7"/>
    <mergeCell ref="RES7:REU7"/>
    <mergeCell ref="RDR7:RDT7"/>
    <mergeCell ref="RDU7:RDW7"/>
    <mergeCell ref="RDX7:RDZ7"/>
    <mergeCell ref="REA7:REC7"/>
    <mergeCell ref="RED7:REF7"/>
    <mergeCell ref="RDC7:RDE7"/>
    <mergeCell ref="RDF7:RDH7"/>
    <mergeCell ref="RDI7:RDK7"/>
    <mergeCell ref="RDL7:RDN7"/>
    <mergeCell ref="RDO7:RDQ7"/>
    <mergeCell ref="RCN7:RCP7"/>
    <mergeCell ref="RCQ7:RCS7"/>
    <mergeCell ref="RCT7:RCV7"/>
    <mergeCell ref="RCW7:RCY7"/>
    <mergeCell ref="RCZ7:RDB7"/>
    <mergeCell ref="RBY7:RCA7"/>
    <mergeCell ref="RCB7:RCD7"/>
    <mergeCell ref="RCE7:RCG7"/>
    <mergeCell ref="RCH7:RCJ7"/>
    <mergeCell ref="RCK7:RCM7"/>
    <mergeCell ref="RJL7:RJN7"/>
    <mergeCell ref="RJO7:RJQ7"/>
    <mergeCell ref="RJR7:RJT7"/>
    <mergeCell ref="RJU7:RJW7"/>
    <mergeCell ref="RJX7:RJZ7"/>
    <mergeCell ref="RIW7:RIY7"/>
    <mergeCell ref="RIZ7:RJB7"/>
    <mergeCell ref="RJC7:RJE7"/>
    <mergeCell ref="RJF7:RJH7"/>
    <mergeCell ref="RJI7:RJK7"/>
    <mergeCell ref="RIH7:RIJ7"/>
    <mergeCell ref="RIK7:RIM7"/>
    <mergeCell ref="RIN7:RIP7"/>
    <mergeCell ref="RIQ7:RIS7"/>
    <mergeCell ref="RIT7:RIV7"/>
    <mergeCell ref="RHS7:RHU7"/>
    <mergeCell ref="RHV7:RHX7"/>
    <mergeCell ref="RHY7:RIA7"/>
    <mergeCell ref="RIB7:RID7"/>
    <mergeCell ref="RIE7:RIG7"/>
    <mergeCell ref="RHD7:RHF7"/>
    <mergeCell ref="RHG7:RHI7"/>
    <mergeCell ref="RHJ7:RHL7"/>
    <mergeCell ref="RHM7:RHO7"/>
    <mergeCell ref="RHP7:RHR7"/>
    <mergeCell ref="RGO7:RGQ7"/>
    <mergeCell ref="RGR7:RGT7"/>
    <mergeCell ref="RGU7:RGW7"/>
    <mergeCell ref="RGX7:RGZ7"/>
    <mergeCell ref="RHA7:RHC7"/>
    <mergeCell ref="RFZ7:RGB7"/>
    <mergeCell ref="RGC7:RGE7"/>
    <mergeCell ref="RGF7:RGH7"/>
    <mergeCell ref="RGI7:RGK7"/>
    <mergeCell ref="RGL7:RGN7"/>
    <mergeCell ref="RNM7:RNO7"/>
    <mergeCell ref="RNP7:RNR7"/>
    <mergeCell ref="RNS7:RNU7"/>
    <mergeCell ref="RNV7:RNX7"/>
    <mergeCell ref="RNY7:ROA7"/>
    <mergeCell ref="RMX7:RMZ7"/>
    <mergeCell ref="RNA7:RNC7"/>
    <mergeCell ref="RND7:RNF7"/>
    <mergeCell ref="RNG7:RNI7"/>
    <mergeCell ref="RNJ7:RNL7"/>
    <mergeCell ref="RMI7:RMK7"/>
    <mergeCell ref="RML7:RMN7"/>
    <mergeCell ref="RMO7:RMQ7"/>
    <mergeCell ref="RMR7:RMT7"/>
    <mergeCell ref="RMU7:RMW7"/>
    <mergeCell ref="RLT7:RLV7"/>
    <mergeCell ref="RLW7:RLY7"/>
    <mergeCell ref="RLZ7:RMB7"/>
    <mergeCell ref="RMC7:RME7"/>
    <mergeCell ref="RMF7:RMH7"/>
    <mergeCell ref="RLE7:RLG7"/>
    <mergeCell ref="RLH7:RLJ7"/>
    <mergeCell ref="RLK7:RLM7"/>
    <mergeCell ref="RLN7:RLP7"/>
    <mergeCell ref="RLQ7:RLS7"/>
    <mergeCell ref="RKP7:RKR7"/>
    <mergeCell ref="RKS7:RKU7"/>
    <mergeCell ref="RKV7:RKX7"/>
    <mergeCell ref="RKY7:RLA7"/>
    <mergeCell ref="RLB7:RLD7"/>
    <mergeCell ref="RKA7:RKC7"/>
    <mergeCell ref="RKD7:RKF7"/>
    <mergeCell ref="RKG7:RKI7"/>
    <mergeCell ref="RKJ7:RKL7"/>
    <mergeCell ref="RKM7:RKO7"/>
    <mergeCell ref="RRN7:RRP7"/>
    <mergeCell ref="RRQ7:RRS7"/>
    <mergeCell ref="RRT7:RRV7"/>
    <mergeCell ref="RRW7:RRY7"/>
    <mergeCell ref="RRZ7:RSB7"/>
    <mergeCell ref="RQY7:RRA7"/>
    <mergeCell ref="RRB7:RRD7"/>
    <mergeCell ref="RRE7:RRG7"/>
    <mergeCell ref="RRH7:RRJ7"/>
    <mergeCell ref="RRK7:RRM7"/>
    <mergeCell ref="RQJ7:RQL7"/>
    <mergeCell ref="RQM7:RQO7"/>
    <mergeCell ref="RQP7:RQR7"/>
    <mergeCell ref="RQS7:RQU7"/>
    <mergeCell ref="RQV7:RQX7"/>
    <mergeCell ref="RPU7:RPW7"/>
    <mergeCell ref="RPX7:RPZ7"/>
    <mergeCell ref="RQA7:RQC7"/>
    <mergeCell ref="RQD7:RQF7"/>
    <mergeCell ref="RQG7:RQI7"/>
    <mergeCell ref="RPF7:RPH7"/>
    <mergeCell ref="RPI7:RPK7"/>
    <mergeCell ref="RPL7:RPN7"/>
    <mergeCell ref="RPO7:RPQ7"/>
    <mergeCell ref="RPR7:RPT7"/>
    <mergeCell ref="ROQ7:ROS7"/>
    <mergeCell ref="ROT7:ROV7"/>
    <mergeCell ref="ROW7:ROY7"/>
    <mergeCell ref="ROZ7:RPB7"/>
    <mergeCell ref="RPC7:RPE7"/>
    <mergeCell ref="ROB7:ROD7"/>
    <mergeCell ref="ROE7:ROG7"/>
    <mergeCell ref="ROH7:ROJ7"/>
    <mergeCell ref="ROK7:ROM7"/>
    <mergeCell ref="RON7:ROP7"/>
    <mergeCell ref="RVO7:RVQ7"/>
    <mergeCell ref="RVR7:RVT7"/>
    <mergeCell ref="RVU7:RVW7"/>
    <mergeCell ref="RVX7:RVZ7"/>
    <mergeCell ref="RWA7:RWC7"/>
    <mergeCell ref="RUZ7:RVB7"/>
    <mergeCell ref="RVC7:RVE7"/>
    <mergeCell ref="RVF7:RVH7"/>
    <mergeCell ref="RVI7:RVK7"/>
    <mergeCell ref="RVL7:RVN7"/>
    <mergeCell ref="RUK7:RUM7"/>
    <mergeCell ref="RUN7:RUP7"/>
    <mergeCell ref="RUQ7:RUS7"/>
    <mergeCell ref="RUT7:RUV7"/>
    <mergeCell ref="RUW7:RUY7"/>
    <mergeCell ref="RTV7:RTX7"/>
    <mergeCell ref="RTY7:RUA7"/>
    <mergeCell ref="RUB7:RUD7"/>
    <mergeCell ref="RUE7:RUG7"/>
    <mergeCell ref="RUH7:RUJ7"/>
    <mergeCell ref="RTG7:RTI7"/>
    <mergeCell ref="RTJ7:RTL7"/>
    <mergeCell ref="RTM7:RTO7"/>
    <mergeCell ref="RTP7:RTR7"/>
    <mergeCell ref="RTS7:RTU7"/>
    <mergeCell ref="RSR7:RST7"/>
    <mergeCell ref="RSU7:RSW7"/>
    <mergeCell ref="RSX7:RSZ7"/>
    <mergeCell ref="RTA7:RTC7"/>
    <mergeCell ref="RTD7:RTF7"/>
    <mergeCell ref="RSC7:RSE7"/>
    <mergeCell ref="RSF7:RSH7"/>
    <mergeCell ref="RSI7:RSK7"/>
    <mergeCell ref="RSL7:RSN7"/>
    <mergeCell ref="RSO7:RSQ7"/>
    <mergeCell ref="RZP7:RZR7"/>
    <mergeCell ref="RZS7:RZU7"/>
    <mergeCell ref="RZV7:RZX7"/>
    <mergeCell ref="RZY7:SAA7"/>
    <mergeCell ref="SAB7:SAD7"/>
    <mergeCell ref="RZA7:RZC7"/>
    <mergeCell ref="RZD7:RZF7"/>
    <mergeCell ref="RZG7:RZI7"/>
    <mergeCell ref="RZJ7:RZL7"/>
    <mergeCell ref="RZM7:RZO7"/>
    <mergeCell ref="RYL7:RYN7"/>
    <mergeCell ref="RYO7:RYQ7"/>
    <mergeCell ref="RYR7:RYT7"/>
    <mergeCell ref="RYU7:RYW7"/>
    <mergeCell ref="RYX7:RYZ7"/>
    <mergeCell ref="RXW7:RXY7"/>
    <mergeCell ref="RXZ7:RYB7"/>
    <mergeCell ref="RYC7:RYE7"/>
    <mergeCell ref="RYF7:RYH7"/>
    <mergeCell ref="RYI7:RYK7"/>
    <mergeCell ref="RXH7:RXJ7"/>
    <mergeCell ref="RXK7:RXM7"/>
    <mergeCell ref="RXN7:RXP7"/>
    <mergeCell ref="RXQ7:RXS7"/>
    <mergeCell ref="RXT7:RXV7"/>
    <mergeCell ref="RWS7:RWU7"/>
    <mergeCell ref="RWV7:RWX7"/>
    <mergeCell ref="RWY7:RXA7"/>
    <mergeCell ref="RXB7:RXD7"/>
    <mergeCell ref="RXE7:RXG7"/>
    <mergeCell ref="RWD7:RWF7"/>
    <mergeCell ref="RWG7:RWI7"/>
    <mergeCell ref="RWJ7:RWL7"/>
    <mergeCell ref="RWM7:RWO7"/>
    <mergeCell ref="RWP7:RWR7"/>
    <mergeCell ref="SDQ7:SDS7"/>
    <mergeCell ref="SDT7:SDV7"/>
    <mergeCell ref="SDW7:SDY7"/>
    <mergeCell ref="SDZ7:SEB7"/>
    <mergeCell ref="SEC7:SEE7"/>
    <mergeCell ref="SDB7:SDD7"/>
    <mergeCell ref="SDE7:SDG7"/>
    <mergeCell ref="SDH7:SDJ7"/>
    <mergeCell ref="SDK7:SDM7"/>
    <mergeCell ref="SDN7:SDP7"/>
    <mergeCell ref="SCM7:SCO7"/>
    <mergeCell ref="SCP7:SCR7"/>
    <mergeCell ref="SCS7:SCU7"/>
    <mergeCell ref="SCV7:SCX7"/>
    <mergeCell ref="SCY7:SDA7"/>
    <mergeCell ref="SBX7:SBZ7"/>
    <mergeCell ref="SCA7:SCC7"/>
    <mergeCell ref="SCD7:SCF7"/>
    <mergeCell ref="SCG7:SCI7"/>
    <mergeCell ref="SCJ7:SCL7"/>
    <mergeCell ref="SBI7:SBK7"/>
    <mergeCell ref="SBL7:SBN7"/>
    <mergeCell ref="SBO7:SBQ7"/>
    <mergeCell ref="SBR7:SBT7"/>
    <mergeCell ref="SBU7:SBW7"/>
    <mergeCell ref="SAT7:SAV7"/>
    <mergeCell ref="SAW7:SAY7"/>
    <mergeCell ref="SAZ7:SBB7"/>
    <mergeCell ref="SBC7:SBE7"/>
    <mergeCell ref="SBF7:SBH7"/>
    <mergeCell ref="SAE7:SAG7"/>
    <mergeCell ref="SAH7:SAJ7"/>
    <mergeCell ref="SAK7:SAM7"/>
    <mergeCell ref="SAN7:SAP7"/>
    <mergeCell ref="SAQ7:SAS7"/>
    <mergeCell ref="SHR7:SHT7"/>
    <mergeCell ref="SHU7:SHW7"/>
    <mergeCell ref="SHX7:SHZ7"/>
    <mergeCell ref="SIA7:SIC7"/>
    <mergeCell ref="SID7:SIF7"/>
    <mergeCell ref="SHC7:SHE7"/>
    <mergeCell ref="SHF7:SHH7"/>
    <mergeCell ref="SHI7:SHK7"/>
    <mergeCell ref="SHL7:SHN7"/>
    <mergeCell ref="SHO7:SHQ7"/>
    <mergeCell ref="SGN7:SGP7"/>
    <mergeCell ref="SGQ7:SGS7"/>
    <mergeCell ref="SGT7:SGV7"/>
    <mergeCell ref="SGW7:SGY7"/>
    <mergeCell ref="SGZ7:SHB7"/>
    <mergeCell ref="SFY7:SGA7"/>
    <mergeCell ref="SGB7:SGD7"/>
    <mergeCell ref="SGE7:SGG7"/>
    <mergeCell ref="SGH7:SGJ7"/>
    <mergeCell ref="SGK7:SGM7"/>
    <mergeCell ref="SFJ7:SFL7"/>
    <mergeCell ref="SFM7:SFO7"/>
    <mergeCell ref="SFP7:SFR7"/>
    <mergeCell ref="SFS7:SFU7"/>
    <mergeCell ref="SFV7:SFX7"/>
    <mergeCell ref="SEU7:SEW7"/>
    <mergeCell ref="SEX7:SEZ7"/>
    <mergeCell ref="SFA7:SFC7"/>
    <mergeCell ref="SFD7:SFF7"/>
    <mergeCell ref="SFG7:SFI7"/>
    <mergeCell ref="SEF7:SEH7"/>
    <mergeCell ref="SEI7:SEK7"/>
    <mergeCell ref="SEL7:SEN7"/>
    <mergeCell ref="SEO7:SEQ7"/>
    <mergeCell ref="SER7:SET7"/>
    <mergeCell ref="SLS7:SLU7"/>
    <mergeCell ref="SLV7:SLX7"/>
    <mergeCell ref="SLY7:SMA7"/>
    <mergeCell ref="SMB7:SMD7"/>
    <mergeCell ref="SME7:SMG7"/>
    <mergeCell ref="SLD7:SLF7"/>
    <mergeCell ref="SLG7:SLI7"/>
    <mergeCell ref="SLJ7:SLL7"/>
    <mergeCell ref="SLM7:SLO7"/>
    <mergeCell ref="SLP7:SLR7"/>
    <mergeCell ref="SKO7:SKQ7"/>
    <mergeCell ref="SKR7:SKT7"/>
    <mergeCell ref="SKU7:SKW7"/>
    <mergeCell ref="SKX7:SKZ7"/>
    <mergeCell ref="SLA7:SLC7"/>
    <mergeCell ref="SJZ7:SKB7"/>
    <mergeCell ref="SKC7:SKE7"/>
    <mergeCell ref="SKF7:SKH7"/>
    <mergeCell ref="SKI7:SKK7"/>
    <mergeCell ref="SKL7:SKN7"/>
    <mergeCell ref="SJK7:SJM7"/>
    <mergeCell ref="SJN7:SJP7"/>
    <mergeCell ref="SJQ7:SJS7"/>
    <mergeCell ref="SJT7:SJV7"/>
    <mergeCell ref="SJW7:SJY7"/>
    <mergeCell ref="SIV7:SIX7"/>
    <mergeCell ref="SIY7:SJA7"/>
    <mergeCell ref="SJB7:SJD7"/>
    <mergeCell ref="SJE7:SJG7"/>
    <mergeCell ref="SJH7:SJJ7"/>
    <mergeCell ref="SIG7:SII7"/>
    <mergeCell ref="SIJ7:SIL7"/>
    <mergeCell ref="SIM7:SIO7"/>
    <mergeCell ref="SIP7:SIR7"/>
    <mergeCell ref="SIS7:SIU7"/>
    <mergeCell ref="SPT7:SPV7"/>
    <mergeCell ref="SPW7:SPY7"/>
    <mergeCell ref="SPZ7:SQB7"/>
    <mergeCell ref="SQC7:SQE7"/>
    <mergeCell ref="SQF7:SQH7"/>
    <mergeCell ref="SPE7:SPG7"/>
    <mergeCell ref="SPH7:SPJ7"/>
    <mergeCell ref="SPK7:SPM7"/>
    <mergeCell ref="SPN7:SPP7"/>
    <mergeCell ref="SPQ7:SPS7"/>
    <mergeCell ref="SOP7:SOR7"/>
    <mergeCell ref="SOS7:SOU7"/>
    <mergeCell ref="SOV7:SOX7"/>
    <mergeCell ref="SOY7:SPA7"/>
    <mergeCell ref="SPB7:SPD7"/>
    <mergeCell ref="SOA7:SOC7"/>
    <mergeCell ref="SOD7:SOF7"/>
    <mergeCell ref="SOG7:SOI7"/>
    <mergeCell ref="SOJ7:SOL7"/>
    <mergeCell ref="SOM7:SOO7"/>
    <mergeCell ref="SNL7:SNN7"/>
    <mergeCell ref="SNO7:SNQ7"/>
    <mergeCell ref="SNR7:SNT7"/>
    <mergeCell ref="SNU7:SNW7"/>
    <mergeCell ref="SNX7:SNZ7"/>
    <mergeCell ref="SMW7:SMY7"/>
    <mergeCell ref="SMZ7:SNB7"/>
    <mergeCell ref="SNC7:SNE7"/>
    <mergeCell ref="SNF7:SNH7"/>
    <mergeCell ref="SNI7:SNK7"/>
    <mergeCell ref="SMH7:SMJ7"/>
    <mergeCell ref="SMK7:SMM7"/>
    <mergeCell ref="SMN7:SMP7"/>
    <mergeCell ref="SMQ7:SMS7"/>
    <mergeCell ref="SMT7:SMV7"/>
    <mergeCell ref="STU7:STW7"/>
    <mergeCell ref="STX7:STZ7"/>
    <mergeCell ref="SUA7:SUC7"/>
    <mergeCell ref="SUD7:SUF7"/>
    <mergeCell ref="SUG7:SUI7"/>
    <mergeCell ref="STF7:STH7"/>
    <mergeCell ref="STI7:STK7"/>
    <mergeCell ref="STL7:STN7"/>
    <mergeCell ref="STO7:STQ7"/>
    <mergeCell ref="STR7:STT7"/>
    <mergeCell ref="SSQ7:SSS7"/>
    <mergeCell ref="SST7:SSV7"/>
    <mergeCell ref="SSW7:SSY7"/>
    <mergeCell ref="SSZ7:STB7"/>
    <mergeCell ref="STC7:STE7"/>
    <mergeCell ref="SSB7:SSD7"/>
    <mergeCell ref="SSE7:SSG7"/>
    <mergeCell ref="SSH7:SSJ7"/>
    <mergeCell ref="SSK7:SSM7"/>
    <mergeCell ref="SSN7:SSP7"/>
    <mergeCell ref="SRM7:SRO7"/>
    <mergeCell ref="SRP7:SRR7"/>
    <mergeCell ref="SRS7:SRU7"/>
    <mergeCell ref="SRV7:SRX7"/>
    <mergeCell ref="SRY7:SSA7"/>
    <mergeCell ref="SQX7:SQZ7"/>
    <mergeCell ref="SRA7:SRC7"/>
    <mergeCell ref="SRD7:SRF7"/>
    <mergeCell ref="SRG7:SRI7"/>
    <mergeCell ref="SRJ7:SRL7"/>
    <mergeCell ref="SQI7:SQK7"/>
    <mergeCell ref="SQL7:SQN7"/>
    <mergeCell ref="SQO7:SQQ7"/>
    <mergeCell ref="SQR7:SQT7"/>
    <mergeCell ref="SQU7:SQW7"/>
    <mergeCell ref="SXV7:SXX7"/>
    <mergeCell ref="SXY7:SYA7"/>
    <mergeCell ref="SYB7:SYD7"/>
    <mergeCell ref="SYE7:SYG7"/>
    <mergeCell ref="SYH7:SYJ7"/>
    <mergeCell ref="SXG7:SXI7"/>
    <mergeCell ref="SXJ7:SXL7"/>
    <mergeCell ref="SXM7:SXO7"/>
    <mergeCell ref="SXP7:SXR7"/>
    <mergeCell ref="SXS7:SXU7"/>
    <mergeCell ref="SWR7:SWT7"/>
    <mergeCell ref="SWU7:SWW7"/>
    <mergeCell ref="SWX7:SWZ7"/>
    <mergeCell ref="SXA7:SXC7"/>
    <mergeCell ref="SXD7:SXF7"/>
    <mergeCell ref="SWC7:SWE7"/>
    <mergeCell ref="SWF7:SWH7"/>
    <mergeCell ref="SWI7:SWK7"/>
    <mergeCell ref="SWL7:SWN7"/>
    <mergeCell ref="SWO7:SWQ7"/>
    <mergeCell ref="SVN7:SVP7"/>
    <mergeCell ref="SVQ7:SVS7"/>
    <mergeCell ref="SVT7:SVV7"/>
    <mergeCell ref="SVW7:SVY7"/>
    <mergeCell ref="SVZ7:SWB7"/>
    <mergeCell ref="SUY7:SVA7"/>
    <mergeCell ref="SVB7:SVD7"/>
    <mergeCell ref="SVE7:SVG7"/>
    <mergeCell ref="SVH7:SVJ7"/>
    <mergeCell ref="SVK7:SVM7"/>
    <mergeCell ref="SUJ7:SUL7"/>
    <mergeCell ref="SUM7:SUO7"/>
    <mergeCell ref="SUP7:SUR7"/>
    <mergeCell ref="SUS7:SUU7"/>
    <mergeCell ref="SUV7:SUX7"/>
    <mergeCell ref="TBW7:TBY7"/>
    <mergeCell ref="TBZ7:TCB7"/>
    <mergeCell ref="TCC7:TCE7"/>
    <mergeCell ref="TCF7:TCH7"/>
    <mergeCell ref="TCI7:TCK7"/>
    <mergeCell ref="TBH7:TBJ7"/>
    <mergeCell ref="TBK7:TBM7"/>
    <mergeCell ref="TBN7:TBP7"/>
    <mergeCell ref="TBQ7:TBS7"/>
    <mergeCell ref="TBT7:TBV7"/>
    <mergeCell ref="TAS7:TAU7"/>
    <mergeCell ref="TAV7:TAX7"/>
    <mergeCell ref="TAY7:TBA7"/>
    <mergeCell ref="TBB7:TBD7"/>
    <mergeCell ref="TBE7:TBG7"/>
    <mergeCell ref="TAD7:TAF7"/>
    <mergeCell ref="TAG7:TAI7"/>
    <mergeCell ref="TAJ7:TAL7"/>
    <mergeCell ref="TAM7:TAO7"/>
    <mergeCell ref="TAP7:TAR7"/>
    <mergeCell ref="SZO7:SZQ7"/>
    <mergeCell ref="SZR7:SZT7"/>
    <mergeCell ref="SZU7:SZW7"/>
    <mergeCell ref="SZX7:SZZ7"/>
    <mergeCell ref="TAA7:TAC7"/>
    <mergeCell ref="SYZ7:SZB7"/>
    <mergeCell ref="SZC7:SZE7"/>
    <mergeCell ref="SZF7:SZH7"/>
    <mergeCell ref="SZI7:SZK7"/>
    <mergeCell ref="SZL7:SZN7"/>
    <mergeCell ref="SYK7:SYM7"/>
    <mergeCell ref="SYN7:SYP7"/>
    <mergeCell ref="SYQ7:SYS7"/>
    <mergeCell ref="SYT7:SYV7"/>
    <mergeCell ref="SYW7:SYY7"/>
    <mergeCell ref="TFX7:TFZ7"/>
    <mergeCell ref="TGA7:TGC7"/>
    <mergeCell ref="TGD7:TGF7"/>
    <mergeCell ref="TGG7:TGI7"/>
    <mergeCell ref="TGJ7:TGL7"/>
    <mergeCell ref="TFI7:TFK7"/>
    <mergeCell ref="TFL7:TFN7"/>
    <mergeCell ref="TFO7:TFQ7"/>
    <mergeCell ref="TFR7:TFT7"/>
    <mergeCell ref="TFU7:TFW7"/>
    <mergeCell ref="TET7:TEV7"/>
    <mergeCell ref="TEW7:TEY7"/>
    <mergeCell ref="TEZ7:TFB7"/>
    <mergeCell ref="TFC7:TFE7"/>
    <mergeCell ref="TFF7:TFH7"/>
    <mergeCell ref="TEE7:TEG7"/>
    <mergeCell ref="TEH7:TEJ7"/>
    <mergeCell ref="TEK7:TEM7"/>
    <mergeCell ref="TEN7:TEP7"/>
    <mergeCell ref="TEQ7:TES7"/>
    <mergeCell ref="TDP7:TDR7"/>
    <mergeCell ref="TDS7:TDU7"/>
    <mergeCell ref="TDV7:TDX7"/>
    <mergeCell ref="TDY7:TEA7"/>
    <mergeCell ref="TEB7:TED7"/>
    <mergeCell ref="TDA7:TDC7"/>
    <mergeCell ref="TDD7:TDF7"/>
    <mergeCell ref="TDG7:TDI7"/>
    <mergeCell ref="TDJ7:TDL7"/>
    <mergeCell ref="TDM7:TDO7"/>
    <mergeCell ref="TCL7:TCN7"/>
    <mergeCell ref="TCO7:TCQ7"/>
    <mergeCell ref="TCR7:TCT7"/>
    <mergeCell ref="TCU7:TCW7"/>
    <mergeCell ref="TCX7:TCZ7"/>
    <mergeCell ref="TJY7:TKA7"/>
    <mergeCell ref="TKB7:TKD7"/>
    <mergeCell ref="TKE7:TKG7"/>
    <mergeCell ref="TKH7:TKJ7"/>
    <mergeCell ref="TKK7:TKM7"/>
    <mergeCell ref="TJJ7:TJL7"/>
    <mergeCell ref="TJM7:TJO7"/>
    <mergeCell ref="TJP7:TJR7"/>
    <mergeCell ref="TJS7:TJU7"/>
    <mergeCell ref="TJV7:TJX7"/>
    <mergeCell ref="TIU7:TIW7"/>
    <mergeCell ref="TIX7:TIZ7"/>
    <mergeCell ref="TJA7:TJC7"/>
    <mergeCell ref="TJD7:TJF7"/>
    <mergeCell ref="TJG7:TJI7"/>
    <mergeCell ref="TIF7:TIH7"/>
    <mergeCell ref="TII7:TIK7"/>
    <mergeCell ref="TIL7:TIN7"/>
    <mergeCell ref="TIO7:TIQ7"/>
    <mergeCell ref="TIR7:TIT7"/>
    <mergeCell ref="THQ7:THS7"/>
    <mergeCell ref="THT7:THV7"/>
    <mergeCell ref="THW7:THY7"/>
    <mergeCell ref="THZ7:TIB7"/>
    <mergeCell ref="TIC7:TIE7"/>
    <mergeCell ref="THB7:THD7"/>
    <mergeCell ref="THE7:THG7"/>
    <mergeCell ref="THH7:THJ7"/>
    <mergeCell ref="THK7:THM7"/>
    <mergeCell ref="THN7:THP7"/>
    <mergeCell ref="TGM7:TGO7"/>
    <mergeCell ref="TGP7:TGR7"/>
    <mergeCell ref="TGS7:TGU7"/>
    <mergeCell ref="TGV7:TGX7"/>
    <mergeCell ref="TGY7:THA7"/>
    <mergeCell ref="TNZ7:TOB7"/>
    <mergeCell ref="TOC7:TOE7"/>
    <mergeCell ref="TOF7:TOH7"/>
    <mergeCell ref="TOI7:TOK7"/>
    <mergeCell ref="TOL7:TON7"/>
    <mergeCell ref="TNK7:TNM7"/>
    <mergeCell ref="TNN7:TNP7"/>
    <mergeCell ref="TNQ7:TNS7"/>
    <mergeCell ref="TNT7:TNV7"/>
    <mergeCell ref="TNW7:TNY7"/>
    <mergeCell ref="TMV7:TMX7"/>
    <mergeCell ref="TMY7:TNA7"/>
    <mergeCell ref="TNB7:TND7"/>
    <mergeCell ref="TNE7:TNG7"/>
    <mergeCell ref="TNH7:TNJ7"/>
    <mergeCell ref="TMG7:TMI7"/>
    <mergeCell ref="TMJ7:TML7"/>
    <mergeCell ref="TMM7:TMO7"/>
    <mergeCell ref="TMP7:TMR7"/>
    <mergeCell ref="TMS7:TMU7"/>
    <mergeCell ref="TLR7:TLT7"/>
    <mergeCell ref="TLU7:TLW7"/>
    <mergeCell ref="TLX7:TLZ7"/>
    <mergeCell ref="TMA7:TMC7"/>
    <mergeCell ref="TMD7:TMF7"/>
    <mergeCell ref="TLC7:TLE7"/>
    <mergeCell ref="TLF7:TLH7"/>
    <mergeCell ref="TLI7:TLK7"/>
    <mergeCell ref="TLL7:TLN7"/>
    <mergeCell ref="TLO7:TLQ7"/>
    <mergeCell ref="TKN7:TKP7"/>
    <mergeCell ref="TKQ7:TKS7"/>
    <mergeCell ref="TKT7:TKV7"/>
    <mergeCell ref="TKW7:TKY7"/>
    <mergeCell ref="TKZ7:TLB7"/>
    <mergeCell ref="TSA7:TSC7"/>
    <mergeCell ref="TSD7:TSF7"/>
    <mergeCell ref="TSG7:TSI7"/>
    <mergeCell ref="TSJ7:TSL7"/>
    <mergeCell ref="TSM7:TSO7"/>
    <mergeCell ref="TRL7:TRN7"/>
    <mergeCell ref="TRO7:TRQ7"/>
    <mergeCell ref="TRR7:TRT7"/>
    <mergeCell ref="TRU7:TRW7"/>
    <mergeCell ref="TRX7:TRZ7"/>
    <mergeCell ref="TQW7:TQY7"/>
    <mergeCell ref="TQZ7:TRB7"/>
    <mergeCell ref="TRC7:TRE7"/>
    <mergeCell ref="TRF7:TRH7"/>
    <mergeCell ref="TRI7:TRK7"/>
    <mergeCell ref="TQH7:TQJ7"/>
    <mergeCell ref="TQK7:TQM7"/>
    <mergeCell ref="TQN7:TQP7"/>
    <mergeCell ref="TQQ7:TQS7"/>
    <mergeCell ref="TQT7:TQV7"/>
    <mergeCell ref="TPS7:TPU7"/>
    <mergeCell ref="TPV7:TPX7"/>
    <mergeCell ref="TPY7:TQA7"/>
    <mergeCell ref="TQB7:TQD7"/>
    <mergeCell ref="TQE7:TQG7"/>
    <mergeCell ref="TPD7:TPF7"/>
    <mergeCell ref="TPG7:TPI7"/>
    <mergeCell ref="TPJ7:TPL7"/>
    <mergeCell ref="TPM7:TPO7"/>
    <mergeCell ref="TPP7:TPR7"/>
    <mergeCell ref="TOO7:TOQ7"/>
    <mergeCell ref="TOR7:TOT7"/>
    <mergeCell ref="TOU7:TOW7"/>
    <mergeCell ref="TOX7:TOZ7"/>
    <mergeCell ref="TPA7:TPC7"/>
    <mergeCell ref="TWB7:TWD7"/>
    <mergeCell ref="TWE7:TWG7"/>
    <mergeCell ref="TWH7:TWJ7"/>
    <mergeCell ref="TWK7:TWM7"/>
    <mergeCell ref="TWN7:TWP7"/>
    <mergeCell ref="TVM7:TVO7"/>
    <mergeCell ref="TVP7:TVR7"/>
    <mergeCell ref="TVS7:TVU7"/>
    <mergeCell ref="TVV7:TVX7"/>
    <mergeCell ref="TVY7:TWA7"/>
    <mergeCell ref="TUX7:TUZ7"/>
    <mergeCell ref="TVA7:TVC7"/>
    <mergeCell ref="TVD7:TVF7"/>
    <mergeCell ref="TVG7:TVI7"/>
    <mergeCell ref="TVJ7:TVL7"/>
    <mergeCell ref="TUI7:TUK7"/>
    <mergeCell ref="TUL7:TUN7"/>
    <mergeCell ref="TUO7:TUQ7"/>
    <mergeCell ref="TUR7:TUT7"/>
    <mergeCell ref="TUU7:TUW7"/>
    <mergeCell ref="TTT7:TTV7"/>
    <mergeCell ref="TTW7:TTY7"/>
    <mergeCell ref="TTZ7:TUB7"/>
    <mergeCell ref="TUC7:TUE7"/>
    <mergeCell ref="TUF7:TUH7"/>
    <mergeCell ref="TTE7:TTG7"/>
    <mergeCell ref="TTH7:TTJ7"/>
    <mergeCell ref="TTK7:TTM7"/>
    <mergeCell ref="TTN7:TTP7"/>
    <mergeCell ref="TTQ7:TTS7"/>
    <mergeCell ref="TSP7:TSR7"/>
    <mergeCell ref="TSS7:TSU7"/>
    <mergeCell ref="TSV7:TSX7"/>
    <mergeCell ref="TSY7:TTA7"/>
    <mergeCell ref="TTB7:TTD7"/>
    <mergeCell ref="UAC7:UAE7"/>
    <mergeCell ref="UAF7:UAH7"/>
    <mergeCell ref="UAI7:UAK7"/>
    <mergeCell ref="UAL7:UAN7"/>
    <mergeCell ref="UAO7:UAQ7"/>
    <mergeCell ref="TZN7:TZP7"/>
    <mergeCell ref="TZQ7:TZS7"/>
    <mergeCell ref="TZT7:TZV7"/>
    <mergeCell ref="TZW7:TZY7"/>
    <mergeCell ref="TZZ7:UAB7"/>
    <mergeCell ref="TYY7:TZA7"/>
    <mergeCell ref="TZB7:TZD7"/>
    <mergeCell ref="TZE7:TZG7"/>
    <mergeCell ref="TZH7:TZJ7"/>
    <mergeCell ref="TZK7:TZM7"/>
    <mergeCell ref="TYJ7:TYL7"/>
    <mergeCell ref="TYM7:TYO7"/>
    <mergeCell ref="TYP7:TYR7"/>
    <mergeCell ref="TYS7:TYU7"/>
    <mergeCell ref="TYV7:TYX7"/>
    <mergeCell ref="TXU7:TXW7"/>
    <mergeCell ref="TXX7:TXZ7"/>
    <mergeCell ref="TYA7:TYC7"/>
    <mergeCell ref="TYD7:TYF7"/>
    <mergeCell ref="TYG7:TYI7"/>
    <mergeCell ref="TXF7:TXH7"/>
    <mergeCell ref="TXI7:TXK7"/>
    <mergeCell ref="TXL7:TXN7"/>
    <mergeCell ref="TXO7:TXQ7"/>
    <mergeCell ref="TXR7:TXT7"/>
    <mergeCell ref="TWQ7:TWS7"/>
    <mergeCell ref="TWT7:TWV7"/>
    <mergeCell ref="TWW7:TWY7"/>
    <mergeCell ref="TWZ7:TXB7"/>
    <mergeCell ref="TXC7:TXE7"/>
    <mergeCell ref="UED7:UEF7"/>
    <mergeCell ref="UEG7:UEI7"/>
    <mergeCell ref="UEJ7:UEL7"/>
    <mergeCell ref="UEM7:UEO7"/>
    <mergeCell ref="UEP7:UER7"/>
    <mergeCell ref="UDO7:UDQ7"/>
    <mergeCell ref="UDR7:UDT7"/>
    <mergeCell ref="UDU7:UDW7"/>
    <mergeCell ref="UDX7:UDZ7"/>
    <mergeCell ref="UEA7:UEC7"/>
    <mergeCell ref="UCZ7:UDB7"/>
    <mergeCell ref="UDC7:UDE7"/>
    <mergeCell ref="UDF7:UDH7"/>
    <mergeCell ref="UDI7:UDK7"/>
    <mergeCell ref="UDL7:UDN7"/>
    <mergeCell ref="UCK7:UCM7"/>
    <mergeCell ref="UCN7:UCP7"/>
    <mergeCell ref="UCQ7:UCS7"/>
    <mergeCell ref="UCT7:UCV7"/>
    <mergeCell ref="UCW7:UCY7"/>
    <mergeCell ref="UBV7:UBX7"/>
    <mergeCell ref="UBY7:UCA7"/>
    <mergeCell ref="UCB7:UCD7"/>
    <mergeCell ref="UCE7:UCG7"/>
    <mergeCell ref="UCH7:UCJ7"/>
    <mergeCell ref="UBG7:UBI7"/>
    <mergeCell ref="UBJ7:UBL7"/>
    <mergeCell ref="UBM7:UBO7"/>
    <mergeCell ref="UBP7:UBR7"/>
    <mergeCell ref="UBS7:UBU7"/>
    <mergeCell ref="UAR7:UAT7"/>
    <mergeCell ref="UAU7:UAW7"/>
    <mergeCell ref="UAX7:UAZ7"/>
    <mergeCell ref="UBA7:UBC7"/>
    <mergeCell ref="UBD7:UBF7"/>
    <mergeCell ref="UIE7:UIG7"/>
    <mergeCell ref="UIH7:UIJ7"/>
    <mergeCell ref="UIK7:UIM7"/>
    <mergeCell ref="UIN7:UIP7"/>
    <mergeCell ref="UIQ7:UIS7"/>
    <mergeCell ref="UHP7:UHR7"/>
    <mergeCell ref="UHS7:UHU7"/>
    <mergeCell ref="UHV7:UHX7"/>
    <mergeCell ref="UHY7:UIA7"/>
    <mergeCell ref="UIB7:UID7"/>
    <mergeCell ref="UHA7:UHC7"/>
    <mergeCell ref="UHD7:UHF7"/>
    <mergeCell ref="UHG7:UHI7"/>
    <mergeCell ref="UHJ7:UHL7"/>
    <mergeCell ref="UHM7:UHO7"/>
    <mergeCell ref="UGL7:UGN7"/>
    <mergeCell ref="UGO7:UGQ7"/>
    <mergeCell ref="UGR7:UGT7"/>
    <mergeCell ref="UGU7:UGW7"/>
    <mergeCell ref="UGX7:UGZ7"/>
    <mergeCell ref="UFW7:UFY7"/>
    <mergeCell ref="UFZ7:UGB7"/>
    <mergeCell ref="UGC7:UGE7"/>
    <mergeCell ref="UGF7:UGH7"/>
    <mergeCell ref="UGI7:UGK7"/>
    <mergeCell ref="UFH7:UFJ7"/>
    <mergeCell ref="UFK7:UFM7"/>
    <mergeCell ref="UFN7:UFP7"/>
    <mergeCell ref="UFQ7:UFS7"/>
    <mergeCell ref="UFT7:UFV7"/>
    <mergeCell ref="UES7:UEU7"/>
    <mergeCell ref="UEV7:UEX7"/>
    <mergeCell ref="UEY7:UFA7"/>
    <mergeCell ref="UFB7:UFD7"/>
    <mergeCell ref="UFE7:UFG7"/>
    <mergeCell ref="UMF7:UMH7"/>
    <mergeCell ref="UMI7:UMK7"/>
    <mergeCell ref="UML7:UMN7"/>
    <mergeCell ref="UMO7:UMQ7"/>
    <mergeCell ref="UMR7:UMT7"/>
    <mergeCell ref="ULQ7:ULS7"/>
    <mergeCell ref="ULT7:ULV7"/>
    <mergeCell ref="ULW7:ULY7"/>
    <mergeCell ref="ULZ7:UMB7"/>
    <mergeCell ref="UMC7:UME7"/>
    <mergeCell ref="ULB7:ULD7"/>
    <mergeCell ref="ULE7:ULG7"/>
    <mergeCell ref="ULH7:ULJ7"/>
    <mergeCell ref="ULK7:ULM7"/>
    <mergeCell ref="ULN7:ULP7"/>
    <mergeCell ref="UKM7:UKO7"/>
    <mergeCell ref="UKP7:UKR7"/>
    <mergeCell ref="UKS7:UKU7"/>
    <mergeCell ref="UKV7:UKX7"/>
    <mergeCell ref="UKY7:ULA7"/>
    <mergeCell ref="UJX7:UJZ7"/>
    <mergeCell ref="UKA7:UKC7"/>
    <mergeCell ref="UKD7:UKF7"/>
    <mergeCell ref="UKG7:UKI7"/>
    <mergeCell ref="UKJ7:UKL7"/>
    <mergeCell ref="UJI7:UJK7"/>
    <mergeCell ref="UJL7:UJN7"/>
    <mergeCell ref="UJO7:UJQ7"/>
    <mergeCell ref="UJR7:UJT7"/>
    <mergeCell ref="UJU7:UJW7"/>
    <mergeCell ref="UIT7:UIV7"/>
    <mergeCell ref="UIW7:UIY7"/>
    <mergeCell ref="UIZ7:UJB7"/>
    <mergeCell ref="UJC7:UJE7"/>
    <mergeCell ref="UJF7:UJH7"/>
    <mergeCell ref="UQG7:UQI7"/>
    <mergeCell ref="UQJ7:UQL7"/>
    <mergeCell ref="UQM7:UQO7"/>
    <mergeCell ref="UQP7:UQR7"/>
    <mergeCell ref="UQS7:UQU7"/>
    <mergeCell ref="UPR7:UPT7"/>
    <mergeCell ref="UPU7:UPW7"/>
    <mergeCell ref="UPX7:UPZ7"/>
    <mergeCell ref="UQA7:UQC7"/>
    <mergeCell ref="UQD7:UQF7"/>
    <mergeCell ref="UPC7:UPE7"/>
    <mergeCell ref="UPF7:UPH7"/>
    <mergeCell ref="UPI7:UPK7"/>
    <mergeCell ref="UPL7:UPN7"/>
    <mergeCell ref="UPO7:UPQ7"/>
    <mergeCell ref="UON7:UOP7"/>
    <mergeCell ref="UOQ7:UOS7"/>
    <mergeCell ref="UOT7:UOV7"/>
    <mergeCell ref="UOW7:UOY7"/>
    <mergeCell ref="UOZ7:UPB7"/>
    <mergeCell ref="UNY7:UOA7"/>
    <mergeCell ref="UOB7:UOD7"/>
    <mergeCell ref="UOE7:UOG7"/>
    <mergeCell ref="UOH7:UOJ7"/>
    <mergeCell ref="UOK7:UOM7"/>
    <mergeCell ref="UNJ7:UNL7"/>
    <mergeCell ref="UNM7:UNO7"/>
    <mergeCell ref="UNP7:UNR7"/>
    <mergeCell ref="UNS7:UNU7"/>
    <mergeCell ref="UNV7:UNX7"/>
    <mergeCell ref="UMU7:UMW7"/>
    <mergeCell ref="UMX7:UMZ7"/>
    <mergeCell ref="UNA7:UNC7"/>
    <mergeCell ref="UND7:UNF7"/>
    <mergeCell ref="UNG7:UNI7"/>
    <mergeCell ref="UUH7:UUJ7"/>
    <mergeCell ref="UUK7:UUM7"/>
    <mergeCell ref="UUN7:UUP7"/>
    <mergeCell ref="UUQ7:UUS7"/>
    <mergeCell ref="UUT7:UUV7"/>
    <mergeCell ref="UTS7:UTU7"/>
    <mergeCell ref="UTV7:UTX7"/>
    <mergeCell ref="UTY7:UUA7"/>
    <mergeCell ref="UUB7:UUD7"/>
    <mergeCell ref="UUE7:UUG7"/>
    <mergeCell ref="UTD7:UTF7"/>
    <mergeCell ref="UTG7:UTI7"/>
    <mergeCell ref="UTJ7:UTL7"/>
    <mergeCell ref="UTM7:UTO7"/>
    <mergeCell ref="UTP7:UTR7"/>
    <mergeCell ref="USO7:USQ7"/>
    <mergeCell ref="USR7:UST7"/>
    <mergeCell ref="USU7:USW7"/>
    <mergeCell ref="USX7:USZ7"/>
    <mergeCell ref="UTA7:UTC7"/>
    <mergeCell ref="URZ7:USB7"/>
    <mergeCell ref="USC7:USE7"/>
    <mergeCell ref="USF7:USH7"/>
    <mergeCell ref="USI7:USK7"/>
    <mergeCell ref="USL7:USN7"/>
    <mergeCell ref="URK7:URM7"/>
    <mergeCell ref="URN7:URP7"/>
    <mergeCell ref="URQ7:URS7"/>
    <mergeCell ref="URT7:URV7"/>
    <mergeCell ref="URW7:URY7"/>
    <mergeCell ref="UQV7:UQX7"/>
    <mergeCell ref="UQY7:URA7"/>
    <mergeCell ref="URB7:URD7"/>
    <mergeCell ref="URE7:URG7"/>
    <mergeCell ref="URH7:URJ7"/>
    <mergeCell ref="UYI7:UYK7"/>
    <mergeCell ref="UYL7:UYN7"/>
    <mergeCell ref="UYO7:UYQ7"/>
    <mergeCell ref="UYR7:UYT7"/>
    <mergeCell ref="UYU7:UYW7"/>
    <mergeCell ref="UXT7:UXV7"/>
    <mergeCell ref="UXW7:UXY7"/>
    <mergeCell ref="UXZ7:UYB7"/>
    <mergeCell ref="UYC7:UYE7"/>
    <mergeCell ref="UYF7:UYH7"/>
    <mergeCell ref="UXE7:UXG7"/>
    <mergeCell ref="UXH7:UXJ7"/>
    <mergeCell ref="UXK7:UXM7"/>
    <mergeCell ref="UXN7:UXP7"/>
    <mergeCell ref="UXQ7:UXS7"/>
    <mergeCell ref="UWP7:UWR7"/>
    <mergeCell ref="UWS7:UWU7"/>
    <mergeCell ref="UWV7:UWX7"/>
    <mergeCell ref="UWY7:UXA7"/>
    <mergeCell ref="UXB7:UXD7"/>
    <mergeCell ref="UWA7:UWC7"/>
    <mergeCell ref="UWD7:UWF7"/>
    <mergeCell ref="UWG7:UWI7"/>
    <mergeCell ref="UWJ7:UWL7"/>
    <mergeCell ref="UWM7:UWO7"/>
    <mergeCell ref="UVL7:UVN7"/>
    <mergeCell ref="UVO7:UVQ7"/>
    <mergeCell ref="UVR7:UVT7"/>
    <mergeCell ref="UVU7:UVW7"/>
    <mergeCell ref="UVX7:UVZ7"/>
    <mergeCell ref="UUW7:UUY7"/>
    <mergeCell ref="UUZ7:UVB7"/>
    <mergeCell ref="UVC7:UVE7"/>
    <mergeCell ref="UVF7:UVH7"/>
    <mergeCell ref="UVI7:UVK7"/>
    <mergeCell ref="VCJ7:VCL7"/>
    <mergeCell ref="VCM7:VCO7"/>
    <mergeCell ref="VCP7:VCR7"/>
    <mergeCell ref="VCS7:VCU7"/>
    <mergeCell ref="VCV7:VCX7"/>
    <mergeCell ref="VBU7:VBW7"/>
    <mergeCell ref="VBX7:VBZ7"/>
    <mergeCell ref="VCA7:VCC7"/>
    <mergeCell ref="VCD7:VCF7"/>
    <mergeCell ref="VCG7:VCI7"/>
    <mergeCell ref="VBF7:VBH7"/>
    <mergeCell ref="VBI7:VBK7"/>
    <mergeCell ref="VBL7:VBN7"/>
    <mergeCell ref="VBO7:VBQ7"/>
    <mergeCell ref="VBR7:VBT7"/>
    <mergeCell ref="VAQ7:VAS7"/>
    <mergeCell ref="VAT7:VAV7"/>
    <mergeCell ref="VAW7:VAY7"/>
    <mergeCell ref="VAZ7:VBB7"/>
    <mergeCell ref="VBC7:VBE7"/>
    <mergeCell ref="VAB7:VAD7"/>
    <mergeCell ref="VAE7:VAG7"/>
    <mergeCell ref="VAH7:VAJ7"/>
    <mergeCell ref="VAK7:VAM7"/>
    <mergeCell ref="VAN7:VAP7"/>
    <mergeCell ref="UZM7:UZO7"/>
    <mergeCell ref="UZP7:UZR7"/>
    <mergeCell ref="UZS7:UZU7"/>
    <mergeCell ref="UZV7:UZX7"/>
    <mergeCell ref="UZY7:VAA7"/>
    <mergeCell ref="UYX7:UYZ7"/>
    <mergeCell ref="UZA7:UZC7"/>
    <mergeCell ref="UZD7:UZF7"/>
    <mergeCell ref="UZG7:UZI7"/>
    <mergeCell ref="UZJ7:UZL7"/>
    <mergeCell ref="VGK7:VGM7"/>
    <mergeCell ref="VGN7:VGP7"/>
    <mergeCell ref="VGQ7:VGS7"/>
    <mergeCell ref="VGT7:VGV7"/>
    <mergeCell ref="VGW7:VGY7"/>
    <mergeCell ref="VFV7:VFX7"/>
    <mergeCell ref="VFY7:VGA7"/>
    <mergeCell ref="VGB7:VGD7"/>
    <mergeCell ref="VGE7:VGG7"/>
    <mergeCell ref="VGH7:VGJ7"/>
    <mergeCell ref="VFG7:VFI7"/>
    <mergeCell ref="VFJ7:VFL7"/>
    <mergeCell ref="VFM7:VFO7"/>
    <mergeCell ref="VFP7:VFR7"/>
    <mergeCell ref="VFS7:VFU7"/>
    <mergeCell ref="VER7:VET7"/>
    <mergeCell ref="VEU7:VEW7"/>
    <mergeCell ref="VEX7:VEZ7"/>
    <mergeCell ref="VFA7:VFC7"/>
    <mergeCell ref="VFD7:VFF7"/>
    <mergeCell ref="VEC7:VEE7"/>
    <mergeCell ref="VEF7:VEH7"/>
    <mergeCell ref="VEI7:VEK7"/>
    <mergeCell ref="VEL7:VEN7"/>
    <mergeCell ref="VEO7:VEQ7"/>
    <mergeCell ref="VDN7:VDP7"/>
    <mergeCell ref="VDQ7:VDS7"/>
    <mergeCell ref="VDT7:VDV7"/>
    <mergeCell ref="VDW7:VDY7"/>
    <mergeCell ref="VDZ7:VEB7"/>
    <mergeCell ref="VCY7:VDA7"/>
    <mergeCell ref="VDB7:VDD7"/>
    <mergeCell ref="VDE7:VDG7"/>
    <mergeCell ref="VDH7:VDJ7"/>
    <mergeCell ref="VDK7:VDM7"/>
    <mergeCell ref="VKL7:VKN7"/>
    <mergeCell ref="VKO7:VKQ7"/>
    <mergeCell ref="VKR7:VKT7"/>
    <mergeCell ref="VKU7:VKW7"/>
    <mergeCell ref="VKX7:VKZ7"/>
    <mergeCell ref="VJW7:VJY7"/>
    <mergeCell ref="VJZ7:VKB7"/>
    <mergeCell ref="VKC7:VKE7"/>
    <mergeCell ref="VKF7:VKH7"/>
    <mergeCell ref="VKI7:VKK7"/>
    <mergeCell ref="VJH7:VJJ7"/>
    <mergeCell ref="VJK7:VJM7"/>
    <mergeCell ref="VJN7:VJP7"/>
    <mergeCell ref="VJQ7:VJS7"/>
    <mergeCell ref="VJT7:VJV7"/>
    <mergeCell ref="VIS7:VIU7"/>
    <mergeCell ref="VIV7:VIX7"/>
    <mergeCell ref="VIY7:VJA7"/>
    <mergeCell ref="VJB7:VJD7"/>
    <mergeCell ref="VJE7:VJG7"/>
    <mergeCell ref="VID7:VIF7"/>
    <mergeCell ref="VIG7:VII7"/>
    <mergeCell ref="VIJ7:VIL7"/>
    <mergeCell ref="VIM7:VIO7"/>
    <mergeCell ref="VIP7:VIR7"/>
    <mergeCell ref="VHO7:VHQ7"/>
    <mergeCell ref="VHR7:VHT7"/>
    <mergeCell ref="VHU7:VHW7"/>
    <mergeCell ref="VHX7:VHZ7"/>
    <mergeCell ref="VIA7:VIC7"/>
    <mergeCell ref="VGZ7:VHB7"/>
    <mergeCell ref="VHC7:VHE7"/>
    <mergeCell ref="VHF7:VHH7"/>
    <mergeCell ref="VHI7:VHK7"/>
    <mergeCell ref="VHL7:VHN7"/>
    <mergeCell ref="VOM7:VOO7"/>
    <mergeCell ref="VOP7:VOR7"/>
    <mergeCell ref="VOS7:VOU7"/>
    <mergeCell ref="VOV7:VOX7"/>
    <mergeCell ref="VOY7:VPA7"/>
    <mergeCell ref="VNX7:VNZ7"/>
    <mergeCell ref="VOA7:VOC7"/>
    <mergeCell ref="VOD7:VOF7"/>
    <mergeCell ref="VOG7:VOI7"/>
    <mergeCell ref="VOJ7:VOL7"/>
    <mergeCell ref="VNI7:VNK7"/>
    <mergeCell ref="VNL7:VNN7"/>
    <mergeCell ref="VNO7:VNQ7"/>
    <mergeCell ref="VNR7:VNT7"/>
    <mergeCell ref="VNU7:VNW7"/>
    <mergeCell ref="VMT7:VMV7"/>
    <mergeCell ref="VMW7:VMY7"/>
    <mergeCell ref="VMZ7:VNB7"/>
    <mergeCell ref="VNC7:VNE7"/>
    <mergeCell ref="VNF7:VNH7"/>
    <mergeCell ref="VME7:VMG7"/>
    <mergeCell ref="VMH7:VMJ7"/>
    <mergeCell ref="VMK7:VMM7"/>
    <mergeCell ref="VMN7:VMP7"/>
    <mergeCell ref="VMQ7:VMS7"/>
    <mergeCell ref="VLP7:VLR7"/>
    <mergeCell ref="VLS7:VLU7"/>
    <mergeCell ref="VLV7:VLX7"/>
    <mergeCell ref="VLY7:VMA7"/>
    <mergeCell ref="VMB7:VMD7"/>
    <mergeCell ref="VLA7:VLC7"/>
    <mergeCell ref="VLD7:VLF7"/>
    <mergeCell ref="VLG7:VLI7"/>
    <mergeCell ref="VLJ7:VLL7"/>
    <mergeCell ref="VLM7:VLO7"/>
    <mergeCell ref="VSN7:VSP7"/>
    <mergeCell ref="VSQ7:VSS7"/>
    <mergeCell ref="VST7:VSV7"/>
    <mergeCell ref="VSW7:VSY7"/>
    <mergeCell ref="VSZ7:VTB7"/>
    <mergeCell ref="VRY7:VSA7"/>
    <mergeCell ref="VSB7:VSD7"/>
    <mergeCell ref="VSE7:VSG7"/>
    <mergeCell ref="VSH7:VSJ7"/>
    <mergeCell ref="VSK7:VSM7"/>
    <mergeCell ref="VRJ7:VRL7"/>
    <mergeCell ref="VRM7:VRO7"/>
    <mergeCell ref="VRP7:VRR7"/>
    <mergeCell ref="VRS7:VRU7"/>
    <mergeCell ref="VRV7:VRX7"/>
    <mergeCell ref="VQU7:VQW7"/>
    <mergeCell ref="VQX7:VQZ7"/>
    <mergeCell ref="VRA7:VRC7"/>
    <mergeCell ref="VRD7:VRF7"/>
    <mergeCell ref="VRG7:VRI7"/>
    <mergeCell ref="VQF7:VQH7"/>
    <mergeCell ref="VQI7:VQK7"/>
    <mergeCell ref="VQL7:VQN7"/>
    <mergeCell ref="VQO7:VQQ7"/>
    <mergeCell ref="VQR7:VQT7"/>
    <mergeCell ref="VPQ7:VPS7"/>
    <mergeCell ref="VPT7:VPV7"/>
    <mergeCell ref="VPW7:VPY7"/>
    <mergeCell ref="VPZ7:VQB7"/>
    <mergeCell ref="VQC7:VQE7"/>
    <mergeCell ref="VPB7:VPD7"/>
    <mergeCell ref="VPE7:VPG7"/>
    <mergeCell ref="VPH7:VPJ7"/>
    <mergeCell ref="VPK7:VPM7"/>
    <mergeCell ref="VPN7:VPP7"/>
    <mergeCell ref="VWO7:VWQ7"/>
    <mergeCell ref="VWR7:VWT7"/>
    <mergeCell ref="VWU7:VWW7"/>
    <mergeCell ref="VWX7:VWZ7"/>
    <mergeCell ref="VXA7:VXC7"/>
    <mergeCell ref="VVZ7:VWB7"/>
    <mergeCell ref="VWC7:VWE7"/>
    <mergeCell ref="VWF7:VWH7"/>
    <mergeCell ref="VWI7:VWK7"/>
    <mergeCell ref="VWL7:VWN7"/>
    <mergeCell ref="VVK7:VVM7"/>
    <mergeCell ref="VVN7:VVP7"/>
    <mergeCell ref="VVQ7:VVS7"/>
    <mergeCell ref="VVT7:VVV7"/>
    <mergeCell ref="VVW7:VVY7"/>
    <mergeCell ref="VUV7:VUX7"/>
    <mergeCell ref="VUY7:VVA7"/>
    <mergeCell ref="VVB7:VVD7"/>
    <mergeCell ref="VVE7:VVG7"/>
    <mergeCell ref="VVH7:VVJ7"/>
    <mergeCell ref="VUG7:VUI7"/>
    <mergeCell ref="VUJ7:VUL7"/>
    <mergeCell ref="VUM7:VUO7"/>
    <mergeCell ref="VUP7:VUR7"/>
    <mergeCell ref="VUS7:VUU7"/>
    <mergeCell ref="VTR7:VTT7"/>
    <mergeCell ref="VTU7:VTW7"/>
    <mergeCell ref="VTX7:VTZ7"/>
    <mergeCell ref="VUA7:VUC7"/>
    <mergeCell ref="VUD7:VUF7"/>
    <mergeCell ref="VTC7:VTE7"/>
    <mergeCell ref="VTF7:VTH7"/>
    <mergeCell ref="VTI7:VTK7"/>
    <mergeCell ref="VTL7:VTN7"/>
    <mergeCell ref="VTO7:VTQ7"/>
    <mergeCell ref="WAP7:WAR7"/>
    <mergeCell ref="WAS7:WAU7"/>
    <mergeCell ref="WAV7:WAX7"/>
    <mergeCell ref="WAY7:WBA7"/>
    <mergeCell ref="WBB7:WBD7"/>
    <mergeCell ref="WAA7:WAC7"/>
    <mergeCell ref="WAD7:WAF7"/>
    <mergeCell ref="WAG7:WAI7"/>
    <mergeCell ref="WAJ7:WAL7"/>
    <mergeCell ref="WAM7:WAO7"/>
    <mergeCell ref="VZL7:VZN7"/>
    <mergeCell ref="VZO7:VZQ7"/>
    <mergeCell ref="VZR7:VZT7"/>
    <mergeCell ref="VZU7:VZW7"/>
    <mergeCell ref="VZX7:VZZ7"/>
    <mergeCell ref="VYW7:VYY7"/>
    <mergeCell ref="VYZ7:VZB7"/>
    <mergeCell ref="VZC7:VZE7"/>
    <mergeCell ref="VZF7:VZH7"/>
    <mergeCell ref="VZI7:VZK7"/>
    <mergeCell ref="VYH7:VYJ7"/>
    <mergeCell ref="VYK7:VYM7"/>
    <mergeCell ref="VYN7:VYP7"/>
    <mergeCell ref="VYQ7:VYS7"/>
    <mergeCell ref="VYT7:VYV7"/>
    <mergeCell ref="VXS7:VXU7"/>
    <mergeCell ref="VXV7:VXX7"/>
    <mergeCell ref="VXY7:VYA7"/>
    <mergeCell ref="VYB7:VYD7"/>
    <mergeCell ref="VYE7:VYG7"/>
    <mergeCell ref="VXD7:VXF7"/>
    <mergeCell ref="VXG7:VXI7"/>
    <mergeCell ref="VXJ7:VXL7"/>
    <mergeCell ref="VXM7:VXO7"/>
    <mergeCell ref="VXP7:VXR7"/>
    <mergeCell ref="WEQ7:WES7"/>
    <mergeCell ref="WET7:WEV7"/>
    <mergeCell ref="WEW7:WEY7"/>
    <mergeCell ref="WEZ7:WFB7"/>
    <mergeCell ref="WFC7:WFE7"/>
    <mergeCell ref="WEB7:WED7"/>
    <mergeCell ref="WEE7:WEG7"/>
    <mergeCell ref="WEH7:WEJ7"/>
    <mergeCell ref="WEK7:WEM7"/>
    <mergeCell ref="WEN7:WEP7"/>
    <mergeCell ref="WDM7:WDO7"/>
    <mergeCell ref="WDP7:WDR7"/>
    <mergeCell ref="WDS7:WDU7"/>
    <mergeCell ref="WDV7:WDX7"/>
    <mergeCell ref="WDY7:WEA7"/>
    <mergeCell ref="WCX7:WCZ7"/>
    <mergeCell ref="WDA7:WDC7"/>
    <mergeCell ref="WDD7:WDF7"/>
    <mergeCell ref="WDG7:WDI7"/>
    <mergeCell ref="WDJ7:WDL7"/>
    <mergeCell ref="WCI7:WCK7"/>
    <mergeCell ref="WCL7:WCN7"/>
    <mergeCell ref="WCO7:WCQ7"/>
    <mergeCell ref="WCR7:WCT7"/>
    <mergeCell ref="WCU7:WCW7"/>
    <mergeCell ref="WBT7:WBV7"/>
    <mergeCell ref="WBW7:WBY7"/>
    <mergeCell ref="WBZ7:WCB7"/>
    <mergeCell ref="WCC7:WCE7"/>
    <mergeCell ref="WCF7:WCH7"/>
    <mergeCell ref="WBE7:WBG7"/>
    <mergeCell ref="WBH7:WBJ7"/>
    <mergeCell ref="WBK7:WBM7"/>
    <mergeCell ref="WBN7:WBP7"/>
    <mergeCell ref="WBQ7:WBS7"/>
    <mergeCell ref="WIR7:WIT7"/>
    <mergeCell ref="WIU7:WIW7"/>
    <mergeCell ref="WIX7:WIZ7"/>
    <mergeCell ref="WJA7:WJC7"/>
    <mergeCell ref="WJD7:WJF7"/>
    <mergeCell ref="WIC7:WIE7"/>
    <mergeCell ref="WIF7:WIH7"/>
    <mergeCell ref="WII7:WIK7"/>
    <mergeCell ref="WIL7:WIN7"/>
    <mergeCell ref="WIO7:WIQ7"/>
    <mergeCell ref="WHN7:WHP7"/>
    <mergeCell ref="WHQ7:WHS7"/>
    <mergeCell ref="WHT7:WHV7"/>
    <mergeCell ref="WHW7:WHY7"/>
    <mergeCell ref="WHZ7:WIB7"/>
    <mergeCell ref="WGY7:WHA7"/>
    <mergeCell ref="WHB7:WHD7"/>
    <mergeCell ref="WHE7:WHG7"/>
    <mergeCell ref="WHH7:WHJ7"/>
    <mergeCell ref="WHK7:WHM7"/>
    <mergeCell ref="WGJ7:WGL7"/>
    <mergeCell ref="WGM7:WGO7"/>
    <mergeCell ref="WGP7:WGR7"/>
    <mergeCell ref="WGS7:WGU7"/>
    <mergeCell ref="WGV7:WGX7"/>
    <mergeCell ref="WFU7:WFW7"/>
    <mergeCell ref="WFX7:WFZ7"/>
    <mergeCell ref="WGA7:WGC7"/>
    <mergeCell ref="WGD7:WGF7"/>
    <mergeCell ref="WGG7:WGI7"/>
    <mergeCell ref="WFF7:WFH7"/>
    <mergeCell ref="WFI7:WFK7"/>
    <mergeCell ref="WFL7:WFN7"/>
    <mergeCell ref="WFO7:WFQ7"/>
    <mergeCell ref="WFR7:WFT7"/>
    <mergeCell ref="WMS7:WMU7"/>
    <mergeCell ref="WMV7:WMX7"/>
    <mergeCell ref="WMY7:WNA7"/>
    <mergeCell ref="WNB7:WND7"/>
    <mergeCell ref="WNE7:WNG7"/>
    <mergeCell ref="WMD7:WMF7"/>
    <mergeCell ref="WMG7:WMI7"/>
    <mergeCell ref="WMJ7:WML7"/>
    <mergeCell ref="WMM7:WMO7"/>
    <mergeCell ref="WMP7:WMR7"/>
    <mergeCell ref="WLO7:WLQ7"/>
    <mergeCell ref="WLR7:WLT7"/>
    <mergeCell ref="WLU7:WLW7"/>
    <mergeCell ref="WLX7:WLZ7"/>
    <mergeCell ref="WMA7:WMC7"/>
    <mergeCell ref="WKZ7:WLB7"/>
    <mergeCell ref="WLC7:WLE7"/>
    <mergeCell ref="WLF7:WLH7"/>
    <mergeCell ref="WLI7:WLK7"/>
    <mergeCell ref="WLL7:WLN7"/>
    <mergeCell ref="WKK7:WKM7"/>
    <mergeCell ref="WKN7:WKP7"/>
    <mergeCell ref="WKQ7:WKS7"/>
    <mergeCell ref="WKT7:WKV7"/>
    <mergeCell ref="WKW7:WKY7"/>
    <mergeCell ref="WJV7:WJX7"/>
    <mergeCell ref="WJY7:WKA7"/>
    <mergeCell ref="WKB7:WKD7"/>
    <mergeCell ref="WKE7:WKG7"/>
    <mergeCell ref="WKH7:WKJ7"/>
    <mergeCell ref="WJG7:WJI7"/>
    <mergeCell ref="WJJ7:WJL7"/>
    <mergeCell ref="WJM7:WJO7"/>
    <mergeCell ref="WJP7:WJR7"/>
    <mergeCell ref="WJS7:WJU7"/>
    <mergeCell ref="WQT7:WQV7"/>
    <mergeCell ref="WQW7:WQY7"/>
    <mergeCell ref="WQZ7:WRB7"/>
    <mergeCell ref="WRC7:WRE7"/>
    <mergeCell ref="WRF7:WRH7"/>
    <mergeCell ref="WQE7:WQG7"/>
    <mergeCell ref="WQH7:WQJ7"/>
    <mergeCell ref="WQK7:WQM7"/>
    <mergeCell ref="WQN7:WQP7"/>
    <mergeCell ref="WQQ7:WQS7"/>
    <mergeCell ref="WPP7:WPR7"/>
    <mergeCell ref="WPS7:WPU7"/>
    <mergeCell ref="WPV7:WPX7"/>
    <mergeCell ref="WPY7:WQA7"/>
    <mergeCell ref="WQB7:WQD7"/>
    <mergeCell ref="WPA7:WPC7"/>
    <mergeCell ref="WPD7:WPF7"/>
    <mergeCell ref="WPG7:WPI7"/>
    <mergeCell ref="WPJ7:WPL7"/>
    <mergeCell ref="WPM7:WPO7"/>
    <mergeCell ref="WOL7:WON7"/>
    <mergeCell ref="WOO7:WOQ7"/>
    <mergeCell ref="WOR7:WOT7"/>
    <mergeCell ref="WOU7:WOW7"/>
    <mergeCell ref="WOX7:WOZ7"/>
    <mergeCell ref="WNW7:WNY7"/>
    <mergeCell ref="WNZ7:WOB7"/>
    <mergeCell ref="WOC7:WOE7"/>
    <mergeCell ref="WOF7:WOH7"/>
    <mergeCell ref="WOI7:WOK7"/>
    <mergeCell ref="WNH7:WNJ7"/>
    <mergeCell ref="WNK7:WNM7"/>
    <mergeCell ref="WNN7:WNP7"/>
    <mergeCell ref="WNQ7:WNS7"/>
    <mergeCell ref="WNT7:WNV7"/>
    <mergeCell ref="WUU7:WUW7"/>
    <mergeCell ref="WUX7:WUZ7"/>
    <mergeCell ref="WVA7:WVC7"/>
    <mergeCell ref="WVD7:WVF7"/>
    <mergeCell ref="WVG7:WVI7"/>
    <mergeCell ref="WUF7:WUH7"/>
    <mergeCell ref="WUI7:WUK7"/>
    <mergeCell ref="WUL7:WUN7"/>
    <mergeCell ref="WUO7:WUQ7"/>
    <mergeCell ref="WUR7:WUT7"/>
    <mergeCell ref="WTQ7:WTS7"/>
    <mergeCell ref="WTT7:WTV7"/>
    <mergeCell ref="WTW7:WTY7"/>
    <mergeCell ref="WTZ7:WUB7"/>
    <mergeCell ref="WUC7:WUE7"/>
    <mergeCell ref="WTB7:WTD7"/>
    <mergeCell ref="WTE7:WTG7"/>
    <mergeCell ref="WTH7:WTJ7"/>
    <mergeCell ref="WTK7:WTM7"/>
    <mergeCell ref="WTN7:WTP7"/>
    <mergeCell ref="WSM7:WSO7"/>
    <mergeCell ref="WSP7:WSR7"/>
    <mergeCell ref="WSS7:WSU7"/>
    <mergeCell ref="WSV7:WSX7"/>
    <mergeCell ref="WSY7:WTA7"/>
    <mergeCell ref="WRX7:WRZ7"/>
    <mergeCell ref="WSA7:WSC7"/>
    <mergeCell ref="WSD7:WSF7"/>
    <mergeCell ref="WSG7:WSI7"/>
    <mergeCell ref="WSJ7:WSL7"/>
    <mergeCell ref="WRI7:WRK7"/>
    <mergeCell ref="WRL7:WRN7"/>
    <mergeCell ref="WRO7:WRQ7"/>
    <mergeCell ref="WRR7:WRT7"/>
    <mergeCell ref="WRU7:WRW7"/>
    <mergeCell ref="WYV7:WYX7"/>
    <mergeCell ref="WYY7:WZA7"/>
    <mergeCell ref="WZB7:WZD7"/>
    <mergeCell ref="WZE7:WZG7"/>
    <mergeCell ref="WZH7:WZJ7"/>
    <mergeCell ref="WYG7:WYI7"/>
    <mergeCell ref="WYJ7:WYL7"/>
    <mergeCell ref="WYM7:WYO7"/>
    <mergeCell ref="WYP7:WYR7"/>
    <mergeCell ref="WYS7:WYU7"/>
    <mergeCell ref="WXR7:WXT7"/>
    <mergeCell ref="WXU7:WXW7"/>
    <mergeCell ref="WXX7:WXZ7"/>
    <mergeCell ref="WYA7:WYC7"/>
    <mergeCell ref="WYD7:WYF7"/>
    <mergeCell ref="WXC7:WXE7"/>
    <mergeCell ref="WXF7:WXH7"/>
    <mergeCell ref="WXI7:WXK7"/>
    <mergeCell ref="WXL7:WXN7"/>
    <mergeCell ref="WXO7:WXQ7"/>
    <mergeCell ref="WWN7:WWP7"/>
    <mergeCell ref="WWQ7:WWS7"/>
    <mergeCell ref="WWT7:WWV7"/>
    <mergeCell ref="WWW7:WWY7"/>
    <mergeCell ref="WWZ7:WXB7"/>
    <mergeCell ref="WVY7:WWA7"/>
    <mergeCell ref="WWB7:WWD7"/>
    <mergeCell ref="WWE7:WWG7"/>
    <mergeCell ref="WWH7:WWJ7"/>
    <mergeCell ref="WWK7:WWM7"/>
    <mergeCell ref="WVJ7:WVL7"/>
    <mergeCell ref="WVM7:WVO7"/>
    <mergeCell ref="WVP7:WVR7"/>
    <mergeCell ref="WVS7:WVU7"/>
    <mergeCell ref="WVV7:WVX7"/>
    <mergeCell ref="M140:M141"/>
    <mergeCell ref="P140:P141"/>
    <mergeCell ref="S140:S141"/>
    <mergeCell ref="V140:V141"/>
    <mergeCell ref="Y140:Y141"/>
    <mergeCell ref="AB140:AB141"/>
    <mergeCell ref="AE140:AE141"/>
    <mergeCell ref="AH140:AH141"/>
    <mergeCell ref="AK140:AK141"/>
    <mergeCell ref="AN140:AN141"/>
    <mergeCell ref="AQ140:AQ141"/>
    <mergeCell ref="AT140:AT141"/>
    <mergeCell ref="AW140:AW141"/>
    <mergeCell ref="AZ140:AZ141"/>
    <mergeCell ref="XEP7:XER7"/>
    <mergeCell ref="XES7:XEU7"/>
    <mergeCell ref="XEV7:XEX7"/>
    <mergeCell ref="XEY7:XFA7"/>
    <mergeCell ref="XFB7:XFD7"/>
    <mergeCell ref="XEA7:XEC7"/>
    <mergeCell ref="XED7:XEF7"/>
    <mergeCell ref="XEG7:XEI7"/>
    <mergeCell ref="XEJ7:XEL7"/>
    <mergeCell ref="XEM7:XEO7"/>
    <mergeCell ref="XDL7:XDN7"/>
    <mergeCell ref="XDO7:XDQ7"/>
    <mergeCell ref="XDR7:XDT7"/>
    <mergeCell ref="XDU7:XDW7"/>
    <mergeCell ref="XDX7:XDZ7"/>
    <mergeCell ref="XCW7:XCY7"/>
    <mergeCell ref="XCZ7:XDB7"/>
    <mergeCell ref="XDC7:XDE7"/>
    <mergeCell ref="XDF7:XDH7"/>
    <mergeCell ref="XDI7:XDK7"/>
    <mergeCell ref="XCH7:XCJ7"/>
    <mergeCell ref="XCK7:XCM7"/>
    <mergeCell ref="XCN7:XCP7"/>
    <mergeCell ref="XCQ7:XCS7"/>
    <mergeCell ref="XCT7:XCV7"/>
    <mergeCell ref="XBS7:XBU7"/>
    <mergeCell ref="XBV7:XBX7"/>
    <mergeCell ref="XBY7:XCA7"/>
    <mergeCell ref="XCB7:XCD7"/>
    <mergeCell ref="XCE7:XCG7"/>
    <mergeCell ref="XBD7:XBF7"/>
    <mergeCell ref="XBG7:XBI7"/>
    <mergeCell ref="XBJ7:XBL7"/>
    <mergeCell ref="XBM7:XBO7"/>
    <mergeCell ref="XBP7:XBR7"/>
    <mergeCell ref="XAO7:XAQ7"/>
    <mergeCell ref="XAR7:XAT7"/>
    <mergeCell ref="XAU7:XAW7"/>
    <mergeCell ref="XAX7:XAZ7"/>
    <mergeCell ref="XBA7:XBC7"/>
    <mergeCell ref="WZZ7:XAB7"/>
    <mergeCell ref="XAC7:XAE7"/>
    <mergeCell ref="XAF7:XAH7"/>
    <mergeCell ref="XAI7:XAK7"/>
    <mergeCell ref="XAL7:XAN7"/>
    <mergeCell ref="WZK7:WZM7"/>
    <mergeCell ref="WZN7:WZP7"/>
    <mergeCell ref="WZQ7:WZS7"/>
    <mergeCell ref="WZT7:WZV7"/>
    <mergeCell ref="WZW7:WZY7"/>
  </mergeCells>
  <conditionalFormatting sqref="J24 M24 P24 S24 V24 Y24 AB24 AE24 AH24 AK24 AN24 AQ24 AT24 AW24 AZ24 BC24 BF24 BI24 BL24 BO24">
    <cfRule type="expression" dxfId="64" priority="105">
      <formula>"sum($E$16:$BJ$16)&lt;&gt;sum('20Yr-Details'!e16:bj16)"</formula>
    </cfRule>
  </conditionalFormatting>
  <conditionalFormatting sqref="J97 M97 P97 S97 V97 Y97 AB97 AE97 AH97 AK97 AN97 AQ97 AT97 AW97 AZ97 BC97 BF97 BI97 BL97 BO97">
    <cfRule type="cellIs" dxfId="63" priority="104" operator="lessThan">
      <formula>0</formula>
    </cfRule>
  </conditionalFormatting>
  <conditionalFormatting sqref="J114 M114 P114 S114 V114 Y114 AB114 AE114 AH114 AK114 AN114 AQ114 AT114 AW114 AZ114 BC114 BF114 BI114 BL114 BO114">
    <cfRule type="cellIs" dxfId="62" priority="103" operator="lessThan">
      <formula>1.1</formula>
    </cfRule>
  </conditionalFormatting>
  <conditionalFormatting sqref="H97:I97">
    <cfRule type="cellIs" dxfId="61" priority="101" operator="lessThan">
      <formula>0</formula>
    </cfRule>
  </conditionalFormatting>
  <conditionalFormatting sqref="K24:L24">
    <cfRule type="expression" dxfId="60" priority="99">
      <formula>"sum($E$16:$BJ$16)&lt;&gt;sum('20Yr-Details'!e16:bj16)"</formula>
    </cfRule>
  </conditionalFormatting>
  <conditionalFormatting sqref="K97:L97">
    <cfRule type="cellIs" dxfId="59" priority="98" operator="lessThan">
      <formula>0</formula>
    </cfRule>
  </conditionalFormatting>
  <conditionalFormatting sqref="N24:O24">
    <cfRule type="expression" dxfId="58" priority="37">
      <formula>"sum($E$16:$BJ$16)&lt;&gt;sum('20Yr-Details'!e16:bj16)"</formula>
    </cfRule>
  </conditionalFormatting>
  <conditionalFormatting sqref="Q24:R24">
    <cfRule type="expression" dxfId="57" priority="36">
      <formula>"sum($E$16:$BJ$16)&lt;&gt;sum('20Yr-Details'!e16:bj16)"</formula>
    </cfRule>
  </conditionalFormatting>
  <conditionalFormatting sqref="T24:U24">
    <cfRule type="expression" dxfId="56" priority="35">
      <formula>"sum($E$16:$BJ$16)&lt;&gt;sum('20Yr-Details'!e16:bj16)"</formula>
    </cfRule>
  </conditionalFormatting>
  <conditionalFormatting sqref="W24:X24">
    <cfRule type="expression" dxfId="55" priority="34">
      <formula>"sum($E$16:$BJ$16)&lt;&gt;sum('20Yr-Details'!e16:bj16)"</formula>
    </cfRule>
  </conditionalFormatting>
  <conditionalFormatting sqref="Z24:AA24">
    <cfRule type="expression" dxfId="54" priority="33">
      <formula>"sum($E$16:$BJ$16)&lt;&gt;sum('20Yr-Details'!e16:bj16)"</formula>
    </cfRule>
  </conditionalFormatting>
  <conditionalFormatting sqref="AC24:AD24">
    <cfRule type="expression" dxfId="53" priority="32">
      <formula>"sum($E$16:$BJ$16)&lt;&gt;sum('20Yr-Details'!e16:bj16)"</formula>
    </cfRule>
  </conditionalFormatting>
  <conditionalFormatting sqref="AF24:AG24">
    <cfRule type="expression" dxfId="52" priority="31">
      <formula>"sum($E$16:$BJ$16)&lt;&gt;sum('20Yr-Details'!e16:bj16)"</formula>
    </cfRule>
  </conditionalFormatting>
  <conditionalFormatting sqref="AI24:AJ24">
    <cfRule type="expression" dxfId="51" priority="30">
      <formula>"sum($E$16:$BJ$16)&lt;&gt;sum('20Yr-Details'!e16:bj16)"</formula>
    </cfRule>
  </conditionalFormatting>
  <conditionalFormatting sqref="AL24:AM24">
    <cfRule type="expression" dxfId="50" priority="29">
      <formula>"sum($E$16:$BJ$16)&lt;&gt;sum('20Yr-Details'!e16:bj16)"</formula>
    </cfRule>
  </conditionalFormatting>
  <conditionalFormatting sqref="AO24:AP24">
    <cfRule type="expression" dxfId="49" priority="28">
      <formula>"sum($E$16:$BJ$16)&lt;&gt;sum('20Yr-Details'!e16:bj16)"</formula>
    </cfRule>
  </conditionalFormatting>
  <conditionalFormatting sqref="AR24:AS24">
    <cfRule type="expression" dxfId="48" priority="27">
      <formula>"sum($E$16:$BJ$16)&lt;&gt;sum('20Yr-Details'!e16:bj16)"</formula>
    </cfRule>
  </conditionalFormatting>
  <conditionalFormatting sqref="AU24:AV24">
    <cfRule type="expression" dxfId="47" priority="26">
      <formula>"sum($E$16:$BJ$16)&lt;&gt;sum('20Yr-Details'!e16:bj16)"</formula>
    </cfRule>
  </conditionalFormatting>
  <conditionalFormatting sqref="AX24:AY24">
    <cfRule type="expression" dxfId="46" priority="25">
      <formula>"sum($E$16:$BJ$16)&lt;&gt;sum('20Yr-Details'!e16:bj16)"</formula>
    </cfRule>
  </conditionalFormatting>
  <conditionalFormatting sqref="BA24:BB24">
    <cfRule type="expression" dxfId="45" priority="24">
      <formula>"sum($E$16:$BJ$16)&lt;&gt;sum('20Yr-Details'!e16:bj16)"</formula>
    </cfRule>
  </conditionalFormatting>
  <conditionalFormatting sqref="BD24:BE24">
    <cfRule type="expression" dxfId="44" priority="23">
      <formula>"sum($E$16:$BJ$16)&lt;&gt;sum('20Yr-Details'!e16:bj16)"</formula>
    </cfRule>
  </conditionalFormatting>
  <conditionalFormatting sqref="BG24:BH24">
    <cfRule type="expression" dxfId="43" priority="22">
      <formula>"sum($E$16:$BJ$16)&lt;&gt;sum('20Yr-Details'!e16:bj16)"</formula>
    </cfRule>
  </conditionalFormatting>
  <conditionalFormatting sqref="BJ24:BK24">
    <cfRule type="expression" dxfId="42" priority="21">
      <formula>"sum($E$16:$BJ$16)&lt;&gt;sum('20Yr-Details'!e16:bj16)"</formula>
    </cfRule>
  </conditionalFormatting>
  <conditionalFormatting sqref="BM24:BN24">
    <cfRule type="expression" dxfId="41" priority="20">
      <formula>"sum($E$16:$BJ$16)&lt;&gt;sum('20Yr-Details'!e16:bj16)"</formula>
    </cfRule>
  </conditionalFormatting>
  <conditionalFormatting sqref="H24:I24">
    <cfRule type="expression" dxfId="40" priority="19">
      <formula>"sum($E$16:$BJ$16)&lt;&gt;sum('20Yr-Details'!e16:bj16)"</formula>
    </cfRule>
  </conditionalFormatting>
  <conditionalFormatting sqref="N97:O97">
    <cfRule type="cellIs" dxfId="39" priority="18" operator="lessThan">
      <formula>0</formula>
    </cfRule>
  </conditionalFormatting>
  <conditionalFormatting sqref="Q97:R97">
    <cfRule type="cellIs" dxfId="38" priority="17" operator="lessThan">
      <formula>0</formula>
    </cfRule>
  </conditionalFormatting>
  <conditionalFormatting sqref="T97:U97">
    <cfRule type="cellIs" dxfId="37" priority="16" operator="lessThan">
      <formula>0</formula>
    </cfRule>
  </conditionalFormatting>
  <conditionalFormatting sqref="W97:X97">
    <cfRule type="cellIs" dxfId="36" priority="15" operator="lessThan">
      <formula>0</formula>
    </cfRule>
  </conditionalFormatting>
  <conditionalFormatting sqref="Z97:AA97">
    <cfRule type="cellIs" dxfId="35" priority="14" operator="lessThan">
      <formula>0</formula>
    </cfRule>
  </conditionalFormatting>
  <conditionalFormatting sqref="AC97:AD97">
    <cfRule type="cellIs" dxfId="34" priority="13" operator="lessThan">
      <formula>0</formula>
    </cfRule>
  </conditionalFormatting>
  <conditionalFormatting sqref="AF97:AG97">
    <cfRule type="cellIs" dxfId="33" priority="12" operator="lessThan">
      <formula>0</formula>
    </cfRule>
  </conditionalFormatting>
  <conditionalFormatting sqref="AI97:AJ97">
    <cfRule type="cellIs" dxfId="32" priority="11" operator="lessThan">
      <formula>0</formula>
    </cfRule>
  </conditionalFormatting>
  <conditionalFormatting sqref="AL97:AM97">
    <cfRule type="cellIs" dxfId="31" priority="10" operator="lessThan">
      <formula>0</formula>
    </cfRule>
  </conditionalFormatting>
  <conditionalFormatting sqref="AO97:AP97">
    <cfRule type="cellIs" dxfId="30" priority="9" operator="lessThan">
      <formula>0</formula>
    </cfRule>
  </conditionalFormatting>
  <conditionalFormatting sqref="AR97:AS97">
    <cfRule type="cellIs" dxfId="29" priority="8" operator="lessThan">
      <formula>0</formula>
    </cfRule>
  </conditionalFormatting>
  <conditionalFormatting sqref="AU97:AV97">
    <cfRule type="cellIs" dxfId="28" priority="7" operator="lessThan">
      <formula>0</formula>
    </cfRule>
  </conditionalFormatting>
  <conditionalFormatting sqref="AX97:AY97">
    <cfRule type="cellIs" dxfId="27" priority="6" operator="lessThan">
      <formula>0</formula>
    </cfRule>
  </conditionalFormatting>
  <conditionalFormatting sqref="BA97:BB97">
    <cfRule type="cellIs" dxfId="26" priority="5" operator="lessThan">
      <formula>0</formula>
    </cfRule>
  </conditionalFormatting>
  <conditionalFormatting sqref="BD97:BE97">
    <cfRule type="cellIs" dxfId="25" priority="4" operator="lessThan">
      <formula>0</formula>
    </cfRule>
  </conditionalFormatting>
  <conditionalFormatting sqref="BG97:BH97">
    <cfRule type="cellIs" dxfId="24" priority="3" operator="lessThan">
      <formula>0</formula>
    </cfRule>
  </conditionalFormatting>
  <conditionalFormatting sqref="BJ97:BK97">
    <cfRule type="cellIs" dxfId="23" priority="2" operator="lessThan">
      <formula>0</formula>
    </cfRule>
  </conditionalFormatting>
  <conditionalFormatting sqref="BM97:BN97">
    <cfRule type="cellIs" dxfId="22" priority="1" operator="lessThan">
      <formula>0</formula>
    </cfRule>
  </conditionalFormatting>
  <dataValidations disablePrompts="1" count="1">
    <dataValidation operator="lessThan" allowBlank="1" showInputMessage="1" sqref="M155 S155 BL155 P155 V155 Y155 AB155 AE155 AH155 AK155 AN155 AQ155 AT155 AW155 AZ155 BC155 BF155 BI155 BO155" xr:uid="{00000000-0002-0000-0B00-000000000000}"/>
  </dataValidations>
  <pageMargins left="0.7" right="0.7" top="0.4" bottom="0.4" header="0.25" footer="0.25"/>
  <pageSetup paperSize="5" scale="40" fitToWidth="2" orientation="portrait" r:id="rId3"/>
  <headerFooter>
    <oddHeader>&amp;CMOHCD Proforma - 20 Year Cash Flow</oddHeader>
    <oddFooter>&amp;R&amp;P of &amp;N</oddFooter>
  </headerFooter>
  <legacy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theme="3" tint="0.59999389629810485"/>
  </sheetPr>
  <dimension ref="A1:BO195"/>
  <sheetViews>
    <sheetView topLeftCell="A2" zoomScaleNormal="100" workbookViewId="0">
      <pane xSplit="9" ySplit="7" topLeftCell="J114" activePane="bottomRight" state="frozen"/>
      <selection activeCell="C2" sqref="C2"/>
      <selection pane="topRight" activeCell="J2" sqref="J2"/>
      <selection pane="bottomLeft" activeCell="C9" sqref="C9"/>
      <selection pane="bottomRight" activeCell="C2" sqref="C2"/>
    </sheetView>
  </sheetViews>
  <sheetFormatPr defaultColWidth="9.109375" defaultRowHeight="12" customHeight="1" zeroHeight="1" outlineLevelRow="1"/>
  <cols>
    <col min="1" max="2" width="9.109375" hidden="1" customWidth="1"/>
    <col min="3" max="3" width="72.44140625" customWidth="1"/>
    <col min="4" max="4" width="9.109375" hidden="1" customWidth="1"/>
    <col min="5" max="5" width="9.44140625" hidden="1" customWidth="1"/>
    <col min="6" max="6" width="8.88671875" customWidth="1"/>
    <col min="7" max="7" width="9.109375" hidden="1" customWidth="1"/>
    <col min="8" max="9" width="11.6640625" hidden="1" customWidth="1"/>
    <col min="10" max="10" width="10.6640625" customWidth="1"/>
    <col min="11" max="12" width="11.6640625" hidden="1" customWidth="1"/>
    <col min="13" max="13" width="10.6640625" customWidth="1"/>
    <col min="14" max="15" width="11.6640625" hidden="1" customWidth="1"/>
    <col min="16" max="16" width="10.6640625" customWidth="1"/>
    <col min="17" max="18" width="11.6640625" hidden="1" customWidth="1"/>
    <col min="19" max="19" width="10.6640625" customWidth="1"/>
    <col min="20" max="21" width="11.6640625" hidden="1" customWidth="1"/>
    <col min="22" max="22" width="10.6640625" customWidth="1"/>
    <col min="23" max="24" width="11.6640625" hidden="1" customWidth="1"/>
    <col min="25" max="25" width="10.6640625" customWidth="1"/>
    <col min="26" max="27" width="11.6640625" hidden="1" customWidth="1"/>
    <col min="28" max="28" width="10.6640625" customWidth="1"/>
    <col min="29" max="30" width="11.6640625" hidden="1" customWidth="1"/>
    <col min="31" max="31" width="10.6640625" customWidth="1"/>
    <col min="32" max="33" width="11.6640625" hidden="1" customWidth="1"/>
    <col min="34" max="34" width="10.6640625" customWidth="1"/>
    <col min="35" max="36" width="11.6640625" hidden="1" customWidth="1"/>
    <col min="37" max="37" width="10.6640625" customWidth="1"/>
    <col min="38" max="39" width="11.6640625" hidden="1" customWidth="1"/>
    <col min="40" max="40" width="10.6640625" customWidth="1"/>
    <col min="41" max="42" width="11.6640625" hidden="1" customWidth="1"/>
    <col min="43" max="43" width="10.6640625" customWidth="1"/>
    <col min="44" max="45" width="11.6640625" hidden="1" customWidth="1"/>
    <col min="46" max="46" width="10.6640625" customWidth="1"/>
    <col min="47" max="48" width="11.6640625" hidden="1" customWidth="1"/>
    <col min="49" max="49" width="10.6640625" customWidth="1"/>
    <col min="50" max="51" width="11.6640625" hidden="1" customWidth="1"/>
    <col min="52" max="52" width="10.6640625" customWidth="1"/>
    <col min="53" max="54" width="11.6640625" hidden="1" customWidth="1"/>
    <col min="55" max="55" width="10.6640625" customWidth="1"/>
    <col min="56" max="57" width="11.6640625" hidden="1" customWidth="1"/>
    <col min="58" max="58" width="10.6640625" customWidth="1"/>
    <col min="59" max="60" width="11.6640625" hidden="1" customWidth="1"/>
    <col min="61" max="61" width="10.6640625" customWidth="1"/>
    <col min="62" max="63" width="11.6640625" hidden="1" customWidth="1"/>
    <col min="64" max="64" width="10.6640625" customWidth="1"/>
    <col min="65" max="66" width="11.6640625" hidden="1" customWidth="1"/>
    <col min="67" max="67" width="10.6640625" customWidth="1"/>
    <col min="68" max="68" width="9.109375" customWidth="1"/>
  </cols>
  <sheetData>
    <row r="1" spans="1:67" ht="12" hidden="1" customHeight="1">
      <c r="C1" s="656"/>
      <c r="D1" s="5"/>
      <c r="E1" s="5"/>
      <c r="F1" s="5"/>
      <c r="G1" s="657"/>
      <c r="H1" s="657"/>
      <c r="I1" s="657"/>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332"/>
      <c r="BM1" s="332"/>
      <c r="BN1" s="332"/>
      <c r="BO1" s="5"/>
    </row>
    <row r="2" spans="1:67" ht="12" customHeight="1">
      <c r="C2" s="907" t="str">
        <f>'6.1stYrOpBudget'!$H$4</f>
        <v/>
      </c>
      <c r="D2" s="5"/>
      <c r="E2" s="5"/>
      <c r="F2" s="6" t="str">
        <f>'7a.20YrDetails'!C4</f>
        <v/>
      </c>
      <c r="G2" s="657"/>
      <c r="H2" s="657"/>
      <c r="I2" s="657"/>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332"/>
      <c r="BM2" s="332"/>
      <c r="BN2" s="332"/>
      <c r="BO2" s="5"/>
    </row>
    <row r="3" spans="1:67" ht="15.6">
      <c r="C3" s="1326" t="str">
        <f>'6.1stYrOpBudget'!$A$5</f>
        <v>Total # Units:</v>
      </c>
      <c r="D3" s="5"/>
      <c r="E3" s="161"/>
      <c r="F3" s="774">
        <f>'6.1stYrOpBudget'!$B$5</f>
        <v>0</v>
      </c>
      <c r="G3" s="657"/>
      <c r="H3" s="657"/>
      <c r="I3" s="657"/>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332"/>
      <c r="BM3" s="332"/>
      <c r="BN3" s="332"/>
      <c r="BO3" s="5"/>
    </row>
    <row r="4" spans="1:67" ht="15.6">
      <c r="C4" s="2040" t="str">
        <f>'6.1stYrOpBudget'!$H$4</f>
        <v/>
      </c>
      <c r="D4" s="487"/>
      <c r="E4" s="2350" t="str">
        <f>'6.1stYrOpBudget'!D4</f>
        <v>LOSP Units</v>
      </c>
      <c r="F4" s="2350" t="str">
        <f>'6.1stYrOpBudget'!E4</f>
        <v>Non-LOSP Units</v>
      </c>
      <c r="G4" s="657"/>
      <c r="H4" s="657"/>
      <c r="I4" s="657"/>
      <c r="J4" s="756">
        <f>'7a.20YrDetails'!J4</f>
        <v>1</v>
      </c>
      <c r="K4" s="2042"/>
      <c r="L4" s="2042"/>
      <c r="M4" s="756">
        <f>'7a.20YrDetails'!M4</f>
        <v>2</v>
      </c>
      <c r="N4" s="2042"/>
      <c r="O4" s="2042"/>
      <c r="P4" s="756">
        <f>'7a.20YrDetails'!P4</f>
        <v>3</v>
      </c>
      <c r="Q4" s="2042"/>
      <c r="R4" s="2042"/>
      <c r="S4" s="756">
        <f>'7a.20YrDetails'!S4</f>
        <v>4</v>
      </c>
      <c r="T4" s="2042"/>
      <c r="U4" s="2042"/>
      <c r="V4" s="756">
        <f>'7a.20YrDetails'!V4</f>
        <v>5</v>
      </c>
      <c r="W4" s="2042"/>
      <c r="X4" s="2042"/>
      <c r="Y4" s="756">
        <f>'7a.20YrDetails'!Y4</f>
        <v>6</v>
      </c>
      <c r="Z4" s="2042"/>
      <c r="AA4" s="2042"/>
      <c r="AB4" s="756">
        <f>'7a.20YrDetails'!AB4</f>
        <v>7</v>
      </c>
      <c r="AC4" s="2042"/>
      <c r="AD4" s="2042"/>
      <c r="AE4" s="756">
        <f>'7a.20YrDetails'!AE4</f>
        <v>8</v>
      </c>
      <c r="AF4" s="2042"/>
      <c r="AG4" s="2042"/>
      <c r="AH4" s="756">
        <f>'7a.20YrDetails'!AH4</f>
        <v>9</v>
      </c>
      <c r="AI4" s="2042"/>
      <c r="AJ4" s="2042"/>
      <c r="AK4" s="756">
        <f>'7a.20YrDetails'!AK4</f>
        <v>10</v>
      </c>
      <c r="AL4" s="2042"/>
      <c r="AM4" s="2042"/>
      <c r="AN4" s="756">
        <f>'7a.20YrDetails'!AN4</f>
        <v>11</v>
      </c>
      <c r="AO4" s="2042"/>
      <c r="AP4" s="2042"/>
      <c r="AQ4" s="756">
        <f>'7a.20YrDetails'!AQ4</f>
        <v>12</v>
      </c>
      <c r="AR4" s="2042"/>
      <c r="AS4" s="2042"/>
      <c r="AT4" s="756">
        <f>'7a.20YrDetails'!AT4</f>
        <v>13</v>
      </c>
      <c r="AU4" s="2042"/>
      <c r="AV4" s="2042"/>
      <c r="AW4" s="756">
        <f>'7a.20YrDetails'!AW4</f>
        <v>14</v>
      </c>
      <c r="AX4" s="2042"/>
      <c r="AY4" s="2042"/>
      <c r="AZ4" s="756">
        <f>'7a.20YrDetails'!AZ4</f>
        <v>15</v>
      </c>
      <c r="BA4" s="2042"/>
      <c r="BB4" s="2042"/>
      <c r="BC4" s="756">
        <f>'7a.20YrDetails'!BC4</f>
        <v>16</v>
      </c>
      <c r="BD4" s="2042"/>
      <c r="BE4" s="2042"/>
      <c r="BF4" s="756">
        <f>'7a.20YrDetails'!BF4</f>
        <v>17</v>
      </c>
      <c r="BG4" s="2042"/>
      <c r="BH4" s="2042"/>
      <c r="BI4" s="756">
        <f>'7a.20YrDetails'!BI4</f>
        <v>18</v>
      </c>
      <c r="BJ4" s="2042"/>
      <c r="BK4" s="2042"/>
      <c r="BL4" s="756">
        <f>'7a.20YrDetails'!BL4</f>
        <v>19</v>
      </c>
      <c r="BM4" s="2042"/>
      <c r="BN4" s="2042"/>
      <c r="BO4" s="756">
        <f>'7a.20YrDetails'!BO4</f>
        <v>20</v>
      </c>
    </row>
    <row r="5" spans="1:67" ht="39.75" customHeight="1">
      <c r="C5" s="2032" t="str">
        <f>'6.1stYrOpBudget'!$A$5</f>
        <v>Total # Units:</v>
      </c>
      <c r="D5" s="487"/>
      <c r="E5" s="2351"/>
      <c r="F5" s="2351"/>
      <c r="G5" s="57"/>
      <c r="H5" s="57"/>
      <c r="I5" s="57"/>
      <c r="J5" s="2034">
        <f>'7a.20YrDetails'!J5</f>
        <v>0</v>
      </c>
      <c r="K5" s="2043"/>
      <c r="L5" s="2043"/>
      <c r="M5" s="2034">
        <f>'7a.20YrDetails'!M5</f>
        <v>1</v>
      </c>
      <c r="N5" s="2043"/>
      <c r="O5" s="2043"/>
      <c r="P5" s="2034">
        <f>'7a.20YrDetails'!P5</f>
        <v>2</v>
      </c>
      <c r="Q5" s="2043"/>
      <c r="R5" s="2043"/>
      <c r="S5" s="2034">
        <f>'7a.20YrDetails'!S5</f>
        <v>3</v>
      </c>
      <c r="T5" s="2043"/>
      <c r="U5" s="2043"/>
      <c r="V5" s="2034">
        <f>'7a.20YrDetails'!V5</f>
        <v>4</v>
      </c>
      <c r="W5" s="2043"/>
      <c r="X5" s="2043"/>
      <c r="Y5" s="2034">
        <f>'7a.20YrDetails'!Y5</f>
        <v>5</v>
      </c>
      <c r="Z5" s="2043"/>
      <c r="AA5" s="2043"/>
      <c r="AB5" s="2034">
        <f>'7a.20YrDetails'!AB5</f>
        <v>6</v>
      </c>
      <c r="AC5" s="2043"/>
      <c r="AD5" s="2043"/>
      <c r="AE5" s="2034">
        <f>'7a.20YrDetails'!AE5</f>
        <v>7</v>
      </c>
      <c r="AF5" s="2043"/>
      <c r="AG5" s="2043"/>
      <c r="AH5" s="2034">
        <f>'7a.20YrDetails'!AH5</f>
        <v>8</v>
      </c>
      <c r="AI5" s="2043"/>
      <c r="AJ5" s="2043"/>
      <c r="AK5" s="2034">
        <f>'7a.20YrDetails'!AK5</f>
        <v>9</v>
      </c>
      <c r="AL5" s="2043"/>
      <c r="AM5" s="2043"/>
      <c r="AN5" s="2034">
        <f>'7a.20YrDetails'!AN5</f>
        <v>10</v>
      </c>
      <c r="AO5" s="2043"/>
      <c r="AP5" s="2043"/>
      <c r="AQ5" s="2034">
        <f>'7a.20YrDetails'!AQ5</f>
        <v>11</v>
      </c>
      <c r="AR5" s="2043"/>
      <c r="AS5" s="2043"/>
      <c r="AT5" s="2034">
        <f>'7a.20YrDetails'!AT5</f>
        <v>12</v>
      </c>
      <c r="AU5" s="2043"/>
      <c r="AV5" s="2043"/>
      <c r="AW5" s="2034">
        <f>'7a.20YrDetails'!AW5</f>
        <v>13</v>
      </c>
      <c r="AX5" s="2043"/>
      <c r="AY5" s="2043"/>
      <c r="AZ5" s="2034">
        <f>'7a.20YrDetails'!AZ5</f>
        <v>14</v>
      </c>
      <c r="BA5" s="2043"/>
      <c r="BB5" s="2043"/>
      <c r="BC5" s="2034">
        <f>'7a.20YrDetails'!BC5</f>
        <v>15</v>
      </c>
      <c r="BD5" s="2043"/>
      <c r="BE5" s="2043"/>
      <c r="BF5" s="2034">
        <f>'7a.20YrDetails'!BF5</f>
        <v>16</v>
      </c>
      <c r="BG5" s="2043"/>
      <c r="BH5" s="2043"/>
      <c r="BI5" s="2034">
        <f>'7a.20YrDetails'!BI5</f>
        <v>17</v>
      </c>
      <c r="BJ5" s="2043"/>
      <c r="BK5" s="2043"/>
      <c r="BL5" s="2034">
        <f>'7a.20YrDetails'!BL5</f>
        <v>18</v>
      </c>
      <c r="BM5" s="2043"/>
      <c r="BN5" s="2043"/>
      <c r="BO5" s="2034">
        <f>'7a.20YrDetails'!BO5</f>
        <v>19</v>
      </c>
    </row>
    <row r="6" spans="1:67" s="911" customFormat="1" ht="15.6" hidden="1">
      <c r="A6"/>
      <c r="B6"/>
      <c r="C6" s="798">
        <f>'6.1stYrOpBudget'!$B$5</f>
        <v>0</v>
      </c>
      <c r="D6" s="58"/>
      <c r="E6" s="795">
        <f>'1.GeneralProjectInfo'!$E$58</f>
        <v>0</v>
      </c>
      <c r="F6" s="796">
        <f>C6-E6</f>
        <v>0</v>
      </c>
      <c r="G6" s="45"/>
      <c r="H6" s="2336">
        <f>'7a.20YrDetails'!H6</f>
        <v>1</v>
      </c>
      <c r="I6" s="2337"/>
      <c r="J6" s="2341"/>
      <c r="K6" s="2339">
        <f>'7a.20YrDetails'!K6</f>
        <v>2</v>
      </c>
      <c r="L6" s="2340"/>
      <c r="M6" s="2341"/>
      <c r="N6" s="2339">
        <f>'7a.20YrDetails'!N6</f>
        <v>3</v>
      </c>
      <c r="O6" s="2340"/>
      <c r="P6" s="2341"/>
      <c r="Q6" s="2339">
        <f>'7a.20YrDetails'!Q6</f>
        <v>4</v>
      </c>
      <c r="R6" s="2340"/>
      <c r="S6" s="2341"/>
      <c r="T6" s="2339">
        <f>'7a.20YrDetails'!T6</f>
        <v>5</v>
      </c>
      <c r="U6" s="2340"/>
      <c r="V6" s="2341"/>
      <c r="W6" s="2339">
        <f>'7a.20YrDetails'!W6</f>
        <v>6</v>
      </c>
      <c r="X6" s="2340"/>
      <c r="Y6" s="2341"/>
      <c r="Z6" s="2339">
        <f>'7a.20YrDetails'!Z6</f>
        <v>7</v>
      </c>
      <c r="AA6" s="2340"/>
      <c r="AB6" s="2341"/>
      <c r="AC6" s="2339">
        <f>'7a.20YrDetails'!AC6</f>
        <v>8</v>
      </c>
      <c r="AD6" s="2340"/>
      <c r="AE6" s="2341"/>
      <c r="AF6" s="2339">
        <f>'7a.20YrDetails'!AF6</f>
        <v>9</v>
      </c>
      <c r="AG6" s="2340"/>
      <c r="AH6" s="2341"/>
      <c r="AI6" s="2339">
        <f>'7a.20YrDetails'!AI6</f>
        <v>10</v>
      </c>
      <c r="AJ6" s="2340"/>
      <c r="AK6" s="2341"/>
      <c r="AL6" s="2339">
        <f>'7a.20YrDetails'!AL6</f>
        <v>11</v>
      </c>
      <c r="AM6" s="2340"/>
      <c r="AN6" s="2341"/>
      <c r="AO6" s="2339">
        <f>'7a.20YrDetails'!AO6</f>
        <v>12</v>
      </c>
      <c r="AP6" s="2340"/>
      <c r="AQ6" s="2341"/>
      <c r="AR6" s="2339">
        <f>'7a.20YrDetails'!AR6</f>
        <v>13</v>
      </c>
      <c r="AS6" s="2340"/>
      <c r="AT6" s="2341"/>
      <c r="AU6" s="2339">
        <f>'7a.20YrDetails'!AU6</f>
        <v>14</v>
      </c>
      <c r="AV6" s="2340"/>
      <c r="AW6" s="2341"/>
      <c r="AX6" s="2339">
        <f>'7a.20YrDetails'!AX6</f>
        <v>15</v>
      </c>
      <c r="AY6" s="2340"/>
      <c r="AZ6" s="2341"/>
      <c r="BA6" s="2339">
        <f>'7a.20YrDetails'!BA6</f>
        <v>16</v>
      </c>
      <c r="BB6" s="2340"/>
      <c r="BC6" s="2341"/>
      <c r="BD6" s="2339">
        <f>'7a.20YrDetails'!BD6</f>
        <v>17</v>
      </c>
      <c r="BE6" s="2340"/>
      <c r="BF6" s="2341"/>
      <c r="BG6" s="2339">
        <f>'7a.20YrDetails'!BG6</f>
        <v>18</v>
      </c>
      <c r="BH6" s="2340"/>
      <c r="BI6" s="2341"/>
      <c r="BJ6" s="2339">
        <f>'7a.20YrDetails'!BJ6</f>
        <v>19</v>
      </c>
      <c r="BK6" s="2340"/>
      <c r="BL6" s="2341"/>
      <c r="BM6" s="2339">
        <f>'7a.20YrDetails'!BM6</f>
        <v>20</v>
      </c>
      <c r="BN6" s="2340"/>
      <c r="BO6" s="2341"/>
    </row>
    <row r="7" spans="1:67" s="912" customFormat="1" ht="17.399999999999999" hidden="1">
      <c r="A7"/>
      <c r="B7"/>
      <c r="C7" s="913"/>
      <c r="D7" s="5"/>
      <c r="E7" s="797">
        <f>'6.1stYrOpBudget'!D7</f>
        <v>0</v>
      </c>
      <c r="F7" s="797">
        <f>'6.1stYrOpBudget'!E7</f>
        <v>0</v>
      </c>
      <c r="G7" s="5"/>
      <c r="H7" s="2333">
        <f>'7a.20YrDetails'!H7</f>
        <v>0</v>
      </c>
      <c r="I7" s="2334"/>
      <c r="J7" s="2346"/>
      <c r="K7" s="2333">
        <f>'7a.20YrDetails'!K7</f>
        <v>1</v>
      </c>
      <c r="L7" s="2334"/>
      <c r="M7" s="2335"/>
      <c r="N7" s="2333">
        <f>'7a.20YrDetails'!N7</f>
        <v>2</v>
      </c>
      <c r="O7" s="2334"/>
      <c r="P7" s="2335"/>
      <c r="Q7" s="2333">
        <f>'7a.20YrDetails'!Q7</f>
        <v>3</v>
      </c>
      <c r="R7" s="2334"/>
      <c r="S7" s="2335"/>
      <c r="T7" s="2333">
        <f>'7a.20YrDetails'!T7</f>
        <v>4</v>
      </c>
      <c r="U7" s="2334"/>
      <c r="V7" s="2335"/>
      <c r="W7" s="2333">
        <f>'7a.20YrDetails'!W7</f>
        <v>5</v>
      </c>
      <c r="X7" s="2334"/>
      <c r="Y7" s="2335"/>
      <c r="Z7" s="2333">
        <f>'7a.20YrDetails'!Z7</f>
        <v>6</v>
      </c>
      <c r="AA7" s="2334"/>
      <c r="AB7" s="2335"/>
      <c r="AC7" s="2333">
        <f>'7a.20YrDetails'!AC7</f>
        <v>7</v>
      </c>
      <c r="AD7" s="2334"/>
      <c r="AE7" s="2335"/>
      <c r="AF7" s="2333">
        <f>'7a.20YrDetails'!AF7</f>
        <v>8</v>
      </c>
      <c r="AG7" s="2334"/>
      <c r="AH7" s="2335"/>
      <c r="AI7" s="2333">
        <f>'7a.20YrDetails'!AI7</f>
        <v>9</v>
      </c>
      <c r="AJ7" s="2334"/>
      <c r="AK7" s="2335"/>
      <c r="AL7" s="2333">
        <f>'7a.20YrDetails'!AL7</f>
        <v>10</v>
      </c>
      <c r="AM7" s="2334"/>
      <c r="AN7" s="2335"/>
      <c r="AO7" s="2333">
        <f>'7a.20YrDetails'!AO7</f>
        <v>11</v>
      </c>
      <c r="AP7" s="2334"/>
      <c r="AQ7" s="2335"/>
      <c r="AR7" s="2333">
        <f>'7a.20YrDetails'!AR7</f>
        <v>12</v>
      </c>
      <c r="AS7" s="2334"/>
      <c r="AT7" s="2335"/>
      <c r="AU7" s="2333">
        <f>'7a.20YrDetails'!AU7</f>
        <v>13</v>
      </c>
      <c r="AV7" s="2334"/>
      <c r="AW7" s="2335"/>
      <c r="AX7" s="2333">
        <f>'7a.20YrDetails'!AX7</f>
        <v>14</v>
      </c>
      <c r="AY7" s="2334"/>
      <c r="AZ7" s="2335"/>
      <c r="BA7" s="2333">
        <f>'7a.20YrDetails'!BA7</f>
        <v>15</v>
      </c>
      <c r="BB7" s="2334"/>
      <c r="BC7" s="2335"/>
      <c r="BD7" s="2333">
        <f>'7a.20YrDetails'!BD7</f>
        <v>16</v>
      </c>
      <c r="BE7" s="2334"/>
      <c r="BF7" s="2335"/>
      <c r="BG7" s="2333">
        <f>'7a.20YrDetails'!BG7</f>
        <v>17</v>
      </c>
      <c r="BH7" s="2334"/>
      <c r="BI7" s="2335"/>
      <c r="BJ7" s="2333">
        <f>'7a.20YrDetails'!BJ7</f>
        <v>18</v>
      </c>
      <c r="BK7" s="2334"/>
      <c r="BL7" s="2335"/>
      <c r="BM7" s="2333">
        <f>'7a.20YrDetails'!BM7</f>
        <v>19</v>
      </c>
      <c r="BN7" s="2334"/>
      <c r="BO7" s="2335"/>
    </row>
    <row r="8" spans="1:67" ht="27.75" customHeight="1">
      <c r="C8" s="6" t="str">
        <f>'7a.20YrDetails'!C8</f>
        <v>INCOME</v>
      </c>
      <c r="D8" s="9">
        <f>'7a.20YrDetails'!D8</f>
        <v>0</v>
      </c>
      <c r="E8" s="1090" t="str">
        <f>'7a.20YrDetails'!E8</f>
        <v>% annual inc LOSP</v>
      </c>
      <c r="F8" s="112" t="str">
        <f>'7a.20YrDetails'!F8</f>
        <v>% annual increase</v>
      </c>
      <c r="G8" s="111" t="str">
        <f>'7a.20YrDetails'!G8</f>
        <v>Comments 
(related to annual inc assumptions)</v>
      </c>
      <c r="H8" s="908" t="str">
        <f>'7a.20YrDetails'!H8</f>
        <v>LOSP</v>
      </c>
      <c r="I8" s="909" t="str">
        <f>'7a.20YrDetails'!I8</f>
        <v>non-LOSP</v>
      </c>
      <c r="J8" s="2041" t="str">
        <f>'7a.20YrDetails'!J8</f>
        <v xml:space="preserve">Total </v>
      </c>
      <c r="K8" s="1094" t="str">
        <f>'7a.20YrDetails'!K8</f>
        <v>LOSP</v>
      </c>
      <c r="L8" s="909" t="str">
        <f>'7a.20YrDetails'!L8</f>
        <v>non-LOSP</v>
      </c>
      <c r="M8" s="910" t="str">
        <f>'7a.20YrDetails'!M8</f>
        <v xml:space="preserve">Total </v>
      </c>
      <c r="N8" s="908" t="str">
        <f>'7a.20YrDetails'!N8</f>
        <v>LOSP</v>
      </c>
      <c r="O8" s="909" t="str">
        <f>'7a.20YrDetails'!O8</f>
        <v>non-LOSP</v>
      </c>
      <c r="P8" s="910" t="str">
        <f>'7a.20YrDetails'!P8</f>
        <v xml:space="preserve">Total </v>
      </c>
      <c r="Q8" s="908" t="str">
        <f>'7a.20YrDetails'!Q8</f>
        <v>LOSP</v>
      </c>
      <c r="R8" s="909" t="str">
        <f>'7a.20YrDetails'!R8</f>
        <v>non-LOSP</v>
      </c>
      <c r="S8" s="910" t="str">
        <f>'7a.20YrDetails'!S8</f>
        <v xml:space="preserve">Total </v>
      </c>
      <c r="T8" s="908" t="str">
        <f>'7a.20YrDetails'!T8</f>
        <v>LOSP</v>
      </c>
      <c r="U8" s="909" t="str">
        <f>'7a.20YrDetails'!U8</f>
        <v>non-LOSP</v>
      </c>
      <c r="V8" s="910" t="str">
        <f>'7a.20YrDetails'!V8</f>
        <v xml:space="preserve">Total </v>
      </c>
      <c r="W8" s="908" t="str">
        <f>'7a.20YrDetails'!W8</f>
        <v>LOSP</v>
      </c>
      <c r="X8" s="909" t="str">
        <f>'7a.20YrDetails'!X8</f>
        <v>non-LOSP</v>
      </c>
      <c r="Y8" s="910" t="str">
        <f>'7a.20YrDetails'!Y8</f>
        <v xml:space="preserve">Total </v>
      </c>
      <c r="Z8" s="908" t="str">
        <f>'7a.20YrDetails'!Z8</f>
        <v>LOSP</v>
      </c>
      <c r="AA8" s="909" t="str">
        <f>'7a.20YrDetails'!AA8</f>
        <v>non-LOSP</v>
      </c>
      <c r="AB8" s="910" t="str">
        <f>'7a.20YrDetails'!AB8</f>
        <v xml:space="preserve">Total </v>
      </c>
      <c r="AC8" s="908" t="str">
        <f>'7a.20YrDetails'!AC8</f>
        <v>LOSP</v>
      </c>
      <c r="AD8" s="909" t="str">
        <f>'7a.20YrDetails'!AD8</f>
        <v>non-LOSP</v>
      </c>
      <c r="AE8" s="910" t="str">
        <f>'7a.20YrDetails'!AE8</f>
        <v xml:space="preserve">Total </v>
      </c>
      <c r="AF8" s="908" t="str">
        <f>'7a.20YrDetails'!AF8</f>
        <v>LOSP</v>
      </c>
      <c r="AG8" s="909" t="str">
        <f>'7a.20YrDetails'!AG8</f>
        <v>non-LOSP</v>
      </c>
      <c r="AH8" s="910" t="str">
        <f>'7a.20YrDetails'!AH8</f>
        <v xml:space="preserve">Total </v>
      </c>
      <c r="AI8" s="908" t="str">
        <f>'7a.20YrDetails'!AI8</f>
        <v>LOSP</v>
      </c>
      <c r="AJ8" s="909" t="str">
        <f>'7a.20YrDetails'!AJ8</f>
        <v>non-LOSP</v>
      </c>
      <c r="AK8" s="910" t="str">
        <f>'7a.20YrDetails'!AK8</f>
        <v xml:space="preserve">Total </v>
      </c>
      <c r="AL8" s="908" t="str">
        <f>'7a.20YrDetails'!AL8</f>
        <v>LOSP</v>
      </c>
      <c r="AM8" s="909" t="str">
        <f>'7a.20YrDetails'!AM8</f>
        <v>non-LOSP</v>
      </c>
      <c r="AN8" s="910" t="str">
        <f>'7a.20YrDetails'!AN8</f>
        <v xml:space="preserve">Total </v>
      </c>
      <c r="AO8" s="908" t="str">
        <f>'7a.20YrDetails'!AO8</f>
        <v>LOSP</v>
      </c>
      <c r="AP8" s="909" t="str">
        <f>'7a.20YrDetails'!AP8</f>
        <v>non-LOSP</v>
      </c>
      <c r="AQ8" s="910" t="str">
        <f>'7a.20YrDetails'!AQ8</f>
        <v xml:space="preserve">Total </v>
      </c>
      <c r="AR8" s="908" t="str">
        <f>'7a.20YrDetails'!AR8</f>
        <v>LOSP</v>
      </c>
      <c r="AS8" s="909" t="str">
        <f>'7a.20YrDetails'!AS8</f>
        <v>non-LOSP</v>
      </c>
      <c r="AT8" s="910" t="str">
        <f>'7a.20YrDetails'!AT8</f>
        <v xml:space="preserve">Total </v>
      </c>
      <c r="AU8" s="908" t="str">
        <f>'7a.20YrDetails'!AU8</f>
        <v>LOSP</v>
      </c>
      <c r="AV8" s="909" t="str">
        <f>'7a.20YrDetails'!AV8</f>
        <v>non-LOSP</v>
      </c>
      <c r="AW8" s="910" t="str">
        <f>'7a.20YrDetails'!AW8</f>
        <v xml:space="preserve">Total </v>
      </c>
      <c r="AX8" s="908" t="str">
        <f>'7a.20YrDetails'!AX8</f>
        <v>LOSP</v>
      </c>
      <c r="AY8" s="909" t="str">
        <f>'7a.20YrDetails'!AY8</f>
        <v>non-LOSP</v>
      </c>
      <c r="AZ8" s="910" t="str">
        <f>'7a.20YrDetails'!AZ8</f>
        <v xml:space="preserve">Total </v>
      </c>
      <c r="BA8" s="908" t="str">
        <f>'7a.20YrDetails'!BA8</f>
        <v>LOSP</v>
      </c>
      <c r="BB8" s="909" t="str">
        <f>'7a.20YrDetails'!BB8</f>
        <v>non-LOSP</v>
      </c>
      <c r="BC8" s="910" t="str">
        <f>'7a.20YrDetails'!BC8</f>
        <v xml:space="preserve">Total </v>
      </c>
      <c r="BD8" s="908" t="str">
        <f>'7a.20YrDetails'!BD8</f>
        <v>LOSP</v>
      </c>
      <c r="BE8" s="909" t="str">
        <f>'7a.20YrDetails'!BE8</f>
        <v>non-LOSP</v>
      </c>
      <c r="BF8" s="910" t="str">
        <f>'7a.20YrDetails'!BF8</f>
        <v xml:space="preserve">Total </v>
      </c>
      <c r="BG8" s="908" t="str">
        <f>'7a.20YrDetails'!BG8</f>
        <v>LOSP</v>
      </c>
      <c r="BH8" s="909" t="str">
        <f>'7a.20YrDetails'!BH8</f>
        <v>non-LOSP</v>
      </c>
      <c r="BI8" s="910" t="str">
        <f>'7a.20YrDetails'!BI8</f>
        <v xml:space="preserve">Total </v>
      </c>
      <c r="BJ8" s="908" t="str">
        <f>'7a.20YrDetails'!BJ8</f>
        <v>LOSP</v>
      </c>
      <c r="BK8" s="909" t="str">
        <f>'7a.20YrDetails'!BK8</f>
        <v>non-LOSP</v>
      </c>
      <c r="BL8" s="910" t="str">
        <f>'7a.20YrDetails'!BL8</f>
        <v xml:space="preserve">Total </v>
      </c>
      <c r="BM8" s="908" t="str">
        <f>'7a.20YrDetails'!BM8</f>
        <v>LOSP</v>
      </c>
      <c r="BN8" s="909" t="str">
        <f>'7a.20YrDetails'!BN8</f>
        <v>non-LOSP</v>
      </c>
      <c r="BO8" s="910" t="str">
        <f>'7a.20YrDetails'!BO8</f>
        <v xml:space="preserve">Total </v>
      </c>
    </row>
    <row r="9" spans="1:67" ht="12" customHeight="1">
      <c r="C9" s="10" t="str">
        <f>'7a.20YrDetails'!C9</f>
        <v>Residential - Tenant Rents</v>
      </c>
      <c r="D9" s="8">
        <f>'7a.20YrDetails'!D9</f>
        <v>5120</v>
      </c>
      <c r="E9" s="20">
        <f>'7a.20YrDetails'!E9</f>
        <v>0.01</v>
      </c>
      <c r="F9" s="20">
        <f>'7a.20YrDetails'!F9</f>
        <v>2.5000000000000001E-2</v>
      </c>
      <c r="G9" s="46" t="str">
        <f>IF('7a.20YrDetails'!$G9="","",'7a.20YrDetails'!$G9)</f>
        <v/>
      </c>
      <c r="H9" s="109">
        <f>'7a.20YrDetails'!H9</f>
        <v>0</v>
      </c>
      <c r="I9" s="109">
        <f>'7a.20YrDetails'!I9</f>
        <v>0</v>
      </c>
      <c r="J9" s="1095">
        <f>'7a.20YrDetails'!J9</f>
        <v>0</v>
      </c>
      <c r="K9" s="109">
        <f>'7a.20YrDetails'!K9</f>
        <v>0</v>
      </c>
      <c r="L9" s="109">
        <f>'7a.20YrDetails'!L9</f>
        <v>0</v>
      </c>
      <c r="M9" s="109">
        <f>'7a.20YrDetails'!M9</f>
        <v>0</v>
      </c>
      <c r="N9" s="109">
        <f>'7a.20YrDetails'!N9</f>
        <v>0</v>
      </c>
      <c r="O9" s="109">
        <f>'7a.20YrDetails'!O9</f>
        <v>0</v>
      </c>
      <c r="P9" s="109">
        <f>'7a.20YrDetails'!P9</f>
        <v>0</v>
      </c>
      <c r="Q9" s="109">
        <f>'7a.20YrDetails'!Q9</f>
        <v>0</v>
      </c>
      <c r="R9" s="109">
        <f>'7a.20YrDetails'!R9</f>
        <v>0</v>
      </c>
      <c r="S9" s="109">
        <f>'7a.20YrDetails'!S9</f>
        <v>0</v>
      </c>
      <c r="T9" s="109">
        <f>'7a.20YrDetails'!T9</f>
        <v>0</v>
      </c>
      <c r="U9" s="109">
        <f>'7a.20YrDetails'!U9</f>
        <v>0</v>
      </c>
      <c r="V9" s="109">
        <f>'7a.20YrDetails'!V9</f>
        <v>0</v>
      </c>
      <c r="W9" s="109">
        <f>'7a.20YrDetails'!W9</f>
        <v>0</v>
      </c>
      <c r="X9" s="109">
        <f>'7a.20YrDetails'!X9</f>
        <v>0</v>
      </c>
      <c r="Y9" s="109">
        <f>'7a.20YrDetails'!Y9</f>
        <v>0</v>
      </c>
      <c r="Z9" s="109">
        <f>'7a.20YrDetails'!Z9</f>
        <v>0</v>
      </c>
      <c r="AA9" s="109">
        <f>'7a.20YrDetails'!AA9</f>
        <v>0</v>
      </c>
      <c r="AB9" s="109">
        <f>'7a.20YrDetails'!AB9</f>
        <v>0</v>
      </c>
      <c r="AC9" s="109">
        <f>'7a.20YrDetails'!AC9</f>
        <v>0</v>
      </c>
      <c r="AD9" s="109">
        <f>'7a.20YrDetails'!AD9</f>
        <v>0</v>
      </c>
      <c r="AE9" s="109">
        <f>'7a.20YrDetails'!AE9</f>
        <v>0</v>
      </c>
      <c r="AF9" s="109">
        <f>'7a.20YrDetails'!AF9</f>
        <v>0</v>
      </c>
      <c r="AG9" s="109">
        <f>'7a.20YrDetails'!AG9</f>
        <v>0</v>
      </c>
      <c r="AH9" s="109">
        <f>'7a.20YrDetails'!AH9</f>
        <v>0</v>
      </c>
      <c r="AI9" s="109">
        <f>'7a.20YrDetails'!AI9</f>
        <v>0</v>
      </c>
      <c r="AJ9" s="109">
        <f>'7a.20YrDetails'!AJ9</f>
        <v>0</v>
      </c>
      <c r="AK9" s="109">
        <f>'7a.20YrDetails'!AK9</f>
        <v>0</v>
      </c>
      <c r="AL9" s="109">
        <f>'7a.20YrDetails'!AL9</f>
        <v>0</v>
      </c>
      <c r="AM9" s="109">
        <f>'7a.20YrDetails'!AM9</f>
        <v>0</v>
      </c>
      <c r="AN9" s="109">
        <f>'7a.20YrDetails'!AN9</f>
        <v>0</v>
      </c>
      <c r="AO9" s="109">
        <f>'7a.20YrDetails'!AO9</f>
        <v>0</v>
      </c>
      <c r="AP9" s="109">
        <f>'7a.20YrDetails'!AP9</f>
        <v>0</v>
      </c>
      <c r="AQ9" s="109">
        <f>'7a.20YrDetails'!AQ9</f>
        <v>0</v>
      </c>
      <c r="AR9" s="109">
        <f>'7a.20YrDetails'!AR9</f>
        <v>0</v>
      </c>
      <c r="AS9" s="109">
        <f>'7a.20YrDetails'!AS9</f>
        <v>0</v>
      </c>
      <c r="AT9" s="109">
        <f>'7a.20YrDetails'!AT9</f>
        <v>0</v>
      </c>
      <c r="AU9" s="109">
        <f>'7a.20YrDetails'!AU9</f>
        <v>0</v>
      </c>
      <c r="AV9" s="109">
        <f>'7a.20YrDetails'!AV9</f>
        <v>0</v>
      </c>
      <c r="AW9" s="109">
        <f>'7a.20YrDetails'!AW9</f>
        <v>0</v>
      </c>
      <c r="AX9" s="109">
        <f>'7a.20YrDetails'!AX9</f>
        <v>0</v>
      </c>
      <c r="AY9" s="109">
        <f>'7a.20YrDetails'!AY9</f>
        <v>0</v>
      </c>
      <c r="AZ9" s="109">
        <f>'7a.20YrDetails'!AZ9</f>
        <v>0</v>
      </c>
      <c r="BA9" s="109">
        <f>'7a.20YrDetails'!BA9</f>
        <v>0</v>
      </c>
      <c r="BB9" s="109">
        <f>'7a.20YrDetails'!BB9</f>
        <v>0</v>
      </c>
      <c r="BC9" s="109">
        <f>'7a.20YrDetails'!BC9</f>
        <v>0</v>
      </c>
      <c r="BD9" s="109">
        <f>'7a.20YrDetails'!BD9</f>
        <v>0</v>
      </c>
      <c r="BE9" s="109">
        <f>'7a.20YrDetails'!BE9</f>
        <v>0</v>
      </c>
      <c r="BF9" s="109">
        <f>'7a.20YrDetails'!BF9</f>
        <v>0</v>
      </c>
      <c r="BG9" s="109">
        <f>'7a.20YrDetails'!BG9</f>
        <v>0</v>
      </c>
      <c r="BH9" s="109">
        <f>'7a.20YrDetails'!BH9</f>
        <v>0</v>
      </c>
      <c r="BI9" s="109">
        <f>'7a.20YrDetails'!BI9</f>
        <v>0</v>
      </c>
      <c r="BJ9" s="109">
        <f>'7a.20YrDetails'!BJ9</f>
        <v>0</v>
      </c>
      <c r="BK9" s="109">
        <f>'7a.20YrDetails'!BK9</f>
        <v>0</v>
      </c>
      <c r="BL9" s="109">
        <f>'7a.20YrDetails'!BL9</f>
        <v>0</v>
      </c>
      <c r="BM9" s="109">
        <f>'7a.20YrDetails'!BM9</f>
        <v>0</v>
      </c>
      <c r="BN9" s="109">
        <f>'7a.20YrDetails'!BN9</f>
        <v>0</v>
      </c>
      <c r="BO9" s="109">
        <f>'7a.20YrDetails'!BO9</f>
        <v>0</v>
      </c>
    </row>
    <row r="10" spans="1:67" ht="12" customHeight="1">
      <c r="C10" s="10" t="s">
        <v>1651</v>
      </c>
      <c r="D10" s="8"/>
      <c r="E10" s="20"/>
      <c r="F10" s="20">
        <v>0.04</v>
      </c>
      <c r="G10" s="46"/>
      <c r="H10" s="109"/>
      <c r="I10" s="109"/>
      <c r="J10" s="1095">
        <f>SOS!F6</f>
        <v>0</v>
      </c>
      <c r="K10" s="109"/>
      <c r="L10" s="109"/>
      <c r="M10" s="109">
        <f>J10*(1+$F$10)</f>
        <v>0</v>
      </c>
      <c r="N10" s="109">
        <f t="shared" ref="N10:BO10" si="0">K10*(1+$F$10)</f>
        <v>0</v>
      </c>
      <c r="O10" s="109">
        <f t="shared" si="0"/>
        <v>0</v>
      </c>
      <c r="P10" s="109">
        <f t="shared" si="0"/>
        <v>0</v>
      </c>
      <c r="Q10" s="109">
        <f t="shared" si="0"/>
        <v>0</v>
      </c>
      <c r="R10" s="109">
        <f t="shared" si="0"/>
        <v>0</v>
      </c>
      <c r="S10" s="109">
        <f t="shared" si="0"/>
        <v>0</v>
      </c>
      <c r="T10" s="109">
        <f t="shared" si="0"/>
        <v>0</v>
      </c>
      <c r="U10" s="109">
        <f t="shared" si="0"/>
        <v>0</v>
      </c>
      <c r="V10" s="109">
        <f t="shared" si="0"/>
        <v>0</v>
      </c>
      <c r="W10" s="109">
        <f t="shared" si="0"/>
        <v>0</v>
      </c>
      <c r="X10" s="109">
        <f t="shared" si="0"/>
        <v>0</v>
      </c>
      <c r="Y10" s="109">
        <f t="shared" si="0"/>
        <v>0</v>
      </c>
      <c r="Z10" s="109">
        <f t="shared" si="0"/>
        <v>0</v>
      </c>
      <c r="AA10" s="109">
        <f t="shared" si="0"/>
        <v>0</v>
      </c>
      <c r="AB10" s="109">
        <f t="shared" si="0"/>
        <v>0</v>
      </c>
      <c r="AC10" s="109">
        <f t="shared" si="0"/>
        <v>0</v>
      </c>
      <c r="AD10" s="109">
        <f t="shared" si="0"/>
        <v>0</v>
      </c>
      <c r="AE10" s="109">
        <f t="shared" si="0"/>
        <v>0</v>
      </c>
      <c r="AF10" s="109">
        <f t="shared" si="0"/>
        <v>0</v>
      </c>
      <c r="AG10" s="109">
        <f t="shared" si="0"/>
        <v>0</v>
      </c>
      <c r="AH10" s="109">
        <f t="shared" si="0"/>
        <v>0</v>
      </c>
      <c r="AI10" s="109">
        <f t="shared" si="0"/>
        <v>0</v>
      </c>
      <c r="AJ10" s="109">
        <f t="shared" si="0"/>
        <v>0</v>
      </c>
      <c r="AK10" s="109">
        <f t="shared" si="0"/>
        <v>0</v>
      </c>
      <c r="AL10" s="109">
        <f t="shared" si="0"/>
        <v>0</v>
      </c>
      <c r="AM10" s="109">
        <f t="shared" si="0"/>
        <v>0</v>
      </c>
      <c r="AN10" s="109">
        <f t="shared" si="0"/>
        <v>0</v>
      </c>
      <c r="AO10" s="109">
        <f t="shared" si="0"/>
        <v>0</v>
      </c>
      <c r="AP10" s="109">
        <f t="shared" si="0"/>
        <v>0</v>
      </c>
      <c r="AQ10" s="109">
        <f t="shared" si="0"/>
        <v>0</v>
      </c>
      <c r="AR10" s="109">
        <f t="shared" si="0"/>
        <v>0</v>
      </c>
      <c r="AS10" s="109">
        <f t="shared" si="0"/>
        <v>0</v>
      </c>
      <c r="AT10" s="109">
        <f t="shared" si="0"/>
        <v>0</v>
      </c>
      <c r="AU10" s="109">
        <f t="shared" si="0"/>
        <v>0</v>
      </c>
      <c r="AV10" s="109">
        <f t="shared" si="0"/>
        <v>0</v>
      </c>
      <c r="AW10" s="109">
        <f t="shared" si="0"/>
        <v>0</v>
      </c>
      <c r="AX10" s="109">
        <f t="shared" si="0"/>
        <v>0</v>
      </c>
      <c r="AY10" s="109">
        <f t="shared" si="0"/>
        <v>0</v>
      </c>
      <c r="AZ10" s="109">
        <f t="shared" si="0"/>
        <v>0</v>
      </c>
      <c r="BA10" s="109">
        <f t="shared" si="0"/>
        <v>0</v>
      </c>
      <c r="BB10" s="109">
        <f t="shared" si="0"/>
        <v>0</v>
      </c>
      <c r="BC10" s="109">
        <f t="shared" si="0"/>
        <v>0</v>
      </c>
      <c r="BD10" s="109">
        <f t="shared" si="0"/>
        <v>0</v>
      </c>
      <c r="BE10" s="109">
        <f t="shared" si="0"/>
        <v>0</v>
      </c>
      <c r="BF10" s="109">
        <f t="shared" si="0"/>
        <v>0</v>
      </c>
      <c r="BG10" s="109">
        <f t="shared" si="0"/>
        <v>0</v>
      </c>
      <c r="BH10" s="109">
        <f t="shared" si="0"/>
        <v>0</v>
      </c>
      <c r="BI10" s="109">
        <f t="shared" si="0"/>
        <v>0</v>
      </c>
      <c r="BJ10" s="109">
        <f t="shared" si="0"/>
        <v>0</v>
      </c>
      <c r="BK10" s="109">
        <f t="shared" si="0"/>
        <v>0</v>
      </c>
      <c r="BL10" s="109">
        <f t="shared" si="0"/>
        <v>0</v>
      </c>
      <c r="BM10" s="109">
        <f t="shared" si="0"/>
        <v>0</v>
      </c>
      <c r="BN10" s="109">
        <f t="shared" si="0"/>
        <v>0</v>
      </c>
      <c r="BO10" s="109">
        <f t="shared" si="0"/>
        <v>0</v>
      </c>
    </row>
    <row r="11" spans="1:67" ht="12" customHeight="1">
      <c r="C11" s="10" t="str">
        <f>'7a.20YrDetails'!C11</f>
        <v>Residential - Tenant Assistance Payments (Other Non-LOSP)</v>
      </c>
      <c r="D11" s="8">
        <f>'7a.20YrDetails'!D11</f>
        <v>0</v>
      </c>
      <c r="E11" s="20" t="str">
        <f>'7a.20YrDetails'!E11</f>
        <v>n/a</v>
      </c>
      <c r="F11" s="20" t="str">
        <f>'7a.20YrDetails'!F11</f>
        <v>n/a</v>
      </c>
      <c r="G11" s="46" t="str">
        <f>IF('7a.20YrDetails'!$G11="","",'7a.20YrDetails'!$G11)</f>
        <v/>
      </c>
      <c r="H11" s="109">
        <f>'7a.20YrDetails'!H11</f>
        <v>0</v>
      </c>
      <c r="I11" s="109">
        <f>'7a.20YrDetails'!I11</f>
        <v>0</v>
      </c>
      <c r="J11" s="109">
        <f>'7a.20YrDetails'!J11</f>
        <v>0</v>
      </c>
      <c r="K11" s="109">
        <f>'7a.20YrDetails'!K11</f>
        <v>0</v>
      </c>
      <c r="L11" s="109">
        <f>'7a.20YrDetails'!L11</f>
        <v>0</v>
      </c>
      <c r="M11" s="109">
        <f>'7a.20YrDetails'!M11</f>
        <v>0</v>
      </c>
      <c r="N11" s="109">
        <f>'7a.20YrDetails'!N11</f>
        <v>0</v>
      </c>
      <c r="O11" s="109">
        <f>'7a.20YrDetails'!O11</f>
        <v>0</v>
      </c>
      <c r="P11" s="109">
        <f>'7a.20YrDetails'!P11</f>
        <v>0</v>
      </c>
      <c r="Q11" s="109">
        <f>'7a.20YrDetails'!Q11</f>
        <v>0</v>
      </c>
      <c r="R11" s="109">
        <f>'7a.20YrDetails'!R11</f>
        <v>0</v>
      </c>
      <c r="S11" s="109">
        <f>'7a.20YrDetails'!S11</f>
        <v>0</v>
      </c>
      <c r="T11" s="109">
        <f>'7a.20YrDetails'!T11</f>
        <v>0</v>
      </c>
      <c r="U11" s="109">
        <f>'7a.20YrDetails'!U11</f>
        <v>0</v>
      </c>
      <c r="V11" s="109">
        <f>'7a.20YrDetails'!V11</f>
        <v>0</v>
      </c>
      <c r="W11" s="109">
        <f>'7a.20YrDetails'!W11</f>
        <v>0</v>
      </c>
      <c r="X11" s="109">
        <f>'7a.20YrDetails'!X11</f>
        <v>0</v>
      </c>
      <c r="Y11" s="109">
        <f>'7a.20YrDetails'!Y11</f>
        <v>0</v>
      </c>
      <c r="Z11" s="109">
        <f>'7a.20YrDetails'!Z11</f>
        <v>0</v>
      </c>
      <c r="AA11" s="109">
        <f>'7a.20YrDetails'!AA11</f>
        <v>0</v>
      </c>
      <c r="AB11" s="109">
        <f>'7a.20YrDetails'!AB11</f>
        <v>0</v>
      </c>
      <c r="AC11" s="109">
        <f>'7a.20YrDetails'!AC11</f>
        <v>0</v>
      </c>
      <c r="AD11" s="109">
        <f>'7a.20YrDetails'!AD11</f>
        <v>0</v>
      </c>
      <c r="AE11" s="109">
        <f>'7a.20YrDetails'!AE11</f>
        <v>0</v>
      </c>
      <c r="AF11" s="109">
        <f>'7a.20YrDetails'!AF11</f>
        <v>0</v>
      </c>
      <c r="AG11" s="109">
        <f>'7a.20YrDetails'!AG11</f>
        <v>0</v>
      </c>
      <c r="AH11" s="109">
        <f>'7a.20YrDetails'!AH11</f>
        <v>0</v>
      </c>
      <c r="AI11" s="109">
        <f>'7a.20YrDetails'!AI11</f>
        <v>0</v>
      </c>
      <c r="AJ11" s="109">
        <f>'7a.20YrDetails'!AJ11</f>
        <v>0</v>
      </c>
      <c r="AK11" s="109">
        <f>'7a.20YrDetails'!AK11</f>
        <v>0</v>
      </c>
      <c r="AL11" s="109">
        <f>'7a.20YrDetails'!AL11</f>
        <v>0</v>
      </c>
      <c r="AM11" s="109">
        <f>'7a.20YrDetails'!AM11</f>
        <v>0</v>
      </c>
      <c r="AN11" s="109">
        <f>'7a.20YrDetails'!AN11</f>
        <v>0</v>
      </c>
      <c r="AO11" s="109">
        <f>'7a.20YrDetails'!AO11</f>
        <v>0</v>
      </c>
      <c r="AP11" s="109">
        <f>'7a.20YrDetails'!AP11</f>
        <v>0</v>
      </c>
      <c r="AQ11" s="109">
        <f>'7a.20YrDetails'!AQ11</f>
        <v>0</v>
      </c>
      <c r="AR11" s="109">
        <f>'7a.20YrDetails'!AR11</f>
        <v>0</v>
      </c>
      <c r="AS11" s="109">
        <f>'7a.20YrDetails'!AS11</f>
        <v>0</v>
      </c>
      <c r="AT11" s="109">
        <f>'7a.20YrDetails'!AT11</f>
        <v>0</v>
      </c>
      <c r="AU11" s="109">
        <f>'7a.20YrDetails'!AU11</f>
        <v>0</v>
      </c>
      <c r="AV11" s="109">
        <f>'7a.20YrDetails'!AV11</f>
        <v>0</v>
      </c>
      <c r="AW11" s="109">
        <f>'7a.20YrDetails'!AW11</f>
        <v>0</v>
      </c>
      <c r="AX11" s="109">
        <f>'7a.20YrDetails'!AX11</f>
        <v>0</v>
      </c>
      <c r="AY11" s="109">
        <f>'7a.20YrDetails'!AY11</f>
        <v>0</v>
      </c>
      <c r="AZ11" s="109">
        <f>'7a.20YrDetails'!AZ11</f>
        <v>0</v>
      </c>
      <c r="BA11" s="109">
        <f>'7a.20YrDetails'!BA11</f>
        <v>0</v>
      </c>
      <c r="BB11" s="109">
        <f>'7a.20YrDetails'!BB11</f>
        <v>0</v>
      </c>
      <c r="BC11" s="109">
        <f>'7a.20YrDetails'!BC11</f>
        <v>0</v>
      </c>
      <c r="BD11" s="109">
        <f>'7a.20YrDetails'!BD11</f>
        <v>0</v>
      </c>
      <c r="BE11" s="109">
        <f>'7a.20YrDetails'!BE11</f>
        <v>0</v>
      </c>
      <c r="BF11" s="109">
        <f>'7a.20YrDetails'!BF11</f>
        <v>0</v>
      </c>
      <c r="BG11" s="109">
        <f>'7a.20YrDetails'!BG11</f>
        <v>0</v>
      </c>
      <c r="BH11" s="109">
        <f>'7a.20YrDetails'!BH11</f>
        <v>0</v>
      </c>
      <c r="BI11" s="109">
        <f>'7a.20YrDetails'!BI11</f>
        <v>0</v>
      </c>
      <c r="BJ11" s="109">
        <f>'7a.20YrDetails'!BJ11</f>
        <v>0</v>
      </c>
      <c r="BK11" s="109">
        <f>'7a.20YrDetails'!BK11</f>
        <v>0</v>
      </c>
      <c r="BL11" s="109">
        <f>'7a.20YrDetails'!BL11</f>
        <v>0</v>
      </c>
      <c r="BM11" s="109">
        <f>'7a.20YrDetails'!BM11</f>
        <v>0</v>
      </c>
      <c r="BN11" s="109">
        <f>'7a.20YrDetails'!BN11</f>
        <v>0</v>
      </c>
      <c r="BO11" s="109">
        <f>'7a.20YrDetails'!BO11</f>
        <v>0</v>
      </c>
    </row>
    <row r="12" spans="1:67" ht="12" hidden="1" customHeight="1">
      <c r="C12" s="10" t="str">
        <f>'7a.20YrDetails'!C12</f>
        <v>Residential - LOSP Tenant Assistance Payments</v>
      </c>
      <c r="D12" s="8">
        <f>'7a.20YrDetails'!D12</f>
        <v>0</v>
      </c>
      <c r="E12" s="20" t="str">
        <f>'7a.20YrDetails'!E12</f>
        <v>n/a</v>
      </c>
      <c r="F12" s="20" t="str">
        <f>'7a.20YrDetails'!F12</f>
        <v>n/a</v>
      </c>
      <c r="G12" s="46" t="str">
        <f>IF('7a.20YrDetails'!$G12="","",'7a.20YrDetails'!$G12)</f>
        <v/>
      </c>
      <c r="H12" s="109">
        <f>'7a.20YrDetails'!H12</f>
        <v>0</v>
      </c>
      <c r="I12" s="109">
        <f>'7a.20YrDetails'!I12</f>
        <v>0</v>
      </c>
      <c r="J12" s="109">
        <f>'7a.20YrDetails'!J12</f>
        <v>0</v>
      </c>
      <c r="K12" s="109">
        <f>'7a.20YrDetails'!K12</f>
        <v>0</v>
      </c>
      <c r="L12" s="109">
        <f>'7a.20YrDetails'!L12</f>
        <v>0</v>
      </c>
      <c r="M12" s="109">
        <f>'7a.20YrDetails'!M12</f>
        <v>0</v>
      </c>
      <c r="N12" s="109">
        <f>'7a.20YrDetails'!N12</f>
        <v>0</v>
      </c>
      <c r="O12" s="109">
        <f>'7a.20YrDetails'!O12</f>
        <v>0</v>
      </c>
      <c r="P12" s="109">
        <f>'7a.20YrDetails'!P12</f>
        <v>0</v>
      </c>
      <c r="Q12" s="109">
        <f>'7a.20YrDetails'!Q12</f>
        <v>0</v>
      </c>
      <c r="R12" s="109">
        <f>'7a.20YrDetails'!R12</f>
        <v>0</v>
      </c>
      <c r="S12" s="109">
        <f>'7a.20YrDetails'!S12</f>
        <v>0</v>
      </c>
      <c r="T12" s="109">
        <f>'7a.20YrDetails'!T12</f>
        <v>0</v>
      </c>
      <c r="U12" s="109">
        <f>'7a.20YrDetails'!U12</f>
        <v>0</v>
      </c>
      <c r="V12" s="109">
        <f>'7a.20YrDetails'!V12</f>
        <v>0</v>
      </c>
      <c r="W12" s="109">
        <f>'7a.20YrDetails'!W12</f>
        <v>0</v>
      </c>
      <c r="X12" s="109">
        <f>'7a.20YrDetails'!X12</f>
        <v>0</v>
      </c>
      <c r="Y12" s="109">
        <f>'7a.20YrDetails'!Y12</f>
        <v>0</v>
      </c>
      <c r="Z12" s="109">
        <f>'7a.20YrDetails'!Z12</f>
        <v>0</v>
      </c>
      <c r="AA12" s="109">
        <f>'7a.20YrDetails'!AA12</f>
        <v>0</v>
      </c>
      <c r="AB12" s="109">
        <f>'7a.20YrDetails'!AB12</f>
        <v>0</v>
      </c>
      <c r="AC12" s="109">
        <f>'7a.20YrDetails'!AC12</f>
        <v>0</v>
      </c>
      <c r="AD12" s="109">
        <f>'7a.20YrDetails'!AD12</f>
        <v>0</v>
      </c>
      <c r="AE12" s="109">
        <f>'7a.20YrDetails'!AE12</f>
        <v>0</v>
      </c>
      <c r="AF12" s="109">
        <f>'7a.20YrDetails'!AF12</f>
        <v>0</v>
      </c>
      <c r="AG12" s="109">
        <f>'7a.20YrDetails'!AG12</f>
        <v>0</v>
      </c>
      <c r="AH12" s="109">
        <f>'7a.20YrDetails'!AH12</f>
        <v>0</v>
      </c>
      <c r="AI12" s="109">
        <f>'7a.20YrDetails'!AI12</f>
        <v>0</v>
      </c>
      <c r="AJ12" s="109">
        <f>'7a.20YrDetails'!AJ12</f>
        <v>0</v>
      </c>
      <c r="AK12" s="109">
        <f>'7a.20YrDetails'!AK12</f>
        <v>0</v>
      </c>
      <c r="AL12" s="109">
        <f>'7a.20YrDetails'!AL12</f>
        <v>0</v>
      </c>
      <c r="AM12" s="109">
        <f>'7a.20YrDetails'!AM12</f>
        <v>0</v>
      </c>
      <c r="AN12" s="109">
        <f>'7a.20YrDetails'!AN12</f>
        <v>0</v>
      </c>
      <c r="AO12" s="109">
        <f>'7a.20YrDetails'!AO12</f>
        <v>0</v>
      </c>
      <c r="AP12" s="109">
        <f>'7a.20YrDetails'!AP12</f>
        <v>0</v>
      </c>
      <c r="AQ12" s="109">
        <f>'7a.20YrDetails'!AQ12</f>
        <v>0</v>
      </c>
      <c r="AR12" s="109">
        <f>'7a.20YrDetails'!AR12</f>
        <v>0</v>
      </c>
      <c r="AS12" s="109">
        <f>'7a.20YrDetails'!AS12</f>
        <v>0</v>
      </c>
      <c r="AT12" s="109">
        <f>'7a.20YrDetails'!AT12</f>
        <v>0</v>
      </c>
      <c r="AU12" s="109">
        <f>'7a.20YrDetails'!AU12</f>
        <v>0</v>
      </c>
      <c r="AV12" s="109">
        <f>'7a.20YrDetails'!AV12</f>
        <v>0</v>
      </c>
      <c r="AW12" s="109">
        <f>'7a.20YrDetails'!AW12</f>
        <v>0</v>
      </c>
      <c r="AX12" s="109">
        <f>'7a.20YrDetails'!AX12</f>
        <v>0</v>
      </c>
      <c r="AY12" s="109">
        <f>'7a.20YrDetails'!AY12</f>
        <v>0</v>
      </c>
      <c r="AZ12" s="109">
        <f>'7a.20YrDetails'!AZ12</f>
        <v>0</v>
      </c>
      <c r="BA12" s="109">
        <f>'7a.20YrDetails'!BA12</f>
        <v>0</v>
      </c>
      <c r="BB12" s="109">
        <f>'7a.20YrDetails'!BB12</f>
        <v>0</v>
      </c>
      <c r="BC12" s="109">
        <f>'7a.20YrDetails'!BC12</f>
        <v>0</v>
      </c>
      <c r="BD12" s="109">
        <f>'7a.20YrDetails'!BD12</f>
        <v>0</v>
      </c>
      <c r="BE12" s="109">
        <f>'7a.20YrDetails'!BE12</f>
        <v>0</v>
      </c>
      <c r="BF12" s="109">
        <f>'7a.20YrDetails'!BF12</f>
        <v>0</v>
      </c>
      <c r="BG12" s="109">
        <f>'7a.20YrDetails'!BG12</f>
        <v>0</v>
      </c>
      <c r="BH12" s="109">
        <f>'7a.20YrDetails'!BH12</f>
        <v>0</v>
      </c>
      <c r="BI12" s="109">
        <f>'7a.20YrDetails'!BI12</f>
        <v>0</v>
      </c>
      <c r="BJ12" s="109">
        <f>'7a.20YrDetails'!BJ12</f>
        <v>0</v>
      </c>
      <c r="BK12" s="109">
        <f>'7a.20YrDetails'!BK12</f>
        <v>0</v>
      </c>
      <c r="BL12" s="109">
        <f>'7a.20YrDetails'!BL12</f>
        <v>0</v>
      </c>
      <c r="BM12" s="109">
        <f>'7a.20YrDetails'!BM12</f>
        <v>0</v>
      </c>
      <c r="BN12" s="109">
        <f>'7a.20YrDetails'!BN12</f>
        <v>0</v>
      </c>
      <c r="BO12" s="109">
        <f>'7a.20YrDetails'!BO12</f>
        <v>0</v>
      </c>
    </row>
    <row r="13" spans="1:67" ht="12" customHeight="1" outlineLevel="1">
      <c r="C13" s="10" t="str">
        <f>'7a.20YrDetails'!C13</f>
        <v>Commercial Space</v>
      </c>
      <c r="D13" s="8">
        <f>'7a.20YrDetails'!D13</f>
        <v>5140</v>
      </c>
      <c r="E13" s="20" t="str">
        <f>'7a.20YrDetails'!E13</f>
        <v>n/a</v>
      </c>
      <c r="F13" s="20">
        <f>'7a.20YrDetails'!F13</f>
        <v>2.5000000000000001E-2</v>
      </c>
      <c r="G13" s="46" t="str">
        <f>IF('7a.20YrDetails'!$G13="","",'7a.20YrDetails'!$G13)</f>
        <v>from 'Commercial Op. Budget' Worksheet; Commercial to Residential allocation: 100%</v>
      </c>
      <c r="H13" s="109">
        <f>'7a.20YrDetails'!H13</f>
        <v>0</v>
      </c>
      <c r="I13" s="109">
        <f>'7a.20YrDetails'!I13</f>
        <v>0</v>
      </c>
      <c r="J13" s="109">
        <f>'7a.20YrDetails'!J13</f>
        <v>0</v>
      </c>
      <c r="K13" s="109">
        <f>'7a.20YrDetails'!K13</f>
        <v>0</v>
      </c>
      <c r="L13" s="109">
        <f>'7a.20YrDetails'!L13</f>
        <v>0</v>
      </c>
      <c r="M13" s="109">
        <f>'7a.20YrDetails'!M13</f>
        <v>0</v>
      </c>
      <c r="N13" s="109">
        <f>'7a.20YrDetails'!N13</f>
        <v>0</v>
      </c>
      <c r="O13" s="109">
        <f>'7a.20YrDetails'!O13</f>
        <v>0</v>
      </c>
      <c r="P13" s="109">
        <f>'7a.20YrDetails'!P13</f>
        <v>0</v>
      </c>
      <c r="Q13" s="109">
        <f>'7a.20YrDetails'!Q13</f>
        <v>0</v>
      </c>
      <c r="R13" s="109">
        <f>'7a.20YrDetails'!R13</f>
        <v>0</v>
      </c>
      <c r="S13" s="109">
        <f>'7a.20YrDetails'!S13</f>
        <v>0</v>
      </c>
      <c r="T13" s="109">
        <f>'7a.20YrDetails'!T13</f>
        <v>0</v>
      </c>
      <c r="U13" s="109">
        <f>'7a.20YrDetails'!U13</f>
        <v>0</v>
      </c>
      <c r="V13" s="109">
        <f>'7a.20YrDetails'!V13</f>
        <v>0</v>
      </c>
      <c r="W13" s="109">
        <f>'7a.20YrDetails'!W13</f>
        <v>0</v>
      </c>
      <c r="X13" s="109">
        <f>'7a.20YrDetails'!X13</f>
        <v>0</v>
      </c>
      <c r="Y13" s="109">
        <f>'7a.20YrDetails'!Y13</f>
        <v>0</v>
      </c>
      <c r="Z13" s="109">
        <f>'7a.20YrDetails'!Z13</f>
        <v>0</v>
      </c>
      <c r="AA13" s="109">
        <f>'7a.20YrDetails'!AA13</f>
        <v>0</v>
      </c>
      <c r="AB13" s="109">
        <f>'7a.20YrDetails'!AB13</f>
        <v>0</v>
      </c>
      <c r="AC13" s="109">
        <f>'7a.20YrDetails'!AC13</f>
        <v>0</v>
      </c>
      <c r="AD13" s="109">
        <f>'7a.20YrDetails'!AD13</f>
        <v>0</v>
      </c>
      <c r="AE13" s="109">
        <f>'7a.20YrDetails'!AE13</f>
        <v>0</v>
      </c>
      <c r="AF13" s="109">
        <f>'7a.20YrDetails'!AF13</f>
        <v>0</v>
      </c>
      <c r="AG13" s="109">
        <f>'7a.20YrDetails'!AG13</f>
        <v>0</v>
      </c>
      <c r="AH13" s="109">
        <f>'7a.20YrDetails'!AH13</f>
        <v>0</v>
      </c>
      <c r="AI13" s="109">
        <f>'7a.20YrDetails'!AI13</f>
        <v>0</v>
      </c>
      <c r="AJ13" s="109">
        <f>'7a.20YrDetails'!AJ13</f>
        <v>0</v>
      </c>
      <c r="AK13" s="109">
        <f>'7a.20YrDetails'!AK13</f>
        <v>0</v>
      </c>
      <c r="AL13" s="109">
        <f>'7a.20YrDetails'!AL13</f>
        <v>0</v>
      </c>
      <c r="AM13" s="109">
        <f>'7a.20YrDetails'!AM13</f>
        <v>0</v>
      </c>
      <c r="AN13" s="109">
        <f>'7a.20YrDetails'!AN13</f>
        <v>0</v>
      </c>
      <c r="AO13" s="109">
        <f>'7a.20YrDetails'!AO13</f>
        <v>0</v>
      </c>
      <c r="AP13" s="109">
        <f>'7a.20YrDetails'!AP13</f>
        <v>0</v>
      </c>
      <c r="AQ13" s="109">
        <f>'7a.20YrDetails'!AQ13</f>
        <v>0</v>
      </c>
      <c r="AR13" s="109">
        <f>'7a.20YrDetails'!AR13</f>
        <v>0</v>
      </c>
      <c r="AS13" s="109">
        <f>'7a.20YrDetails'!AS13</f>
        <v>0</v>
      </c>
      <c r="AT13" s="109">
        <f>'7a.20YrDetails'!AT13</f>
        <v>0</v>
      </c>
      <c r="AU13" s="109">
        <f>'7a.20YrDetails'!AU13</f>
        <v>0</v>
      </c>
      <c r="AV13" s="109">
        <f>'7a.20YrDetails'!AV13</f>
        <v>0</v>
      </c>
      <c r="AW13" s="109">
        <f>'7a.20YrDetails'!AW13</f>
        <v>0</v>
      </c>
      <c r="AX13" s="109">
        <f>'7a.20YrDetails'!AX13</f>
        <v>0</v>
      </c>
      <c r="AY13" s="109">
        <f>'7a.20YrDetails'!AY13</f>
        <v>0</v>
      </c>
      <c r="AZ13" s="109">
        <f>'7a.20YrDetails'!AZ13</f>
        <v>0</v>
      </c>
      <c r="BA13" s="109">
        <f>'7a.20YrDetails'!BA13</f>
        <v>0</v>
      </c>
      <c r="BB13" s="109">
        <f>'7a.20YrDetails'!BB13</f>
        <v>0</v>
      </c>
      <c r="BC13" s="109">
        <f>'7a.20YrDetails'!BC13</f>
        <v>0</v>
      </c>
      <c r="BD13" s="109">
        <f>'7a.20YrDetails'!BD13</f>
        <v>0</v>
      </c>
      <c r="BE13" s="109">
        <f>'7a.20YrDetails'!BE13</f>
        <v>0</v>
      </c>
      <c r="BF13" s="109">
        <f>'7a.20YrDetails'!BF13</f>
        <v>0</v>
      </c>
      <c r="BG13" s="109">
        <f>'7a.20YrDetails'!BG13</f>
        <v>0</v>
      </c>
      <c r="BH13" s="109">
        <f>'7a.20YrDetails'!BH13</f>
        <v>0</v>
      </c>
      <c r="BI13" s="109">
        <f>'7a.20YrDetails'!BI13</f>
        <v>0</v>
      </c>
      <c r="BJ13" s="109">
        <f>'7a.20YrDetails'!BJ13</f>
        <v>0</v>
      </c>
      <c r="BK13" s="109">
        <f>'7a.20YrDetails'!BK13</f>
        <v>0</v>
      </c>
      <c r="BL13" s="109">
        <f>'7a.20YrDetails'!BL13</f>
        <v>0</v>
      </c>
      <c r="BM13" s="109">
        <f>'7a.20YrDetails'!BM13</f>
        <v>0</v>
      </c>
      <c r="BN13" s="109">
        <f>'7a.20YrDetails'!BN13</f>
        <v>0</v>
      </c>
      <c r="BO13" s="109">
        <f>'7a.20YrDetails'!BO13</f>
        <v>0</v>
      </c>
    </row>
    <row r="14" spans="1:67" ht="12" hidden="1" customHeight="1" outlineLevel="1">
      <c r="C14" s="10" t="str">
        <f>'7a.20YrDetails'!C14</f>
        <v>Residential Parking</v>
      </c>
      <c r="D14" s="8">
        <f>'7a.20YrDetails'!D14</f>
        <v>5170</v>
      </c>
      <c r="E14" s="20">
        <f>'7a.20YrDetails'!E14</f>
        <v>2.5000000000000001E-2</v>
      </c>
      <c r="F14" s="20">
        <f>'7a.20YrDetails'!F14</f>
        <v>2.5000000000000001E-2</v>
      </c>
      <c r="G14" s="46" t="str">
        <f>IF('7a.20YrDetails'!$G14="","",'7a.20YrDetails'!$G14)</f>
        <v/>
      </c>
      <c r="H14" s="109">
        <f>'7a.20YrDetails'!H14</f>
        <v>0</v>
      </c>
      <c r="I14" s="109">
        <f>'7a.20YrDetails'!I14</f>
        <v>0</v>
      </c>
      <c r="J14" s="109">
        <f>'7a.20YrDetails'!J14</f>
        <v>0</v>
      </c>
      <c r="K14" s="109">
        <f>'7a.20YrDetails'!K14</f>
        <v>0</v>
      </c>
      <c r="L14" s="109">
        <f>'7a.20YrDetails'!L14</f>
        <v>0</v>
      </c>
      <c r="M14" s="109">
        <f>'7a.20YrDetails'!M14</f>
        <v>0</v>
      </c>
      <c r="N14" s="109">
        <f>'7a.20YrDetails'!N14</f>
        <v>0</v>
      </c>
      <c r="O14" s="109">
        <f>'7a.20YrDetails'!O14</f>
        <v>0</v>
      </c>
      <c r="P14" s="109">
        <f>'7a.20YrDetails'!P14</f>
        <v>0</v>
      </c>
      <c r="Q14" s="109">
        <f>'7a.20YrDetails'!Q14</f>
        <v>0</v>
      </c>
      <c r="R14" s="109">
        <f>'7a.20YrDetails'!R14</f>
        <v>0</v>
      </c>
      <c r="S14" s="109">
        <f>'7a.20YrDetails'!S14</f>
        <v>0</v>
      </c>
      <c r="T14" s="109">
        <f>'7a.20YrDetails'!T14</f>
        <v>0</v>
      </c>
      <c r="U14" s="109">
        <f>'7a.20YrDetails'!U14</f>
        <v>0</v>
      </c>
      <c r="V14" s="109">
        <f>'7a.20YrDetails'!V14</f>
        <v>0</v>
      </c>
      <c r="W14" s="109">
        <f>'7a.20YrDetails'!W14</f>
        <v>0</v>
      </c>
      <c r="X14" s="109">
        <f>'7a.20YrDetails'!X14</f>
        <v>0</v>
      </c>
      <c r="Y14" s="109">
        <f>'7a.20YrDetails'!Y14</f>
        <v>0</v>
      </c>
      <c r="Z14" s="109">
        <f>'7a.20YrDetails'!Z14</f>
        <v>0</v>
      </c>
      <c r="AA14" s="109">
        <f>'7a.20YrDetails'!AA14</f>
        <v>0</v>
      </c>
      <c r="AB14" s="109">
        <f>'7a.20YrDetails'!AB14</f>
        <v>0</v>
      </c>
      <c r="AC14" s="109">
        <f>'7a.20YrDetails'!AC14</f>
        <v>0</v>
      </c>
      <c r="AD14" s="109">
        <f>'7a.20YrDetails'!AD14</f>
        <v>0</v>
      </c>
      <c r="AE14" s="109">
        <f>'7a.20YrDetails'!AE14</f>
        <v>0</v>
      </c>
      <c r="AF14" s="109">
        <f>'7a.20YrDetails'!AF14</f>
        <v>0</v>
      </c>
      <c r="AG14" s="109">
        <f>'7a.20YrDetails'!AG14</f>
        <v>0</v>
      </c>
      <c r="AH14" s="109">
        <f>'7a.20YrDetails'!AH14</f>
        <v>0</v>
      </c>
      <c r="AI14" s="109">
        <f>'7a.20YrDetails'!AI14</f>
        <v>0</v>
      </c>
      <c r="AJ14" s="109">
        <f>'7a.20YrDetails'!AJ14</f>
        <v>0</v>
      </c>
      <c r="AK14" s="109">
        <f>'7a.20YrDetails'!AK14</f>
        <v>0</v>
      </c>
      <c r="AL14" s="109">
        <f>'7a.20YrDetails'!AL14</f>
        <v>0</v>
      </c>
      <c r="AM14" s="109">
        <f>'7a.20YrDetails'!AM14</f>
        <v>0</v>
      </c>
      <c r="AN14" s="109">
        <f>'7a.20YrDetails'!AN14</f>
        <v>0</v>
      </c>
      <c r="AO14" s="109">
        <f>'7a.20YrDetails'!AO14</f>
        <v>0</v>
      </c>
      <c r="AP14" s="109">
        <f>'7a.20YrDetails'!AP14</f>
        <v>0</v>
      </c>
      <c r="AQ14" s="109">
        <f>'7a.20YrDetails'!AQ14</f>
        <v>0</v>
      </c>
      <c r="AR14" s="109">
        <f>'7a.20YrDetails'!AR14</f>
        <v>0</v>
      </c>
      <c r="AS14" s="109">
        <f>'7a.20YrDetails'!AS14</f>
        <v>0</v>
      </c>
      <c r="AT14" s="109">
        <f>'7a.20YrDetails'!AT14</f>
        <v>0</v>
      </c>
      <c r="AU14" s="109">
        <f>'7a.20YrDetails'!AU14</f>
        <v>0</v>
      </c>
      <c r="AV14" s="109">
        <f>'7a.20YrDetails'!AV14</f>
        <v>0</v>
      </c>
      <c r="AW14" s="109">
        <f>'7a.20YrDetails'!AW14</f>
        <v>0</v>
      </c>
      <c r="AX14" s="109">
        <f>'7a.20YrDetails'!AX14</f>
        <v>0</v>
      </c>
      <c r="AY14" s="109">
        <f>'7a.20YrDetails'!AY14</f>
        <v>0</v>
      </c>
      <c r="AZ14" s="109">
        <f>'7a.20YrDetails'!AZ14</f>
        <v>0</v>
      </c>
      <c r="BA14" s="109">
        <f>'7a.20YrDetails'!BA14</f>
        <v>0</v>
      </c>
      <c r="BB14" s="109">
        <f>'7a.20YrDetails'!BB14</f>
        <v>0</v>
      </c>
      <c r="BC14" s="109">
        <f>'7a.20YrDetails'!BC14</f>
        <v>0</v>
      </c>
      <c r="BD14" s="109">
        <f>'7a.20YrDetails'!BD14</f>
        <v>0</v>
      </c>
      <c r="BE14" s="109">
        <f>'7a.20YrDetails'!BE14</f>
        <v>0</v>
      </c>
      <c r="BF14" s="109">
        <f>'7a.20YrDetails'!BF14</f>
        <v>0</v>
      </c>
      <c r="BG14" s="109">
        <f>'7a.20YrDetails'!BG14</f>
        <v>0</v>
      </c>
      <c r="BH14" s="109">
        <f>'7a.20YrDetails'!BH14</f>
        <v>0</v>
      </c>
      <c r="BI14" s="109">
        <f>'7a.20YrDetails'!BI14</f>
        <v>0</v>
      </c>
      <c r="BJ14" s="109">
        <f>'7a.20YrDetails'!BJ14</f>
        <v>0</v>
      </c>
      <c r="BK14" s="109">
        <f>'7a.20YrDetails'!BK14</f>
        <v>0</v>
      </c>
      <c r="BL14" s="109">
        <f>'7a.20YrDetails'!BL14</f>
        <v>0</v>
      </c>
      <c r="BM14" s="109">
        <f>'7a.20YrDetails'!BM14</f>
        <v>0</v>
      </c>
      <c r="BN14" s="109">
        <f>'7a.20YrDetails'!BN14</f>
        <v>0</v>
      </c>
      <c r="BO14" s="109">
        <f>'7a.20YrDetails'!BO14</f>
        <v>0</v>
      </c>
    </row>
    <row r="15" spans="1:67" ht="12" hidden="1" customHeight="1" outlineLevel="1">
      <c r="C15" s="10" t="str">
        <f>'7a.20YrDetails'!C15</f>
        <v>Miscellaneous Rent Income</v>
      </c>
      <c r="D15" s="8">
        <f>'7a.20YrDetails'!D15</f>
        <v>5190</v>
      </c>
      <c r="E15" s="20">
        <f>'7a.20YrDetails'!E15</f>
        <v>2.5000000000000001E-2</v>
      </c>
      <c r="F15" s="20">
        <f>'7a.20YrDetails'!F15</f>
        <v>2.5000000000000001E-2</v>
      </c>
      <c r="G15" s="46" t="str">
        <f>IF('7a.20YrDetails'!$G15="","",'7a.20YrDetails'!$G15)</f>
        <v/>
      </c>
      <c r="H15" s="109">
        <f>'7a.20YrDetails'!H15</f>
        <v>0</v>
      </c>
      <c r="I15" s="109">
        <f>'7a.20YrDetails'!I15</f>
        <v>0</v>
      </c>
      <c r="J15" s="109">
        <f>'7a.20YrDetails'!J15</f>
        <v>0</v>
      </c>
      <c r="K15" s="109">
        <f>'7a.20YrDetails'!K15</f>
        <v>0</v>
      </c>
      <c r="L15" s="109">
        <f>'7a.20YrDetails'!L15</f>
        <v>0</v>
      </c>
      <c r="M15" s="109">
        <f>'7a.20YrDetails'!M15</f>
        <v>0</v>
      </c>
      <c r="N15" s="109">
        <f>'7a.20YrDetails'!N15</f>
        <v>0</v>
      </c>
      <c r="O15" s="109">
        <f>'7a.20YrDetails'!O15</f>
        <v>0</v>
      </c>
      <c r="P15" s="109">
        <f>'7a.20YrDetails'!P15</f>
        <v>0</v>
      </c>
      <c r="Q15" s="109">
        <f>'7a.20YrDetails'!Q15</f>
        <v>0</v>
      </c>
      <c r="R15" s="109">
        <f>'7a.20YrDetails'!R15</f>
        <v>0</v>
      </c>
      <c r="S15" s="109">
        <f>'7a.20YrDetails'!S15</f>
        <v>0</v>
      </c>
      <c r="T15" s="109">
        <f>'7a.20YrDetails'!T15</f>
        <v>0</v>
      </c>
      <c r="U15" s="109">
        <f>'7a.20YrDetails'!U15</f>
        <v>0</v>
      </c>
      <c r="V15" s="109">
        <f>'7a.20YrDetails'!V15</f>
        <v>0</v>
      </c>
      <c r="W15" s="109">
        <f>'7a.20YrDetails'!W15</f>
        <v>0</v>
      </c>
      <c r="X15" s="109">
        <f>'7a.20YrDetails'!X15</f>
        <v>0</v>
      </c>
      <c r="Y15" s="109">
        <f>'7a.20YrDetails'!Y15</f>
        <v>0</v>
      </c>
      <c r="Z15" s="109">
        <f>'7a.20YrDetails'!Z15</f>
        <v>0</v>
      </c>
      <c r="AA15" s="109">
        <f>'7a.20YrDetails'!AA15</f>
        <v>0</v>
      </c>
      <c r="AB15" s="109">
        <f>'7a.20YrDetails'!AB15</f>
        <v>0</v>
      </c>
      <c r="AC15" s="109">
        <f>'7a.20YrDetails'!AC15</f>
        <v>0</v>
      </c>
      <c r="AD15" s="109">
        <f>'7a.20YrDetails'!AD15</f>
        <v>0</v>
      </c>
      <c r="AE15" s="109">
        <f>'7a.20YrDetails'!AE15</f>
        <v>0</v>
      </c>
      <c r="AF15" s="109">
        <f>'7a.20YrDetails'!AF15</f>
        <v>0</v>
      </c>
      <c r="AG15" s="109">
        <f>'7a.20YrDetails'!AG15</f>
        <v>0</v>
      </c>
      <c r="AH15" s="109">
        <f>'7a.20YrDetails'!AH15</f>
        <v>0</v>
      </c>
      <c r="AI15" s="109">
        <f>'7a.20YrDetails'!AI15</f>
        <v>0</v>
      </c>
      <c r="AJ15" s="109">
        <f>'7a.20YrDetails'!AJ15</f>
        <v>0</v>
      </c>
      <c r="AK15" s="109">
        <f>'7a.20YrDetails'!AK15</f>
        <v>0</v>
      </c>
      <c r="AL15" s="109">
        <f>'7a.20YrDetails'!AL15</f>
        <v>0</v>
      </c>
      <c r="AM15" s="109">
        <f>'7a.20YrDetails'!AM15</f>
        <v>0</v>
      </c>
      <c r="AN15" s="109">
        <f>'7a.20YrDetails'!AN15</f>
        <v>0</v>
      </c>
      <c r="AO15" s="109">
        <f>'7a.20YrDetails'!AO15</f>
        <v>0</v>
      </c>
      <c r="AP15" s="109">
        <f>'7a.20YrDetails'!AP15</f>
        <v>0</v>
      </c>
      <c r="AQ15" s="109">
        <f>'7a.20YrDetails'!AQ15</f>
        <v>0</v>
      </c>
      <c r="AR15" s="109">
        <f>'7a.20YrDetails'!AR15</f>
        <v>0</v>
      </c>
      <c r="AS15" s="109">
        <f>'7a.20YrDetails'!AS15</f>
        <v>0</v>
      </c>
      <c r="AT15" s="109">
        <f>'7a.20YrDetails'!AT15</f>
        <v>0</v>
      </c>
      <c r="AU15" s="109">
        <f>'7a.20YrDetails'!AU15</f>
        <v>0</v>
      </c>
      <c r="AV15" s="109">
        <f>'7a.20YrDetails'!AV15</f>
        <v>0</v>
      </c>
      <c r="AW15" s="109">
        <f>'7a.20YrDetails'!AW15</f>
        <v>0</v>
      </c>
      <c r="AX15" s="109">
        <f>'7a.20YrDetails'!AX15</f>
        <v>0</v>
      </c>
      <c r="AY15" s="109">
        <f>'7a.20YrDetails'!AY15</f>
        <v>0</v>
      </c>
      <c r="AZ15" s="109">
        <f>'7a.20YrDetails'!AZ15</f>
        <v>0</v>
      </c>
      <c r="BA15" s="109">
        <f>'7a.20YrDetails'!BA15</f>
        <v>0</v>
      </c>
      <c r="BB15" s="109">
        <f>'7a.20YrDetails'!BB15</f>
        <v>0</v>
      </c>
      <c r="BC15" s="109">
        <f>'7a.20YrDetails'!BC15</f>
        <v>0</v>
      </c>
      <c r="BD15" s="109">
        <f>'7a.20YrDetails'!BD15</f>
        <v>0</v>
      </c>
      <c r="BE15" s="109">
        <f>'7a.20YrDetails'!BE15</f>
        <v>0</v>
      </c>
      <c r="BF15" s="109">
        <f>'7a.20YrDetails'!BF15</f>
        <v>0</v>
      </c>
      <c r="BG15" s="109">
        <f>'7a.20YrDetails'!BG15</f>
        <v>0</v>
      </c>
      <c r="BH15" s="109">
        <f>'7a.20YrDetails'!BH15</f>
        <v>0</v>
      </c>
      <c r="BI15" s="109">
        <f>'7a.20YrDetails'!BI15</f>
        <v>0</v>
      </c>
      <c r="BJ15" s="109">
        <f>'7a.20YrDetails'!BJ15</f>
        <v>0</v>
      </c>
      <c r="BK15" s="109">
        <f>'7a.20YrDetails'!BK15</f>
        <v>0</v>
      </c>
      <c r="BL15" s="109">
        <f>'7a.20YrDetails'!BL15</f>
        <v>0</v>
      </c>
      <c r="BM15" s="109">
        <f>'7a.20YrDetails'!BM15</f>
        <v>0</v>
      </c>
      <c r="BN15" s="109">
        <f>'7a.20YrDetails'!BN15</f>
        <v>0</v>
      </c>
      <c r="BO15" s="109">
        <f>'7a.20YrDetails'!BO15</f>
        <v>0</v>
      </c>
    </row>
    <row r="16" spans="1:67" ht="12" hidden="1" customHeight="1" outlineLevel="1">
      <c r="C16" s="10" t="str">
        <f>'7a.20YrDetails'!C16</f>
        <v>Supportive Services Income</v>
      </c>
      <c r="D16" s="8">
        <f>'7a.20YrDetails'!D16</f>
        <v>5300</v>
      </c>
      <c r="E16" s="20">
        <f>'7a.20YrDetails'!E16</f>
        <v>2.5000000000000001E-2</v>
      </c>
      <c r="F16" s="20">
        <f>'7a.20YrDetails'!F16</f>
        <v>2.5000000000000001E-2</v>
      </c>
      <c r="G16" s="46" t="str">
        <f>IF('7a.20YrDetails'!$G16="","",'7a.20YrDetails'!$G16)</f>
        <v/>
      </c>
      <c r="H16" s="109">
        <f>'7a.20YrDetails'!H16</f>
        <v>0</v>
      </c>
      <c r="I16" s="109">
        <f>'7a.20YrDetails'!I16</f>
        <v>0</v>
      </c>
      <c r="J16" s="109">
        <f>'7a.20YrDetails'!J16</f>
        <v>0</v>
      </c>
      <c r="K16" s="109">
        <f>'7a.20YrDetails'!K16</f>
        <v>0</v>
      </c>
      <c r="L16" s="109">
        <f>'7a.20YrDetails'!L16</f>
        <v>0</v>
      </c>
      <c r="M16" s="109">
        <f>'7a.20YrDetails'!M16</f>
        <v>0</v>
      </c>
      <c r="N16" s="109">
        <f>'7a.20YrDetails'!N16</f>
        <v>0</v>
      </c>
      <c r="O16" s="109">
        <f>'7a.20YrDetails'!O16</f>
        <v>0</v>
      </c>
      <c r="P16" s="109">
        <f>'7a.20YrDetails'!P16</f>
        <v>0</v>
      </c>
      <c r="Q16" s="109">
        <f>'7a.20YrDetails'!Q16</f>
        <v>0</v>
      </c>
      <c r="R16" s="109">
        <f>'7a.20YrDetails'!R16</f>
        <v>0</v>
      </c>
      <c r="S16" s="109">
        <f>'7a.20YrDetails'!S16</f>
        <v>0</v>
      </c>
      <c r="T16" s="109">
        <f>'7a.20YrDetails'!T16</f>
        <v>0</v>
      </c>
      <c r="U16" s="109">
        <f>'7a.20YrDetails'!U16</f>
        <v>0</v>
      </c>
      <c r="V16" s="109">
        <f>'7a.20YrDetails'!V16</f>
        <v>0</v>
      </c>
      <c r="W16" s="109">
        <f>'7a.20YrDetails'!W16</f>
        <v>0</v>
      </c>
      <c r="X16" s="109">
        <f>'7a.20YrDetails'!X16</f>
        <v>0</v>
      </c>
      <c r="Y16" s="109">
        <f>'7a.20YrDetails'!Y16</f>
        <v>0</v>
      </c>
      <c r="Z16" s="109">
        <f>'7a.20YrDetails'!Z16</f>
        <v>0</v>
      </c>
      <c r="AA16" s="109">
        <f>'7a.20YrDetails'!AA16</f>
        <v>0</v>
      </c>
      <c r="AB16" s="109">
        <f>'7a.20YrDetails'!AB16</f>
        <v>0</v>
      </c>
      <c r="AC16" s="109">
        <f>'7a.20YrDetails'!AC16</f>
        <v>0</v>
      </c>
      <c r="AD16" s="109">
        <f>'7a.20YrDetails'!AD16</f>
        <v>0</v>
      </c>
      <c r="AE16" s="109">
        <f>'7a.20YrDetails'!AE16</f>
        <v>0</v>
      </c>
      <c r="AF16" s="109">
        <f>'7a.20YrDetails'!AF16</f>
        <v>0</v>
      </c>
      <c r="AG16" s="109">
        <f>'7a.20YrDetails'!AG16</f>
        <v>0</v>
      </c>
      <c r="AH16" s="109">
        <f>'7a.20YrDetails'!AH16</f>
        <v>0</v>
      </c>
      <c r="AI16" s="109">
        <f>'7a.20YrDetails'!AI16</f>
        <v>0</v>
      </c>
      <c r="AJ16" s="109">
        <f>'7a.20YrDetails'!AJ16</f>
        <v>0</v>
      </c>
      <c r="AK16" s="109">
        <f>'7a.20YrDetails'!AK16</f>
        <v>0</v>
      </c>
      <c r="AL16" s="109">
        <f>'7a.20YrDetails'!AL16</f>
        <v>0</v>
      </c>
      <c r="AM16" s="109">
        <f>'7a.20YrDetails'!AM16</f>
        <v>0</v>
      </c>
      <c r="AN16" s="109">
        <f>'7a.20YrDetails'!AN16</f>
        <v>0</v>
      </c>
      <c r="AO16" s="109">
        <f>'7a.20YrDetails'!AO16</f>
        <v>0</v>
      </c>
      <c r="AP16" s="109">
        <f>'7a.20YrDetails'!AP16</f>
        <v>0</v>
      </c>
      <c r="AQ16" s="109">
        <f>'7a.20YrDetails'!AQ16</f>
        <v>0</v>
      </c>
      <c r="AR16" s="109">
        <f>'7a.20YrDetails'!AR16</f>
        <v>0</v>
      </c>
      <c r="AS16" s="109">
        <f>'7a.20YrDetails'!AS16</f>
        <v>0</v>
      </c>
      <c r="AT16" s="109">
        <f>'7a.20YrDetails'!AT16</f>
        <v>0</v>
      </c>
      <c r="AU16" s="109">
        <f>'7a.20YrDetails'!AU16</f>
        <v>0</v>
      </c>
      <c r="AV16" s="109">
        <f>'7a.20YrDetails'!AV16</f>
        <v>0</v>
      </c>
      <c r="AW16" s="109">
        <f>'7a.20YrDetails'!AW16</f>
        <v>0</v>
      </c>
      <c r="AX16" s="109">
        <f>'7a.20YrDetails'!AX16</f>
        <v>0</v>
      </c>
      <c r="AY16" s="109">
        <f>'7a.20YrDetails'!AY16</f>
        <v>0</v>
      </c>
      <c r="AZ16" s="109">
        <f>'7a.20YrDetails'!AZ16</f>
        <v>0</v>
      </c>
      <c r="BA16" s="109">
        <f>'7a.20YrDetails'!BA16</f>
        <v>0</v>
      </c>
      <c r="BB16" s="109">
        <f>'7a.20YrDetails'!BB16</f>
        <v>0</v>
      </c>
      <c r="BC16" s="109">
        <f>'7a.20YrDetails'!BC16</f>
        <v>0</v>
      </c>
      <c r="BD16" s="109">
        <f>'7a.20YrDetails'!BD16</f>
        <v>0</v>
      </c>
      <c r="BE16" s="109">
        <f>'7a.20YrDetails'!BE16</f>
        <v>0</v>
      </c>
      <c r="BF16" s="109">
        <f>'7a.20YrDetails'!BF16</f>
        <v>0</v>
      </c>
      <c r="BG16" s="109">
        <f>'7a.20YrDetails'!BG16</f>
        <v>0</v>
      </c>
      <c r="BH16" s="109">
        <f>'7a.20YrDetails'!BH16</f>
        <v>0</v>
      </c>
      <c r="BI16" s="109">
        <f>'7a.20YrDetails'!BI16</f>
        <v>0</v>
      </c>
      <c r="BJ16" s="109">
        <f>'7a.20YrDetails'!BJ16</f>
        <v>0</v>
      </c>
      <c r="BK16" s="109">
        <f>'7a.20YrDetails'!BK16</f>
        <v>0</v>
      </c>
      <c r="BL16" s="109">
        <f>'7a.20YrDetails'!BL16</f>
        <v>0</v>
      </c>
      <c r="BM16" s="109">
        <f>'7a.20YrDetails'!BM16</f>
        <v>0</v>
      </c>
      <c r="BN16" s="109">
        <f>'7a.20YrDetails'!BN16</f>
        <v>0</v>
      </c>
      <c r="BO16" s="109">
        <f>'7a.20YrDetails'!BO16</f>
        <v>0</v>
      </c>
    </row>
    <row r="17" spans="3:67" ht="12" hidden="1" customHeight="1" outlineLevel="1">
      <c r="C17" s="10" t="str">
        <f>'7a.20YrDetails'!C17</f>
        <v>Interest Income - Project Operations</v>
      </c>
      <c r="D17" s="8">
        <f>'7a.20YrDetails'!D17</f>
        <v>5400</v>
      </c>
      <c r="E17" s="20">
        <f>'7a.20YrDetails'!E17</f>
        <v>2.5000000000000001E-2</v>
      </c>
      <c r="F17" s="20">
        <f>'7a.20YrDetails'!F17</f>
        <v>2.5000000000000001E-2</v>
      </c>
      <c r="G17" s="46" t="str">
        <f>IF('7a.20YrDetails'!$G17="","",'7a.20YrDetails'!$G17)</f>
        <v/>
      </c>
      <c r="H17" s="109">
        <f>'7a.20YrDetails'!H17</f>
        <v>0</v>
      </c>
      <c r="I17" s="109">
        <f>'7a.20YrDetails'!I17</f>
        <v>0</v>
      </c>
      <c r="J17" s="109">
        <f>'7a.20YrDetails'!J17</f>
        <v>0</v>
      </c>
      <c r="K17" s="109">
        <f>'7a.20YrDetails'!K17</f>
        <v>0</v>
      </c>
      <c r="L17" s="109">
        <f>'7a.20YrDetails'!L17</f>
        <v>0</v>
      </c>
      <c r="M17" s="109">
        <f>'7a.20YrDetails'!M17</f>
        <v>0</v>
      </c>
      <c r="N17" s="109">
        <f>'7a.20YrDetails'!N17</f>
        <v>0</v>
      </c>
      <c r="O17" s="109">
        <f>'7a.20YrDetails'!O17</f>
        <v>0</v>
      </c>
      <c r="P17" s="109">
        <f>'7a.20YrDetails'!P17</f>
        <v>0</v>
      </c>
      <c r="Q17" s="109">
        <f>'7a.20YrDetails'!Q17</f>
        <v>0</v>
      </c>
      <c r="R17" s="109">
        <f>'7a.20YrDetails'!R17</f>
        <v>0</v>
      </c>
      <c r="S17" s="109">
        <f>'7a.20YrDetails'!S17</f>
        <v>0</v>
      </c>
      <c r="T17" s="109">
        <f>'7a.20YrDetails'!T17</f>
        <v>0</v>
      </c>
      <c r="U17" s="109">
        <f>'7a.20YrDetails'!U17</f>
        <v>0</v>
      </c>
      <c r="V17" s="109">
        <f>'7a.20YrDetails'!V17</f>
        <v>0</v>
      </c>
      <c r="W17" s="109">
        <f>'7a.20YrDetails'!W17</f>
        <v>0</v>
      </c>
      <c r="X17" s="109">
        <f>'7a.20YrDetails'!X17</f>
        <v>0</v>
      </c>
      <c r="Y17" s="109">
        <f>'7a.20YrDetails'!Y17</f>
        <v>0</v>
      </c>
      <c r="Z17" s="109">
        <f>'7a.20YrDetails'!Z17</f>
        <v>0</v>
      </c>
      <c r="AA17" s="109">
        <f>'7a.20YrDetails'!AA17</f>
        <v>0</v>
      </c>
      <c r="AB17" s="109">
        <f>'7a.20YrDetails'!AB17</f>
        <v>0</v>
      </c>
      <c r="AC17" s="109">
        <f>'7a.20YrDetails'!AC17</f>
        <v>0</v>
      </c>
      <c r="AD17" s="109">
        <f>'7a.20YrDetails'!AD17</f>
        <v>0</v>
      </c>
      <c r="AE17" s="109">
        <f>'7a.20YrDetails'!AE17</f>
        <v>0</v>
      </c>
      <c r="AF17" s="109">
        <f>'7a.20YrDetails'!AF17</f>
        <v>0</v>
      </c>
      <c r="AG17" s="109">
        <f>'7a.20YrDetails'!AG17</f>
        <v>0</v>
      </c>
      <c r="AH17" s="109">
        <f>'7a.20YrDetails'!AH17</f>
        <v>0</v>
      </c>
      <c r="AI17" s="109">
        <f>'7a.20YrDetails'!AI17</f>
        <v>0</v>
      </c>
      <c r="AJ17" s="109">
        <f>'7a.20YrDetails'!AJ17</f>
        <v>0</v>
      </c>
      <c r="AK17" s="109">
        <f>'7a.20YrDetails'!AK17</f>
        <v>0</v>
      </c>
      <c r="AL17" s="109">
        <f>'7a.20YrDetails'!AL17</f>
        <v>0</v>
      </c>
      <c r="AM17" s="109">
        <f>'7a.20YrDetails'!AM17</f>
        <v>0</v>
      </c>
      <c r="AN17" s="109">
        <f>'7a.20YrDetails'!AN17</f>
        <v>0</v>
      </c>
      <c r="AO17" s="109">
        <f>'7a.20YrDetails'!AO17</f>
        <v>0</v>
      </c>
      <c r="AP17" s="109">
        <f>'7a.20YrDetails'!AP17</f>
        <v>0</v>
      </c>
      <c r="AQ17" s="109">
        <f>'7a.20YrDetails'!AQ17</f>
        <v>0</v>
      </c>
      <c r="AR17" s="109">
        <f>'7a.20YrDetails'!AR17</f>
        <v>0</v>
      </c>
      <c r="AS17" s="109">
        <f>'7a.20YrDetails'!AS17</f>
        <v>0</v>
      </c>
      <c r="AT17" s="109">
        <f>'7a.20YrDetails'!AT17</f>
        <v>0</v>
      </c>
      <c r="AU17" s="109">
        <f>'7a.20YrDetails'!AU17</f>
        <v>0</v>
      </c>
      <c r="AV17" s="109">
        <f>'7a.20YrDetails'!AV17</f>
        <v>0</v>
      </c>
      <c r="AW17" s="109">
        <f>'7a.20YrDetails'!AW17</f>
        <v>0</v>
      </c>
      <c r="AX17" s="109">
        <f>'7a.20YrDetails'!AX17</f>
        <v>0</v>
      </c>
      <c r="AY17" s="109">
        <f>'7a.20YrDetails'!AY17</f>
        <v>0</v>
      </c>
      <c r="AZ17" s="109">
        <f>'7a.20YrDetails'!AZ17</f>
        <v>0</v>
      </c>
      <c r="BA17" s="109">
        <f>'7a.20YrDetails'!BA17</f>
        <v>0</v>
      </c>
      <c r="BB17" s="109">
        <f>'7a.20YrDetails'!BB17</f>
        <v>0</v>
      </c>
      <c r="BC17" s="109">
        <f>'7a.20YrDetails'!BC17</f>
        <v>0</v>
      </c>
      <c r="BD17" s="109">
        <f>'7a.20YrDetails'!BD17</f>
        <v>0</v>
      </c>
      <c r="BE17" s="109">
        <f>'7a.20YrDetails'!BE17</f>
        <v>0</v>
      </c>
      <c r="BF17" s="109">
        <f>'7a.20YrDetails'!BF17</f>
        <v>0</v>
      </c>
      <c r="BG17" s="109">
        <f>'7a.20YrDetails'!BG17</f>
        <v>0</v>
      </c>
      <c r="BH17" s="109">
        <f>'7a.20YrDetails'!BH17</f>
        <v>0</v>
      </c>
      <c r="BI17" s="109">
        <f>'7a.20YrDetails'!BI17</f>
        <v>0</v>
      </c>
      <c r="BJ17" s="109">
        <f>'7a.20YrDetails'!BJ17</f>
        <v>0</v>
      </c>
      <c r="BK17" s="109">
        <f>'7a.20YrDetails'!BK17</f>
        <v>0</v>
      </c>
      <c r="BL17" s="109">
        <f>'7a.20YrDetails'!BL17</f>
        <v>0</v>
      </c>
      <c r="BM17" s="109">
        <f>'7a.20YrDetails'!BM17</f>
        <v>0</v>
      </c>
      <c r="BN17" s="109">
        <f>'7a.20YrDetails'!BN17</f>
        <v>0</v>
      </c>
      <c r="BO17" s="109">
        <f>'7a.20YrDetails'!BO17</f>
        <v>0</v>
      </c>
    </row>
    <row r="18" spans="3:67" ht="12" hidden="1" customHeight="1" outlineLevel="1">
      <c r="C18" s="10" t="str">
        <f>'7a.20YrDetails'!C18</f>
        <v>Laundry and Vending</v>
      </c>
      <c r="D18" s="8">
        <f>'7a.20YrDetails'!D18</f>
        <v>5910</v>
      </c>
      <c r="E18" s="20">
        <f>'7a.20YrDetails'!E18</f>
        <v>2.5000000000000001E-2</v>
      </c>
      <c r="F18" s="20">
        <f>'7a.20YrDetails'!F18</f>
        <v>2.5000000000000001E-2</v>
      </c>
      <c r="G18" s="46" t="str">
        <f>IF('7a.20YrDetails'!$G18="","",'7a.20YrDetails'!$G18)</f>
        <v/>
      </c>
      <c r="H18" s="109">
        <f>'7a.20YrDetails'!H18</f>
        <v>0</v>
      </c>
      <c r="I18" s="109">
        <f>'7a.20YrDetails'!I18</f>
        <v>0</v>
      </c>
      <c r="J18" s="109">
        <f>'7a.20YrDetails'!J18</f>
        <v>0</v>
      </c>
      <c r="K18" s="109">
        <f>'7a.20YrDetails'!K18</f>
        <v>0</v>
      </c>
      <c r="L18" s="109">
        <f>'7a.20YrDetails'!L18</f>
        <v>0</v>
      </c>
      <c r="M18" s="109">
        <f>'7a.20YrDetails'!M18</f>
        <v>0</v>
      </c>
      <c r="N18" s="109">
        <f>'7a.20YrDetails'!N18</f>
        <v>0</v>
      </c>
      <c r="O18" s="109">
        <f>'7a.20YrDetails'!O18</f>
        <v>0</v>
      </c>
      <c r="P18" s="109">
        <f>'7a.20YrDetails'!P18</f>
        <v>0</v>
      </c>
      <c r="Q18" s="109">
        <f>'7a.20YrDetails'!Q18</f>
        <v>0</v>
      </c>
      <c r="R18" s="109">
        <f>'7a.20YrDetails'!R18</f>
        <v>0</v>
      </c>
      <c r="S18" s="109">
        <f>'7a.20YrDetails'!S18</f>
        <v>0</v>
      </c>
      <c r="T18" s="109">
        <f>'7a.20YrDetails'!T18</f>
        <v>0</v>
      </c>
      <c r="U18" s="109">
        <f>'7a.20YrDetails'!U18</f>
        <v>0</v>
      </c>
      <c r="V18" s="109">
        <f>'7a.20YrDetails'!V18</f>
        <v>0</v>
      </c>
      <c r="W18" s="109">
        <f>'7a.20YrDetails'!W18</f>
        <v>0</v>
      </c>
      <c r="X18" s="109">
        <f>'7a.20YrDetails'!X18</f>
        <v>0</v>
      </c>
      <c r="Y18" s="109">
        <f>'7a.20YrDetails'!Y18</f>
        <v>0</v>
      </c>
      <c r="Z18" s="109">
        <f>'7a.20YrDetails'!Z18</f>
        <v>0</v>
      </c>
      <c r="AA18" s="109">
        <f>'7a.20YrDetails'!AA18</f>
        <v>0</v>
      </c>
      <c r="AB18" s="109">
        <f>'7a.20YrDetails'!AB18</f>
        <v>0</v>
      </c>
      <c r="AC18" s="109">
        <f>'7a.20YrDetails'!AC18</f>
        <v>0</v>
      </c>
      <c r="AD18" s="109">
        <f>'7a.20YrDetails'!AD18</f>
        <v>0</v>
      </c>
      <c r="AE18" s="109">
        <f>'7a.20YrDetails'!AE18</f>
        <v>0</v>
      </c>
      <c r="AF18" s="109">
        <f>'7a.20YrDetails'!AF18</f>
        <v>0</v>
      </c>
      <c r="AG18" s="109">
        <f>'7a.20YrDetails'!AG18</f>
        <v>0</v>
      </c>
      <c r="AH18" s="109">
        <f>'7a.20YrDetails'!AH18</f>
        <v>0</v>
      </c>
      <c r="AI18" s="109">
        <f>'7a.20YrDetails'!AI18</f>
        <v>0</v>
      </c>
      <c r="AJ18" s="109">
        <f>'7a.20YrDetails'!AJ18</f>
        <v>0</v>
      </c>
      <c r="AK18" s="109">
        <f>'7a.20YrDetails'!AK18</f>
        <v>0</v>
      </c>
      <c r="AL18" s="109">
        <f>'7a.20YrDetails'!AL18</f>
        <v>0</v>
      </c>
      <c r="AM18" s="109">
        <f>'7a.20YrDetails'!AM18</f>
        <v>0</v>
      </c>
      <c r="AN18" s="109">
        <f>'7a.20YrDetails'!AN18</f>
        <v>0</v>
      </c>
      <c r="AO18" s="109">
        <f>'7a.20YrDetails'!AO18</f>
        <v>0</v>
      </c>
      <c r="AP18" s="109">
        <f>'7a.20YrDetails'!AP18</f>
        <v>0</v>
      </c>
      <c r="AQ18" s="109">
        <f>'7a.20YrDetails'!AQ18</f>
        <v>0</v>
      </c>
      <c r="AR18" s="109">
        <f>'7a.20YrDetails'!AR18</f>
        <v>0</v>
      </c>
      <c r="AS18" s="109">
        <f>'7a.20YrDetails'!AS18</f>
        <v>0</v>
      </c>
      <c r="AT18" s="109">
        <f>'7a.20YrDetails'!AT18</f>
        <v>0</v>
      </c>
      <c r="AU18" s="109">
        <f>'7a.20YrDetails'!AU18</f>
        <v>0</v>
      </c>
      <c r="AV18" s="109">
        <f>'7a.20YrDetails'!AV18</f>
        <v>0</v>
      </c>
      <c r="AW18" s="109">
        <f>'7a.20YrDetails'!AW18</f>
        <v>0</v>
      </c>
      <c r="AX18" s="109">
        <f>'7a.20YrDetails'!AX18</f>
        <v>0</v>
      </c>
      <c r="AY18" s="109">
        <f>'7a.20YrDetails'!AY18</f>
        <v>0</v>
      </c>
      <c r="AZ18" s="109">
        <f>'7a.20YrDetails'!AZ18</f>
        <v>0</v>
      </c>
      <c r="BA18" s="109">
        <f>'7a.20YrDetails'!BA18</f>
        <v>0</v>
      </c>
      <c r="BB18" s="109">
        <f>'7a.20YrDetails'!BB18</f>
        <v>0</v>
      </c>
      <c r="BC18" s="109">
        <f>'7a.20YrDetails'!BC18</f>
        <v>0</v>
      </c>
      <c r="BD18" s="109">
        <f>'7a.20YrDetails'!BD18</f>
        <v>0</v>
      </c>
      <c r="BE18" s="109">
        <f>'7a.20YrDetails'!BE18</f>
        <v>0</v>
      </c>
      <c r="BF18" s="109">
        <f>'7a.20YrDetails'!BF18</f>
        <v>0</v>
      </c>
      <c r="BG18" s="109">
        <f>'7a.20YrDetails'!BG18</f>
        <v>0</v>
      </c>
      <c r="BH18" s="109">
        <f>'7a.20YrDetails'!BH18</f>
        <v>0</v>
      </c>
      <c r="BI18" s="109">
        <f>'7a.20YrDetails'!BI18</f>
        <v>0</v>
      </c>
      <c r="BJ18" s="109">
        <f>'7a.20YrDetails'!BJ18</f>
        <v>0</v>
      </c>
      <c r="BK18" s="109">
        <f>'7a.20YrDetails'!BK18</f>
        <v>0</v>
      </c>
      <c r="BL18" s="109">
        <f>'7a.20YrDetails'!BL18</f>
        <v>0</v>
      </c>
      <c r="BM18" s="109">
        <f>'7a.20YrDetails'!BM18</f>
        <v>0</v>
      </c>
      <c r="BN18" s="109">
        <f>'7a.20YrDetails'!BN18</f>
        <v>0</v>
      </c>
      <c r="BO18" s="109">
        <f>'7a.20YrDetails'!BO18</f>
        <v>0</v>
      </c>
    </row>
    <row r="19" spans="3:67" ht="12" hidden="1" customHeight="1" outlineLevel="1">
      <c r="C19" s="10" t="str">
        <f>'7a.20YrDetails'!C19</f>
        <v>Tenant Charges</v>
      </c>
      <c r="D19" s="8">
        <f>'7a.20YrDetails'!D19</f>
        <v>5920</v>
      </c>
      <c r="E19" s="20">
        <f>'7a.20YrDetails'!E19</f>
        <v>2.5000000000000001E-2</v>
      </c>
      <c r="F19" s="20">
        <f>'7a.20YrDetails'!F19</f>
        <v>2.5000000000000001E-2</v>
      </c>
      <c r="G19" s="46" t="str">
        <f>IF('7a.20YrDetails'!$G19="","",'7a.20YrDetails'!$G19)</f>
        <v/>
      </c>
      <c r="H19" s="109">
        <f>'7a.20YrDetails'!H19</f>
        <v>0</v>
      </c>
      <c r="I19" s="109">
        <f>'7a.20YrDetails'!I19</f>
        <v>0</v>
      </c>
      <c r="J19" s="109">
        <f>'7a.20YrDetails'!J19</f>
        <v>0</v>
      </c>
      <c r="K19" s="109">
        <f>'7a.20YrDetails'!K19</f>
        <v>0</v>
      </c>
      <c r="L19" s="109">
        <f>'7a.20YrDetails'!L19</f>
        <v>0</v>
      </c>
      <c r="M19" s="109">
        <f>'7a.20YrDetails'!M19</f>
        <v>0</v>
      </c>
      <c r="N19" s="109">
        <f>'7a.20YrDetails'!N19</f>
        <v>0</v>
      </c>
      <c r="O19" s="109">
        <f>'7a.20YrDetails'!O19</f>
        <v>0</v>
      </c>
      <c r="P19" s="109">
        <f>'7a.20YrDetails'!P19</f>
        <v>0</v>
      </c>
      <c r="Q19" s="109">
        <f>'7a.20YrDetails'!Q19</f>
        <v>0</v>
      </c>
      <c r="R19" s="109">
        <f>'7a.20YrDetails'!R19</f>
        <v>0</v>
      </c>
      <c r="S19" s="109">
        <f>'7a.20YrDetails'!S19</f>
        <v>0</v>
      </c>
      <c r="T19" s="109">
        <f>'7a.20YrDetails'!T19</f>
        <v>0</v>
      </c>
      <c r="U19" s="109">
        <f>'7a.20YrDetails'!U19</f>
        <v>0</v>
      </c>
      <c r="V19" s="109">
        <f>'7a.20YrDetails'!V19</f>
        <v>0</v>
      </c>
      <c r="W19" s="109">
        <f>'7a.20YrDetails'!W19</f>
        <v>0</v>
      </c>
      <c r="X19" s="109">
        <f>'7a.20YrDetails'!X19</f>
        <v>0</v>
      </c>
      <c r="Y19" s="109">
        <f>'7a.20YrDetails'!Y19</f>
        <v>0</v>
      </c>
      <c r="Z19" s="109">
        <f>'7a.20YrDetails'!Z19</f>
        <v>0</v>
      </c>
      <c r="AA19" s="109">
        <f>'7a.20YrDetails'!AA19</f>
        <v>0</v>
      </c>
      <c r="AB19" s="109">
        <f>'7a.20YrDetails'!AB19</f>
        <v>0</v>
      </c>
      <c r="AC19" s="109">
        <f>'7a.20YrDetails'!AC19</f>
        <v>0</v>
      </c>
      <c r="AD19" s="109">
        <f>'7a.20YrDetails'!AD19</f>
        <v>0</v>
      </c>
      <c r="AE19" s="109">
        <f>'7a.20YrDetails'!AE19</f>
        <v>0</v>
      </c>
      <c r="AF19" s="109">
        <f>'7a.20YrDetails'!AF19</f>
        <v>0</v>
      </c>
      <c r="AG19" s="109">
        <f>'7a.20YrDetails'!AG19</f>
        <v>0</v>
      </c>
      <c r="AH19" s="109">
        <f>'7a.20YrDetails'!AH19</f>
        <v>0</v>
      </c>
      <c r="AI19" s="109">
        <f>'7a.20YrDetails'!AI19</f>
        <v>0</v>
      </c>
      <c r="AJ19" s="109">
        <f>'7a.20YrDetails'!AJ19</f>
        <v>0</v>
      </c>
      <c r="AK19" s="109">
        <f>'7a.20YrDetails'!AK19</f>
        <v>0</v>
      </c>
      <c r="AL19" s="109">
        <f>'7a.20YrDetails'!AL19</f>
        <v>0</v>
      </c>
      <c r="AM19" s="109">
        <f>'7a.20YrDetails'!AM19</f>
        <v>0</v>
      </c>
      <c r="AN19" s="109">
        <f>'7a.20YrDetails'!AN19</f>
        <v>0</v>
      </c>
      <c r="AO19" s="109">
        <f>'7a.20YrDetails'!AO19</f>
        <v>0</v>
      </c>
      <c r="AP19" s="109">
        <f>'7a.20YrDetails'!AP19</f>
        <v>0</v>
      </c>
      <c r="AQ19" s="109">
        <f>'7a.20YrDetails'!AQ19</f>
        <v>0</v>
      </c>
      <c r="AR19" s="109">
        <f>'7a.20YrDetails'!AR19</f>
        <v>0</v>
      </c>
      <c r="AS19" s="109">
        <f>'7a.20YrDetails'!AS19</f>
        <v>0</v>
      </c>
      <c r="AT19" s="109">
        <f>'7a.20YrDetails'!AT19</f>
        <v>0</v>
      </c>
      <c r="AU19" s="109">
        <f>'7a.20YrDetails'!AU19</f>
        <v>0</v>
      </c>
      <c r="AV19" s="109">
        <f>'7a.20YrDetails'!AV19</f>
        <v>0</v>
      </c>
      <c r="AW19" s="109">
        <f>'7a.20YrDetails'!AW19</f>
        <v>0</v>
      </c>
      <c r="AX19" s="109">
        <f>'7a.20YrDetails'!AX19</f>
        <v>0</v>
      </c>
      <c r="AY19" s="109">
        <f>'7a.20YrDetails'!AY19</f>
        <v>0</v>
      </c>
      <c r="AZ19" s="109">
        <f>'7a.20YrDetails'!AZ19</f>
        <v>0</v>
      </c>
      <c r="BA19" s="109">
        <f>'7a.20YrDetails'!BA19</f>
        <v>0</v>
      </c>
      <c r="BB19" s="109">
        <f>'7a.20YrDetails'!BB19</f>
        <v>0</v>
      </c>
      <c r="BC19" s="109">
        <f>'7a.20YrDetails'!BC19</f>
        <v>0</v>
      </c>
      <c r="BD19" s="109">
        <f>'7a.20YrDetails'!BD19</f>
        <v>0</v>
      </c>
      <c r="BE19" s="109">
        <f>'7a.20YrDetails'!BE19</f>
        <v>0</v>
      </c>
      <c r="BF19" s="109">
        <f>'7a.20YrDetails'!BF19</f>
        <v>0</v>
      </c>
      <c r="BG19" s="109">
        <f>'7a.20YrDetails'!BG19</f>
        <v>0</v>
      </c>
      <c r="BH19" s="109">
        <f>'7a.20YrDetails'!BH19</f>
        <v>0</v>
      </c>
      <c r="BI19" s="109">
        <f>'7a.20YrDetails'!BI19</f>
        <v>0</v>
      </c>
      <c r="BJ19" s="109">
        <f>'7a.20YrDetails'!BJ19</f>
        <v>0</v>
      </c>
      <c r="BK19" s="109">
        <f>'7a.20YrDetails'!BK19</f>
        <v>0</v>
      </c>
      <c r="BL19" s="109">
        <f>'7a.20YrDetails'!BL19</f>
        <v>0</v>
      </c>
      <c r="BM19" s="109">
        <f>'7a.20YrDetails'!BM19</f>
        <v>0</v>
      </c>
      <c r="BN19" s="109">
        <f>'7a.20YrDetails'!BN19</f>
        <v>0</v>
      </c>
      <c r="BO19" s="109">
        <f>'7a.20YrDetails'!BO19</f>
        <v>0</v>
      </c>
    </row>
    <row r="20" spans="3:67" ht="12" hidden="1" customHeight="1" outlineLevel="1">
      <c r="C20" s="10" t="str">
        <f>'7a.20YrDetails'!C20</f>
        <v>Miscellaneous Residential Income</v>
      </c>
      <c r="D20" s="8">
        <f>'7a.20YrDetails'!D20</f>
        <v>5990</v>
      </c>
      <c r="E20" s="20">
        <f>'7a.20YrDetails'!E20</f>
        <v>2.5000000000000001E-2</v>
      </c>
      <c r="F20" s="20">
        <f>'7a.20YrDetails'!F20</f>
        <v>2.5000000000000001E-2</v>
      </c>
      <c r="G20" s="46" t="str">
        <f>IF('7a.20YrDetails'!$G20="","",'7a.20YrDetails'!$G20)</f>
        <v/>
      </c>
      <c r="H20" s="109">
        <f>'7a.20YrDetails'!H20</f>
        <v>0</v>
      </c>
      <c r="I20" s="109">
        <f>'7a.20YrDetails'!I20</f>
        <v>0</v>
      </c>
      <c r="J20" s="109">
        <f>'7a.20YrDetails'!J20</f>
        <v>0</v>
      </c>
      <c r="K20" s="109">
        <f>'7a.20YrDetails'!K20</f>
        <v>0</v>
      </c>
      <c r="L20" s="109">
        <f>'7a.20YrDetails'!L20</f>
        <v>0</v>
      </c>
      <c r="M20" s="109">
        <f>'7a.20YrDetails'!M20</f>
        <v>0</v>
      </c>
      <c r="N20" s="109">
        <f>'7a.20YrDetails'!N20</f>
        <v>0</v>
      </c>
      <c r="O20" s="109">
        <f>'7a.20YrDetails'!O20</f>
        <v>0</v>
      </c>
      <c r="P20" s="109">
        <f>'7a.20YrDetails'!P20</f>
        <v>0</v>
      </c>
      <c r="Q20" s="109">
        <f>'7a.20YrDetails'!Q20</f>
        <v>0</v>
      </c>
      <c r="R20" s="109">
        <f>'7a.20YrDetails'!R20</f>
        <v>0</v>
      </c>
      <c r="S20" s="109">
        <f>'7a.20YrDetails'!S20</f>
        <v>0</v>
      </c>
      <c r="T20" s="109">
        <f>'7a.20YrDetails'!T20</f>
        <v>0</v>
      </c>
      <c r="U20" s="109">
        <f>'7a.20YrDetails'!U20</f>
        <v>0</v>
      </c>
      <c r="V20" s="109">
        <f>'7a.20YrDetails'!V20</f>
        <v>0</v>
      </c>
      <c r="W20" s="109">
        <f>'7a.20YrDetails'!W20</f>
        <v>0</v>
      </c>
      <c r="X20" s="109">
        <f>'7a.20YrDetails'!X20</f>
        <v>0</v>
      </c>
      <c r="Y20" s="109">
        <f>'7a.20YrDetails'!Y20</f>
        <v>0</v>
      </c>
      <c r="Z20" s="109">
        <f>'7a.20YrDetails'!Z20</f>
        <v>0</v>
      </c>
      <c r="AA20" s="109">
        <f>'7a.20YrDetails'!AA20</f>
        <v>0</v>
      </c>
      <c r="AB20" s="109">
        <f>'7a.20YrDetails'!AB20</f>
        <v>0</v>
      </c>
      <c r="AC20" s="109">
        <f>'7a.20YrDetails'!AC20</f>
        <v>0</v>
      </c>
      <c r="AD20" s="109">
        <f>'7a.20YrDetails'!AD20</f>
        <v>0</v>
      </c>
      <c r="AE20" s="109">
        <f>'7a.20YrDetails'!AE20</f>
        <v>0</v>
      </c>
      <c r="AF20" s="109">
        <f>'7a.20YrDetails'!AF20</f>
        <v>0</v>
      </c>
      <c r="AG20" s="109">
        <f>'7a.20YrDetails'!AG20</f>
        <v>0</v>
      </c>
      <c r="AH20" s="109">
        <f>'7a.20YrDetails'!AH20</f>
        <v>0</v>
      </c>
      <c r="AI20" s="109">
        <f>'7a.20YrDetails'!AI20</f>
        <v>0</v>
      </c>
      <c r="AJ20" s="109">
        <f>'7a.20YrDetails'!AJ20</f>
        <v>0</v>
      </c>
      <c r="AK20" s="109">
        <f>'7a.20YrDetails'!AK20</f>
        <v>0</v>
      </c>
      <c r="AL20" s="109">
        <f>'7a.20YrDetails'!AL20</f>
        <v>0</v>
      </c>
      <c r="AM20" s="109">
        <f>'7a.20YrDetails'!AM20</f>
        <v>0</v>
      </c>
      <c r="AN20" s="109">
        <f>'7a.20YrDetails'!AN20</f>
        <v>0</v>
      </c>
      <c r="AO20" s="109">
        <f>'7a.20YrDetails'!AO20</f>
        <v>0</v>
      </c>
      <c r="AP20" s="109">
        <f>'7a.20YrDetails'!AP20</f>
        <v>0</v>
      </c>
      <c r="AQ20" s="109">
        <f>'7a.20YrDetails'!AQ20</f>
        <v>0</v>
      </c>
      <c r="AR20" s="109">
        <f>'7a.20YrDetails'!AR20</f>
        <v>0</v>
      </c>
      <c r="AS20" s="109">
        <f>'7a.20YrDetails'!AS20</f>
        <v>0</v>
      </c>
      <c r="AT20" s="109">
        <f>'7a.20YrDetails'!AT20</f>
        <v>0</v>
      </c>
      <c r="AU20" s="109">
        <f>'7a.20YrDetails'!AU20</f>
        <v>0</v>
      </c>
      <c r="AV20" s="109">
        <f>'7a.20YrDetails'!AV20</f>
        <v>0</v>
      </c>
      <c r="AW20" s="109">
        <f>'7a.20YrDetails'!AW20</f>
        <v>0</v>
      </c>
      <c r="AX20" s="109">
        <f>'7a.20YrDetails'!AX20</f>
        <v>0</v>
      </c>
      <c r="AY20" s="109">
        <f>'7a.20YrDetails'!AY20</f>
        <v>0</v>
      </c>
      <c r="AZ20" s="109">
        <f>'7a.20YrDetails'!AZ20</f>
        <v>0</v>
      </c>
      <c r="BA20" s="109">
        <f>'7a.20YrDetails'!BA20</f>
        <v>0</v>
      </c>
      <c r="BB20" s="109">
        <f>'7a.20YrDetails'!BB20</f>
        <v>0</v>
      </c>
      <c r="BC20" s="109">
        <f>'7a.20YrDetails'!BC20</f>
        <v>0</v>
      </c>
      <c r="BD20" s="109">
        <f>'7a.20YrDetails'!BD20</f>
        <v>0</v>
      </c>
      <c r="BE20" s="109">
        <f>'7a.20YrDetails'!BE20</f>
        <v>0</v>
      </c>
      <c r="BF20" s="109">
        <f>'7a.20YrDetails'!BF20</f>
        <v>0</v>
      </c>
      <c r="BG20" s="109">
        <f>'7a.20YrDetails'!BG20</f>
        <v>0</v>
      </c>
      <c r="BH20" s="109">
        <f>'7a.20YrDetails'!BH20</f>
        <v>0</v>
      </c>
      <c r="BI20" s="109">
        <f>'7a.20YrDetails'!BI20</f>
        <v>0</v>
      </c>
      <c r="BJ20" s="109">
        <f>'7a.20YrDetails'!BJ20</f>
        <v>0</v>
      </c>
      <c r="BK20" s="109">
        <f>'7a.20YrDetails'!BK20</f>
        <v>0</v>
      </c>
      <c r="BL20" s="109">
        <f>'7a.20YrDetails'!BL20</f>
        <v>0</v>
      </c>
      <c r="BM20" s="109">
        <f>'7a.20YrDetails'!BM20</f>
        <v>0</v>
      </c>
      <c r="BN20" s="109">
        <f>'7a.20YrDetails'!BN20</f>
        <v>0</v>
      </c>
      <c r="BO20" s="109">
        <f>'7a.20YrDetails'!BO20</f>
        <v>0</v>
      </c>
    </row>
    <row r="21" spans="3:67" ht="12" hidden="1" customHeight="1" outlineLevel="1">
      <c r="C21" s="10" t="str">
        <f>'7a.20YrDetails'!C21</f>
        <v>Other Commercial Income</v>
      </c>
      <c r="D21" s="8">
        <f>'7a.20YrDetails'!D21</f>
        <v>0</v>
      </c>
      <c r="E21" s="20" t="str">
        <f>'7a.20YrDetails'!E21</f>
        <v>n/a</v>
      </c>
      <c r="F21" s="20">
        <f>'7a.20YrDetails'!F21</f>
        <v>2.5000000000000001E-2</v>
      </c>
      <c r="G21" s="46" t="str">
        <f>IF('7a.20YrDetails'!$G21="","",'7a.20YrDetails'!$G21)</f>
        <v>from 'Commercial Op. Budget' Worksheet; Commercial to Residential allocation: 100%</v>
      </c>
      <c r="H21" s="109">
        <f>'7a.20YrDetails'!H21</f>
        <v>0</v>
      </c>
      <c r="I21" s="109">
        <f>'7a.20YrDetails'!I21</f>
        <v>0</v>
      </c>
      <c r="J21" s="109">
        <f>'7a.20YrDetails'!J21</f>
        <v>0</v>
      </c>
      <c r="K21" s="109">
        <f>'7a.20YrDetails'!K21</f>
        <v>0</v>
      </c>
      <c r="L21" s="109">
        <f>'7a.20YrDetails'!L21</f>
        <v>0</v>
      </c>
      <c r="M21" s="109">
        <f>'7a.20YrDetails'!M21</f>
        <v>0</v>
      </c>
      <c r="N21" s="109">
        <f>'7a.20YrDetails'!N21</f>
        <v>0</v>
      </c>
      <c r="O21" s="109">
        <f>'7a.20YrDetails'!O21</f>
        <v>0</v>
      </c>
      <c r="P21" s="109">
        <f>'7a.20YrDetails'!P21</f>
        <v>0</v>
      </c>
      <c r="Q21" s="109">
        <f>'7a.20YrDetails'!Q21</f>
        <v>0</v>
      </c>
      <c r="R21" s="109">
        <f>'7a.20YrDetails'!R21</f>
        <v>0</v>
      </c>
      <c r="S21" s="109">
        <f>'7a.20YrDetails'!S21</f>
        <v>0</v>
      </c>
      <c r="T21" s="109">
        <f>'7a.20YrDetails'!T21</f>
        <v>0</v>
      </c>
      <c r="U21" s="109">
        <f>'7a.20YrDetails'!U21</f>
        <v>0</v>
      </c>
      <c r="V21" s="109">
        <f>'7a.20YrDetails'!V21</f>
        <v>0</v>
      </c>
      <c r="W21" s="109">
        <f>'7a.20YrDetails'!W21</f>
        <v>0</v>
      </c>
      <c r="X21" s="109">
        <f>'7a.20YrDetails'!X21</f>
        <v>0</v>
      </c>
      <c r="Y21" s="109">
        <f>'7a.20YrDetails'!Y21</f>
        <v>0</v>
      </c>
      <c r="Z21" s="109">
        <f>'7a.20YrDetails'!Z21</f>
        <v>0</v>
      </c>
      <c r="AA21" s="109">
        <f>'7a.20YrDetails'!AA21</f>
        <v>0</v>
      </c>
      <c r="AB21" s="109">
        <f>'7a.20YrDetails'!AB21</f>
        <v>0</v>
      </c>
      <c r="AC21" s="109">
        <f>'7a.20YrDetails'!AC21</f>
        <v>0</v>
      </c>
      <c r="AD21" s="109">
        <f>'7a.20YrDetails'!AD21</f>
        <v>0</v>
      </c>
      <c r="AE21" s="109">
        <f>'7a.20YrDetails'!AE21</f>
        <v>0</v>
      </c>
      <c r="AF21" s="109">
        <f>'7a.20YrDetails'!AF21</f>
        <v>0</v>
      </c>
      <c r="AG21" s="109">
        <f>'7a.20YrDetails'!AG21</f>
        <v>0</v>
      </c>
      <c r="AH21" s="109">
        <f>'7a.20YrDetails'!AH21</f>
        <v>0</v>
      </c>
      <c r="AI21" s="109">
        <f>'7a.20YrDetails'!AI21</f>
        <v>0</v>
      </c>
      <c r="AJ21" s="109">
        <f>'7a.20YrDetails'!AJ21</f>
        <v>0</v>
      </c>
      <c r="AK21" s="109">
        <f>'7a.20YrDetails'!AK21</f>
        <v>0</v>
      </c>
      <c r="AL21" s="109">
        <f>'7a.20YrDetails'!AL21</f>
        <v>0</v>
      </c>
      <c r="AM21" s="109">
        <f>'7a.20YrDetails'!AM21</f>
        <v>0</v>
      </c>
      <c r="AN21" s="109">
        <f>'7a.20YrDetails'!AN21</f>
        <v>0</v>
      </c>
      <c r="AO21" s="109">
        <f>'7a.20YrDetails'!AO21</f>
        <v>0</v>
      </c>
      <c r="AP21" s="109">
        <f>'7a.20YrDetails'!AP21</f>
        <v>0</v>
      </c>
      <c r="AQ21" s="109">
        <f>'7a.20YrDetails'!AQ21</f>
        <v>0</v>
      </c>
      <c r="AR21" s="109">
        <f>'7a.20YrDetails'!AR21</f>
        <v>0</v>
      </c>
      <c r="AS21" s="109">
        <f>'7a.20YrDetails'!AS21</f>
        <v>0</v>
      </c>
      <c r="AT21" s="109">
        <f>'7a.20YrDetails'!AT21</f>
        <v>0</v>
      </c>
      <c r="AU21" s="109">
        <f>'7a.20YrDetails'!AU21</f>
        <v>0</v>
      </c>
      <c r="AV21" s="109">
        <f>'7a.20YrDetails'!AV21</f>
        <v>0</v>
      </c>
      <c r="AW21" s="109">
        <f>'7a.20YrDetails'!AW21</f>
        <v>0</v>
      </c>
      <c r="AX21" s="109">
        <f>'7a.20YrDetails'!AX21</f>
        <v>0</v>
      </c>
      <c r="AY21" s="109">
        <f>'7a.20YrDetails'!AY21</f>
        <v>0</v>
      </c>
      <c r="AZ21" s="109">
        <f>'7a.20YrDetails'!AZ21</f>
        <v>0</v>
      </c>
      <c r="BA21" s="109">
        <f>'7a.20YrDetails'!BA21</f>
        <v>0</v>
      </c>
      <c r="BB21" s="109">
        <f>'7a.20YrDetails'!BB21</f>
        <v>0</v>
      </c>
      <c r="BC21" s="109">
        <f>'7a.20YrDetails'!BC21</f>
        <v>0</v>
      </c>
      <c r="BD21" s="109">
        <f>'7a.20YrDetails'!BD21</f>
        <v>0</v>
      </c>
      <c r="BE21" s="109">
        <f>'7a.20YrDetails'!BE21</f>
        <v>0</v>
      </c>
      <c r="BF21" s="109">
        <f>'7a.20YrDetails'!BF21</f>
        <v>0</v>
      </c>
      <c r="BG21" s="109">
        <f>'7a.20YrDetails'!BG21</f>
        <v>0</v>
      </c>
      <c r="BH21" s="109">
        <f>'7a.20YrDetails'!BH21</f>
        <v>0</v>
      </c>
      <c r="BI21" s="109">
        <f>'7a.20YrDetails'!BI21</f>
        <v>0</v>
      </c>
      <c r="BJ21" s="109">
        <f>'7a.20YrDetails'!BJ21</f>
        <v>0</v>
      </c>
      <c r="BK21" s="109">
        <f>'7a.20YrDetails'!BK21</f>
        <v>0</v>
      </c>
      <c r="BL21" s="109">
        <f>'7a.20YrDetails'!BL21</f>
        <v>0</v>
      </c>
      <c r="BM21" s="109">
        <f>'7a.20YrDetails'!BM21</f>
        <v>0</v>
      </c>
      <c r="BN21" s="109">
        <f>'7a.20YrDetails'!BN21</f>
        <v>0</v>
      </c>
      <c r="BO21" s="109">
        <f>'7a.20YrDetails'!BO21</f>
        <v>0</v>
      </c>
    </row>
    <row r="22" spans="3:67" ht="12" hidden="1" customHeight="1" outlineLevel="1">
      <c r="C22" s="10" t="str">
        <f>'7a.20YrDetails'!C22</f>
        <v>Withdrawal from Capitalized Reserve (deposit to operating account)</v>
      </c>
      <c r="D22" s="8">
        <f>'7a.20YrDetails'!D22</f>
        <v>0</v>
      </c>
      <c r="E22" s="20" t="str">
        <f>'7a.20YrDetails'!E22</f>
        <v>n/a</v>
      </c>
      <c r="F22" s="20" t="str">
        <f>'7a.20YrDetails'!F22</f>
        <v>n/a</v>
      </c>
      <c r="G22" s="46" t="str">
        <f>IF('7a.20YrDetails'!$G22="","",'7a.20YrDetails'!$G22)</f>
        <v>Link from Reserve Section below, as applicable</v>
      </c>
      <c r="H22" s="109">
        <f>'7a.20YrDetails'!H22</f>
        <v>0</v>
      </c>
      <c r="I22" s="109">
        <f>'7a.20YrDetails'!I22</f>
        <v>0</v>
      </c>
      <c r="J22" s="109">
        <f>'7a.20YrDetails'!J22</f>
        <v>0</v>
      </c>
      <c r="K22" s="109">
        <f>'7a.20YrDetails'!K22</f>
        <v>0</v>
      </c>
      <c r="L22" s="109">
        <f>'7a.20YrDetails'!L22</f>
        <v>0</v>
      </c>
      <c r="M22" s="109">
        <f>'7a.20YrDetails'!M22</f>
        <v>0</v>
      </c>
      <c r="N22" s="109">
        <f>'7a.20YrDetails'!N22</f>
        <v>0</v>
      </c>
      <c r="O22" s="109">
        <f>'7a.20YrDetails'!O22</f>
        <v>0</v>
      </c>
      <c r="P22" s="109">
        <f>'7a.20YrDetails'!P22</f>
        <v>0</v>
      </c>
      <c r="Q22" s="109">
        <f>'7a.20YrDetails'!Q22</f>
        <v>0</v>
      </c>
      <c r="R22" s="109">
        <f>'7a.20YrDetails'!R22</f>
        <v>0</v>
      </c>
      <c r="S22" s="109">
        <f>'7a.20YrDetails'!S22</f>
        <v>0</v>
      </c>
      <c r="T22" s="109">
        <f>'7a.20YrDetails'!T22</f>
        <v>0</v>
      </c>
      <c r="U22" s="109">
        <f>'7a.20YrDetails'!U22</f>
        <v>0</v>
      </c>
      <c r="V22" s="109">
        <f>'7a.20YrDetails'!V22</f>
        <v>0</v>
      </c>
      <c r="W22" s="109">
        <f>'7a.20YrDetails'!W22</f>
        <v>0</v>
      </c>
      <c r="X22" s="109">
        <f>'7a.20YrDetails'!X22</f>
        <v>0</v>
      </c>
      <c r="Y22" s="109">
        <f>'7a.20YrDetails'!Y22</f>
        <v>0</v>
      </c>
      <c r="Z22" s="109">
        <f>'7a.20YrDetails'!Z22</f>
        <v>0</v>
      </c>
      <c r="AA22" s="109">
        <f>'7a.20YrDetails'!AA22</f>
        <v>0</v>
      </c>
      <c r="AB22" s="109">
        <f>'7a.20YrDetails'!AB22</f>
        <v>0</v>
      </c>
      <c r="AC22" s="109">
        <f>'7a.20YrDetails'!AC22</f>
        <v>0</v>
      </c>
      <c r="AD22" s="109">
        <f>'7a.20YrDetails'!AD22</f>
        <v>0</v>
      </c>
      <c r="AE22" s="109">
        <f>'7a.20YrDetails'!AE22</f>
        <v>0</v>
      </c>
      <c r="AF22" s="109">
        <f>'7a.20YrDetails'!AF22</f>
        <v>0</v>
      </c>
      <c r="AG22" s="109">
        <f>'7a.20YrDetails'!AG22</f>
        <v>0</v>
      </c>
      <c r="AH22" s="109">
        <f>'7a.20YrDetails'!AH22</f>
        <v>0</v>
      </c>
      <c r="AI22" s="109">
        <f>'7a.20YrDetails'!AI22</f>
        <v>0</v>
      </c>
      <c r="AJ22" s="109">
        <f>'7a.20YrDetails'!AJ22</f>
        <v>0</v>
      </c>
      <c r="AK22" s="109">
        <f>'7a.20YrDetails'!AK22</f>
        <v>0</v>
      </c>
      <c r="AL22" s="109">
        <f>'7a.20YrDetails'!AL22</f>
        <v>0</v>
      </c>
      <c r="AM22" s="109">
        <f>'7a.20YrDetails'!AM22</f>
        <v>0</v>
      </c>
      <c r="AN22" s="109">
        <f>'7a.20YrDetails'!AN22</f>
        <v>0</v>
      </c>
      <c r="AO22" s="109">
        <f>'7a.20YrDetails'!AO22</f>
        <v>0</v>
      </c>
      <c r="AP22" s="109">
        <f>'7a.20YrDetails'!AP22</f>
        <v>0</v>
      </c>
      <c r="AQ22" s="109">
        <f>'7a.20YrDetails'!AQ22</f>
        <v>0</v>
      </c>
      <c r="AR22" s="109">
        <f>'7a.20YrDetails'!AR22</f>
        <v>0</v>
      </c>
      <c r="AS22" s="109">
        <f>'7a.20YrDetails'!AS22</f>
        <v>0</v>
      </c>
      <c r="AT22" s="109">
        <f>'7a.20YrDetails'!AT22</f>
        <v>0</v>
      </c>
      <c r="AU22" s="109">
        <f>'7a.20YrDetails'!AU22</f>
        <v>0</v>
      </c>
      <c r="AV22" s="109">
        <f>'7a.20YrDetails'!AV22</f>
        <v>0</v>
      </c>
      <c r="AW22" s="109">
        <f>'7a.20YrDetails'!AW22</f>
        <v>0</v>
      </c>
      <c r="AX22" s="109">
        <f>'7a.20YrDetails'!AX22</f>
        <v>0</v>
      </c>
      <c r="AY22" s="109">
        <f>'7a.20YrDetails'!AY22</f>
        <v>0</v>
      </c>
      <c r="AZ22" s="109">
        <f>'7a.20YrDetails'!AZ22</f>
        <v>0</v>
      </c>
      <c r="BA22" s="109">
        <f>'7a.20YrDetails'!BA22</f>
        <v>0</v>
      </c>
      <c r="BB22" s="109">
        <f>'7a.20YrDetails'!BB22</f>
        <v>0</v>
      </c>
      <c r="BC22" s="109">
        <f>'7a.20YrDetails'!BC22</f>
        <v>0</v>
      </c>
      <c r="BD22" s="109">
        <f>'7a.20YrDetails'!BD22</f>
        <v>0</v>
      </c>
      <c r="BE22" s="109">
        <f>'7a.20YrDetails'!BE22</f>
        <v>0</v>
      </c>
      <c r="BF22" s="109">
        <f>'7a.20YrDetails'!BF22</f>
        <v>0</v>
      </c>
      <c r="BG22" s="109">
        <f>'7a.20YrDetails'!BG22</f>
        <v>0</v>
      </c>
      <c r="BH22" s="109">
        <f>'7a.20YrDetails'!BH22</f>
        <v>0</v>
      </c>
      <c r="BI22" s="109">
        <f>'7a.20YrDetails'!BI22</f>
        <v>0</v>
      </c>
      <c r="BJ22" s="109">
        <f>'7a.20YrDetails'!BJ22</f>
        <v>0</v>
      </c>
      <c r="BK22" s="109">
        <f>'7a.20YrDetails'!BK22</f>
        <v>0</v>
      </c>
      <c r="BL22" s="109">
        <f>'7a.20YrDetails'!BL22</f>
        <v>0</v>
      </c>
      <c r="BM22" s="109">
        <f>'7a.20YrDetails'!BM22</f>
        <v>0</v>
      </c>
      <c r="BN22" s="109">
        <f>'7a.20YrDetails'!BN22</f>
        <v>0</v>
      </c>
      <c r="BO22" s="109">
        <f>'7a.20YrDetails'!BO22</f>
        <v>0</v>
      </c>
    </row>
    <row r="23" spans="3:67" ht="12" customHeight="1">
      <c r="C23" s="10" t="str">
        <f>'7a.20YrDetails'!C23</f>
        <v>Other Income</v>
      </c>
      <c r="D23" s="8">
        <f>'7a.20YrDetails'!D23</f>
        <v>0</v>
      </c>
      <c r="E23" s="71"/>
      <c r="F23" s="71"/>
      <c r="G23" s="109" t="str">
        <f>IF('7a.20YrDetails'!$G23="","",'7a.20YrDetails'!$G23)</f>
        <v/>
      </c>
      <c r="H23" s="109">
        <f>'7a.20YrDetails'!H23</f>
        <v>0</v>
      </c>
      <c r="I23" s="109">
        <f>'7a.20YrDetails'!I23</f>
        <v>0</v>
      </c>
      <c r="J23" s="109">
        <f>'7a.20YrDetails'!J23</f>
        <v>0</v>
      </c>
      <c r="K23" s="109">
        <f>'7a.20YrDetails'!K23</f>
        <v>0</v>
      </c>
      <c r="L23" s="109">
        <f>'7a.20YrDetails'!L23</f>
        <v>0</v>
      </c>
      <c r="M23" s="109">
        <f>'7a.20YrDetails'!M23</f>
        <v>0</v>
      </c>
      <c r="N23" s="109">
        <f>'7a.20YrDetails'!N23</f>
        <v>0</v>
      </c>
      <c r="O23" s="109">
        <f>'7a.20YrDetails'!O23</f>
        <v>0</v>
      </c>
      <c r="P23" s="109">
        <f>'7a.20YrDetails'!P23</f>
        <v>0</v>
      </c>
      <c r="Q23" s="109">
        <f>'7a.20YrDetails'!Q23</f>
        <v>0</v>
      </c>
      <c r="R23" s="109">
        <f>'7a.20YrDetails'!R23</f>
        <v>0</v>
      </c>
      <c r="S23" s="109">
        <f>'7a.20YrDetails'!S23</f>
        <v>0</v>
      </c>
      <c r="T23" s="109">
        <f>'7a.20YrDetails'!T23</f>
        <v>0</v>
      </c>
      <c r="U23" s="109">
        <f>'7a.20YrDetails'!U23</f>
        <v>0</v>
      </c>
      <c r="V23" s="109">
        <f>'7a.20YrDetails'!V23</f>
        <v>0</v>
      </c>
      <c r="W23" s="109">
        <f>'7a.20YrDetails'!W23</f>
        <v>0</v>
      </c>
      <c r="X23" s="109">
        <f>'7a.20YrDetails'!X23</f>
        <v>0</v>
      </c>
      <c r="Y23" s="109">
        <f>'7a.20YrDetails'!Y23</f>
        <v>0</v>
      </c>
      <c r="Z23" s="109">
        <f>'7a.20YrDetails'!Z23</f>
        <v>0</v>
      </c>
      <c r="AA23" s="109">
        <f>'7a.20YrDetails'!AA23</f>
        <v>0</v>
      </c>
      <c r="AB23" s="109">
        <f>'7a.20YrDetails'!AB23</f>
        <v>0</v>
      </c>
      <c r="AC23" s="109">
        <f>'7a.20YrDetails'!AC23</f>
        <v>0</v>
      </c>
      <c r="AD23" s="109">
        <f>'7a.20YrDetails'!AD23</f>
        <v>0</v>
      </c>
      <c r="AE23" s="109">
        <f>'7a.20YrDetails'!AE23</f>
        <v>0</v>
      </c>
      <c r="AF23" s="109">
        <f>'7a.20YrDetails'!AF23</f>
        <v>0</v>
      </c>
      <c r="AG23" s="109">
        <f>'7a.20YrDetails'!AG23</f>
        <v>0</v>
      </c>
      <c r="AH23" s="109">
        <f>'7a.20YrDetails'!AH23</f>
        <v>0</v>
      </c>
      <c r="AI23" s="109">
        <f>'7a.20YrDetails'!AI23</f>
        <v>0</v>
      </c>
      <c r="AJ23" s="109">
        <f>'7a.20YrDetails'!AJ23</f>
        <v>0</v>
      </c>
      <c r="AK23" s="109">
        <f>'7a.20YrDetails'!AK23</f>
        <v>0</v>
      </c>
      <c r="AL23" s="109">
        <f>'7a.20YrDetails'!AL23</f>
        <v>0</v>
      </c>
      <c r="AM23" s="109">
        <f>'7a.20YrDetails'!AM23</f>
        <v>0</v>
      </c>
      <c r="AN23" s="109">
        <f>'7a.20YrDetails'!AN23</f>
        <v>0</v>
      </c>
      <c r="AO23" s="109">
        <f>'7a.20YrDetails'!AO23</f>
        <v>0</v>
      </c>
      <c r="AP23" s="109">
        <f>'7a.20YrDetails'!AP23</f>
        <v>0</v>
      </c>
      <c r="AQ23" s="109">
        <f>'7a.20YrDetails'!AQ23</f>
        <v>0</v>
      </c>
      <c r="AR23" s="109">
        <f>'7a.20YrDetails'!AR23</f>
        <v>0</v>
      </c>
      <c r="AS23" s="109">
        <f>'7a.20YrDetails'!AS23</f>
        <v>0</v>
      </c>
      <c r="AT23" s="109">
        <f>'7a.20YrDetails'!AT23</f>
        <v>0</v>
      </c>
      <c r="AU23" s="109">
        <f>'7a.20YrDetails'!AU23</f>
        <v>0</v>
      </c>
      <c r="AV23" s="109">
        <f>'7a.20YrDetails'!AV23</f>
        <v>0</v>
      </c>
      <c r="AW23" s="109">
        <f>'7a.20YrDetails'!AW23</f>
        <v>0</v>
      </c>
      <c r="AX23" s="109">
        <f>'7a.20YrDetails'!AX23</f>
        <v>0</v>
      </c>
      <c r="AY23" s="109">
        <f>'7a.20YrDetails'!AY23</f>
        <v>0</v>
      </c>
      <c r="AZ23" s="109">
        <f>'7a.20YrDetails'!AZ23</f>
        <v>0</v>
      </c>
      <c r="BA23" s="109">
        <f>'7a.20YrDetails'!BA23</f>
        <v>0</v>
      </c>
      <c r="BB23" s="109">
        <f>'7a.20YrDetails'!BB23</f>
        <v>0</v>
      </c>
      <c r="BC23" s="109">
        <f>'7a.20YrDetails'!BC23</f>
        <v>0</v>
      </c>
      <c r="BD23" s="109">
        <f>'7a.20YrDetails'!BD23</f>
        <v>0</v>
      </c>
      <c r="BE23" s="109">
        <f>'7a.20YrDetails'!BE23</f>
        <v>0</v>
      </c>
      <c r="BF23" s="109">
        <f>'7a.20YrDetails'!BF23</f>
        <v>0</v>
      </c>
      <c r="BG23" s="109">
        <f>'7a.20YrDetails'!BG23</f>
        <v>0</v>
      </c>
      <c r="BH23" s="109">
        <f>'7a.20YrDetails'!BH23</f>
        <v>0</v>
      </c>
      <c r="BI23" s="109">
        <f>'7a.20YrDetails'!BI23</f>
        <v>0</v>
      </c>
      <c r="BJ23" s="109">
        <f>'7a.20YrDetails'!BJ23</f>
        <v>0</v>
      </c>
      <c r="BK23" s="109">
        <f>'7a.20YrDetails'!BK23</f>
        <v>0</v>
      </c>
      <c r="BL23" s="109">
        <f>'7a.20YrDetails'!BL23</f>
        <v>0</v>
      </c>
      <c r="BM23" s="109">
        <f>'7a.20YrDetails'!BM23</f>
        <v>0</v>
      </c>
      <c r="BN23" s="109">
        <f>'7a.20YrDetails'!BN23</f>
        <v>0</v>
      </c>
      <c r="BO23" s="109">
        <f>'7a.20YrDetails'!BO23</f>
        <v>0</v>
      </c>
    </row>
    <row r="24" spans="3:67" ht="12" customHeight="1">
      <c r="C24" s="1327" t="str">
        <f>'7a.20YrDetails'!C24</f>
        <v>Gross Potential Income</v>
      </c>
      <c r="D24" s="12"/>
      <c r="E24" s="12"/>
      <c r="F24" s="12"/>
      <c r="G24" s="31"/>
      <c r="H24" s="334">
        <f>'7a.20YrDetails'!H24</f>
        <v>0</v>
      </c>
      <c r="I24" s="334">
        <f>'7a.20YrDetails'!I24</f>
        <v>0</v>
      </c>
      <c r="J24" s="334">
        <f>'7a.20YrDetails'!J24</f>
        <v>0</v>
      </c>
      <c r="K24" s="334">
        <f>'7a.20YrDetails'!K24</f>
        <v>0</v>
      </c>
      <c r="L24" s="334">
        <f>'7a.20YrDetails'!L24</f>
        <v>0</v>
      </c>
      <c r="M24" s="334">
        <f>'7a.20YrDetails'!M24</f>
        <v>0</v>
      </c>
      <c r="N24" s="334">
        <f>'7a.20YrDetails'!N24</f>
        <v>0</v>
      </c>
      <c r="O24" s="334">
        <f>'7a.20YrDetails'!O24</f>
        <v>0</v>
      </c>
      <c r="P24" s="334">
        <f>'7a.20YrDetails'!P24</f>
        <v>0</v>
      </c>
      <c r="Q24" s="334">
        <f>'7a.20YrDetails'!Q24</f>
        <v>0</v>
      </c>
      <c r="R24" s="334">
        <f>'7a.20YrDetails'!R24</f>
        <v>0</v>
      </c>
      <c r="S24" s="334">
        <f>'7a.20YrDetails'!S24</f>
        <v>0</v>
      </c>
      <c r="T24" s="334">
        <f>'7a.20YrDetails'!T24</f>
        <v>0</v>
      </c>
      <c r="U24" s="334">
        <f>'7a.20YrDetails'!U24</f>
        <v>0</v>
      </c>
      <c r="V24" s="334">
        <f>'7a.20YrDetails'!V24</f>
        <v>0</v>
      </c>
      <c r="W24" s="334">
        <f>'7a.20YrDetails'!W24</f>
        <v>0</v>
      </c>
      <c r="X24" s="334">
        <f>'7a.20YrDetails'!X24</f>
        <v>0</v>
      </c>
      <c r="Y24" s="334">
        <f>'7a.20YrDetails'!Y24</f>
        <v>0</v>
      </c>
      <c r="Z24" s="334">
        <f>'7a.20YrDetails'!Z24</f>
        <v>0</v>
      </c>
      <c r="AA24" s="334">
        <f>'7a.20YrDetails'!AA24</f>
        <v>0</v>
      </c>
      <c r="AB24" s="334">
        <f>'7a.20YrDetails'!AB24</f>
        <v>0</v>
      </c>
      <c r="AC24" s="334">
        <f>'7a.20YrDetails'!AC24</f>
        <v>0</v>
      </c>
      <c r="AD24" s="334">
        <f>'7a.20YrDetails'!AD24</f>
        <v>0</v>
      </c>
      <c r="AE24" s="334">
        <f>'7a.20YrDetails'!AE24</f>
        <v>0</v>
      </c>
      <c r="AF24" s="334">
        <f>'7a.20YrDetails'!AF24</f>
        <v>0</v>
      </c>
      <c r="AG24" s="334">
        <f>'7a.20YrDetails'!AG24</f>
        <v>0</v>
      </c>
      <c r="AH24" s="334">
        <f>'7a.20YrDetails'!AH24</f>
        <v>0</v>
      </c>
      <c r="AI24" s="334">
        <f>'7a.20YrDetails'!AI24</f>
        <v>0</v>
      </c>
      <c r="AJ24" s="334">
        <f>'7a.20YrDetails'!AJ24</f>
        <v>0</v>
      </c>
      <c r="AK24" s="334">
        <f>'7a.20YrDetails'!AK24</f>
        <v>0</v>
      </c>
      <c r="AL24" s="334">
        <f>'7a.20YrDetails'!AL24</f>
        <v>0</v>
      </c>
      <c r="AM24" s="334">
        <f>'7a.20YrDetails'!AM24</f>
        <v>0</v>
      </c>
      <c r="AN24" s="334">
        <f>'7a.20YrDetails'!AN24</f>
        <v>0</v>
      </c>
      <c r="AO24" s="334">
        <f>'7a.20YrDetails'!AO24</f>
        <v>0</v>
      </c>
      <c r="AP24" s="334">
        <f>'7a.20YrDetails'!AP24</f>
        <v>0</v>
      </c>
      <c r="AQ24" s="334">
        <f>'7a.20YrDetails'!AQ24</f>
        <v>0</v>
      </c>
      <c r="AR24" s="334">
        <f>'7a.20YrDetails'!AR24</f>
        <v>0</v>
      </c>
      <c r="AS24" s="334">
        <f>'7a.20YrDetails'!AS24</f>
        <v>0</v>
      </c>
      <c r="AT24" s="334">
        <f>'7a.20YrDetails'!AT24</f>
        <v>0</v>
      </c>
      <c r="AU24" s="334">
        <f>'7a.20YrDetails'!AU24</f>
        <v>0</v>
      </c>
      <c r="AV24" s="334">
        <f>'7a.20YrDetails'!AV24</f>
        <v>0</v>
      </c>
      <c r="AW24" s="334">
        <f>'7a.20YrDetails'!AW24</f>
        <v>0</v>
      </c>
      <c r="AX24" s="334">
        <f>'7a.20YrDetails'!AX24</f>
        <v>0</v>
      </c>
      <c r="AY24" s="334">
        <f>'7a.20YrDetails'!AY24</f>
        <v>0</v>
      </c>
      <c r="AZ24" s="334">
        <f>'7a.20YrDetails'!AZ24</f>
        <v>0</v>
      </c>
      <c r="BA24" s="334">
        <f>'7a.20YrDetails'!BA24</f>
        <v>0</v>
      </c>
      <c r="BB24" s="334">
        <f>'7a.20YrDetails'!BB24</f>
        <v>0</v>
      </c>
      <c r="BC24" s="334">
        <f>'7a.20YrDetails'!BC24</f>
        <v>0</v>
      </c>
      <c r="BD24" s="334">
        <f>'7a.20YrDetails'!BD24</f>
        <v>0</v>
      </c>
      <c r="BE24" s="334">
        <f>'7a.20YrDetails'!BE24</f>
        <v>0</v>
      </c>
      <c r="BF24" s="334">
        <f>'7a.20YrDetails'!BF24</f>
        <v>0</v>
      </c>
      <c r="BG24" s="334">
        <f>'7a.20YrDetails'!BG24</f>
        <v>0</v>
      </c>
      <c r="BH24" s="334">
        <f>'7a.20YrDetails'!BH24</f>
        <v>0</v>
      </c>
      <c r="BI24" s="334">
        <f>'7a.20YrDetails'!BI24</f>
        <v>0</v>
      </c>
      <c r="BJ24" s="334">
        <f>'7a.20YrDetails'!BJ24</f>
        <v>0</v>
      </c>
      <c r="BK24" s="334">
        <f>'7a.20YrDetails'!BK24</f>
        <v>0</v>
      </c>
      <c r="BL24" s="334">
        <f>'7a.20YrDetails'!BL24</f>
        <v>0</v>
      </c>
      <c r="BM24" s="334">
        <f>'7a.20YrDetails'!BM24</f>
        <v>0</v>
      </c>
      <c r="BN24" s="334">
        <f>'7a.20YrDetails'!BN24</f>
        <v>0</v>
      </c>
      <c r="BO24" s="334">
        <f>'7a.20YrDetails'!BO24</f>
        <v>0</v>
      </c>
    </row>
    <row r="25" spans="3:67" ht="12" customHeight="1">
      <c r="C25" s="10" t="str">
        <f>'7a.20YrDetails'!C25</f>
        <v>Vacancy Loss - Residential - Tenant Rents</v>
      </c>
      <c r="D25" s="8">
        <f>'7a.20YrDetails'!D25</f>
        <v>0</v>
      </c>
      <c r="E25" s="20" t="str">
        <f>'7a.20YrDetails'!E25</f>
        <v>n/a</v>
      </c>
      <c r="F25" s="20" t="str">
        <f>'7a.20YrDetails'!F25</f>
        <v>n/a</v>
      </c>
      <c r="G25" s="2347" t="str">
        <f>'7a.20YrDetails'!G25</f>
        <v>Enter formulas manually per relevant MOH policy; annual incrementing usually not appropriate</v>
      </c>
      <c r="H25" s="109">
        <f>'7a.20YrDetails'!H25</f>
        <v>0</v>
      </c>
      <c r="I25" s="109">
        <f>'7a.20YrDetails'!I25</f>
        <v>0</v>
      </c>
      <c r="J25" s="109">
        <f>'7a.20YrDetails'!J25</f>
        <v>0</v>
      </c>
      <c r="K25" s="109">
        <f>'7a.20YrDetails'!K25</f>
        <v>0</v>
      </c>
      <c r="L25" s="109">
        <f>'7a.20YrDetails'!L25</f>
        <v>0</v>
      </c>
      <c r="M25" s="109">
        <f>'7a.20YrDetails'!M25</f>
        <v>0</v>
      </c>
      <c r="N25" s="109">
        <f>'7a.20YrDetails'!N25</f>
        <v>0</v>
      </c>
      <c r="O25" s="109">
        <f>'7a.20YrDetails'!O25</f>
        <v>0</v>
      </c>
      <c r="P25" s="109">
        <f>'7a.20YrDetails'!P25</f>
        <v>0</v>
      </c>
      <c r="Q25" s="109">
        <f>'7a.20YrDetails'!Q25</f>
        <v>0</v>
      </c>
      <c r="R25" s="109">
        <f>'7a.20YrDetails'!R25</f>
        <v>0</v>
      </c>
      <c r="S25" s="109">
        <f>'7a.20YrDetails'!S25</f>
        <v>0</v>
      </c>
      <c r="T25" s="109">
        <f>'7a.20YrDetails'!T25</f>
        <v>0</v>
      </c>
      <c r="U25" s="109">
        <f>'7a.20YrDetails'!U25</f>
        <v>0</v>
      </c>
      <c r="V25" s="109">
        <f>'7a.20YrDetails'!V25</f>
        <v>0</v>
      </c>
      <c r="W25" s="109">
        <f>'7a.20YrDetails'!W25</f>
        <v>0</v>
      </c>
      <c r="X25" s="109">
        <f>'7a.20YrDetails'!X25</f>
        <v>0</v>
      </c>
      <c r="Y25" s="109">
        <f>'7a.20YrDetails'!Y25</f>
        <v>0</v>
      </c>
      <c r="Z25" s="109">
        <f>'7a.20YrDetails'!Z25</f>
        <v>0</v>
      </c>
      <c r="AA25" s="109">
        <f>'7a.20YrDetails'!AA25</f>
        <v>0</v>
      </c>
      <c r="AB25" s="109">
        <f>'7a.20YrDetails'!AB25</f>
        <v>0</v>
      </c>
      <c r="AC25" s="109">
        <f>'7a.20YrDetails'!AC25</f>
        <v>0</v>
      </c>
      <c r="AD25" s="109">
        <f>'7a.20YrDetails'!AD25</f>
        <v>0</v>
      </c>
      <c r="AE25" s="109">
        <f>'7a.20YrDetails'!AE25</f>
        <v>0</v>
      </c>
      <c r="AF25" s="109">
        <f>'7a.20YrDetails'!AF25</f>
        <v>0</v>
      </c>
      <c r="AG25" s="109">
        <f>'7a.20YrDetails'!AG25</f>
        <v>0</v>
      </c>
      <c r="AH25" s="109">
        <f>'7a.20YrDetails'!AH25</f>
        <v>0</v>
      </c>
      <c r="AI25" s="109">
        <f>'7a.20YrDetails'!AI25</f>
        <v>0</v>
      </c>
      <c r="AJ25" s="109">
        <f>'7a.20YrDetails'!AJ25</f>
        <v>0</v>
      </c>
      <c r="AK25" s="109">
        <f>'7a.20YrDetails'!AK25</f>
        <v>0</v>
      </c>
      <c r="AL25" s="109">
        <f>'7a.20YrDetails'!AL25</f>
        <v>0</v>
      </c>
      <c r="AM25" s="109">
        <f>'7a.20YrDetails'!AM25</f>
        <v>0</v>
      </c>
      <c r="AN25" s="109">
        <f>'7a.20YrDetails'!AN25</f>
        <v>0</v>
      </c>
      <c r="AO25" s="109">
        <f>'7a.20YrDetails'!AO25</f>
        <v>0</v>
      </c>
      <c r="AP25" s="109">
        <f>'7a.20YrDetails'!AP25</f>
        <v>0</v>
      </c>
      <c r="AQ25" s="109">
        <f>'7a.20YrDetails'!AQ25</f>
        <v>0</v>
      </c>
      <c r="AR25" s="109">
        <f>'7a.20YrDetails'!AR25</f>
        <v>0</v>
      </c>
      <c r="AS25" s="109">
        <f>'7a.20YrDetails'!AS25</f>
        <v>0</v>
      </c>
      <c r="AT25" s="109">
        <f>'7a.20YrDetails'!AT25</f>
        <v>0</v>
      </c>
      <c r="AU25" s="109">
        <f>'7a.20YrDetails'!AU25</f>
        <v>0</v>
      </c>
      <c r="AV25" s="109">
        <f>'7a.20YrDetails'!AV25</f>
        <v>0</v>
      </c>
      <c r="AW25" s="109">
        <f>'7a.20YrDetails'!AW25</f>
        <v>0</v>
      </c>
      <c r="AX25" s="109">
        <f>'7a.20YrDetails'!AX25</f>
        <v>0</v>
      </c>
      <c r="AY25" s="109">
        <f>'7a.20YrDetails'!AY25</f>
        <v>0</v>
      </c>
      <c r="AZ25" s="109">
        <f>'7a.20YrDetails'!AZ25</f>
        <v>0</v>
      </c>
      <c r="BA25" s="109">
        <f>'7a.20YrDetails'!BA25</f>
        <v>0</v>
      </c>
      <c r="BB25" s="109">
        <f>'7a.20YrDetails'!BB25</f>
        <v>0</v>
      </c>
      <c r="BC25" s="109">
        <f>'7a.20YrDetails'!BC25</f>
        <v>0</v>
      </c>
      <c r="BD25" s="109">
        <f>'7a.20YrDetails'!BD25</f>
        <v>0</v>
      </c>
      <c r="BE25" s="109">
        <f>'7a.20YrDetails'!BE25</f>
        <v>0</v>
      </c>
      <c r="BF25" s="109">
        <f>'7a.20YrDetails'!BF25</f>
        <v>0</v>
      </c>
      <c r="BG25" s="109">
        <f>'7a.20YrDetails'!BG25</f>
        <v>0</v>
      </c>
      <c r="BH25" s="109">
        <f>'7a.20YrDetails'!BH25</f>
        <v>0</v>
      </c>
      <c r="BI25" s="109">
        <f>'7a.20YrDetails'!BI25</f>
        <v>0</v>
      </c>
      <c r="BJ25" s="109">
        <f>'7a.20YrDetails'!BJ25</f>
        <v>0</v>
      </c>
      <c r="BK25" s="109">
        <f>'7a.20YrDetails'!BK25</f>
        <v>0</v>
      </c>
      <c r="BL25" s="109">
        <f>'7a.20YrDetails'!BL25</f>
        <v>0</v>
      </c>
      <c r="BM25" s="109">
        <f>'7a.20YrDetails'!BM25</f>
        <v>0</v>
      </c>
      <c r="BN25" s="109">
        <f>'7a.20YrDetails'!BN25</f>
        <v>0</v>
      </c>
      <c r="BO25" s="109">
        <f>'7a.20YrDetails'!BO25</f>
        <v>0</v>
      </c>
    </row>
    <row r="26" spans="3:67" ht="12" customHeight="1">
      <c r="C26" s="10" t="str">
        <f>'7a.20YrDetails'!C26</f>
        <v>Vacancy Loss - Residential - Tenant Assistance Payments</v>
      </c>
      <c r="D26" s="8">
        <f>'7a.20YrDetails'!D26</f>
        <v>0</v>
      </c>
      <c r="E26" s="20" t="str">
        <f>'7a.20YrDetails'!E26</f>
        <v>n/a</v>
      </c>
      <c r="F26" s="20" t="str">
        <f>'7a.20YrDetails'!F26</f>
        <v>n/a</v>
      </c>
      <c r="G26" s="2348">
        <f>'7a.20YrDetails'!G26</f>
        <v>0</v>
      </c>
      <c r="H26" s="109">
        <f>'7a.20YrDetails'!H26</f>
        <v>0</v>
      </c>
      <c r="I26" s="109">
        <f>'7a.20YrDetails'!I26</f>
        <v>0</v>
      </c>
      <c r="J26" s="109">
        <f>'7a.20YrDetails'!J26</f>
        <v>0</v>
      </c>
      <c r="K26" s="109">
        <f>'7a.20YrDetails'!K26</f>
        <v>0</v>
      </c>
      <c r="L26" s="109">
        <f>'7a.20YrDetails'!L26</f>
        <v>0</v>
      </c>
      <c r="M26" s="109">
        <f>'7a.20YrDetails'!M26</f>
        <v>0</v>
      </c>
      <c r="N26" s="109">
        <f>'7a.20YrDetails'!N26</f>
        <v>0</v>
      </c>
      <c r="O26" s="109">
        <f>'7a.20YrDetails'!O26</f>
        <v>0</v>
      </c>
      <c r="P26" s="109">
        <f>'7a.20YrDetails'!P26</f>
        <v>0</v>
      </c>
      <c r="Q26" s="109">
        <f>'7a.20YrDetails'!Q26</f>
        <v>0</v>
      </c>
      <c r="R26" s="109">
        <f>'7a.20YrDetails'!R26</f>
        <v>0</v>
      </c>
      <c r="S26" s="109">
        <f>'7a.20YrDetails'!S26</f>
        <v>0</v>
      </c>
      <c r="T26" s="109">
        <f>'7a.20YrDetails'!T26</f>
        <v>0</v>
      </c>
      <c r="U26" s="109">
        <f>'7a.20YrDetails'!U26</f>
        <v>0</v>
      </c>
      <c r="V26" s="109">
        <f>'7a.20YrDetails'!V26</f>
        <v>0</v>
      </c>
      <c r="W26" s="109">
        <f>'7a.20YrDetails'!W26</f>
        <v>0</v>
      </c>
      <c r="X26" s="109">
        <f>'7a.20YrDetails'!X26</f>
        <v>0</v>
      </c>
      <c r="Y26" s="109">
        <f>'7a.20YrDetails'!Y26</f>
        <v>0</v>
      </c>
      <c r="Z26" s="109">
        <f>'7a.20YrDetails'!Z26</f>
        <v>0</v>
      </c>
      <c r="AA26" s="109">
        <f>'7a.20YrDetails'!AA26</f>
        <v>0</v>
      </c>
      <c r="AB26" s="109">
        <f>'7a.20YrDetails'!AB26</f>
        <v>0</v>
      </c>
      <c r="AC26" s="109">
        <f>'7a.20YrDetails'!AC26</f>
        <v>0</v>
      </c>
      <c r="AD26" s="109">
        <f>'7a.20YrDetails'!AD26</f>
        <v>0</v>
      </c>
      <c r="AE26" s="109">
        <f>'7a.20YrDetails'!AE26</f>
        <v>0</v>
      </c>
      <c r="AF26" s="109">
        <f>'7a.20YrDetails'!AF26</f>
        <v>0</v>
      </c>
      <c r="AG26" s="109">
        <f>'7a.20YrDetails'!AG26</f>
        <v>0</v>
      </c>
      <c r="AH26" s="109">
        <f>'7a.20YrDetails'!AH26</f>
        <v>0</v>
      </c>
      <c r="AI26" s="109">
        <f>'7a.20YrDetails'!AI26</f>
        <v>0</v>
      </c>
      <c r="AJ26" s="109">
        <f>'7a.20YrDetails'!AJ26</f>
        <v>0</v>
      </c>
      <c r="AK26" s="109">
        <f>'7a.20YrDetails'!AK26</f>
        <v>0</v>
      </c>
      <c r="AL26" s="109">
        <f>'7a.20YrDetails'!AL26</f>
        <v>0</v>
      </c>
      <c r="AM26" s="109">
        <f>'7a.20YrDetails'!AM26</f>
        <v>0</v>
      </c>
      <c r="AN26" s="109">
        <f>'7a.20YrDetails'!AN26</f>
        <v>0</v>
      </c>
      <c r="AO26" s="109">
        <f>'7a.20YrDetails'!AO26</f>
        <v>0</v>
      </c>
      <c r="AP26" s="109">
        <f>'7a.20YrDetails'!AP26</f>
        <v>0</v>
      </c>
      <c r="AQ26" s="109">
        <f>'7a.20YrDetails'!AQ26</f>
        <v>0</v>
      </c>
      <c r="AR26" s="109">
        <f>'7a.20YrDetails'!AR26</f>
        <v>0</v>
      </c>
      <c r="AS26" s="109">
        <f>'7a.20YrDetails'!AS26</f>
        <v>0</v>
      </c>
      <c r="AT26" s="109">
        <f>'7a.20YrDetails'!AT26</f>
        <v>0</v>
      </c>
      <c r="AU26" s="109">
        <f>'7a.20YrDetails'!AU26</f>
        <v>0</v>
      </c>
      <c r="AV26" s="109">
        <f>'7a.20YrDetails'!AV26</f>
        <v>0</v>
      </c>
      <c r="AW26" s="109">
        <f>'7a.20YrDetails'!AW26</f>
        <v>0</v>
      </c>
      <c r="AX26" s="109">
        <f>'7a.20YrDetails'!AX26</f>
        <v>0</v>
      </c>
      <c r="AY26" s="109">
        <f>'7a.20YrDetails'!AY26</f>
        <v>0</v>
      </c>
      <c r="AZ26" s="109">
        <f>'7a.20YrDetails'!AZ26</f>
        <v>0</v>
      </c>
      <c r="BA26" s="109">
        <f>'7a.20YrDetails'!BA26</f>
        <v>0</v>
      </c>
      <c r="BB26" s="109">
        <f>'7a.20YrDetails'!BB26</f>
        <v>0</v>
      </c>
      <c r="BC26" s="109">
        <f>'7a.20YrDetails'!BC26</f>
        <v>0</v>
      </c>
      <c r="BD26" s="109">
        <f>'7a.20YrDetails'!BD26</f>
        <v>0</v>
      </c>
      <c r="BE26" s="109">
        <f>'7a.20YrDetails'!BE26</f>
        <v>0</v>
      </c>
      <c r="BF26" s="109">
        <f>'7a.20YrDetails'!BF26</f>
        <v>0</v>
      </c>
      <c r="BG26" s="109">
        <f>'7a.20YrDetails'!BG26</f>
        <v>0</v>
      </c>
      <c r="BH26" s="109">
        <f>'7a.20YrDetails'!BH26</f>
        <v>0</v>
      </c>
      <c r="BI26" s="109">
        <f>'7a.20YrDetails'!BI26</f>
        <v>0</v>
      </c>
      <c r="BJ26" s="109">
        <f>'7a.20YrDetails'!BJ26</f>
        <v>0</v>
      </c>
      <c r="BK26" s="109">
        <f>'7a.20YrDetails'!BK26</f>
        <v>0</v>
      </c>
      <c r="BL26" s="109">
        <f>'7a.20YrDetails'!BL26</f>
        <v>0</v>
      </c>
      <c r="BM26" s="109">
        <f>'7a.20YrDetails'!BM26</f>
        <v>0</v>
      </c>
      <c r="BN26" s="109">
        <f>'7a.20YrDetails'!BN26</f>
        <v>0</v>
      </c>
      <c r="BO26" s="109">
        <f>'7a.20YrDetails'!BO26</f>
        <v>0</v>
      </c>
    </row>
    <row r="27" spans="3:67" ht="12" customHeight="1">
      <c r="C27" s="17" t="str">
        <f>'7a.20YrDetails'!C27</f>
        <v>Vacancy Loss - Commercial</v>
      </c>
      <c r="D27" s="8">
        <f>'7a.20YrDetails'!D27</f>
        <v>0</v>
      </c>
      <c r="E27" s="20" t="str">
        <f>'7a.20YrDetails'!E27</f>
        <v>n/a</v>
      </c>
      <c r="F27" s="20" t="str">
        <f>'7a.20YrDetails'!F27</f>
        <v>n/a</v>
      </c>
      <c r="G27" s="2349">
        <f>'7a.20YrDetails'!G27</f>
        <v>0</v>
      </c>
      <c r="H27" s="109">
        <f>'7a.20YrDetails'!H27</f>
        <v>0</v>
      </c>
      <c r="I27" s="109">
        <f>'7a.20YrDetails'!I27</f>
        <v>0</v>
      </c>
      <c r="J27" s="109">
        <f>'7a.20YrDetails'!J27</f>
        <v>0</v>
      </c>
      <c r="K27" s="109">
        <f>'7a.20YrDetails'!K27</f>
        <v>0</v>
      </c>
      <c r="L27" s="109">
        <f>'7a.20YrDetails'!L27</f>
        <v>0</v>
      </c>
      <c r="M27" s="109">
        <f>'7a.20YrDetails'!M27</f>
        <v>0</v>
      </c>
      <c r="N27" s="109">
        <f>'7a.20YrDetails'!N27</f>
        <v>0</v>
      </c>
      <c r="O27" s="109">
        <f>'7a.20YrDetails'!O27</f>
        <v>0</v>
      </c>
      <c r="P27" s="109">
        <f>'7a.20YrDetails'!P27</f>
        <v>0</v>
      </c>
      <c r="Q27" s="109">
        <f>'7a.20YrDetails'!Q27</f>
        <v>0</v>
      </c>
      <c r="R27" s="109">
        <f>'7a.20YrDetails'!R27</f>
        <v>0</v>
      </c>
      <c r="S27" s="109">
        <f>'7a.20YrDetails'!S27</f>
        <v>0</v>
      </c>
      <c r="T27" s="109">
        <f>'7a.20YrDetails'!T27</f>
        <v>0</v>
      </c>
      <c r="U27" s="109">
        <f>'7a.20YrDetails'!U27</f>
        <v>0</v>
      </c>
      <c r="V27" s="109">
        <f>'7a.20YrDetails'!V27</f>
        <v>0</v>
      </c>
      <c r="W27" s="109">
        <f>'7a.20YrDetails'!W27</f>
        <v>0</v>
      </c>
      <c r="X27" s="109">
        <f>'7a.20YrDetails'!X27</f>
        <v>0</v>
      </c>
      <c r="Y27" s="109">
        <f>'7a.20YrDetails'!Y27</f>
        <v>0</v>
      </c>
      <c r="Z27" s="109">
        <f>'7a.20YrDetails'!Z27</f>
        <v>0</v>
      </c>
      <c r="AA27" s="109">
        <f>'7a.20YrDetails'!AA27</f>
        <v>0</v>
      </c>
      <c r="AB27" s="109">
        <f>'7a.20YrDetails'!AB27</f>
        <v>0</v>
      </c>
      <c r="AC27" s="109">
        <f>'7a.20YrDetails'!AC27</f>
        <v>0</v>
      </c>
      <c r="AD27" s="109">
        <f>'7a.20YrDetails'!AD27</f>
        <v>0</v>
      </c>
      <c r="AE27" s="109">
        <f>'7a.20YrDetails'!AE27</f>
        <v>0</v>
      </c>
      <c r="AF27" s="109">
        <f>'7a.20YrDetails'!AF27</f>
        <v>0</v>
      </c>
      <c r="AG27" s="109">
        <f>'7a.20YrDetails'!AG27</f>
        <v>0</v>
      </c>
      <c r="AH27" s="109">
        <f>'7a.20YrDetails'!AH27</f>
        <v>0</v>
      </c>
      <c r="AI27" s="109">
        <f>'7a.20YrDetails'!AI27</f>
        <v>0</v>
      </c>
      <c r="AJ27" s="109">
        <f>'7a.20YrDetails'!AJ27</f>
        <v>0</v>
      </c>
      <c r="AK27" s="109">
        <f>'7a.20YrDetails'!AK27</f>
        <v>0</v>
      </c>
      <c r="AL27" s="109">
        <f>'7a.20YrDetails'!AL27</f>
        <v>0</v>
      </c>
      <c r="AM27" s="109">
        <f>'7a.20YrDetails'!AM27</f>
        <v>0</v>
      </c>
      <c r="AN27" s="109">
        <f>'7a.20YrDetails'!AN27</f>
        <v>0</v>
      </c>
      <c r="AO27" s="109">
        <f>'7a.20YrDetails'!AO27</f>
        <v>0</v>
      </c>
      <c r="AP27" s="109">
        <f>'7a.20YrDetails'!AP27</f>
        <v>0</v>
      </c>
      <c r="AQ27" s="109">
        <f>'7a.20YrDetails'!AQ27</f>
        <v>0</v>
      </c>
      <c r="AR27" s="109">
        <f>'7a.20YrDetails'!AR27</f>
        <v>0</v>
      </c>
      <c r="AS27" s="109">
        <f>'7a.20YrDetails'!AS27</f>
        <v>0</v>
      </c>
      <c r="AT27" s="109">
        <f>'7a.20YrDetails'!AT27</f>
        <v>0</v>
      </c>
      <c r="AU27" s="109">
        <f>'7a.20YrDetails'!AU27</f>
        <v>0</v>
      </c>
      <c r="AV27" s="109">
        <f>'7a.20YrDetails'!AV27</f>
        <v>0</v>
      </c>
      <c r="AW27" s="109">
        <f>'7a.20YrDetails'!AW27</f>
        <v>0</v>
      </c>
      <c r="AX27" s="109">
        <f>'7a.20YrDetails'!AX27</f>
        <v>0</v>
      </c>
      <c r="AY27" s="109">
        <f>'7a.20YrDetails'!AY27</f>
        <v>0</v>
      </c>
      <c r="AZ27" s="109">
        <f>'7a.20YrDetails'!AZ27</f>
        <v>0</v>
      </c>
      <c r="BA27" s="109">
        <f>'7a.20YrDetails'!BA27</f>
        <v>0</v>
      </c>
      <c r="BB27" s="109">
        <f>'7a.20YrDetails'!BB27</f>
        <v>0</v>
      </c>
      <c r="BC27" s="109">
        <f>'7a.20YrDetails'!BC27</f>
        <v>0</v>
      </c>
      <c r="BD27" s="109">
        <f>'7a.20YrDetails'!BD27</f>
        <v>0</v>
      </c>
      <c r="BE27" s="109">
        <f>'7a.20YrDetails'!BE27</f>
        <v>0</v>
      </c>
      <c r="BF27" s="109">
        <f>'7a.20YrDetails'!BF27</f>
        <v>0</v>
      </c>
      <c r="BG27" s="109">
        <f>'7a.20YrDetails'!BG27</f>
        <v>0</v>
      </c>
      <c r="BH27" s="109">
        <f>'7a.20YrDetails'!BH27</f>
        <v>0</v>
      </c>
      <c r="BI27" s="109">
        <f>'7a.20YrDetails'!BI27</f>
        <v>0</v>
      </c>
      <c r="BJ27" s="109">
        <f>'7a.20YrDetails'!BJ27</f>
        <v>0</v>
      </c>
      <c r="BK27" s="109">
        <f>'7a.20YrDetails'!BK27</f>
        <v>0</v>
      </c>
      <c r="BL27" s="109">
        <f>'7a.20YrDetails'!BL27</f>
        <v>0</v>
      </c>
      <c r="BM27" s="109">
        <f>'7a.20YrDetails'!BM27</f>
        <v>0</v>
      </c>
      <c r="BN27" s="109">
        <f>'7a.20YrDetails'!BN27</f>
        <v>0</v>
      </c>
      <c r="BO27" s="109">
        <f>'7a.20YrDetails'!BO27</f>
        <v>0</v>
      </c>
    </row>
    <row r="28" spans="3:67" ht="12" customHeight="1">
      <c r="C28" s="27" t="str">
        <f>'7a.20YrDetails'!C28</f>
        <v>EFFECTIVE GROSS INCOME</v>
      </c>
      <c r="D28" s="12"/>
      <c r="E28" s="12"/>
      <c r="F28" s="12"/>
      <c r="G28" s="21"/>
      <c r="H28" s="108">
        <f>'7a.20YrDetails'!H28</f>
        <v>0</v>
      </c>
      <c r="I28" s="108">
        <f>'7a.20YrDetails'!I28</f>
        <v>0</v>
      </c>
      <c r="J28" s="108">
        <f>'7a.20YrDetails'!J28</f>
        <v>0</v>
      </c>
      <c r="K28" s="108">
        <f>'7a.20YrDetails'!K28</f>
        <v>0</v>
      </c>
      <c r="L28" s="108">
        <f>'7a.20YrDetails'!L28</f>
        <v>0</v>
      </c>
      <c r="M28" s="108">
        <f>'7a.20YrDetails'!M28</f>
        <v>0</v>
      </c>
      <c r="N28" s="108">
        <f>'7a.20YrDetails'!N28</f>
        <v>0</v>
      </c>
      <c r="O28" s="108">
        <f>'7a.20YrDetails'!O28</f>
        <v>0</v>
      </c>
      <c r="P28" s="108">
        <f>'7a.20YrDetails'!P28</f>
        <v>0</v>
      </c>
      <c r="Q28" s="108">
        <f>'7a.20YrDetails'!Q28</f>
        <v>0</v>
      </c>
      <c r="R28" s="108">
        <f>'7a.20YrDetails'!R28</f>
        <v>0</v>
      </c>
      <c r="S28" s="108">
        <f>'7a.20YrDetails'!S28</f>
        <v>0</v>
      </c>
      <c r="T28" s="108">
        <f>'7a.20YrDetails'!T28</f>
        <v>0</v>
      </c>
      <c r="U28" s="108">
        <f>'7a.20YrDetails'!U28</f>
        <v>0</v>
      </c>
      <c r="V28" s="108">
        <f>'7a.20YrDetails'!V28</f>
        <v>0</v>
      </c>
      <c r="W28" s="108">
        <f>'7a.20YrDetails'!W28</f>
        <v>0</v>
      </c>
      <c r="X28" s="108">
        <f>'7a.20YrDetails'!X28</f>
        <v>0</v>
      </c>
      <c r="Y28" s="108">
        <f>'7a.20YrDetails'!Y28</f>
        <v>0</v>
      </c>
      <c r="Z28" s="108">
        <f>'7a.20YrDetails'!Z28</f>
        <v>0</v>
      </c>
      <c r="AA28" s="108">
        <f>'7a.20YrDetails'!AA28</f>
        <v>0</v>
      </c>
      <c r="AB28" s="108">
        <f>'7a.20YrDetails'!AB28</f>
        <v>0</v>
      </c>
      <c r="AC28" s="108">
        <f>'7a.20YrDetails'!AC28</f>
        <v>0</v>
      </c>
      <c r="AD28" s="108">
        <f>'7a.20YrDetails'!AD28</f>
        <v>0</v>
      </c>
      <c r="AE28" s="108">
        <f>'7a.20YrDetails'!AE28</f>
        <v>0</v>
      </c>
      <c r="AF28" s="108">
        <f>'7a.20YrDetails'!AF28</f>
        <v>0</v>
      </c>
      <c r="AG28" s="108">
        <f>'7a.20YrDetails'!AG28</f>
        <v>0</v>
      </c>
      <c r="AH28" s="108">
        <f>'7a.20YrDetails'!AH28</f>
        <v>0</v>
      </c>
      <c r="AI28" s="108">
        <f>'7a.20YrDetails'!AI28</f>
        <v>0</v>
      </c>
      <c r="AJ28" s="108">
        <f>'7a.20YrDetails'!AJ28</f>
        <v>0</v>
      </c>
      <c r="AK28" s="108">
        <f>'7a.20YrDetails'!AK28</f>
        <v>0</v>
      </c>
      <c r="AL28" s="108">
        <f>'7a.20YrDetails'!AL28</f>
        <v>0</v>
      </c>
      <c r="AM28" s="108">
        <f>'7a.20YrDetails'!AM28</f>
        <v>0</v>
      </c>
      <c r="AN28" s="108">
        <f>'7a.20YrDetails'!AN28</f>
        <v>0</v>
      </c>
      <c r="AO28" s="108">
        <f>'7a.20YrDetails'!AO28</f>
        <v>0</v>
      </c>
      <c r="AP28" s="108">
        <f>'7a.20YrDetails'!AP28</f>
        <v>0</v>
      </c>
      <c r="AQ28" s="108">
        <f>'7a.20YrDetails'!AQ28</f>
        <v>0</v>
      </c>
      <c r="AR28" s="108">
        <f>'7a.20YrDetails'!AR28</f>
        <v>0</v>
      </c>
      <c r="AS28" s="108">
        <f>'7a.20YrDetails'!AS28</f>
        <v>0</v>
      </c>
      <c r="AT28" s="108">
        <f>'7a.20YrDetails'!AT28</f>
        <v>0</v>
      </c>
      <c r="AU28" s="108">
        <f>'7a.20YrDetails'!AU28</f>
        <v>0</v>
      </c>
      <c r="AV28" s="108">
        <f>'7a.20YrDetails'!AV28</f>
        <v>0</v>
      </c>
      <c r="AW28" s="108">
        <f>'7a.20YrDetails'!AW28</f>
        <v>0</v>
      </c>
      <c r="AX28" s="108">
        <f>'7a.20YrDetails'!AX28</f>
        <v>0</v>
      </c>
      <c r="AY28" s="108">
        <f>'7a.20YrDetails'!AY28</f>
        <v>0</v>
      </c>
      <c r="AZ28" s="108">
        <f>'7a.20YrDetails'!AZ28</f>
        <v>0</v>
      </c>
      <c r="BA28" s="108">
        <f>'7a.20YrDetails'!BA28</f>
        <v>0</v>
      </c>
      <c r="BB28" s="108">
        <f>'7a.20YrDetails'!BB28</f>
        <v>0</v>
      </c>
      <c r="BC28" s="108">
        <f>'7a.20YrDetails'!BC28</f>
        <v>0</v>
      </c>
      <c r="BD28" s="108">
        <f>'7a.20YrDetails'!BD28</f>
        <v>0</v>
      </c>
      <c r="BE28" s="108">
        <f>'7a.20YrDetails'!BE28</f>
        <v>0</v>
      </c>
      <c r="BF28" s="108">
        <f>'7a.20YrDetails'!BF28</f>
        <v>0</v>
      </c>
      <c r="BG28" s="108">
        <f>'7a.20YrDetails'!BG28</f>
        <v>0</v>
      </c>
      <c r="BH28" s="108">
        <f>'7a.20YrDetails'!BH28</f>
        <v>0</v>
      </c>
      <c r="BI28" s="108">
        <f>'7a.20YrDetails'!BI28</f>
        <v>0</v>
      </c>
      <c r="BJ28" s="108">
        <f>'7a.20YrDetails'!BJ28</f>
        <v>0</v>
      </c>
      <c r="BK28" s="108">
        <f>'7a.20YrDetails'!BK28</f>
        <v>0</v>
      </c>
      <c r="BL28" s="108">
        <f>'7a.20YrDetails'!BL28</f>
        <v>0</v>
      </c>
      <c r="BM28" s="108">
        <f>'7a.20YrDetails'!BM28</f>
        <v>0</v>
      </c>
      <c r="BN28" s="108">
        <f>'7a.20YrDetails'!BN28</f>
        <v>0</v>
      </c>
      <c r="BO28" s="108">
        <f>'7a.20YrDetails'!BO28</f>
        <v>0</v>
      </c>
    </row>
    <row r="29" spans="3:67" ht="12" customHeight="1">
      <c r="C29" s="5"/>
      <c r="D29" s="8"/>
      <c r="E29" s="8"/>
      <c r="F29" s="8"/>
      <c r="G29" s="21"/>
      <c r="H29" s="21"/>
      <c r="I29" s="21"/>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c r="BO29" s="114"/>
    </row>
    <row r="30" spans="3:67" ht="12" customHeight="1">
      <c r="C30" s="6" t="str">
        <f>'7a.20YrDetails'!C30</f>
        <v>OPERATING EXPENSES</v>
      </c>
      <c r="D30" s="9"/>
      <c r="E30" s="9"/>
      <c r="F30" s="9"/>
      <c r="G30" s="21"/>
      <c r="H30" s="21"/>
      <c r="I30" s="21"/>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row>
    <row r="31" spans="3:67" ht="12" customHeight="1">
      <c r="C31" s="10" t="str">
        <f>'7a.20YrDetails'!C31</f>
        <v>Management</v>
      </c>
      <c r="D31" s="60"/>
      <c r="E31" s="72">
        <f>E32</f>
        <v>3.5000000000000003E-2</v>
      </c>
      <c r="F31" s="72">
        <f>IF(SUBTOTAL(103,$C$32:$C$34)&gt;0,"",F32)</f>
        <v>3.5000000000000003E-2</v>
      </c>
      <c r="G31" s="31"/>
      <c r="H31" s="109">
        <f t="shared" ref="H31:S31" si="1">IF(SUBTOTAL(103,$C$32:$C$34)&gt;0,"",H34)</f>
        <v>0</v>
      </c>
      <c r="I31" s="109">
        <f t="shared" si="1"/>
        <v>0</v>
      </c>
      <c r="J31" s="109">
        <f t="shared" si="1"/>
        <v>0</v>
      </c>
      <c r="K31" s="109">
        <f t="shared" si="1"/>
        <v>0</v>
      </c>
      <c r="L31" s="109">
        <f t="shared" si="1"/>
        <v>0</v>
      </c>
      <c r="M31" s="109">
        <f t="shared" si="1"/>
        <v>0</v>
      </c>
      <c r="N31" s="109">
        <f t="shared" si="1"/>
        <v>0</v>
      </c>
      <c r="O31" s="109">
        <f t="shared" si="1"/>
        <v>0</v>
      </c>
      <c r="P31" s="109">
        <f t="shared" si="1"/>
        <v>0</v>
      </c>
      <c r="Q31" s="109">
        <f t="shared" si="1"/>
        <v>0</v>
      </c>
      <c r="R31" s="109">
        <f t="shared" si="1"/>
        <v>0</v>
      </c>
      <c r="S31" s="109">
        <f t="shared" si="1"/>
        <v>0</v>
      </c>
      <c r="T31" s="109">
        <f t="shared" ref="T31:BO31" si="2">IF(SUBTOTAL(103,$C$32:$C$34)&gt;0,"",T34)</f>
        <v>0</v>
      </c>
      <c r="U31" s="109">
        <f t="shared" si="2"/>
        <v>0</v>
      </c>
      <c r="V31" s="109">
        <f t="shared" si="2"/>
        <v>0</v>
      </c>
      <c r="W31" s="109">
        <f t="shared" si="2"/>
        <v>0</v>
      </c>
      <c r="X31" s="109">
        <f t="shared" si="2"/>
        <v>0</v>
      </c>
      <c r="Y31" s="109">
        <f t="shared" si="2"/>
        <v>0</v>
      </c>
      <c r="Z31" s="109">
        <f t="shared" si="2"/>
        <v>0</v>
      </c>
      <c r="AA31" s="109">
        <f t="shared" si="2"/>
        <v>0</v>
      </c>
      <c r="AB31" s="109">
        <f t="shared" si="2"/>
        <v>0</v>
      </c>
      <c r="AC31" s="109">
        <f t="shared" si="2"/>
        <v>0</v>
      </c>
      <c r="AD31" s="109">
        <f t="shared" si="2"/>
        <v>0</v>
      </c>
      <c r="AE31" s="109">
        <f t="shared" si="2"/>
        <v>0</v>
      </c>
      <c r="AF31" s="109">
        <f t="shared" si="2"/>
        <v>0</v>
      </c>
      <c r="AG31" s="109">
        <f t="shared" si="2"/>
        <v>0</v>
      </c>
      <c r="AH31" s="109">
        <f t="shared" si="2"/>
        <v>0</v>
      </c>
      <c r="AI31" s="109">
        <f t="shared" si="2"/>
        <v>0</v>
      </c>
      <c r="AJ31" s="109">
        <f t="shared" si="2"/>
        <v>0</v>
      </c>
      <c r="AK31" s="109">
        <f t="shared" si="2"/>
        <v>0</v>
      </c>
      <c r="AL31" s="109">
        <f t="shared" si="2"/>
        <v>0</v>
      </c>
      <c r="AM31" s="109">
        <f t="shared" si="2"/>
        <v>0</v>
      </c>
      <c r="AN31" s="109">
        <f t="shared" si="2"/>
        <v>0</v>
      </c>
      <c r="AO31" s="109">
        <f t="shared" si="2"/>
        <v>0</v>
      </c>
      <c r="AP31" s="109">
        <f t="shared" si="2"/>
        <v>0</v>
      </c>
      <c r="AQ31" s="109">
        <f t="shared" si="2"/>
        <v>0</v>
      </c>
      <c r="AR31" s="109">
        <f t="shared" si="2"/>
        <v>0</v>
      </c>
      <c r="AS31" s="109">
        <f t="shared" si="2"/>
        <v>0</v>
      </c>
      <c r="AT31" s="109">
        <f t="shared" si="2"/>
        <v>0</v>
      </c>
      <c r="AU31" s="109">
        <f t="shared" si="2"/>
        <v>0</v>
      </c>
      <c r="AV31" s="109">
        <f t="shared" si="2"/>
        <v>0</v>
      </c>
      <c r="AW31" s="109">
        <f t="shared" si="2"/>
        <v>0</v>
      </c>
      <c r="AX31" s="109">
        <f t="shared" si="2"/>
        <v>0</v>
      </c>
      <c r="AY31" s="109">
        <f t="shared" si="2"/>
        <v>0</v>
      </c>
      <c r="AZ31" s="109">
        <f t="shared" si="2"/>
        <v>0</v>
      </c>
      <c r="BA31" s="109">
        <f t="shared" si="2"/>
        <v>0</v>
      </c>
      <c r="BB31" s="109">
        <f t="shared" si="2"/>
        <v>0</v>
      </c>
      <c r="BC31" s="109">
        <f t="shared" si="2"/>
        <v>0</v>
      </c>
      <c r="BD31" s="109">
        <f t="shared" si="2"/>
        <v>0</v>
      </c>
      <c r="BE31" s="109">
        <f t="shared" si="2"/>
        <v>0</v>
      </c>
      <c r="BF31" s="109">
        <f t="shared" si="2"/>
        <v>0</v>
      </c>
      <c r="BG31" s="109">
        <f t="shared" si="2"/>
        <v>0</v>
      </c>
      <c r="BH31" s="109">
        <f t="shared" si="2"/>
        <v>0</v>
      </c>
      <c r="BI31" s="109">
        <f t="shared" si="2"/>
        <v>0</v>
      </c>
      <c r="BJ31" s="109">
        <f t="shared" si="2"/>
        <v>0</v>
      </c>
      <c r="BK31" s="109">
        <f t="shared" si="2"/>
        <v>0</v>
      </c>
      <c r="BL31" s="109">
        <f t="shared" si="2"/>
        <v>0</v>
      </c>
      <c r="BM31" s="109">
        <f t="shared" si="2"/>
        <v>0</v>
      </c>
      <c r="BN31" s="109">
        <f t="shared" si="2"/>
        <v>0</v>
      </c>
      <c r="BO31" s="109">
        <f t="shared" si="2"/>
        <v>0</v>
      </c>
    </row>
    <row r="32" spans="3:67" ht="12" hidden="1" customHeight="1" outlineLevel="1">
      <c r="C32" s="10" t="str">
        <f>'7a.20YrDetails'!C32</f>
        <v>Management Fee</v>
      </c>
      <c r="D32" s="15">
        <f>'7a.20YrDetails'!D32</f>
        <v>6320</v>
      </c>
      <c r="E32" s="73">
        <f>'7a.20YrDetails'!E32</f>
        <v>3.5000000000000003E-2</v>
      </c>
      <c r="F32" s="73">
        <f>'7a.20YrDetails'!F32</f>
        <v>3.5000000000000003E-2</v>
      </c>
      <c r="G32" s="31" t="str">
        <f>IF('7a.20YrDetails'!$G32="","",'7a.20YrDetails'!$G32)</f>
        <v xml:space="preserve">1st Year to be set according to HUD schedule. </v>
      </c>
      <c r="H32" s="109">
        <f>'7a.20YrDetails'!H32</f>
        <v>0</v>
      </c>
      <c r="I32" s="109">
        <f>'7a.20YrDetails'!I32</f>
        <v>0</v>
      </c>
      <c r="J32" s="109">
        <f>'7a.20YrDetails'!J32</f>
        <v>0</v>
      </c>
      <c r="K32" s="109">
        <f>'7a.20YrDetails'!K32</f>
        <v>0</v>
      </c>
      <c r="L32" s="109">
        <f>'7a.20YrDetails'!L32</f>
        <v>0</v>
      </c>
      <c r="M32" s="109">
        <f>'7a.20YrDetails'!M32</f>
        <v>0</v>
      </c>
      <c r="N32" s="109">
        <f>'7a.20YrDetails'!N32</f>
        <v>0</v>
      </c>
      <c r="O32" s="109">
        <f>'7a.20YrDetails'!O32</f>
        <v>0</v>
      </c>
      <c r="P32" s="109">
        <f>'7a.20YrDetails'!P32</f>
        <v>0</v>
      </c>
      <c r="Q32" s="109">
        <f>'7a.20YrDetails'!Q32</f>
        <v>0</v>
      </c>
      <c r="R32" s="109">
        <f>'7a.20YrDetails'!R32</f>
        <v>0</v>
      </c>
      <c r="S32" s="109">
        <f>'7a.20YrDetails'!S32</f>
        <v>0</v>
      </c>
      <c r="T32" s="109">
        <f>'7a.20YrDetails'!T32</f>
        <v>0</v>
      </c>
      <c r="U32" s="109">
        <f>'7a.20YrDetails'!U32</f>
        <v>0</v>
      </c>
      <c r="V32" s="109">
        <f>'7a.20YrDetails'!V32</f>
        <v>0</v>
      </c>
      <c r="W32" s="109">
        <f>'7a.20YrDetails'!W32</f>
        <v>0</v>
      </c>
      <c r="X32" s="109">
        <f>'7a.20YrDetails'!X32</f>
        <v>0</v>
      </c>
      <c r="Y32" s="109">
        <f>'7a.20YrDetails'!Y32</f>
        <v>0</v>
      </c>
      <c r="Z32" s="109">
        <f>'7a.20YrDetails'!Z32</f>
        <v>0</v>
      </c>
      <c r="AA32" s="109">
        <f>'7a.20YrDetails'!AA32</f>
        <v>0</v>
      </c>
      <c r="AB32" s="109">
        <f>'7a.20YrDetails'!AB32</f>
        <v>0</v>
      </c>
      <c r="AC32" s="109">
        <f>'7a.20YrDetails'!AC32</f>
        <v>0</v>
      </c>
      <c r="AD32" s="109">
        <f>'7a.20YrDetails'!AD32</f>
        <v>0</v>
      </c>
      <c r="AE32" s="109">
        <f>'7a.20YrDetails'!AE32</f>
        <v>0</v>
      </c>
      <c r="AF32" s="109">
        <f>'7a.20YrDetails'!AF32</f>
        <v>0</v>
      </c>
      <c r="AG32" s="109">
        <f>'7a.20YrDetails'!AG32</f>
        <v>0</v>
      </c>
      <c r="AH32" s="109">
        <f>'7a.20YrDetails'!AH32</f>
        <v>0</v>
      </c>
      <c r="AI32" s="109">
        <f>'7a.20YrDetails'!AI32</f>
        <v>0</v>
      </c>
      <c r="AJ32" s="109">
        <f>'7a.20YrDetails'!AJ32</f>
        <v>0</v>
      </c>
      <c r="AK32" s="109">
        <f>'7a.20YrDetails'!AK32</f>
        <v>0</v>
      </c>
      <c r="AL32" s="109">
        <f>'7a.20YrDetails'!AL32</f>
        <v>0</v>
      </c>
      <c r="AM32" s="109">
        <f>'7a.20YrDetails'!AM32</f>
        <v>0</v>
      </c>
      <c r="AN32" s="109">
        <f>'7a.20YrDetails'!AN32</f>
        <v>0</v>
      </c>
      <c r="AO32" s="109">
        <f>'7a.20YrDetails'!AO32</f>
        <v>0</v>
      </c>
      <c r="AP32" s="109">
        <f>'7a.20YrDetails'!AP32</f>
        <v>0</v>
      </c>
      <c r="AQ32" s="109">
        <f>'7a.20YrDetails'!AQ32</f>
        <v>0</v>
      </c>
      <c r="AR32" s="109">
        <f>'7a.20YrDetails'!AR32</f>
        <v>0</v>
      </c>
      <c r="AS32" s="109">
        <f>'7a.20YrDetails'!AS32</f>
        <v>0</v>
      </c>
      <c r="AT32" s="109">
        <f>'7a.20YrDetails'!AT32</f>
        <v>0</v>
      </c>
      <c r="AU32" s="109">
        <f>'7a.20YrDetails'!AU32</f>
        <v>0</v>
      </c>
      <c r="AV32" s="109">
        <f>'7a.20YrDetails'!AV32</f>
        <v>0</v>
      </c>
      <c r="AW32" s="109">
        <f>'7a.20YrDetails'!AW32</f>
        <v>0</v>
      </c>
      <c r="AX32" s="109">
        <f>'7a.20YrDetails'!AX32</f>
        <v>0</v>
      </c>
      <c r="AY32" s="109">
        <f>'7a.20YrDetails'!AY32</f>
        <v>0</v>
      </c>
      <c r="AZ32" s="109">
        <f>'7a.20YrDetails'!AZ32</f>
        <v>0</v>
      </c>
      <c r="BA32" s="109">
        <f>'7a.20YrDetails'!BA32</f>
        <v>0</v>
      </c>
      <c r="BB32" s="109">
        <f>'7a.20YrDetails'!BB32</f>
        <v>0</v>
      </c>
      <c r="BC32" s="109">
        <f>'7a.20YrDetails'!BC32</f>
        <v>0</v>
      </c>
      <c r="BD32" s="109">
        <f>'7a.20YrDetails'!BD32</f>
        <v>0</v>
      </c>
      <c r="BE32" s="109">
        <f>'7a.20YrDetails'!BE32</f>
        <v>0</v>
      </c>
      <c r="BF32" s="109">
        <f>'7a.20YrDetails'!BF32</f>
        <v>0</v>
      </c>
      <c r="BG32" s="109">
        <f>'7a.20YrDetails'!BG32</f>
        <v>0</v>
      </c>
      <c r="BH32" s="109">
        <f>'7a.20YrDetails'!BH32</f>
        <v>0</v>
      </c>
      <c r="BI32" s="109">
        <f>'7a.20YrDetails'!BI32</f>
        <v>0</v>
      </c>
      <c r="BJ32" s="109">
        <f>'7a.20YrDetails'!BJ32</f>
        <v>0</v>
      </c>
      <c r="BK32" s="109">
        <f>'7a.20YrDetails'!BK32</f>
        <v>0</v>
      </c>
      <c r="BL32" s="109">
        <f>'7a.20YrDetails'!BL32</f>
        <v>0</v>
      </c>
      <c r="BM32" s="109">
        <f>'7a.20YrDetails'!BM32</f>
        <v>0</v>
      </c>
      <c r="BN32" s="109">
        <f>'7a.20YrDetails'!BN32</f>
        <v>0</v>
      </c>
      <c r="BO32" s="109">
        <f>'7a.20YrDetails'!BO32</f>
        <v>0</v>
      </c>
    </row>
    <row r="33" spans="3:67" ht="12" hidden="1" customHeight="1" outlineLevel="1">
      <c r="C33" s="10" t="str">
        <f>'7a.20YrDetails'!C33</f>
        <v>Asset Management Fee</v>
      </c>
      <c r="D33" s="15">
        <f>'7a.20YrDetails'!D33</f>
        <v>0</v>
      </c>
      <c r="E33" s="73">
        <f>'7a.20YrDetails'!E33</f>
        <v>3.5000000000000003E-2</v>
      </c>
      <c r="F33" s="73">
        <f>'7a.20YrDetails'!F33</f>
        <v>3.5000000000000003E-2</v>
      </c>
      <c r="G33" s="31" t="str">
        <f>IF('7a.20YrDetails'!$G33="","",'7a.20YrDetails'!$G33)</f>
        <v>per MOHCD policy</v>
      </c>
      <c r="H33" s="109">
        <f>'7a.20YrDetails'!H33</f>
        <v>0</v>
      </c>
      <c r="I33" s="109">
        <f>'7a.20YrDetails'!I33</f>
        <v>0</v>
      </c>
      <c r="J33" s="109">
        <f>'7a.20YrDetails'!J33</f>
        <v>0</v>
      </c>
      <c r="K33" s="109">
        <f>'7a.20YrDetails'!K33</f>
        <v>0</v>
      </c>
      <c r="L33" s="109">
        <f>'7a.20YrDetails'!L33</f>
        <v>0</v>
      </c>
      <c r="M33" s="109">
        <f>'7a.20YrDetails'!M33</f>
        <v>0</v>
      </c>
      <c r="N33" s="109">
        <f>'7a.20YrDetails'!N33</f>
        <v>0</v>
      </c>
      <c r="O33" s="109">
        <f>'7a.20YrDetails'!O33</f>
        <v>0</v>
      </c>
      <c r="P33" s="109">
        <f>'7a.20YrDetails'!P33</f>
        <v>0</v>
      </c>
      <c r="Q33" s="109">
        <f>'7a.20YrDetails'!Q33</f>
        <v>0</v>
      </c>
      <c r="R33" s="109">
        <f>'7a.20YrDetails'!R33</f>
        <v>0</v>
      </c>
      <c r="S33" s="109">
        <f>'7a.20YrDetails'!S33</f>
        <v>0</v>
      </c>
      <c r="T33" s="109">
        <f>'7a.20YrDetails'!T33</f>
        <v>0</v>
      </c>
      <c r="U33" s="109">
        <f>'7a.20YrDetails'!U33</f>
        <v>0</v>
      </c>
      <c r="V33" s="109">
        <f>'7a.20YrDetails'!V33</f>
        <v>0</v>
      </c>
      <c r="W33" s="109">
        <f>'7a.20YrDetails'!W33</f>
        <v>0</v>
      </c>
      <c r="X33" s="109">
        <f>'7a.20YrDetails'!X33</f>
        <v>0</v>
      </c>
      <c r="Y33" s="109">
        <f>'7a.20YrDetails'!Y33</f>
        <v>0</v>
      </c>
      <c r="Z33" s="109">
        <f>'7a.20YrDetails'!Z33</f>
        <v>0</v>
      </c>
      <c r="AA33" s="109">
        <f>'7a.20YrDetails'!AA33</f>
        <v>0</v>
      </c>
      <c r="AB33" s="109">
        <f>'7a.20YrDetails'!AB33</f>
        <v>0</v>
      </c>
      <c r="AC33" s="109">
        <f>'7a.20YrDetails'!AC33</f>
        <v>0</v>
      </c>
      <c r="AD33" s="109">
        <f>'7a.20YrDetails'!AD33</f>
        <v>0</v>
      </c>
      <c r="AE33" s="109">
        <f>'7a.20YrDetails'!AE33</f>
        <v>0</v>
      </c>
      <c r="AF33" s="109">
        <f>'7a.20YrDetails'!AF33</f>
        <v>0</v>
      </c>
      <c r="AG33" s="109">
        <f>'7a.20YrDetails'!AG33</f>
        <v>0</v>
      </c>
      <c r="AH33" s="109">
        <f>'7a.20YrDetails'!AH33</f>
        <v>0</v>
      </c>
      <c r="AI33" s="109">
        <f>'7a.20YrDetails'!AI33</f>
        <v>0</v>
      </c>
      <c r="AJ33" s="109">
        <f>'7a.20YrDetails'!AJ33</f>
        <v>0</v>
      </c>
      <c r="AK33" s="109">
        <f>'7a.20YrDetails'!AK33</f>
        <v>0</v>
      </c>
      <c r="AL33" s="109">
        <f>'7a.20YrDetails'!AL33</f>
        <v>0</v>
      </c>
      <c r="AM33" s="109">
        <f>'7a.20YrDetails'!AM33</f>
        <v>0</v>
      </c>
      <c r="AN33" s="109">
        <f>'7a.20YrDetails'!AN33</f>
        <v>0</v>
      </c>
      <c r="AO33" s="109">
        <f>'7a.20YrDetails'!AO33</f>
        <v>0</v>
      </c>
      <c r="AP33" s="109">
        <f>'7a.20YrDetails'!AP33</f>
        <v>0</v>
      </c>
      <c r="AQ33" s="109">
        <f>'7a.20YrDetails'!AQ33</f>
        <v>0</v>
      </c>
      <c r="AR33" s="109">
        <f>'7a.20YrDetails'!AR33</f>
        <v>0</v>
      </c>
      <c r="AS33" s="109">
        <f>'7a.20YrDetails'!AS33</f>
        <v>0</v>
      </c>
      <c r="AT33" s="109">
        <f>'7a.20YrDetails'!AT33</f>
        <v>0</v>
      </c>
      <c r="AU33" s="109">
        <f>'7a.20YrDetails'!AU33</f>
        <v>0</v>
      </c>
      <c r="AV33" s="109">
        <f>'7a.20YrDetails'!AV33</f>
        <v>0</v>
      </c>
      <c r="AW33" s="109">
        <f>'7a.20YrDetails'!AW33</f>
        <v>0</v>
      </c>
      <c r="AX33" s="109">
        <f>'7a.20YrDetails'!AX33</f>
        <v>0</v>
      </c>
      <c r="AY33" s="109">
        <f>'7a.20YrDetails'!AY33</f>
        <v>0</v>
      </c>
      <c r="AZ33" s="109">
        <f>'7a.20YrDetails'!AZ33</f>
        <v>0</v>
      </c>
      <c r="BA33" s="109">
        <f>'7a.20YrDetails'!BA33</f>
        <v>0</v>
      </c>
      <c r="BB33" s="109">
        <f>'7a.20YrDetails'!BB33</f>
        <v>0</v>
      </c>
      <c r="BC33" s="109">
        <f>'7a.20YrDetails'!BC33</f>
        <v>0</v>
      </c>
      <c r="BD33" s="109">
        <f>'7a.20YrDetails'!BD33</f>
        <v>0</v>
      </c>
      <c r="BE33" s="109">
        <f>'7a.20YrDetails'!BE33</f>
        <v>0</v>
      </c>
      <c r="BF33" s="109">
        <f>'7a.20YrDetails'!BF33</f>
        <v>0</v>
      </c>
      <c r="BG33" s="109">
        <f>'7a.20YrDetails'!BG33</f>
        <v>0</v>
      </c>
      <c r="BH33" s="109">
        <f>'7a.20YrDetails'!BH33</f>
        <v>0</v>
      </c>
      <c r="BI33" s="109">
        <f>'7a.20YrDetails'!BI33</f>
        <v>0</v>
      </c>
      <c r="BJ33" s="109">
        <f>'7a.20YrDetails'!BJ33</f>
        <v>0</v>
      </c>
      <c r="BK33" s="109">
        <f>'7a.20YrDetails'!BK33</f>
        <v>0</v>
      </c>
      <c r="BL33" s="109">
        <f>'7a.20YrDetails'!BL33</f>
        <v>0</v>
      </c>
      <c r="BM33" s="109">
        <f>'7a.20YrDetails'!BM33</f>
        <v>0</v>
      </c>
      <c r="BN33" s="109">
        <f>'7a.20YrDetails'!BN33</f>
        <v>0</v>
      </c>
      <c r="BO33" s="109">
        <f>'7a.20YrDetails'!BO33</f>
        <v>0</v>
      </c>
    </row>
    <row r="34" spans="3:67" ht="12" hidden="1" customHeight="1" outlineLevel="1">
      <c r="C34" s="11" t="str">
        <f>'7a.20YrDetails'!C34</f>
        <v>Sub-total Management Expenses</v>
      </c>
      <c r="D34" s="12"/>
      <c r="E34" s="12"/>
      <c r="F34" s="12"/>
      <c r="G34" s="21"/>
      <c r="H34" s="109">
        <f>'7a.20YrDetails'!H34</f>
        <v>0</v>
      </c>
      <c r="I34" s="109">
        <f>'7a.20YrDetails'!I34</f>
        <v>0</v>
      </c>
      <c r="J34" s="109">
        <f>'7a.20YrDetails'!J34</f>
        <v>0</v>
      </c>
      <c r="K34" s="109">
        <f>'7a.20YrDetails'!K34</f>
        <v>0</v>
      </c>
      <c r="L34" s="109">
        <f>'7a.20YrDetails'!L34</f>
        <v>0</v>
      </c>
      <c r="M34" s="109">
        <f>'7a.20YrDetails'!M34</f>
        <v>0</v>
      </c>
      <c r="N34" s="109">
        <f>'7a.20YrDetails'!N34</f>
        <v>0</v>
      </c>
      <c r="O34" s="109">
        <f>'7a.20YrDetails'!O34</f>
        <v>0</v>
      </c>
      <c r="P34" s="109">
        <f>'7a.20YrDetails'!P34</f>
        <v>0</v>
      </c>
      <c r="Q34" s="109">
        <f>'7a.20YrDetails'!Q34</f>
        <v>0</v>
      </c>
      <c r="R34" s="109">
        <f>'7a.20YrDetails'!R34</f>
        <v>0</v>
      </c>
      <c r="S34" s="109">
        <f>'7a.20YrDetails'!S34</f>
        <v>0</v>
      </c>
      <c r="T34" s="109">
        <f>'7a.20YrDetails'!T34</f>
        <v>0</v>
      </c>
      <c r="U34" s="109">
        <f>'7a.20YrDetails'!U34</f>
        <v>0</v>
      </c>
      <c r="V34" s="109">
        <f>'7a.20YrDetails'!V34</f>
        <v>0</v>
      </c>
      <c r="W34" s="109">
        <f>'7a.20YrDetails'!W34</f>
        <v>0</v>
      </c>
      <c r="X34" s="109">
        <f>'7a.20YrDetails'!X34</f>
        <v>0</v>
      </c>
      <c r="Y34" s="109">
        <f>'7a.20YrDetails'!Y34</f>
        <v>0</v>
      </c>
      <c r="Z34" s="109">
        <f>'7a.20YrDetails'!Z34</f>
        <v>0</v>
      </c>
      <c r="AA34" s="109">
        <f>'7a.20YrDetails'!AA34</f>
        <v>0</v>
      </c>
      <c r="AB34" s="109">
        <f>'7a.20YrDetails'!AB34</f>
        <v>0</v>
      </c>
      <c r="AC34" s="109">
        <f>'7a.20YrDetails'!AC34</f>
        <v>0</v>
      </c>
      <c r="AD34" s="109">
        <f>'7a.20YrDetails'!AD34</f>
        <v>0</v>
      </c>
      <c r="AE34" s="109">
        <f>'7a.20YrDetails'!AE34</f>
        <v>0</v>
      </c>
      <c r="AF34" s="109">
        <f>'7a.20YrDetails'!AF34</f>
        <v>0</v>
      </c>
      <c r="AG34" s="109">
        <f>'7a.20YrDetails'!AG34</f>
        <v>0</v>
      </c>
      <c r="AH34" s="109">
        <f>'7a.20YrDetails'!AH34</f>
        <v>0</v>
      </c>
      <c r="AI34" s="109">
        <f>'7a.20YrDetails'!AI34</f>
        <v>0</v>
      </c>
      <c r="AJ34" s="109">
        <f>'7a.20YrDetails'!AJ34</f>
        <v>0</v>
      </c>
      <c r="AK34" s="109">
        <f>'7a.20YrDetails'!AK34</f>
        <v>0</v>
      </c>
      <c r="AL34" s="109">
        <f>'7a.20YrDetails'!AL34</f>
        <v>0</v>
      </c>
      <c r="AM34" s="109">
        <f>'7a.20YrDetails'!AM34</f>
        <v>0</v>
      </c>
      <c r="AN34" s="109">
        <f>'7a.20YrDetails'!AN34</f>
        <v>0</v>
      </c>
      <c r="AO34" s="109">
        <f>'7a.20YrDetails'!AO34</f>
        <v>0</v>
      </c>
      <c r="AP34" s="109">
        <f>'7a.20YrDetails'!AP34</f>
        <v>0</v>
      </c>
      <c r="AQ34" s="109">
        <f>'7a.20YrDetails'!AQ34</f>
        <v>0</v>
      </c>
      <c r="AR34" s="109">
        <f>'7a.20YrDetails'!AR34</f>
        <v>0</v>
      </c>
      <c r="AS34" s="109">
        <f>'7a.20YrDetails'!AS34</f>
        <v>0</v>
      </c>
      <c r="AT34" s="109">
        <f>'7a.20YrDetails'!AT34</f>
        <v>0</v>
      </c>
      <c r="AU34" s="109">
        <f>'7a.20YrDetails'!AU34</f>
        <v>0</v>
      </c>
      <c r="AV34" s="109">
        <f>'7a.20YrDetails'!AV34</f>
        <v>0</v>
      </c>
      <c r="AW34" s="109">
        <f>'7a.20YrDetails'!AW34</f>
        <v>0</v>
      </c>
      <c r="AX34" s="109">
        <f>'7a.20YrDetails'!AX34</f>
        <v>0</v>
      </c>
      <c r="AY34" s="109">
        <f>'7a.20YrDetails'!AY34</f>
        <v>0</v>
      </c>
      <c r="AZ34" s="109">
        <f>'7a.20YrDetails'!AZ34</f>
        <v>0</v>
      </c>
      <c r="BA34" s="109">
        <f>'7a.20YrDetails'!BA34</f>
        <v>0</v>
      </c>
      <c r="BB34" s="109">
        <f>'7a.20YrDetails'!BB34</f>
        <v>0</v>
      </c>
      <c r="BC34" s="109">
        <f>'7a.20YrDetails'!BC34</f>
        <v>0</v>
      </c>
      <c r="BD34" s="109">
        <f>'7a.20YrDetails'!BD34</f>
        <v>0</v>
      </c>
      <c r="BE34" s="109">
        <f>'7a.20YrDetails'!BE34</f>
        <v>0</v>
      </c>
      <c r="BF34" s="109">
        <f>'7a.20YrDetails'!BF34</f>
        <v>0</v>
      </c>
      <c r="BG34" s="109">
        <f>'7a.20YrDetails'!BG34</f>
        <v>0</v>
      </c>
      <c r="BH34" s="109">
        <f>'7a.20YrDetails'!BH34</f>
        <v>0</v>
      </c>
      <c r="BI34" s="109">
        <f>'7a.20YrDetails'!BI34</f>
        <v>0</v>
      </c>
      <c r="BJ34" s="109">
        <f>'7a.20YrDetails'!BJ34</f>
        <v>0</v>
      </c>
      <c r="BK34" s="109">
        <f>'7a.20YrDetails'!BK34</f>
        <v>0</v>
      </c>
      <c r="BL34" s="109">
        <f>'7a.20YrDetails'!BL34</f>
        <v>0</v>
      </c>
      <c r="BM34" s="109">
        <f>'7a.20YrDetails'!BM34</f>
        <v>0</v>
      </c>
      <c r="BN34" s="109">
        <f>'7a.20YrDetails'!BN34</f>
        <v>0</v>
      </c>
      <c r="BO34" s="109">
        <f>'7a.20YrDetails'!BO34</f>
        <v>0</v>
      </c>
    </row>
    <row r="35" spans="3:67" ht="12" customHeight="1" collapsed="1">
      <c r="C35" s="10" t="str">
        <f>'7a.20YrDetails'!C35</f>
        <v>Salaries/Benefits</v>
      </c>
      <c r="D35" s="60"/>
      <c r="E35" s="72">
        <f>E36</f>
        <v>3.5000000000000003E-2</v>
      </c>
      <c r="F35" s="72">
        <f>IF(SUBTOTAL(103,$C$36:$C$41)&gt;0,"",F36)</f>
        <v>3.5000000000000003E-2</v>
      </c>
      <c r="G35" s="31"/>
      <c r="H35" s="109">
        <f t="shared" ref="H35:S35" si="3">IF(SUBTOTAL(103,$C$36:$C$41)&gt;0,"",H41)</f>
        <v>0</v>
      </c>
      <c r="I35" s="109">
        <f t="shared" si="3"/>
        <v>0</v>
      </c>
      <c r="J35" s="109">
        <f t="shared" si="3"/>
        <v>0</v>
      </c>
      <c r="K35" s="109">
        <f t="shared" si="3"/>
        <v>0</v>
      </c>
      <c r="L35" s="109">
        <f t="shared" si="3"/>
        <v>0</v>
      </c>
      <c r="M35" s="109">
        <f t="shared" si="3"/>
        <v>0</v>
      </c>
      <c r="N35" s="109">
        <f t="shared" si="3"/>
        <v>0</v>
      </c>
      <c r="O35" s="109">
        <f t="shared" si="3"/>
        <v>0</v>
      </c>
      <c r="P35" s="109">
        <f t="shared" si="3"/>
        <v>0</v>
      </c>
      <c r="Q35" s="109">
        <f t="shared" si="3"/>
        <v>0</v>
      </c>
      <c r="R35" s="109">
        <f t="shared" si="3"/>
        <v>0</v>
      </c>
      <c r="S35" s="109">
        <f t="shared" si="3"/>
        <v>0</v>
      </c>
      <c r="T35" s="109">
        <f t="shared" ref="T35:BO35" si="4">IF(SUBTOTAL(103,$C$36:$C$41)&gt;0,"",T41)</f>
        <v>0</v>
      </c>
      <c r="U35" s="109">
        <f t="shared" si="4"/>
        <v>0</v>
      </c>
      <c r="V35" s="109">
        <f t="shared" si="4"/>
        <v>0</v>
      </c>
      <c r="W35" s="109">
        <f t="shared" si="4"/>
        <v>0</v>
      </c>
      <c r="X35" s="109">
        <f t="shared" si="4"/>
        <v>0</v>
      </c>
      <c r="Y35" s="109">
        <f t="shared" si="4"/>
        <v>0</v>
      </c>
      <c r="Z35" s="109">
        <f t="shared" si="4"/>
        <v>0</v>
      </c>
      <c r="AA35" s="109">
        <f t="shared" si="4"/>
        <v>0</v>
      </c>
      <c r="AB35" s="109">
        <f t="shared" si="4"/>
        <v>0</v>
      </c>
      <c r="AC35" s="109">
        <f t="shared" si="4"/>
        <v>0</v>
      </c>
      <c r="AD35" s="109">
        <f t="shared" si="4"/>
        <v>0</v>
      </c>
      <c r="AE35" s="109">
        <f t="shared" si="4"/>
        <v>0</v>
      </c>
      <c r="AF35" s="109">
        <f t="shared" si="4"/>
        <v>0</v>
      </c>
      <c r="AG35" s="109">
        <f t="shared" si="4"/>
        <v>0</v>
      </c>
      <c r="AH35" s="109">
        <f t="shared" si="4"/>
        <v>0</v>
      </c>
      <c r="AI35" s="109">
        <f t="shared" si="4"/>
        <v>0</v>
      </c>
      <c r="AJ35" s="109">
        <f t="shared" si="4"/>
        <v>0</v>
      </c>
      <c r="AK35" s="109">
        <f t="shared" si="4"/>
        <v>0</v>
      </c>
      <c r="AL35" s="109">
        <f t="shared" si="4"/>
        <v>0</v>
      </c>
      <c r="AM35" s="109">
        <f t="shared" si="4"/>
        <v>0</v>
      </c>
      <c r="AN35" s="109">
        <f t="shared" si="4"/>
        <v>0</v>
      </c>
      <c r="AO35" s="109">
        <f t="shared" si="4"/>
        <v>0</v>
      </c>
      <c r="AP35" s="109">
        <f t="shared" si="4"/>
        <v>0</v>
      </c>
      <c r="AQ35" s="109">
        <f t="shared" si="4"/>
        <v>0</v>
      </c>
      <c r="AR35" s="109">
        <f t="shared" si="4"/>
        <v>0</v>
      </c>
      <c r="AS35" s="109">
        <f t="shared" si="4"/>
        <v>0</v>
      </c>
      <c r="AT35" s="109">
        <f t="shared" si="4"/>
        <v>0</v>
      </c>
      <c r="AU35" s="109">
        <f t="shared" si="4"/>
        <v>0</v>
      </c>
      <c r="AV35" s="109">
        <f t="shared" si="4"/>
        <v>0</v>
      </c>
      <c r="AW35" s="109">
        <f t="shared" si="4"/>
        <v>0</v>
      </c>
      <c r="AX35" s="109">
        <f t="shared" si="4"/>
        <v>0</v>
      </c>
      <c r="AY35" s="109">
        <f t="shared" si="4"/>
        <v>0</v>
      </c>
      <c r="AZ35" s="109">
        <f t="shared" si="4"/>
        <v>0</v>
      </c>
      <c r="BA35" s="109">
        <f t="shared" si="4"/>
        <v>0</v>
      </c>
      <c r="BB35" s="109">
        <f t="shared" si="4"/>
        <v>0</v>
      </c>
      <c r="BC35" s="109">
        <f t="shared" si="4"/>
        <v>0</v>
      </c>
      <c r="BD35" s="109">
        <f t="shared" si="4"/>
        <v>0</v>
      </c>
      <c r="BE35" s="109">
        <f t="shared" si="4"/>
        <v>0</v>
      </c>
      <c r="BF35" s="109">
        <f t="shared" si="4"/>
        <v>0</v>
      </c>
      <c r="BG35" s="109">
        <f t="shared" si="4"/>
        <v>0</v>
      </c>
      <c r="BH35" s="109">
        <f t="shared" si="4"/>
        <v>0</v>
      </c>
      <c r="BI35" s="109">
        <f t="shared" si="4"/>
        <v>0</v>
      </c>
      <c r="BJ35" s="109">
        <f t="shared" si="4"/>
        <v>0</v>
      </c>
      <c r="BK35" s="109">
        <f t="shared" si="4"/>
        <v>0</v>
      </c>
      <c r="BL35" s="109">
        <f t="shared" si="4"/>
        <v>0</v>
      </c>
      <c r="BM35" s="109">
        <f t="shared" si="4"/>
        <v>0</v>
      </c>
      <c r="BN35" s="109">
        <f t="shared" si="4"/>
        <v>0</v>
      </c>
      <c r="BO35" s="109">
        <f t="shared" si="4"/>
        <v>0</v>
      </c>
    </row>
    <row r="36" spans="3:67" ht="12" hidden="1" customHeight="1" outlineLevel="1">
      <c r="C36" s="10" t="str">
        <f>'7a.20YrDetails'!C36</f>
        <v>Office Salaries</v>
      </c>
      <c r="D36" s="15">
        <f>'7a.20YrDetails'!D36</f>
        <v>6310</v>
      </c>
      <c r="E36" s="73">
        <f>'7a.20YrDetails'!E36</f>
        <v>3.5000000000000003E-2</v>
      </c>
      <c r="F36" s="73">
        <f>'7a.20YrDetails'!F36</f>
        <v>3.5000000000000003E-2</v>
      </c>
      <c r="G36" s="31" t="str">
        <f>IF('7a.20YrDetails'!$G36="","",'7a.20YrDetails'!$G36)</f>
        <v/>
      </c>
      <c r="H36" s="109">
        <f>'7a.20YrDetails'!H36</f>
        <v>0</v>
      </c>
      <c r="I36" s="109">
        <f>'7a.20YrDetails'!I36</f>
        <v>0</v>
      </c>
      <c r="J36" s="109">
        <f>'7a.20YrDetails'!J36</f>
        <v>0</v>
      </c>
      <c r="K36" s="109">
        <f>'7a.20YrDetails'!K36</f>
        <v>0</v>
      </c>
      <c r="L36" s="109">
        <f>'7a.20YrDetails'!L36</f>
        <v>0</v>
      </c>
      <c r="M36" s="109">
        <f>'7a.20YrDetails'!M36</f>
        <v>0</v>
      </c>
      <c r="N36" s="109">
        <f>'7a.20YrDetails'!N36</f>
        <v>0</v>
      </c>
      <c r="O36" s="109">
        <f>'7a.20YrDetails'!O36</f>
        <v>0</v>
      </c>
      <c r="P36" s="109">
        <f>'7a.20YrDetails'!P36</f>
        <v>0</v>
      </c>
      <c r="Q36" s="109">
        <f>'7a.20YrDetails'!Q36</f>
        <v>0</v>
      </c>
      <c r="R36" s="109">
        <f>'7a.20YrDetails'!R36</f>
        <v>0</v>
      </c>
      <c r="S36" s="109">
        <f>'7a.20YrDetails'!S36</f>
        <v>0</v>
      </c>
      <c r="T36" s="109">
        <f>'7a.20YrDetails'!T36</f>
        <v>0</v>
      </c>
      <c r="U36" s="109">
        <f>'7a.20YrDetails'!U36</f>
        <v>0</v>
      </c>
      <c r="V36" s="109">
        <f>'7a.20YrDetails'!V36</f>
        <v>0</v>
      </c>
      <c r="W36" s="109">
        <f>'7a.20YrDetails'!W36</f>
        <v>0</v>
      </c>
      <c r="X36" s="109">
        <f>'7a.20YrDetails'!X36</f>
        <v>0</v>
      </c>
      <c r="Y36" s="109">
        <f>'7a.20YrDetails'!Y36</f>
        <v>0</v>
      </c>
      <c r="Z36" s="109">
        <f>'7a.20YrDetails'!Z36</f>
        <v>0</v>
      </c>
      <c r="AA36" s="109">
        <f>'7a.20YrDetails'!AA36</f>
        <v>0</v>
      </c>
      <c r="AB36" s="109">
        <f>'7a.20YrDetails'!AB36</f>
        <v>0</v>
      </c>
      <c r="AC36" s="109">
        <f>'7a.20YrDetails'!AC36</f>
        <v>0</v>
      </c>
      <c r="AD36" s="109">
        <f>'7a.20YrDetails'!AD36</f>
        <v>0</v>
      </c>
      <c r="AE36" s="109">
        <f>'7a.20YrDetails'!AE36</f>
        <v>0</v>
      </c>
      <c r="AF36" s="109">
        <f>'7a.20YrDetails'!AF36</f>
        <v>0</v>
      </c>
      <c r="AG36" s="109">
        <f>'7a.20YrDetails'!AG36</f>
        <v>0</v>
      </c>
      <c r="AH36" s="109">
        <f>'7a.20YrDetails'!AH36</f>
        <v>0</v>
      </c>
      <c r="AI36" s="109">
        <f>'7a.20YrDetails'!AI36</f>
        <v>0</v>
      </c>
      <c r="AJ36" s="109">
        <f>'7a.20YrDetails'!AJ36</f>
        <v>0</v>
      </c>
      <c r="AK36" s="109">
        <f>'7a.20YrDetails'!AK36</f>
        <v>0</v>
      </c>
      <c r="AL36" s="109">
        <f>'7a.20YrDetails'!AL36</f>
        <v>0</v>
      </c>
      <c r="AM36" s="109">
        <f>'7a.20YrDetails'!AM36</f>
        <v>0</v>
      </c>
      <c r="AN36" s="109">
        <f>'7a.20YrDetails'!AN36</f>
        <v>0</v>
      </c>
      <c r="AO36" s="109">
        <f>'7a.20YrDetails'!AO36</f>
        <v>0</v>
      </c>
      <c r="AP36" s="109">
        <f>'7a.20YrDetails'!AP36</f>
        <v>0</v>
      </c>
      <c r="AQ36" s="109">
        <f>'7a.20YrDetails'!AQ36</f>
        <v>0</v>
      </c>
      <c r="AR36" s="109">
        <f>'7a.20YrDetails'!AR36</f>
        <v>0</v>
      </c>
      <c r="AS36" s="109">
        <f>'7a.20YrDetails'!AS36</f>
        <v>0</v>
      </c>
      <c r="AT36" s="109">
        <f>'7a.20YrDetails'!AT36</f>
        <v>0</v>
      </c>
      <c r="AU36" s="109">
        <f>'7a.20YrDetails'!AU36</f>
        <v>0</v>
      </c>
      <c r="AV36" s="109">
        <f>'7a.20YrDetails'!AV36</f>
        <v>0</v>
      </c>
      <c r="AW36" s="109">
        <f>'7a.20YrDetails'!AW36</f>
        <v>0</v>
      </c>
      <c r="AX36" s="109">
        <f>'7a.20YrDetails'!AX36</f>
        <v>0</v>
      </c>
      <c r="AY36" s="109">
        <f>'7a.20YrDetails'!AY36</f>
        <v>0</v>
      </c>
      <c r="AZ36" s="109">
        <f>'7a.20YrDetails'!AZ36</f>
        <v>0</v>
      </c>
      <c r="BA36" s="109">
        <f>'7a.20YrDetails'!BA36</f>
        <v>0</v>
      </c>
      <c r="BB36" s="109">
        <f>'7a.20YrDetails'!BB36</f>
        <v>0</v>
      </c>
      <c r="BC36" s="109">
        <f>'7a.20YrDetails'!BC36</f>
        <v>0</v>
      </c>
      <c r="BD36" s="109">
        <f>'7a.20YrDetails'!BD36</f>
        <v>0</v>
      </c>
      <c r="BE36" s="109">
        <f>'7a.20YrDetails'!BE36</f>
        <v>0</v>
      </c>
      <c r="BF36" s="109">
        <f>'7a.20YrDetails'!BF36</f>
        <v>0</v>
      </c>
      <c r="BG36" s="109">
        <f>'7a.20YrDetails'!BG36</f>
        <v>0</v>
      </c>
      <c r="BH36" s="109">
        <f>'7a.20YrDetails'!BH36</f>
        <v>0</v>
      </c>
      <c r="BI36" s="109">
        <f>'7a.20YrDetails'!BI36</f>
        <v>0</v>
      </c>
      <c r="BJ36" s="109">
        <f>'7a.20YrDetails'!BJ36</f>
        <v>0</v>
      </c>
      <c r="BK36" s="109">
        <f>'7a.20YrDetails'!BK36</f>
        <v>0</v>
      </c>
      <c r="BL36" s="109">
        <f>'7a.20YrDetails'!BL36</f>
        <v>0</v>
      </c>
      <c r="BM36" s="109">
        <f>'7a.20YrDetails'!BM36</f>
        <v>0</v>
      </c>
      <c r="BN36" s="109">
        <f>'7a.20YrDetails'!BN36</f>
        <v>0</v>
      </c>
      <c r="BO36" s="109">
        <f>'7a.20YrDetails'!BO36</f>
        <v>0</v>
      </c>
    </row>
    <row r="37" spans="3:67" ht="12" hidden="1" customHeight="1" outlineLevel="1">
      <c r="C37" s="10" t="str">
        <f>'7a.20YrDetails'!C37</f>
        <v>Manager's Salary</v>
      </c>
      <c r="D37" s="15">
        <f>'7a.20YrDetails'!D37</f>
        <v>6330</v>
      </c>
      <c r="E37" s="73">
        <f>'7a.20YrDetails'!E37</f>
        <v>3.5000000000000003E-2</v>
      </c>
      <c r="F37" s="73">
        <f>'7a.20YrDetails'!F37</f>
        <v>3.5000000000000003E-2</v>
      </c>
      <c r="G37" s="31" t="str">
        <f>IF('7a.20YrDetails'!$G37="","",'7a.20YrDetails'!$G37)</f>
        <v/>
      </c>
      <c r="H37" s="109">
        <f>'7a.20YrDetails'!H37</f>
        <v>0</v>
      </c>
      <c r="I37" s="109">
        <f>'7a.20YrDetails'!I37</f>
        <v>0</v>
      </c>
      <c r="J37" s="109">
        <f>'7a.20YrDetails'!J37</f>
        <v>0</v>
      </c>
      <c r="K37" s="109">
        <f>'7a.20YrDetails'!K37</f>
        <v>0</v>
      </c>
      <c r="L37" s="109">
        <f>'7a.20YrDetails'!L37</f>
        <v>0</v>
      </c>
      <c r="M37" s="109">
        <f>'7a.20YrDetails'!M37</f>
        <v>0</v>
      </c>
      <c r="N37" s="109">
        <f>'7a.20YrDetails'!N37</f>
        <v>0</v>
      </c>
      <c r="O37" s="109">
        <f>'7a.20YrDetails'!O37</f>
        <v>0</v>
      </c>
      <c r="P37" s="109">
        <f>'7a.20YrDetails'!P37</f>
        <v>0</v>
      </c>
      <c r="Q37" s="109">
        <f>'7a.20YrDetails'!Q37</f>
        <v>0</v>
      </c>
      <c r="R37" s="109">
        <f>'7a.20YrDetails'!R37</f>
        <v>0</v>
      </c>
      <c r="S37" s="109">
        <f>'7a.20YrDetails'!S37</f>
        <v>0</v>
      </c>
      <c r="T37" s="109">
        <f>'7a.20YrDetails'!T37</f>
        <v>0</v>
      </c>
      <c r="U37" s="109">
        <f>'7a.20YrDetails'!U37</f>
        <v>0</v>
      </c>
      <c r="V37" s="109">
        <f>'7a.20YrDetails'!V37</f>
        <v>0</v>
      </c>
      <c r="W37" s="109">
        <f>'7a.20YrDetails'!W37</f>
        <v>0</v>
      </c>
      <c r="X37" s="109">
        <f>'7a.20YrDetails'!X37</f>
        <v>0</v>
      </c>
      <c r="Y37" s="109">
        <f>'7a.20YrDetails'!Y37</f>
        <v>0</v>
      </c>
      <c r="Z37" s="109">
        <f>'7a.20YrDetails'!Z37</f>
        <v>0</v>
      </c>
      <c r="AA37" s="109">
        <f>'7a.20YrDetails'!AA37</f>
        <v>0</v>
      </c>
      <c r="AB37" s="109">
        <f>'7a.20YrDetails'!AB37</f>
        <v>0</v>
      </c>
      <c r="AC37" s="109">
        <f>'7a.20YrDetails'!AC37</f>
        <v>0</v>
      </c>
      <c r="AD37" s="109">
        <f>'7a.20YrDetails'!AD37</f>
        <v>0</v>
      </c>
      <c r="AE37" s="109">
        <f>'7a.20YrDetails'!AE37</f>
        <v>0</v>
      </c>
      <c r="AF37" s="109">
        <f>'7a.20YrDetails'!AF37</f>
        <v>0</v>
      </c>
      <c r="AG37" s="109">
        <f>'7a.20YrDetails'!AG37</f>
        <v>0</v>
      </c>
      <c r="AH37" s="109">
        <f>'7a.20YrDetails'!AH37</f>
        <v>0</v>
      </c>
      <c r="AI37" s="109">
        <f>'7a.20YrDetails'!AI37</f>
        <v>0</v>
      </c>
      <c r="AJ37" s="109">
        <f>'7a.20YrDetails'!AJ37</f>
        <v>0</v>
      </c>
      <c r="AK37" s="109">
        <f>'7a.20YrDetails'!AK37</f>
        <v>0</v>
      </c>
      <c r="AL37" s="109">
        <f>'7a.20YrDetails'!AL37</f>
        <v>0</v>
      </c>
      <c r="AM37" s="109">
        <f>'7a.20YrDetails'!AM37</f>
        <v>0</v>
      </c>
      <c r="AN37" s="109">
        <f>'7a.20YrDetails'!AN37</f>
        <v>0</v>
      </c>
      <c r="AO37" s="109">
        <f>'7a.20YrDetails'!AO37</f>
        <v>0</v>
      </c>
      <c r="AP37" s="109">
        <f>'7a.20YrDetails'!AP37</f>
        <v>0</v>
      </c>
      <c r="AQ37" s="109">
        <f>'7a.20YrDetails'!AQ37</f>
        <v>0</v>
      </c>
      <c r="AR37" s="109">
        <f>'7a.20YrDetails'!AR37</f>
        <v>0</v>
      </c>
      <c r="AS37" s="109">
        <f>'7a.20YrDetails'!AS37</f>
        <v>0</v>
      </c>
      <c r="AT37" s="109">
        <f>'7a.20YrDetails'!AT37</f>
        <v>0</v>
      </c>
      <c r="AU37" s="109">
        <f>'7a.20YrDetails'!AU37</f>
        <v>0</v>
      </c>
      <c r="AV37" s="109">
        <f>'7a.20YrDetails'!AV37</f>
        <v>0</v>
      </c>
      <c r="AW37" s="109">
        <f>'7a.20YrDetails'!AW37</f>
        <v>0</v>
      </c>
      <c r="AX37" s="109">
        <f>'7a.20YrDetails'!AX37</f>
        <v>0</v>
      </c>
      <c r="AY37" s="109">
        <f>'7a.20YrDetails'!AY37</f>
        <v>0</v>
      </c>
      <c r="AZ37" s="109">
        <f>'7a.20YrDetails'!AZ37</f>
        <v>0</v>
      </c>
      <c r="BA37" s="109">
        <f>'7a.20YrDetails'!BA37</f>
        <v>0</v>
      </c>
      <c r="BB37" s="109">
        <f>'7a.20YrDetails'!BB37</f>
        <v>0</v>
      </c>
      <c r="BC37" s="109">
        <f>'7a.20YrDetails'!BC37</f>
        <v>0</v>
      </c>
      <c r="BD37" s="109">
        <f>'7a.20YrDetails'!BD37</f>
        <v>0</v>
      </c>
      <c r="BE37" s="109">
        <f>'7a.20YrDetails'!BE37</f>
        <v>0</v>
      </c>
      <c r="BF37" s="109">
        <f>'7a.20YrDetails'!BF37</f>
        <v>0</v>
      </c>
      <c r="BG37" s="109">
        <f>'7a.20YrDetails'!BG37</f>
        <v>0</v>
      </c>
      <c r="BH37" s="109">
        <f>'7a.20YrDetails'!BH37</f>
        <v>0</v>
      </c>
      <c r="BI37" s="109">
        <f>'7a.20YrDetails'!BI37</f>
        <v>0</v>
      </c>
      <c r="BJ37" s="109">
        <f>'7a.20YrDetails'!BJ37</f>
        <v>0</v>
      </c>
      <c r="BK37" s="109">
        <f>'7a.20YrDetails'!BK37</f>
        <v>0</v>
      </c>
      <c r="BL37" s="109">
        <f>'7a.20YrDetails'!BL37</f>
        <v>0</v>
      </c>
      <c r="BM37" s="109">
        <f>'7a.20YrDetails'!BM37</f>
        <v>0</v>
      </c>
      <c r="BN37" s="109">
        <f>'7a.20YrDetails'!BN37</f>
        <v>0</v>
      </c>
      <c r="BO37" s="109">
        <f>'7a.20YrDetails'!BO37</f>
        <v>0</v>
      </c>
    </row>
    <row r="38" spans="3:67" ht="12" hidden="1" customHeight="1" outlineLevel="1">
      <c r="C38" s="10" t="str">
        <f>'7a.20YrDetails'!C38</f>
        <v>Health Insurance and Other Benefits</v>
      </c>
      <c r="D38" s="15">
        <f>'7a.20YrDetails'!D38</f>
        <v>6723</v>
      </c>
      <c r="E38" s="73">
        <f>'7a.20YrDetails'!E38</f>
        <v>3.5000000000000003E-2</v>
      </c>
      <c r="F38" s="73">
        <f>'7a.20YrDetails'!F38</f>
        <v>3.5000000000000003E-2</v>
      </c>
      <c r="G38" s="31" t="str">
        <f>IF('7a.20YrDetails'!$G38="","",'7a.20YrDetails'!$G38)</f>
        <v/>
      </c>
      <c r="H38" s="109">
        <f>'7a.20YrDetails'!H38</f>
        <v>0</v>
      </c>
      <c r="I38" s="109">
        <f>'7a.20YrDetails'!I38</f>
        <v>0</v>
      </c>
      <c r="J38" s="109">
        <f>'7a.20YrDetails'!J38</f>
        <v>0</v>
      </c>
      <c r="K38" s="109">
        <f>'7a.20YrDetails'!K38</f>
        <v>0</v>
      </c>
      <c r="L38" s="109">
        <f>'7a.20YrDetails'!L38</f>
        <v>0</v>
      </c>
      <c r="M38" s="109">
        <f>'7a.20YrDetails'!M38</f>
        <v>0</v>
      </c>
      <c r="N38" s="109">
        <f>'7a.20YrDetails'!N38</f>
        <v>0</v>
      </c>
      <c r="O38" s="109">
        <f>'7a.20YrDetails'!O38</f>
        <v>0</v>
      </c>
      <c r="P38" s="109">
        <f>'7a.20YrDetails'!P38</f>
        <v>0</v>
      </c>
      <c r="Q38" s="109">
        <f>'7a.20YrDetails'!Q38</f>
        <v>0</v>
      </c>
      <c r="R38" s="109">
        <f>'7a.20YrDetails'!R38</f>
        <v>0</v>
      </c>
      <c r="S38" s="109">
        <f>'7a.20YrDetails'!S38</f>
        <v>0</v>
      </c>
      <c r="T38" s="109">
        <f>'7a.20YrDetails'!T38</f>
        <v>0</v>
      </c>
      <c r="U38" s="109">
        <f>'7a.20YrDetails'!U38</f>
        <v>0</v>
      </c>
      <c r="V38" s="109">
        <f>'7a.20YrDetails'!V38</f>
        <v>0</v>
      </c>
      <c r="W38" s="109">
        <f>'7a.20YrDetails'!W38</f>
        <v>0</v>
      </c>
      <c r="X38" s="109">
        <f>'7a.20YrDetails'!X38</f>
        <v>0</v>
      </c>
      <c r="Y38" s="109">
        <f>'7a.20YrDetails'!Y38</f>
        <v>0</v>
      </c>
      <c r="Z38" s="109">
        <f>'7a.20YrDetails'!Z38</f>
        <v>0</v>
      </c>
      <c r="AA38" s="109">
        <f>'7a.20YrDetails'!AA38</f>
        <v>0</v>
      </c>
      <c r="AB38" s="109">
        <f>'7a.20YrDetails'!AB38</f>
        <v>0</v>
      </c>
      <c r="AC38" s="109">
        <f>'7a.20YrDetails'!AC38</f>
        <v>0</v>
      </c>
      <c r="AD38" s="109">
        <f>'7a.20YrDetails'!AD38</f>
        <v>0</v>
      </c>
      <c r="AE38" s="109">
        <f>'7a.20YrDetails'!AE38</f>
        <v>0</v>
      </c>
      <c r="AF38" s="109">
        <f>'7a.20YrDetails'!AF38</f>
        <v>0</v>
      </c>
      <c r="AG38" s="109">
        <f>'7a.20YrDetails'!AG38</f>
        <v>0</v>
      </c>
      <c r="AH38" s="109">
        <f>'7a.20YrDetails'!AH38</f>
        <v>0</v>
      </c>
      <c r="AI38" s="109">
        <f>'7a.20YrDetails'!AI38</f>
        <v>0</v>
      </c>
      <c r="AJ38" s="109">
        <f>'7a.20YrDetails'!AJ38</f>
        <v>0</v>
      </c>
      <c r="AK38" s="109">
        <f>'7a.20YrDetails'!AK38</f>
        <v>0</v>
      </c>
      <c r="AL38" s="109">
        <f>'7a.20YrDetails'!AL38</f>
        <v>0</v>
      </c>
      <c r="AM38" s="109">
        <f>'7a.20YrDetails'!AM38</f>
        <v>0</v>
      </c>
      <c r="AN38" s="109">
        <f>'7a.20YrDetails'!AN38</f>
        <v>0</v>
      </c>
      <c r="AO38" s="109">
        <f>'7a.20YrDetails'!AO38</f>
        <v>0</v>
      </c>
      <c r="AP38" s="109">
        <f>'7a.20YrDetails'!AP38</f>
        <v>0</v>
      </c>
      <c r="AQ38" s="109">
        <f>'7a.20YrDetails'!AQ38</f>
        <v>0</v>
      </c>
      <c r="AR38" s="109">
        <f>'7a.20YrDetails'!AR38</f>
        <v>0</v>
      </c>
      <c r="AS38" s="109">
        <f>'7a.20YrDetails'!AS38</f>
        <v>0</v>
      </c>
      <c r="AT38" s="109">
        <f>'7a.20YrDetails'!AT38</f>
        <v>0</v>
      </c>
      <c r="AU38" s="109">
        <f>'7a.20YrDetails'!AU38</f>
        <v>0</v>
      </c>
      <c r="AV38" s="109">
        <f>'7a.20YrDetails'!AV38</f>
        <v>0</v>
      </c>
      <c r="AW38" s="109">
        <f>'7a.20YrDetails'!AW38</f>
        <v>0</v>
      </c>
      <c r="AX38" s="109">
        <f>'7a.20YrDetails'!AX38</f>
        <v>0</v>
      </c>
      <c r="AY38" s="109">
        <f>'7a.20YrDetails'!AY38</f>
        <v>0</v>
      </c>
      <c r="AZ38" s="109">
        <f>'7a.20YrDetails'!AZ38</f>
        <v>0</v>
      </c>
      <c r="BA38" s="109">
        <f>'7a.20YrDetails'!BA38</f>
        <v>0</v>
      </c>
      <c r="BB38" s="109">
        <f>'7a.20YrDetails'!BB38</f>
        <v>0</v>
      </c>
      <c r="BC38" s="109">
        <f>'7a.20YrDetails'!BC38</f>
        <v>0</v>
      </c>
      <c r="BD38" s="109">
        <f>'7a.20YrDetails'!BD38</f>
        <v>0</v>
      </c>
      <c r="BE38" s="109">
        <f>'7a.20YrDetails'!BE38</f>
        <v>0</v>
      </c>
      <c r="BF38" s="109">
        <f>'7a.20YrDetails'!BF38</f>
        <v>0</v>
      </c>
      <c r="BG38" s="109">
        <f>'7a.20YrDetails'!BG38</f>
        <v>0</v>
      </c>
      <c r="BH38" s="109">
        <f>'7a.20YrDetails'!BH38</f>
        <v>0</v>
      </c>
      <c r="BI38" s="109">
        <f>'7a.20YrDetails'!BI38</f>
        <v>0</v>
      </c>
      <c r="BJ38" s="109">
        <f>'7a.20YrDetails'!BJ38</f>
        <v>0</v>
      </c>
      <c r="BK38" s="109">
        <f>'7a.20YrDetails'!BK38</f>
        <v>0</v>
      </c>
      <c r="BL38" s="109">
        <f>'7a.20YrDetails'!BL38</f>
        <v>0</v>
      </c>
      <c r="BM38" s="109">
        <f>'7a.20YrDetails'!BM38</f>
        <v>0</v>
      </c>
      <c r="BN38" s="109">
        <f>'7a.20YrDetails'!BN38</f>
        <v>0</v>
      </c>
      <c r="BO38" s="109">
        <f>'7a.20YrDetails'!BO38</f>
        <v>0</v>
      </c>
    </row>
    <row r="39" spans="3:67" ht="12" hidden="1" customHeight="1" outlineLevel="1">
      <c r="C39" s="10" t="str">
        <f>'7a.20YrDetails'!C39</f>
        <v>Other Salaries/Benefits</v>
      </c>
      <c r="D39" s="15">
        <f>'7a.20YrDetails'!D39</f>
        <v>0</v>
      </c>
      <c r="E39" s="73">
        <f>'7a.20YrDetails'!E39</f>
        <v>3.5000000000000003E-2</v>
      </c>
      <c r="F39" s="73">
        <f>'7a.20YrDetails'!F39</f>
        <v>3.5000000000000003E-2</v>
      </c>
      <c r="G39" s="31" t="str">
        <f>IF('7a.20YrDetails'!$G39="","",'7a.20YrDetails'!$G39)</f>
        <v/>
      </c>
      <c r="H39" s="109">
        <f>'7a.20YrDetails'!H39</f>
        <v>0</v>
      </c>
      <c r="I39" s="109">
        <f>'7a.20YrDetails'!I39</f>
        <v>0</v>
      </c>
      <c r="J39" s="109">
        <f>'7a.20YrDetails'!J39</f>
        <v>0</v>
      </c>
      <c r="K39" s="109">
        <f>'7a.20YrDetails'!K39</f>
        <v>0</v>
      </c>
      <c r="L39" s="109">
        <f>'7a.20YrDetails'!L39</f>
        <v>0</v>
      </c>
      <c r="M39" s="109">
        <f>'7a.20YrDetails'!M39</f>
        <v>0</v>
      </c>
      <c r="N39" s="109">
        <f>'7a.20YrDetails'!N39</f>
        <v>0</v>
      </c>
      <c r="O39" s="109">
        <f>'7a.20YrDetails'!O39</f>
        <v>0</v>
      </c>
      <c r="P39" s="109">
        <f>'7a.20YrDetails'!P39</f>
        <v>0</v>
      </c>
      <c r="Q39" s="109">
        <f>'7a.20YrDetails'!Q39</f>
        <v>0</v>
      </c>
      <c r="R39" s="109">
        <f>'7a.20YrDetails'!R39</f>
        <v>0</v>
      </c>
      <c r="S39" s="109">
        <f>'7a.20YrDetails'!S39</f>
        <v>0</v>
      </c>
      <c r="T39" s="109">
        <f>'7a.20YrDetails'!T39</f>
        <v>0</v>
      </c>
      <c r="U39" s="109">
        <f>'7a.20YrDetails'!U39</f>
        <v>0</v>
      </c>
      <c r="V39" s="109">
        <f>'7a.20YrDetails'!V39</f>
        <v>0</v>
      </c>
      <c r="W39" s="109">
        <f>'7a.20YrDetails'!W39</f>
        <v>0</v>
      </c>
      <c r="X39" s="109">
        <f>'7a.20YrDetails'!X39</f>
        <v>0</v>
      </c>
      <c r="Y39" s="109">
        <f>'7a.20YrDetails'!Y39</f>
        <v>0</v>
      </c>
      <c r="Z39" s="109">
        <f>'7a.20YrDetails'!Z39</f>
        <v>0</v>
      </c>
      <c r="AA39" s="109">
        <f>'7a.20YrDetails'!AA39</f>
        <v>0</v>
      </c>
      <c r="AB39" s="109">
        <f>'7a.20YrDetails'!AB39</f>
        <v>0</v>
      </c>
      <c r="AC39" s="109">
        <f>'7a.20YrDetails'!AC39</f>
        <v>0</v>
      </c>
      <c r="AD39" s="109">
        <f>'7a.20YrDetails'!AD39</f>
        <v>0</v>
      </c>
      <c r="AE39" s="109">
        <f>'7a.20YrDetails'!AE39</f>
        <v>0</v>
      </c>
      <c r="AF39" s="109">
        <f>'7a.20YrDetails'!AF39</f>
        <v>0</v>
      </c>
      <c r="AG39" s="109">
        <f>'7a.20YrDetails'!AG39</f>
        <v>0</v>
      </c>
      <c r="AH39" s="109">
        <f>'7a.20YrDetails'!AH39</f>
        <v>0</v>
      </c>
      <c r="AI39" s="109">
        <f>'7a.20YrDetails'!AI39</f>
        <v>0</v>
      </c>
      <c r="AJ39" s="109">
        <f>'7a.20YrDetails'!AJ39</f>
        <v>0</v>
      </c>
      <c r="AK39" s="109">
        <f>'7a.20YrDetails'!AK39</f>
        <v>0</v>
      </c>
      <c r="AL39" s="109">
        <f>'7a.20YrDetails'!AL39</f>
        <v>0</v>
      </c>
      <c r="AM39" s="109">
        <f>'7a.20YrDetails'!AM39</f>
        <v>0</v>
      </c>
      <c r="AN39" s="109">
        <f>'7a.20YrDetails'!AN39</f>
        <v>0</v>
      </c>
      <c r="AO39" s="109">
        <f>'7a.20YrDetails'!AO39</f>
        <v>0</v>
      </c>
      <c r="AP39" s="109">
        <f>'7a.20YrDetails'!AP39</f>
        <v>0</v>
      </c>
      <c r="AQ39" s="109">
        <f>'7a.20YrDetails'!AQ39</f>
        <v>0</v>
      </c>
      <c r="AR39" s="109">
        <f>'7a.20YrDetails'!AR39</f>
        <v>0</v>
      </c>
      <c r="AS39" s="109">
        <f>'7a.20YrDetails'!AS39</f>
        <v>0</v>
      </c>
      <c r="AT39" s="109">
        <f>'7a.20YrDetails'!AT39</f>
        <v>0</v>
      </c>
      <c r="AU39" s="109">
        <f>'7a.20YrDetails'!AU39</f>
        <v>0</v>
      </c>
      <c r="AV39" s="109">
        <f>'7a.20YrDetails'!AV39</f>
        <v>0</v>
      </c>
      <c r="AW39" s="109">
        <f>'7a.20YrDetails'!AW39</f>
        <v>0</v>
      </c>
      <c r="AX39" s="109">
        <f>'7a.20YrDetails'!AX39</f>
        <v>0</v>
      </c>
      <c r="AY39" s="109">
        <f>'7a.20YrDetails'!AY39</f>
        <v>0</v>
      </c>
      <c r="AZ39" s="109">
        <f>'7a.20YrDetails'!AZ39</f>
        <v>0</v>
      </c>
      <c r="BA39" s="109">
        <f>'7a.20YrDetails'!BA39</f>
        <v>0</v>
      </c>
      <c r="BB39" s="109">
        <f>'7a.20YrDetails'!BB39</f>
        <v>0</v>
      </c>
      <c r="BC39" s="109">
        <f>'7a.20YrDetails'!BC39</f>
        <v>0</v>
      </c>
      <c r="BD39" s="109">
        <f>'7a.20YrDetails'!BD39</f>
        <v>0</v>
      </c>
      <c r="BE39" s="109">
        <f>'7a.20YrDetails'!BE39</f>
        <v>0</v>
      </c>
      <c r="BF39" s="109">
        <f>'7a.20YrDetails'!BF39</f>
        <v>0</v>
      </c>
      <c r="BG39" s="109">
        <f>'7a.20YrDetails'!BG39</f>
        <v>0</v>
      </c>
      <c r="BH39" s="109">
        <f>'7a.20YrDetails'!BH39</f>
        <v>0</v>
      </c>
      <c r="BI39" s="109">
        <f>'7a.20YrDetails'!BI39</f>
        <v>0</v>
      </c>
      <c r="BJ39" s="109">
        <f>'7a.20YrDetails'!BJ39</f>
        <v>0</v>
      </c>
      <c r="BK39" s="109">
        <f>'7a.20YrDetails'!BK39</f>
        <v>0</v>
      </c>
      <c r="BL39" s="109">
        <f>'7a.20YrDetails'!BL39</f>
        <v>0</v>
      </c>
      <c r="BM39" s="109">
        <f>'7a.20YrDetails'!BM39</f>
        <v>0</v>
      </c>
      <c r="BN39" s="109">
        <f>'7a.20YrDetails'!BN39</f>
        <v>0</v>
      </c>
      <c r="BO39" s="109">
        <f>'7a.20YrDetails'!BO39</f>
        <v>0</v>
      </c>
    </row>
    <row r="40" spans="3:67" ht="12" hidden="1" customHeight="1" outlineLevel="1">
      <c r="C40" s="10" t="str">
        <f>'7a.20YrDetails'!C40</f>
        <v>Administrative Rent-Free Unit</v>
      </c>
      <c r="D40" s="15">
        <f>'7a.20YrDetails'!D40</f>
        <v>6331</v>
      </c>
      <c r="E40" s="73">
        <f>'7a.20YrDetails'!E40</f>
        <v>3.5000000000000003E-2</v>
      </c>
      <c r="F40" s="73">
        <f>'7a.20YrDetails'!F40</f>
        <v>3.5000000000000003E-2</v>
      </c>
      <c r="G40" s="31" t="str">
        <f>IF('7a.20YrDetails'!$G40="","",'7a.20YrDetails'!$G40)</f>
        <v/>
      </c>
      <c r="H40" s="109">
        <f>'7a.20YrDetails'!H40</f>
        <v>0</v>
      </c>
      <c r="I40" s="109">
        <f>'7a.20YrDetails'!I40</f>
        <v>0</v>
      </c>
      <c r="J40" s="109">
        <f>'7a.20YrDetails'!J40</f>
        <v>0</v>
      </c>
      <c r="K40" s="109">
        <f>'7a.20YrDetails'!K40</f>
        <v>0</v>
      </c>
      <c r="L40" s="109">
        <f>'7a.20YrDetails'!L40</f>
        <v>0</v>
      </c>
      <c r="M40" s="109">
        <f>'7a.20YrDetails'!M40</f>
        <v>0</v>
      </c>
      <c r="N40" s="109">
        <f>'7a.20YrDetails'!N40</f>
        <v>0</v>
      </c>
      <c r="O40" s="109">
        <f>'7a.20YrDetails'!O40</f>
        <v>0</v>
      </c>
      <c r="P40" s="109">
        <f>'7a.20YrDetails'!P40</f>
        <v>0</v>
      </c>
      <c r="Q40" s="109">
        <f>'7a.20YrDetails'!Q40</f>
        <v>0</v>
      </c>
      <c r="R40" s="109">
        <f>'7a.20YrDetails'!R40</f>
        <v>0</v>
      </c>
      <c r="S40" s="109">
        <f>'7a.20YrDetails'!S40</f>
        <v>0</v>
      </c>
      <c r="T40" s="109">
        <f>'7a.20YrDetails'!T40</f>
        <v>0</v>
      </c>
      <c r="U40" s="109">
        <f>'7a.20YrDetails'!U40</f>
        <v>0</v>
      </c>
      <c r="V40" s="109">
        <f>'7a.20YrDetails'!V40</f>
        <v>0</v>
      </c>
      <c r="W40" s="109">
        <f>'7a.20YrDetails'!W40</f>
        <v>0</v>
      </c>
      <c r="X40" s="109">
        <f>'7a.20YrDetails'!X40</f>
        <v>0</v>
      </c>
      <c r="Y40" s="109">
        <f>'7a.20YrDetails'!Y40</f>
        <v>0</v>
      </c>
      <c r="Z40" s="109">
        <f>'7a.20YrDetails'!Z40</f>
        <v>0</v>
      </c>
      <c r="AA40" s="109">
        <f>'7a.20YrDetails'!AA40</f>
        <v>0</v>
      </c>
      <c r="AB40" s="109">
        <f>'7a.20YrDetails'!AB40</f>
        <v>0</v>
      </c>
      <c r="AC40" s="109">
        <f>'7a.20YrDetails'!AC40</f>
        <v>0</v>
      </c>
      <c r="AD40" s="109">
        <f>'7a.20YrDetails'!AD40</f>
        <v>0</v>
      </c>
      <c r="AE40" s="109">
        <f>'7a.20YrDetails'!AE40</f>
        <v>0</v>
      </c>
      <c r="AF40" s="109">
        <f>'7a.20YrDetails'!AF40</f>
        <v>0</v>
      </c>
      <c r="AG40" s="109">
        <f>'7a.20YrDetails'!AG40</f>
        <v>0</v>
      </c>
      <c r="AH40" s="109">
        <f>'7a.20YrDetails'!AH40</f>
        <v>0</v>
      </c>
      <c r="AI40" s="109">
        <f>'7a.20YrDetails'!AI40</f>
        <v>0</v>
      </c>
      <c r="AJ40" s="109">
        <f>'7a.20YrDetails'!AJ40</f>
        <v>0</v>
      </c>
      <c r="AK40" s="109">
        <f>'7a.20YrDetails'!AK40</f>
        <v>0</v>
      </c>
      <c r="AL40" s="109">
        <f>'7a.20YrDetails'!AL40</f>
        <v>0</v>
      </c>
      <c r="AM40" s="109">
        <f>'7a.20YrDetails'!AM40</f>
        <v>0</v>
      </c>
      <c r="AN40" s="109">
        <f>'7a.20YrDetails'!AN40</f>
        <v>0</v>
      </c>
      <c r="AO40" s="109">
        <f>'7a.20YrDetails'!AO40</f>
        <v>0</v>
      </c>
      <c r="AP40" s="109">
        <f>'7a.20YrDetails'!AP40</f>
        <v>0</v>
      </c>
      <c r="AQ40" s="109">
        <f>'7a.20YrDetails'!AQ40</f>
        <v>0</v>
      </c>
      <c r="AR40" s="109">
        <f>'7a.20YrDetails'!AR40</f>
        <v>0</v>
      </c>
      <c r="AS40" s="109">
        <f>'7a.20YrDetails'!AS40</f>
        <v>0</v>
      </c>
      <c r="AT40" s="109">
        <f>'7a.20YrDetails'!AT40</f>
        <v>0</v>
      </c>
      <c r="AU40" s="109">
        <f>'7a.20YrDetails'!AU40</f>
        <v>0</v>
      </c>
      <c r="AV40" s="109">
        <f>'7a.20YrDetails'!AV40</f>
        <v>0</v>
      </c>
      <c r="AW40" s="109">
        <f>'7a.20YrDetails'!AW40</f>
        <v>0</v>
      </c>
      <c r="AX40" s="109">
        <f>'7a.20YrDetails'!AX40</f>
        <v>0</v>
      </c>
      <c r="AY40" s="109">
        <f>'7a.20YrDetails'!AY40</f>
        <v>0</v>
      </c>
      <c r="AZ40" s="109">
        <f>'7a.20YrDetails'!AZ40</f>
        <v>0</v>
      </c>
      <c r="BA40" s="109">
        <f>'7a.20YrDetails'!BA40</f>
        <v>0</v>
      </c>
      <c r="BB40" s="109">
        <f>'7a.20YrDetails'!BB40</f>
        <v>0</v>
      </c>
      <c r="BC40" s="109">
        <f>'7a.20YrDetails'!BC40</f>
        <v>0</v>
      </c>
      <c r="BD40" s="109">
        <f>'7a.20YrDetails'!BD40</f>
        <v>0</v>
      </c>
      <c r="BE40" s="109">
        <f>'7a.20YrDetails'!BE40</f>
        <v>0</v>
      </c>
      <c r="BF40" s="109">
        <f>'7a.20YrDetails'!BF40</f>
        <v>0</v>
      </c>
      <c r="BG40" s="109">
        <f>'7a.20YrDetails'!BG40</f>
        <v>0</v>
      </c>
      <c r="BH40" s="109">
        <f>'7a.20YrDetails'!BH40</f>
        <v>0</v>
      </c>
      <c r="BI40" s="109">
        <f>'7a.20YrDetails'!BI40</f>
        <v>0</v>
      </c>
      <c r="BJ40" s="109">
        <f>'7a.20YrDetails'!BJ40</f>
        <v>0</v>
      </c>
      <c r="BK40" s="109">
        <f>'7a.20YrDetails'!BK40</f>
        <v>0</v>
      </c>
      <c r="BL40" s="109">
        <f>'7a.20YrDetails'!BL40</f>
        <v>0</v>
      </c>
      <c r="BM40" s="109">
        <f>'7a.20YrDetails'!BM40</f>
        <v>0</v>
      </c>
      <c r="BN40" s="109">
        <f>'7a.20YrDetails'!BN40</f>
        <v>0</v>
      </c>
      <c r="BO40" s="109">
        <f>'7a.20YrDetails'!BO40</f>
        <v>0</v>
      </c>
    </row>
    <row r="41" spans="3:67" ht="12" hidden="1" customHeight="1" outlineLevel="1">
      <c r="C41" s="11" t="str">
        <f>'7a.20YrDetails'!C41</f>
        <v>Sub-total Salaries/Benefits</v>
      </c>
      <c r="D41" s="12"/>
      <c r="E41" s="12"/>
      <c r="F41" s="12"/>
      <c r="G41" s="21"/>
      <c r="H41" s="109">
        <f>'7a.20YrDetails'!H41</f>
        <v>0</v>
      </c>
      <c r="I41" s="109">
        <f>'7a.20YrDetails'!I41</f>
        <v>0</v>
      </c>
      <c r="J41" s="109">
        <f>'7a.20YrDetails'!J41</f>
        <v>0</v>
      </c>
      <c r="K41" s="109">
        <f>'7a.20YrDetails'!K41</f>
        <v>0</v>
      </c>
      <c r="L41" s="109">
        <f>'7a.20YrDetails'!L41</f>
        <v>0</v>
      </c>
      <c r="M41" s="109">
        <f>'7a.20YrDetails'!M41</f>
        <v>0</v>
      </c>
      <c r="N41" s="109">
        <f>'7a.20YrDetails'!N41</f>
        <v>0</v>
      </c>
      <c r="O41" s="109">
        <f>'7a.20YrDetails'!O41</f>
        <v>0</v>
      </c>
      <c r="P41" s="109">
        <f>'7a.20YrDetails'!P41</f>
        <v>0</v>
      </c>
      <c r="Q41" s="109">
        <f>'7a.20YrDetails'!Q41</f>
        <v>0</v>
      </c>
      <c r="R41" s="109">
        <f>'7a.20YrDetails'!R41</f>
        <v>0</v>
      </c>
      <c r="S41" s="109">
        <f>'7a.20YrDetails'!S41</f>
        <v>0</v>
      </c>
      <c r="T41" s="109">
        <f>'7a.20YrDetails'!T41</f>
        <v>0</v>
      </c>
      <c r="U41" s="109">
        <f>'7a.20YrDetails'!U41</f>
        <v>0</v>
      </c>
      <c r="V41" s="109">
        <f>'7a.20YrDetails'!V41</f>
        <v>0</v>
      </c>
      <c r="W41" s="109">
        <f>'7a.20YrDetails'!W41</f>
        <v>0</v>
      </c>
      <c r="X41" s="109">
        <f>'7a.20YrDetails'!X41</f>
        <v>0</v>
      </c>
      <c r="Y41" s="109">
        <f>'7a.20YrDetails'!Y41</f>
        <v>0</v>
      </c>
      <c r="Z41" s="109">
        <f>'7a.20YrDetails'!Z41</f>
        <v>0</v>
      </c>
      <c r="AA41" s="109">
        <f>'7a.20YrDetails'!AA41</f>
        <v>0</v>
      </c>
      <c r="AB41" s="109">
        <f>'7a.20YrDetails'!AB41</f>
        <v>0</v>
      </c>
      <c r="AC41" s="109">
        <f>'7a.20YrDetails'!AC41</f>
        <v>0</v>
      </c>
      <c r="AD41" s="109">
        <f>'7a.20YrDetails'!AD41</f>
        <v>0</v>
      </c>
      <c r="AE41" s="109">
        <f>'7a.20YrDetails'!AE41</f>
        <v>0</v>
      </c>
      <c r="AF41" s="109">
        <f>'7a.20YrDetails'!AF41</f>
        <v>0</v>
      </c>
      <c r="AG41" s="109">
        <f>'7a.20YrDetails'!AG41</f>
        <v>0</v>
      </c>
      <c r="AH41" s="109">
        <f>'7a.20YrDetails'!AH41</f>
        <v>0</v>
      </c>
      <c r="AI41" s="109">
        <f>'7a.20YrDetails'!AI41</f>
        <v>0</v>
      </c>
      <c r="AJ41" s="109">
        <f>'7a.20YrDetails'!AJ41</f>
        <v>0</v>
      </c>
      <c r="AK41" s="109">
        <f>'7a.20YrDetails'!AK41</f>
        <v>0</v>
      </c>
      <c r="AL41" s="109">
        <f>'7a.20YrDetails'!AL41</f>
        <v>0</v>
      </c>
      <c r="AM41" s="109">
        <f>'7a.20YrDetails'!AM41</f>
        <v>0</v>
      </c>
      <c r="AN41" s="109">
        <f>'7a.20YrDetails'!AN41</f>
        <v>0</v>
      </c>
      <c r="AO41" s="109">
        <f>'7a.20YrDetails'!AO41</f>
        <v>0</v>
      </c>
      <c r="AP41" s="109">
        <f>'7a.20YrDetails'!AP41</f>
        <v>0</v>
      </c>
      <c r="AQ41" s="109">
        <f>'7a.20YrDetails'!AQ41</f>
        <v>0</v>
      </c>
      <c r="AR41" s="109">
        <f>'7a.20YrDetails'!AR41</f>
        <v>0</v>
      </c>
      <c r="AS41" s="109">
        <f>'7a.20YrDetails'!AS41</f>
        <v>0</v>
      </c>
      <c r="AT41" s="109">
        <f>'7a.20YrDetails'!AT41</f>
        <v>0</v>
      </c>
      <c r="AU41" s="109">
        <f>'7a.20YrDetails'!AU41</f>
        <v>0</v>
      </c>
      <c r="AV41" s="109">
        <f>'7a.20YrDetails'!AV41</f>
        <v>0</v>
      </c>
      <c r="AW41" s="109">
        <f>'7a.20YrDetails'!AW41</f>
        <v>0</v>
      </c>
      <c r="AX41" s="109">
        <f>'7a.20YrDetails'!AX41</f>
        <v>0</v>
      </c>
      <c r="AY41" s="109">
        <f>'7a.20YrDetails'!AY41</f>
        <v>0</v>
      </c>
      <c r="AZ41" s="109">
        <f>'7a.20YrDetails'!AZ41</f>
        <v>0</v>
      </c>
      <c r="BA41" s="109">
        <f>'7a.20YrDetails'!BA41</f>
        <v>0</v>
      </c>
      <c r="BB41" s="109">
        <f>'7a.20YrDetails'!BB41</f>
        <v>0</v>
      </c>
      <c r="BC41" s="109">
        <f>'7a.20YrDetails'!BC41</f>
        <v>0</v>
      </c>
      <c r="BD41" s="109">
        <f>'7a.20YrDetails'!BD41</f>
        <v>0</v>
      </c>
      <c r="BE41" s="109">
        <f>'7a.20YrDetails'!BE41</f>
        <v>0</v>
      </c>
      <c r="BF41" s="109">
        <f>'7a.20YrDetails'!BF41</f>
        <v>0</v>
      </c>
      <c r="BG41" s="109">
        <f>'7a.20YrDetails'!BG41</f>
        <v>0</v>
      </c>
      <c r="BH41" s="109">
        <f>'7a.20YrDetails'!BH41</f>
        <v>0</v>
      </c>
      <c r="BI41" s="109">
        <f>'7a.20YrDetails'!BI41</f>
        <v>0</v>
      </c>
      <c r="BJ41" s="109">
        <f>'7a.20YrDetails'!BJ41</f>
        <v>0</v>
      </c>
      <c r="BK41" s="109">
        <f>'7a.20YrDetails'!BK41</f>
        <v>0</v>
      </c>
      <c r="BL41" s="109">
        <f>'7a.20YrDetails'!BL41</f>
        <v>0</v>
      </c>
      <c r="BM41" s="109">
        <f>'7a.20YrDetails'!BM41</f>
        <v>0</v>
      </c>
      <c r="BN41" s="109">
        <f>'7a.20YrDetails'!BN41</f>
        <v>0</v>
      </c>
      <c r="BO41" s="109">
        <f>'7a.20YrDetails'!BO41</f>
        <v>0</v>
      </c>
    </row>
    <row r="42" spans="3:67" ht="12" customHeight="1" collapsed="1">
      <c r="C42" s="10" t="str">
        <f>'7a.20YrDetails'!C42</f>
        <v>Administration</v>
      </c>
      <c r="D42" s="14"/>
      <c r="E42" s="72">
        <f>E43</f>
        <v>3.5000000000000003E-2</v>
      </c>
      <c r="F42" s="72">
        <f>IF(SUBTOTAL(103,$C$43:$C$51)&gt;0,"",F43)</f>
        <v>3.5000000000000003E-2</v>
      </c>
      <c r="G42" s="31"/>
      <c r="H42" s="109">
        <f t="shared" ref="H42:S42" si="5">IF(SUBTOTAL(103,$C$43:$C$51)&gt;0,"",H51)</f>
        <v>0</v>
      </c>
      <c r="I42" s="109">
        <f t="shared" si="5"/>
        <v>0</v>
      </c>
      <c r="J42" s="109">
        <f t="shared" si="5"/>
        <v>0</v>
      </c>
      <c r="K42" s="109">
        <f t="shared" si="5"/>
        <v>0</v>
      </c>
      <c r="L42" s="109">
        <f t="shared" si="5"/>
        <v>0</v>
      </c>
      <c r="M42" s="109">
        <f t="shared" si="5"/>
        <v>0</v>
      </c>
      <c r="N42" s="109">
        <f t="shared" si="5"/>
        <v>0</v>
      </c>
      <c r="O42" s="109">
        <f t="shared" si="5"/>
        <v>0</v>
      </c>
      <c r="P42" s="109">
        <f t="shared" si="5"/>
        <v>0</v>
      </c>
      <c r="Q42" s="109">
        <f t="shared" si="5"/>
        <v>0</v>
      </c>
      <c r="R42" s="109">
        <f t="shared" si="5"/>
        <v>0</v>
      </c>
      <c r="S42" s="109">
        <f t="shared" si="5"/>
        <v>0</v>
      </c>
      <c r="T42" s="109">
        <f t="shared" ref="T42:BO42" si="6">IF(SUBTOTAL(103,$C$43:$C$51)&gt;0,"",T51)</f>
        <v>0</v>
      </c>
      <c r="U42" s="109">
        <f t="shared" si="6"/>
        <v>0</v>
      </c>
      <c r="V42" s="109">
        <f t="shared" si="6"/>
        <v>0</v>
      </c>
      <c r="W42" s="109">
        <f t="shared" si="6"/>
        <v>0</v>
      </c>
      <c r="X42" s="109">
        <f t="shared" si="6"/>
        <v>0</v>
      </c>
      <c r="Y42" s="109">
        <f t="shared" si="6"/>
        <v>0</v>
      </c>
      <c r="Z42" s="109">
        <f t="shared" si="6"/>
        <v>0</v>
      </c>
      <c r="AA42" s="109">
        <f t="shared" si="6"/>
        <v>0</v>
      </c>
      <c r="AB42" s="109">
        <f t="shared" si="6"/>
        <v>0</v>
      </c>
      <c r="AC42" s="109">
        <f t="shared" si="6"/>
        <v>0</v>
      </c>
      <c r="AD42" s="109">
        <f t="shared" si="6"/>
        <v>0</v>
      </c>
      <c r="AE42" s="109">
        <f t="shared" si="6"/>
        <v>0</v>
      </c>
      <c r="AF42" s="109">
        <f t="shared" si="6"/>
        <v>0</v>
      </c>
      <c r="AG42" s="109">
        <f t="shared" si="6"/>
        <v>0</v>
      </c>
      <c r="AH42" s="109">
        <f t="shared" si="6"/>
        <v>0</v>
      </c>
      <c r="AI42" s="109">
        <f t="shared" si="6"/>
        <v>0</v>
      </c>
      <c r="AJ42" s="109">
        <f t="shared" si="6"/>
        <v>0</v>
      </c>
      <c r="AK42" s="109">
        <f t="shared" si="6"/>
        <v>0</v>
      </c>
      <c r="AL42" s="109">
        <f t="shared" si="6"/>
        <v>0</v>
      </c>
      <c r="AM42" s="109">
        <f t="shared" si="6"/>
        <v>0</v>
      </c>
      <c r="AN42" s="109">
        <f t="shared" si="6"/>
        <v>0</v>
      </c>
      <c r="AO42" s="109">
        <f t="shared" si="6"/>
        <v>0</v>
      </c>
      <c r="AP42" s="109">
        <f t="shared" si="6"/>
        <v>0</v>
      </c>
      <c r="AQ42" s="109">
        <f t="shared" si="6"/>
        <v>0</v>
      </c>
      <c r="AR42" s="109">
        <f t="shared" si="6"/>
        <v>0</v>
      </c>
      <c r="AS42" s="109">
        <f t="shared" si="6"/>
        <v>0</v>
      </c>
      <c r="AT42" s="109">
        <f t="shared" si="6"/>
        <v>0</v>
      </c>
      <c r="AU42" s="109">
        <f t="shared" si="6"/>
        <v>0</v>
      </c>
      <c r="AV42" s="109">
        <f t="shared" si="6"/>
        <v>0</v>
      </c>
      <c r="AW42" s="109">
        <f t="shared" si="6"/>
        <v>0</v>
      </c>
      <c r="AX42" s="109">
        <f t="shared" si="6"/>
        <v>0</v>
      </c>
      <c r="AY42" s="109">
        <f t="shared" si="6"/>
        <v>0</v>
      </c>
      <c r="AZ42" s="109">
        <f t="shared" si="6"/>
        <v>0</v>
      </c>
      <c r="BA42" s="109">
        <f t="shared" si="6"/>
        <v>0</v>
      </c>
      <c r="BB42" s="109">
        <f t="shared" si="6"/>
        <v>0</v>
      </c>
      <c r="BC42" s="109">
        <f t="shared" si="6"/>
        <v>0</v>
      </c>
      <c r="BD42" s="109">
        <f t="shared" si="6"/>
        <v>0</v>
      </c>
      <c r="BE42" s="109">
        <f t="shared" si="6"/>
        <v>0</v>
      </c>
      <c r="BF42" s="109">
        <f t="shared" si="6"/>
        <v>0</v>
      </c>
      <c r="BG42" s="109">
        <f t="shared" si="6"/>
        <v>0</v>
      </c>
      <c r="BH42" s="109">
        <f t="shared" si="6"/>
        <v>0</v>
      </c>
      <c r="BI42" s="109">
        <f t="shared" si="6"/>
        <v>0</v>
      </c>
      <c r="BJ42" s="109">
        <f t="shared" si="6"/>
        <v>0</v>
      </c>
      <c r="BK42" s="109">
        <f t="shared" si="6"/>
        <v>0</v>
      </c>
      <c r="BL42" s="109">
        <f t="shared" si="6"/>
        <v>0</v>
      </c>
      <c r="BM42" s="109">
        <f t="shared" si="6"/>
        <v>0</v>
      </c>
      <c r="BN42" s="109">
        <f t="shared" si="6"/>
        <v>0</v>
      </c>
      <c r="BO42" s="109">
        <f t="shared" si="6"/>
        <v>0</v>
      </c>
    </row>
    <row r="43" spans="3:67" ht="12" hidden="1" customHeight="1" outlineLevel="1">
      <c r="C43" s="10" t="str">
        <f>'7a.20YrDetails'!C43</f>
        <v>Advertising and Marketing</v>
      </c>
      <c r="D43" s="22">
        <f>'7a.20YrDetails'!D43</f>
        <v>6210</v>
      </c>
      <c r="E43" s="73">
        <f>'7a.20YrDetails'!E43</f>
        <v>3.5000000000000003E-2</v>
      </c>
      <c r="F43" s="73">
        <f>'7a.20YrDetails'!F43</f>
        <v>3.5000000000000003E-2</v>
      </c>
      <c r="G43" s="31" t="str">
        <f>IF('7a.20YrDetails'!$G43="","",'7a.20YrDetails'!$G43)</f>
        <v/>
      </c>
      <c r="H43" s="109">
        <f>'7a.20YrDetails'!H43</f>
        <v>0</v>
      </c>
      <c r="I43" s="109">
        <f>'7a.20YrDetails'!I43</f>
        <v>0</v>
      </c>
      <c r="J43" s="109">
        <f>'7a.20YrDetails'!J43</f>
        <v>0</v>
      </c>
      <c r="K43" s="109">
        <f>'7a.20YrDetails'!K43</f>
        <v>0</v>
      </c>
      <c r="L43" s="109">
        <f>'7a.20YrDetails'!L43</f>
        <v>0</v>
      </c>
      <c r="M43" s="109">
        <f>'7a.20YrDetails'!M43</f>
        <v>0</v>
      </c>
      <c r="N43" s="109">
        <f>'7a.20YrDetails'!N43</f>
        <v>0</v>
      </c>
      <c r="O43" s="109">
        <f>'7a.20YrDetails'!O43</f>
        <v>0</v>
      </c>
      <c r="P43" s="109">
        <f>'7a.20YrDetails'!P43</f>
        <v>0</v>
      </c>
      <c r="Q43" s="109">
        <f>'7a.20YrDetails'!Q43</f>
        <v>0</v>
      </c>
      <c r="R43" s="109">
        <f>'7a.20YrDetails'!R43</f>
        <v>0</v>
      </c>
      <c r="S43" s="109">
        <f>'7a.20YrDetails'!S43</f>
        <v>0</v>
      </c>
      <c r="T43" s="109">
        <f>'7a.20YrDetails'!T43</f>
        <v>0</v>
      </c>
      <c r="U43" s="109">
        <f>'7a.20YrDetails'!U43</f>
        <v>0</v>
      </c>
      <c r="V43" s="109">
        <f>'7a.20YrDetails'!V43</f>
        <v>0</v>
      </c>
      <c r="W43" s="109">
        <f>'7a.20YrDetails'!W43</f>
        <v>0</v>
      </c>
      <c r="X43" s="109">
        <f>'7a.20YrDetails'!X43</f>
        <v>0</v>
      </c>
      <c r="Y43" s="109">
        <f>'7a.20YrDetails'!Y43</f>
        <v>0</v>
      </c>
      <c r="Z43" s="109">
        <f>'7a.20YrDetails'!Z43</f>
        <v>0</v>
      </c>
      <c r="AA43" s="109">
        <f>'7a.20YrDetails'!AA43</f>
        <v>0</v>
      </c>
      <c r="AB43" s="109">
        <f>'7a.20YrDetails'!AB43</f>
        <v>0</v>
      </c>
      <c r="AC43" s="109">
        <f>'7a.20YrDetails'!AC43</f>
        <v>0</v>
      </c>
      <c r="AD43" s="109">
        <f>'7a.20YrDetails'!AD43</f>
        <v>0</v>
      </c>
      <c r="AE43" s="109">
        <f>'7a.20YrDetails'!AE43</f>
        <v>0</v>
      </c>
      <c r="AF43" s="109">
        <f>'7a.20YrDetails'!AF43</f>
        <v>0</v>
      </c>
      <c r="AG43" s="109">
        <f>'7a.20YrDetails'!AG43</f>
        <v>0</v>
      </c>
      <c r="AH43" s="109">
        <f>'7a.20YrDetails'!AH43</f>
        <v>0</v>
      </c>
      <c r="AI43" s="109">
        <f>'7a.20YrDetails'!AI43</f>
        <v>0</v>
      </c>
      <c r="AJ43" s="109">
        <f>'7a.20YrDetails'!AJ43</f>
        <v>0</v>
      </c>
      <c r="AK43" s="109">
        <f>'7a.20YrDetails'!AK43</f>
        <v>0</v>
      </c>
      <c r="AL43" s="109">
        <f>'7a.20YrDetails'!AL43</f>
        <v>0</v>
      </c>
      <c r="AM43" s="109">
        <f>'7a.20YrDetails'!AM43</f>
        <v>0</v>
      </c>
      <c r="AN43" s="109">
        <f>'7a.20YrDetails'!AN43</f>
        <v>0</v>
      </c>
      <c r="AO43" s="109">
        <f>'7a.20YrDetails'!AO43</f>
        <v>0</v>
      </c>
      <c r="AP43" s="109">
        <f>'7a.20YrDetails'!AP43</f>
        <v>0</v>
      </c>
      <c r="AQ43" s="109">
        <f>'7a.20YrDetails'!AQ43</f>
        <v>0</v>
      </c>
      <c r="AR43" s="109">
        <f>'7a.20YrDetails'!AR43</f>
        <v>0</v>
      </c>
      <c r="AS43" s="109">
        <f>'7a.20YrDetails'!AS43</f>
        <v>0</v>
      </c>
      <c r="AT43" s="109">
        <f>'7a.20YrDetails'!AT43</f>
        <v>0</v>
      </c>
      <c r="AU43" s="109">
        <f>'7a.20YrDetails'!AU43</f>
        <v>0</v>
      </c>
      <c r="AV43" s="109">
        <f>'7a.20YrDetails'!AV43</f>
        <v>0</v>
      </c>
      <c r="AW43" s="109">
        <f>'7a.20YrDetails'!AW43</f>
        <v>0</v>
      </c>
      <c r="AX43" s="109">
        <f>'7a.20YrDetails'!AX43</f>
        <v>0</v>
      </c>
      <c r="AY43" s="109">
        <f>'7a.20YrDetails'!AY43</f>
        <v>0</v>
      </c>
      <c r="AZ43" s="109">
        <f>'7a.20YrDetails'!AZ43</f>
        <v>0</v>
      </c>
      <c r="BA43" s="109">
        <f>'7a.20YrDetails'!BA43</f>
        <v>0</v>
      </c>
      <c r="BB43" s="109">
        <f>'7a.20YrDetails'!BB43</f>
        <v>0</v>
      </c>
      <c r="BC43" s="109">
        <f>'7a.20YrDetails'!BC43</f>
        <v>0</v>
      </c>
      <c r="BD43" s="109">
        <f>'7a.20YrDetails'!BD43</f>
        <v>0</v>
      </c>
      <c r="BE43" s="109">
        <f>'7a.20YrDetails'!BE43</f>
        <v>0</v>
      </c>
      <c r="BF43" s="109">
        <f>'7a.20YrDetails'!BF43</f>
        <v>0</v>
      </c>
      <c r="BG43" s="109">
        <f>'7a.20YrDetails'!BG43</f>
        <v>0</v>
      </c>
      <c r="BH43" s="109">
        <f>'7a.20YrDetails'!BH43</f>
        <v>0</v>
      </c>
      <c r="BI43" s="109">
        <f>'7a.20YrDetails'!BI43</f>
        <v>0</v>
      </c>
      <c r="BJ43" s="109">
        <f>'7a.20YrDetails'!BJ43</f>
        <v>0</v>
      </c>
      <c r="BK43" s="109">
        <f>'7a.20YrDetails'!BK43</f>
        <v>0</v>
      </c>
      <c r="BL43" s="109">
        <f>'7a.20YrDetails'!BL43</f>
        <v>0</v>
      </c>
      <c r="BM43" s="109">
        <f>'7a.20YrDetails'!BM43</f>
        <v>0</v>
      </c>
      <c r="BN43" s="109">
        <f>'7a.20YrDetails'!BN43</f>
        <v>0</v>
      </c>
      <c r="BO43" s="109">
        <f>'7a.20YrDetails'!BO43</f>
        <v>0</v>
      </c>
    </row>
    <row r="44" spans="3:67" ht="12" hidden="1" customHeight="1" outlineLevel="1">
      <c r="C44" s="10" t="str">
        <f>'7a.20YrDetails'!C44</f>
        <v>Office Expenses</v>
      </c>
      <c r="D44" s="22">
        <f>'7a.20YrDetails'!D44</f>
        <v>6311</v>
      </c>
      <c r="E44" s="73">
        <f>'7a.20YrDetails'!E44</f>
        <v>3.5000000000000003E-2</v>
      </c>
      <c r="F44" s="73">
        <f>'7a.20YrDetails'!F44</f>
        <v>3.5000000000000003E-2</v>
      </c>
      <c r="G44" s="31" t="str">
        <f>IF('7a.20YrDetails'!$G44="","",'7a.20YrDetails'!$G44)</f>
        <v/>
      </c>
      <c r="H44" s="109">
        <f>'7a.20YrDetails'!H44</f>
        <v>0</v>
      </c>
      <c r="I44" s="109">
        <f>'7a.20YrDetails'!I44</f>
        <v>0</v>
      </c>
      <c r="J44" s="109">
        <f>'7a.20YrDetails'!J44</f>
        <v>0</v>
      </c>
      <c r="K44" s="109">
        <f>'7a.20YrDetails'!K44</f>
        <v>0</v>
      </c>
      <c r="L44" s="109">
        <f>'7a.20YrDetails'!L44</f>
        <v>0</v>
      </c>
      <c r="M44" s="109">
        <f>'7a.20YrDetails'!M44</f>
        <v>0</v>
      </c>
      <c r="N44" s="109">
        <f>'7a.20YrDetails'!N44</f>
        <v>0</v>
      </c>
      <c r="O44" s="109">
        <f>'7a.20YrDetails'!O44</f>
        <v>0</v>
      </c>
      <c r="P44" s="109">
        <f>'7a.20YrDetails'!P44</f>
        <v>0</v>
      </c>
      <c r="Q44" s="109">
        <f>'7a.20YrDetails'!Q44</f>
        <v>0</v>
      </c>
      <c r="R44" s="109">
        <f>'7a.20YrDetails'!R44</f>
        <v>0</v>
      </c>
      <c r="S44" s="109">
        <f>'7a.20YrDetails'!S44</f>
        <v>0</v>
      </c>
      <c r="T44" s="109">
        <f>'7a.20YrDetails'!T44</f>
        <v>0</v>
      </c>
      <c r="U44" s="109">
        <f>'7a.20YrDetails'!U44</f>
        <v>0</v>
      </c>
      <c r="V44" s="109">
        <f>'7a.20YrDetails'!V44</f>
        <v>0</v>
      </c>
      <c r="W44" s="109">
        <f>'7a.20YrDetails'!W44</f>
        <v>0</v>
      </c>
      <c r="X44" s="109">
        <f>'7a.20YrDetails'!X44</f>
        <v>0</v>
      </c>
      <c r="Y44" s="109">
        <f>'7a.20YrDetails'!Y44</f>
        <v>0</v>
      </c>
      <c r="Z44" s="109">
        <f>'7a.20YrDetails'!Z44</f>
        <v>0</v>
      </c>
      <c r="AA44" s="109">
        <f>'7a.20YrDetails'!AA44</f>
        <v>0</v>
      </c>
      <c r="AB44" s="109">
        <f>'7a.20YrDetails'!AB44</f>
        <v>0</v>
      </c>
      <c r="AC44" s="109">
        <f>'7a.20YrDetails'!AC44</f>
        <v>0</v>
      </c>
      <c r="AD44" s="109">
        <f>'7a.20YrDetails'!AD44</f>
        <v>0</v>
      </c>
      <c r="AE44" s="109">
        <f>'7a.20YrDetails'!AE44</f>
        <v>0</v>
      </c>
      <c r="AF44" s="109">
        <f>'7a.20YrDetails'!AF44</f>
        <v>0</v>
      </c>
      <c r="AG44" s="109">
        <f>'7a.20YrDetails'!AG44</f>
        <v>0</v>
      </c>
      <c r="AH44" s="109">
        <f>'7a.20YrDetails'!AH44</f>
        <v>0</v>
      </c>
      <c r="AI44" s="109">
        <f>'7a.20YrDetails'!AI44</f>
        <v>0</v>
      </c>
      <c r="AJ44" s="109">
        <f>'7a.20YrDetails'!AJ44</f>
        <v>0</v>
      </c>
      <c r="AK44" s="109">
        <f>'7a.20YrDetails'!AK44</f>
        <v>0</v>
      </c>
      <c r="AL44" s="109">
        <f>'7a.20YrDetails'!AL44</f>
        <v>0</v>
      </c>
      <c r="AM44" s="109">
        <f>'7a.20YrDetails'!AM44</f>
        <v>0</v>
      </c>
      <c r="AN44" s="109">
        <f>'7a.20YrDetails'!AN44</f>
        <v>0</v>
      </c>
      <c r="AO44" s="109">
        <f>'7a.20YrDetails'!AO44</f>
        <v>0</v>
      </c>
      <c r="AP44" s="109">
        <f>'7a.20YrDetails'!AP44</f>
        <v>0</v>
      </c>
      <c r="AQ44" s="109">
        <f>'7a.20YrDetails'!AQ44</f>
        <v>0</v>
      </c>
      <c r="AR44" s="109">
        <f>'7a.20YrDetails'!AR44</f>
        <v>0</v>
      </c>
      <c r="AS44" s="109">
        <f>'7a.20YrDetails'!AS44</f>
        <v>0</v>
      </c>
      <c r="AT44" s="109">
        <f>'7a.20YrDetails'!AT44</f>
        <v>0</v>
      </c>
      <c r="AU44" s="109">
        <f>'7a.20YrDetails'!AU44</f>
        <v>0</v>
      </c>
      <c r="AV44" s="109">
        <f>'7a.20YrDetails'!AV44</f>
        <v>0</v>
      </c>
      <c r="AW44" s="109">
        <f>'7a.20YrDetails'!AW44</f>
        <v>0</v>
      </c>
      <c r="AX44" s="109">
        <f>'7a.20YrDetails'!AX44</f>
        <v>0</v>
      </c>
      <c r="AY44" s="109">
        <f>'7a.20YrDetails'!AY44</f>
        <v>0</v>
      </c>
      <c r="AZ44" s="109">
        <f>'7a.20YrDetails'!AZ44</f>
        <v>0</v>
      </c>
      <c r="BA44" s="109">
        <f>'7a.20YrDetails'!BA44</f>
        <v>0</v>
      </c>
      <c r="BB44" s="109">
        <f>'7a.20YrDetails'!BB44</f>
        <v>0</v>
      </c>
      <c r="BC44" s="109">
        <f>'7a.20YrDetails'!BC44</f>
        <v>0</v>
      </c>
      <c r="BD44" s="109">
        <f>'7a.20YrDetails'!BD44</f>
        <v>0</v>
      </c>
      <c r="BE44" s="109">
        <f>'7a.20YrDetails'!BE44</f>
        <v>0</v>
      </c>
      <c r="BF44" s="109">
        <f>'7a.20YrDetails'!BF44</f>
        <v>0</v>
      </c>
      <c r="BG44" s="109">
        <f>'7a.20YrDetails'!BG44</f>
        <v>0</v>
      </c>
      <c r="BH44" s="109">
        <f>'7a.20YrDetails'!BH44</f>
        <v>0</v>
      </c>
      <c r="BI44" s="109">
        <f>'7a.20YrDetails'!BI44</f>
        <v>0</v>
      </c>
      <c r="BJ44" s="109">
        <f>'7a.20YrDetails'!BJ44</f>
        <v>0</v>
      </c>
      <c r="BK44" s="109">
        <f>'7a.20YrDetails'!BK44</f>
        <v>0</v>
      </c>
      <c r="BL44" s="109">
        <f>'7a.20YrDetails'!BL44</f>
        <v>0</v>
      </c>
      <c r="BM44" s="109">
        <f>'7a.20YrDetails'!BM44</f>
        <v>0</v>
      </c>
      <c r="BN44" s="109">
        <f>'7a.20YrDetails'!BN44</f>
        <v>0</v>
      </c>
      <c r="BO44" s="109">
        <f>'7a.20YrDetails'!BO44</f>
        <v>0</v>
      </c>
    </row>
    <row r="45" spans="3:67" ht="12" hidden="1" customHeight="1" outlineLevel="1">
      <c r="C45" s="10" t="str">
        <f>'7a.20YrDetails'!C45</f>
        <v>Office Rent</v>
      </c>
      <c r="D45" s="22">
        <f>'7a.20YrDetails'!D45</f>
        <v>6312</v>
      </c>
      <c r="E45" s="73">
        <f>'7a.20YrDetails'!E45</f>
        <v>3.5000000000000003E-2</v>
      </c>
      <c r="F45" s="73">
        <f>'7a.20YrDetails'!F45</f>
        <v>3.5000000000000003E-2</v>
      </c>
      <c r="G45" s="31" t="str">
        <f>IF('7a.20YrDetails'!$G45="","",'7a.20YrDetails'!$G45)</f>
        <v/>
      </c>
      <c r="H45" s="109">
        <f>'7a.20YrDetails'!H45</f>
        <v>0</v>
      </c>
      <c r="I45" s="109">
        <f>'7a.20YrDetails'!I45</f>
        <v>0</v>
      </c>
      <c r="J45" s="109">
        <f>'7a.20YrDetails'!J45</f>
        <v>0</v>
      </c>
      <c r="K45" s="109">
        <f>'7a.20YrDetails'!K45</f>
        <v>0</v>
      </c>
      <c r="L45" s="109">
        <f>'7a.20YrDetails'!L45</f>
        <v>0</v>
      </c>
      <c r="M45" s="109">
        <f>'7a.20YrDetails'!M45</f>
        <v>0</v>
      </c>
      <c r="N45" s="109">
        <f>'7a.20YrDetails'!N45</f>
        <v>0</v>
      </c>
      <c r="O45" s="109">
        <f>'7a.20YrDetails'!O45</f>
        <v>0</v>
      </c>
      <c r="P45" s="109">
        <f>'7a.20YrDetails'!P45</f>
        <v>0</v>
      </c>
      <c r="Q45" s="109">
        <f>'7a.20YrDetails'!Q45</f>
        <v>0</v>
      </c>
      <c r="R45" s="109">
        <f>'7a.20YrDetails'!R45</f>
        <v>0</v>
      </c>
      <c r="S45" s="109">
        <f>'7a.20YrDetails'!S45</f>
        <v>0</v>
      </c>
      <c r="T45" s="109">
        <f>'7a.20YrDetails'!T45</f>
        <v>0</v>
      </c>
      <c r="U45" s="109">
        <f>'7a.20YrDetails'!U45</f>
        <v>0</v>
      </c>
      <c r="V45" s="109">
        <f>'7a.20YrDetails'!V45</f>
        <v>0</v>
      </c>
      <c r="W45" s="109">
        <f>'7a.20YrDetails'!W45</f>
        <v>0</v>
      </c>
      <c r="X45" s="109">
        <f>'7a.20YrDetails'!X45</f>
        <v>0</v>
      </c>
      <c r="Y45" s="109">
        <f>'7a.20YrDetails'!Y45</f>
        <v>0</v>
      </c>
      <c r="Z45" s="109">
        <f>'7a.20YrDetails'!Z45</f>
        <v>0</v>
      </c>
      <c r="AA45" s="109">
        <f>'7a.20YrDetails'!AA45</f>
        <v>0</v>
      </c>
      <c r="AB45" s="109">
        <f>'7a.20YrDetails'!AB45</f>
        <v>0</v>
      </c>
      <c r="AC45" s="109">
        <f>'7a.20YrDetails'!AC45</f>
        <v>0</v>
      </c>
      <c r="AD45" s="109">
        <f>'7a.20YrDetails'!AD45</f>
        <v>0</v>
      </c>
      <c r="AE45" s="109">
        <f>'7a.20YrDetails'!AE45</f>
        <v>0</v>
      </c>
      <c r="AF45" s="109">
        <f>'7a.20YrDetails'!AF45</f>
        <v>0</v>
      </c>
      <c r="AG45" s="109">
        <f>'7a.20YrDetails'!AG45</f>
        <v>0</v>
      </c>
      <c r="AH45" s="109">
        <f>'7a.20YrDetails'!AH45</f>
        <v>0</v>
      </c>
      <c r="AI45" s="109">
        <f>'7a.20YrDetails'!AI45</f>
        <v>0</v>
      </c>
      <c r="AJ45" s="109">
        <f>'7a.20YrDetails'!AJ45</f>
        <v>0</v>
      </c>
      <c r="AK45" s="109">
        <f>'7a.20YrDetails'!AK45</f>
        <v>0</v>
      </c>
      <c r="AL45" s="109">
        <f>'7a.20YrDetails'!AL45</f>
        <v>0</v>
      </c>
      <c r="AM45" s="109">
        <f>'7a.20YrDetails'!AM45</f>
        <v>0</v>
      </c>
      <c r="AN45" s="109">
        <f>'7a.20YrDetails'!AN45</f>
        <v>0</v>
      </c>
      <c r="AO45" s="109">
        <f>'7a.20YrDetails'!AO45</f>
        <v>0</v>
      </c>
      <c r="AP45" s="109">
        <f>'7a.20YrDetails'!AP45</f>
        <v>0</v>
      </c>
      <c r="AQ45" s="109">
        <f>'7a.20YrDetails'!AQ45</f>
        <v>0</v>
      </c>
      <c r="AR45" s="109">
        <f>'7a.20YrDetails'!AR45</f>
        <v>0</v>
      </c>
      <c r="AS45" s="109">
        <f>'7a.20YrDetails'!AS45</f>
        <v>0</v>
      </c>
      <c r="AT45" s="109">
        <f>'7a.20YrDetails'!AT45</f>
        <v>0</v>
      </c>
      <c r="AU45" s="109">
        <f>'7a.20YrDetails'!AU45</f>
        <v>0</v>
      </c>
      <c r="AV45" s="109">
        <f>'7a.20YrDetails'!AV45</f>
        <v>0</v>
      </c>
      <c r="AW45" s="109">
        <f>'7a.20YrDetails'!AW45</f>
        <v>0</v>
      </c>
      <c r="AX45" s="109">
        <f>'7a.20YrDetails'!AX45</f>
        <v>0</v>
      </c>
      <c r="AY45" s="109">
        <f>'7a.20YrDetails'!AY45</f>
        <v>0</v>
      </c>
      <c r="AZ45" s="109">
        <f>'7a.20YrDetails'!AZ45</f>
        <v>0</v>
      </c>
      <c r="BA45" s="109">
        <f>'7a.20YrDetails'!BA45</f>
        <v>0</v>
      </c>
      <c r="BB45" s="109">
        <f>'7a.20YrDetails'!BB45</f>
        <v>0</v>
      </c>
      <c r="BC45" s="109">
        <f>'7a.20YrDetails'!BC45</f>
        <v>0</v>
      </c>
      <c r="BD45" s="109">
        <f>'7a.20YrDetails'!BD45</f>
        <v>0</v>
      </c>
      <c r="BE45" s="109">
        <f>'7a.20YrDetails'!BE45</f>
        <v>0</v>
      </c>
      <c r="BF45" s="109">
        <f>'7a.20YrDetails'!BF45</f>
        <v>0</v>
      </c>
      <c r="BG45" s="109">
        <f>'7a.20YrDetails'!BG45</f>
        <v>0</v>
      </c>
      <c r="BH45" s="109">
        <f>'7a.20YrDetails'!BH45</f>
        <v>0</v>
      </c>
      <c r="BI45" s="109">
        <f>'7a.20YrDetails'!BI45</f>
        <v>0</v>
      </c>
      <c r="BJ45" s="109">
        <f>'7a.20YrDetails'!BJ45</f>
        <v>0</v>
      </c>
      <c r="BK45" s="109">
        <f>'7a.20YrDetails'!BK45</f>
        <v>0</v>
      </c>
      <c r="BL45" s="109">
        <f>'7a.20YrDetails'!BL45</f>
        <v>0</v>
      </c>
      <c r="BM45" s="109">
        <f>'7a.20YrDetails'!BM45</f>
        <v>0</v>
      </c>
      <c r="BN45" s="109">
        <f>'7a.20YrDetails'!BN45</f>
        <v>0</v>
      </c>
      <c r="BO45" s="109">
        <f>'7a.20YrDetails'!BO45</f>
        <v>0</v>
      </c>
    </row>
    <row r="46" spans="3:67" ht="12" hidden="1" customHeight="1" outlineLevel="1">
      <c r="C46" s="10" t="str">
        <f>'7a.20YrDetails'!C46</f>
        <v>Legal Expense - Property</v>
      </c>
      <c r="D46" s="22">
        <f>'7a.20YrDetails'!D46</f>
        <v>6340</v>
      </c>
      <c r="E46" s="73">
        <f>'7a.20YrDetails'!E46</f>
        <v>3.5000000000000003E-2</v>
      </c>
      <c r="F46" s="73">
        <f>'7a.20YrDetails'!F46</f>
        <v>3.5000000000000003E-2</v>
      </c>
      <c r="G46" s="31" t="str">
        <f>IF('7a.20YrDetails'!$G46="","",'7a.20YrDetails'!$G46)</f>
        <v/>
      </c>
      <c r="H46" s="109">
        <f>'7a.20YrDetails'!H46</f>
        <v>0</v>
      </c>
      <c r="I46" s="109">
        <f>'7a.20YrDetails'!I46</f>
        <v>0</v>
      </c>
      <c r="J46" s="109">
        <f>'7a.20YrDetails'!J46</f>
        <v>0</v>
      </c>
      <c r="K46" s="109">
        <f>'7a.20YrDetails'!K46</f>
        <v>0</v>
      </c>
      <c r="L46" s="109">
        <f>'7a.20YrDetails'!L46</f>
        <v>0</v>
      </c>
      <c r="M46" s="109">
        <f>'7a.20YrDetails'!M46</f>
        <v>0</v>
      </c>
      <c r="N46" s="109">
        <f>'7a.20YrDetails'!N46</f>
        <v>0</v>
      </c>
      <c r="O46" s="109">
        <f>'7a.20YrDetails'!O46</f>
        <v>0</v>
      </c>
      <c r="P46" s="109">
        <f>'7a.20YrDetails'!P46</f>
        <v>0</v>
      </c>
      <c r="Q46" s="109">
        <f>'7a.20YrDetails'!Q46</f>
        <v>0</v>
      </c>
      <c r="R46" s="109">
        <f>'7a.20YrDetails'!R46</f>
        <v>0</v>
      </c>
      <c r="S46" s="109">
        <f>'7a.20YrDetails'!S46</f>
        <v>0</v>
      </c>
      <c r="T46" s="109">
        <f>'7a.20YrDetails'!T46</f>
        <v>0</v>
      </c>
      <c r="U46" s="109">
        <f>'7a.20YrDetails'!U46</f>
        <v>0</v>
      </c>
      <c r="V46" s="109">
        <f>'7a.20YrDetails'!V46</f>
        <v>0</v>
      </c>
      <c r="W46" s="109">
        <f>'7a.20YrDetails'!W46</f>
        <v>0</v>
      </c>
      <c r="X46" s="109">
        <f>'7a.20YrDetails'!X46</f>
        <v>0</v>
      </c>
      <c r="Y46" s="109">
        <f>'7a.20YrDetails'!Y46</f>
        <v>0</v>
      </c>
      <c r="Z46" s="109">
        <f>'7a.20YrDetails'!Z46</f>
        <v>0</v>
      </c>
      <c r="AA46" s="109">
        <f>'7a.20YrDetails'!AA46</f>
        <v>0</v>
      </c>
      <c r="AB46" s="109">
        <f>'7a.20YrDetails'!AB46</f>
        <v>0</v>
      </c>
      <c r="AC46" s="109">
        <f>'7a.20YrDetails'!AC46</f>
        <v>0</v>
      </c>
      <c r="AD46" s="109">
        <f>'7a.20YrDetails'!AD46</f>
        <v>0</v>
      </c>
      <c r="AE46" s="109">
        <f>'7a.20YrDetails'!AE46</f>
        <v>0</v>
      </c>
      <c r="AF46" s="109">
        <f>'7a.20YrDetails'!AF46</f>
        <v>0</v>
      </c>
      <c r="AG46" s="109">
        <f>'7a.20YrDetails'!AG46</f>
        <v>0</v>
      </c>
      <c r="AH46" s="109">
        <f>'7a.20YrDetails'!AH46</f>
        <v>0</v>
      </c>
      <c r="AI46" s="109">
        <f>'7a.20YrDetails'!AI46</f>
        <v>0</v>
      </c>
      <c r="AJ46" s="109">
        <f>'7a.20YrDetails'!AJ46</f>
        <v>0</v>
      </c>
      <c r="AK46" s="109">
        <f>'7a.20YrDetails'!AK46</f>
        <v>0</v>
      </c>
      <c r="AL46" s="109">
        <f>'7a.20YrDetails'!AL46</f>
        <v>0</v>
      </c>
      <c r="AM46" s="109">
        <f>'7a.20YrDetails'!AM46</f>
        <v>0</v>
      </c>
      <c r="AN46" s="109">
        <f>'7a.20YrDetails'!AN46</f>
        <v>0</v>
      </c>
      <c r="AO46" s="109">
        <f>'7a.20YrDetails'!AO46</f>
        <v>0</v>
      </c>
      <c r="AP46" s="109">
        <f>'7a.20YrDetails'!AP46</f>
        <v>0</v>
      </c>
      <c r="AQ46" s="109">
        <f>'7a.20YrDetails'!AQ46</f>
        <v>0</v>
      </c>
      <c r="AR46" s="109">
        <f>'7a.20YrDetails'!AR46</f>
        <v>0</v>
      </c>
      <c r="AS46" s="109">
        <f>'7a.20YrDetails'!AS46</f>
        <v>0</v>
      </c>
      <c r="AT46" s="109">
        <f>'7a.20YrDetails'!AT46</f>
        <v>0</v>
      </c>
      <c r="AU46" s="109">
        <f>'7a.20YrDetails'!AU46</f>
        <v>0</v>
      </c>
      <c r="AV46" s="109">
        <f>'7a.20YrDetails'!AV46</f>
        <v>0</v>
      </c>
      <c r="AW46" s="109">
        <f>'7a.20YrDetails'!AW46</f>
        <v>0</v>
      </c>
      <c r="AX46" s="109">
        <f>'7a.20YrDetails'!AX46</f>
        <v>0</v>
      </c>
      <c r="AY46" s="109">
        <f>'7a.20YrDetails'!AY46</f>
        <v>0</v>
      </c>
      <c r="AZ46" s="109">
        <f>'7a.20YrDetails'!AZ46</f>
        <v>0</v>
      </c>
      <c r="BA46" s="109">
        <f>'7a.20YrDetails'!BA46</f>
        <v>0</v>
      </c>
      <c r="BB46" s="109">
        <f>'7a.20YrDetails'!BB46</f>
        <v>0</v>
      </c>
      <c r="BC46" s="109">
        <f>'7a.20YrDetails'!BC46</f>
        <v>0</v>
      </c>
      <c r="BD46" s="109">
        <f>'7a.20YrDetails'!BD46</f>
        <v>0</v>
      </c>
      <c r="BE46" s="109">
        <f>'7a.20YrDetails'!BE46</f>
        <v>0</v>
      </c>
      <c r="BF46" s="109">
        <f>'7a.20YrDetails'!BF46</f>
        <v>0</v>
      </c>
      <c r="BG46" s="109">
        <f>'7a.20YrDetails'!BG46</f>
        <v>0</v>
      </c>
      <c r="BH46" s="109">
        <f>'7a.20YrDetails'!BH46</f>
        <v>0</v>
      </c>
      <c r="BI46" s="109">
        <f>'7a.20YrDetails'!BI46</f>
        <v>0</v>
      </c>
      <c r="BJ46" s="109">
        <f>'7a.20YrDetails'!BJ46</f>
        <v>0</v>
      </c>
      <c r="BK46" s="109">
        <f>'7a.20YrDetails'!BK46</f>
        <v>0</v>
      </c>
      <c r="BL46" s="109">
        <f>'7a.20YrDetails'!BL46</f>
        <v>0</v>
      </c>
      <c r="BM46" s="109">
        <f>'7a.20YrDetails'!BM46</f>
        <v>0</v>
      </c>
      <c r="BN46" s="109">
        <f>'7a.20YrDetails'!BN46</f>
        <v>0</v>
      </c>
      <c r="BO46" s="109">
        <f>'7a.20YrDetails'!BO46</f>
        <v>0</v>
      </c>
    </row>
    <row r="47" spans="3:67" ht="12" hidden="1" customHeight="1" outlineLevel="1">
      <c r="C47" s="10" t="str">
        <f>'7a.20YrDetails'!C47</f>
        <v>Audit Expense</v>
      </c>
      <c r="D47" s="22">
        <f>'7a.20YrDetails'!D47</f>
        <v>6350</v>
      </c>
      <c r="E47" s="73">
        <f>'7a.20YrDetails'!E47</f>
        <v>3.5000000000000003E-2</v>
      </c>
      <c r="F47" s="73">
        <f>'7a.20YrDetails'!F47</f>
        <v>3.5000000000000003E-2</v>
      </c>
      <c r="G47" s="31" t="str">
        <f>IF('7a.20YrDetails'!$G47="","",'7a.20YrDetails'!$G47)</f>
        <v/>
      </c>
      <c r="H47" s="109">
        <f>'7a.20YrDetails'!H47</f>
        <v>0</v>
      </c>
      <c r="I47" s="109">
        <f>'7a.20YrDetails'!I47</f>
        <v>0</v>
      </c>
      <c r="J47" s="109">
        <f>'7a.20YrDetails'!J47</f>
        <v>0</v>
      </c>
      <c r="K47" s="109">
        <f>'7a.20YrDetails'!K47</f>
        <v>0</v>
      </c>
      <c r="L47" s="109">
        <f>'7a.20YrDetails'!L47</f>
        <v>0</v>
      </c>
      <c r="M47" s="109">
        <f>'7a.20YrDetails'!M47</f>
        <v>0</v>
      </c>
      <c r="N47" s="109">
        <f>'7a.20YrDetails'!N47</f>
        <v>0</v>
      </c>
      <c r="O47" s="109">
        <f>'7a.20YrDetails'!O47</f>
        <v>0</v>
      </c>
      <c r="P47" s="109">
        <f>'7a.20YrDetails'!P47</f>
        <v>0</v>
      </c>
      <c r="Q47" s="109">
        <f>'7a.20YrDetails'!Q47</f>
        <v>0</v>
      </c>
      <c r="R47" s="109">
        <f>'7a.20YrDetails'!R47</f>
        <v>0</v>
      </c>
      <c r="S47" s="109">
        <f>'7a.20YrDetails'!S47</f>
        <v>0</v>
      </c>
      <c r="T47" s="109">
        <f>'7a.20YrDetails'!T47</f>
        <v>0</v>
      </c>
      <c r="U47" s="109">
        <f>'7a.20YrDetails'!U47</f>
        <v>0</v>
      </c>
      <c r="V47" s="109">
        <f>'7a.20YrDetails'!V47</f>
        <v>0</v>
      </c>
      <c r="W47" s="109">
        <f>'7a.20YrDetails'!W47</f>
        <v>0</v>
      </c>
      <c r="X47" s="109">
        <f>'7a.20YrDetails'!X47</f>
        <v>0</v>
      </c>
      <c r="Y47" s="109">
        <f>'7a.20YrDetails'!Y47</f>
        <v>0</v>
      </c>
      <c r="Z47" s="109">
        <f>'7a.20YrDetails'!Z47</f>
        <v>0</v>
      </c>
      <c r="AA47" s="109">
        <f>'7a.20YrDetails'!AA47</f>
        <v>0</v>
      </c>
      <c r="AB47" s="109">
        <f>'7a.20YrDetails'!AB47</f>
        <v>0</v>
      </c>
      <c r="AC47" s="109">
        <f>'7a.20YrDetails'!AC47</f>
        <v>0</v>
      </c>
      <c r="AD47" s="109">
        <f>'7a.20YrDetails'!AD47</f>
        <v>0</v>
      </c>
      <c r="AE47" s="109">
        <f>'7a.20YrDetails'!AE47</f>
        <v>0</v>
      </c>
      <c r="AF47" s="109">
        <f>'7a.20YrDetails'!AF47</f>
        <v>0</v>
      </c>
      <c r="AG47" s="109">
        <f>'7a.20YrDetails'!AG47</f>
        <v>0</v>
      </c>
      <c r="AH47" s="109">
        <f>'7a.20YrDetails'!AH47</f>
        <v>0</v>
      </c>
      <c r="AI47" s="109">
        <f>'7a.20YrDetails'!AI47</f>
        <v>0</v>
      </c>
      <c r="AJ47" s="109">
        <f>'7a.20YrDetails'!AJ47</f>
        <v>0</v>
      </c>
      <c r="AK47" s="109">
        <f>'7a.20YrDetails'!AK47</f>
        <v>0</v>
      </c>
      <c r="AL47" s="109">
        <f>'7a.20YrDetails'!AL47</f>
        <v>0</v>
      </c>
      <c r="AM47" s="109">
        <f>'7a.20YrDetails'!AM47</f>
        <v>0</v>
      </c>
      <c r="AN47" s="109">
        <f>'7a.20YrDetails'!AN47</f>
        <v>0</v>
      </c>
      <c r="AO47" s="109">
        <f>'7a.20YrDetails'!AO47</f>
        <v>0</v>
      </c>
      <c r="AP47" s="109">
        <f>'7a.20YrDetails'!AP47</f>
        <v>0</v>
      </c>
      <c r="AQ47" s="109">
        <f>'7a.20YrDetails'!AQ47</f>
        <v>0</v>
      </c>
      <c r="AR47" s="109">
        <f>'7a.20YrDetails'!AR47</f>
        <v>0</v>
      </c>
      <c r="AS47" s="109">
        <f>'7a.20YrDetails'!AS47</f>
        <v>0</v>
      </c>
      <c r="AT47" s="109">
        <f>'7a.20YrDetails'!AT47</f>
        <v>0</v>
      </c>
      <c r="AU47" s="109">
        <f>'7a.20YrDetails'!AU47</f>
        <v>0</v>
      </c>
      <c r="AV47" s="109">
        <f>'7a.20YrDetails'!AV47</f>
        <v>0</v>
      </c>
      <c r="AW47" s="109">
        <f>'7a.20YrDetails'!AW47</f>
        <v>0</v>
      </c>
      <c r="AX47" s="109">
        <f>'7a.20YrDetails'!AX47</f>
        <v>0</v>
      </c>
      <c r="AY47" s="109">
        <f>'7a.20YrDetails'!AY47</f>
        <v>0</v>
      </c>
      <c r="AZ47" s="109">
        <f>'7a.20YrDetails'!AZ47</f>
        <v>0</v>
      </c>
      <c r="BA47" s="109">
        <f>'7a.20YrDetails'!BA47</f>
        <v>0</v>
      </c>
      <c r="BB47" s="109">
        <f>'7a.20YrDetails'!BB47</f>
        <v>0</v>
      </c>
      <c r="BC47" s="109">
        <f>'7a.20YrDetails'!BC47</f>
        <v>0</v>
      </c>
      <c r="BD47" s="109">
        <f>'7a.20YrDetails'!BD47</f>
        <v>0</v>
      </c>
      <c r="BE47" s="109">
        <f>'7a.20YrDetails'!BE47</f>
        <v>0</v>
      </c>
      <c r="BF47" s="109">
        <f>'7a.20YrDetails'!BF47</f>
        <v>0</v>
      </c>
      <c r="BG47" s="109">
        <f>'7a.20YrDetails'!BG47</f>
        <v>0</v>
      </c>
      <c r="BH47" s="109">
        <f>'7a.20YrDetails'!BH47</f>
        <v>0</v>
      </c>
      <c r="BI47" s="109">
        <f>'7a.20YrDetails'!BI47</f>
        <v>0</v>
      </c>
      <c r="BJ47" s="109">
        <f>'7a.20YrDetails'!BJ47</f>
        <v>0</v>
      </c>
      <c r="BK47" s="109">
        <f>'7a.20YrDetails'!BK47</f>
        <v>0</v>
      </c>
      <c r="BL47" s="109">
        <f>'7a.20YrDetails'!BL47</f>
        <v>0</v>
      </c>
      <c r="BM47" s="109">
        <f>'7a.20YrDetails'!BM47</f>
        <v>0</v>
      </c>
      <c r="BN47" s="109">
        <f>'7a.20YrDetails'!BN47</f>
        <v>0</v>
      </c>
      <c r="BO47" s="109">
        <f>'7a.20YrDetails'!BO47</f>
        <v>0</v>
      </c>
    </row>
    <row r="48" spans="3:67" ht="12" hidden="1" customHeight="1" outlineLevel="1">
      <c r="C48" s="10" t="str">
        <f>'7a.20YrDetails'!C48</f>
        <v>Bookkeeping/Accounting Services</v>
      </c>
      <c r="D48" s="22">
        <f>'7a.20YrDetails'!D48</f>
        <v>6351</v>
      </c>
      <c r="E48" s="73">
        <f>'7a.20YrDetails'!E48</f>
        <v>3.5000000000000003E-2</v>
      </c>
      <c r="F48" s="73">
        <f>'7a.20YrDetails'!F48</f>
        <v>3.5000000000000003E-2</v>
      </c>
      <c r="G48" s="31" t="str">
        <f>IF('7a.20YrDetails'!$G48="","",'7a.20YrDetails'!$G48)</f>
        <v/>
      </c>
      <c r="H48" s="109">
        <f>'7a.20YrDetails'!H48</f>
        <v>0</v>
      </c>
      <c r="I48" s="109">
        <f>'7a.20YrDetails'!I48</f>
        <v>0</v>
      </c>
      <c r="J48" s="109">
        <f>'7a.20YrDetails'!J48</f>
        <v>0</v>
      </c>
      <c r="K48" s="109">
        <f>'7a.20YrDetails'!K48</f>
        <v>0</v>
      </c>
      <c r="L48" s="109">
        <f>'7a.20YrDetails'!L48</f>
        <v>0</v>
      </c>
      <c r="M48" s="109">
        <f>'7a.20YrDetails'!M48</f>
        <v>0</v>
      </c>
      <c r="N48" s="109">
        <f>'7a.20YrDetails'!N48</f>
        <v>0</v>
      </c>
      <c r="O48" s="109">
        <f>'7a.20YrDetails'!O48</f>
        <v>0</v>
      </c>
      <c r="P48" s="109">
        <f>'7a.20YrDetails'!P48</f>
        <v>0</v>
      </c>
      <c r="Q48" s="109">
        <f>'7a.20YrDetails'!Q48</f>
        <v>0</v>
      </c>
      <c r="R48" s="109">
        <f>'7a.20YrDetails'!R48</f>
        <v>0</v>
      </c>
      <c r="S48" s="109">
        <f>'7a.20YrDetails'!S48</f>
        <v>0</v>
      </c>
      <c r="T48" s="109">
        <f>'7a.20YrDetails'!T48</f>
        <v>0</v>
      </c>
      <c r="U48" s="109">
        <f>'7a.20YrDetails'!U48</f>
        <v>0</v>
      </c>
      <c r="V48" s="109">
        <f>'7a.20YrDetails'!V48</f>
        <v>0</v>
      </c>
      <c r="W48" s="109">
        <f>'7a.20YrDetails'!W48</f>
        <v>0</v>
      </c>
      <c r="X48" s="109">
        <f>'7a.20YrDetails'!X48</f>
        <v>0</v>
      </c>
      <c r="Y48" s="109">
        <f>'7a.20YrDetails'!Y48</f>
        <v>0</v>
      </c>
      <c r="Z48" s="109">
        <f>'7a.20YrDetails'!Z48</f>
        <v>0</v>
      </c>
      <c r="AA48" s="109">
        <f>'7a.20YrDetails'!AA48</f>
        <v>0</v>
      </c>
      <c r="AB48" s="109">
        <f>'7a.20YrDetails'!AB48</f>
        <v>0</v>
      </c>
      <c r="AC48" s="109">
        <f>'7a.20YrDetails'!AC48</f>
        <v>0</v>
      </c>
      <c r="AD48" s="109">
        <f>'7a.20YrDetails'!AD48</f>
        <v>0</v>
      </c>
      <c r="AE48" s="109">
        <f>'7a.20YrDetails'!AE48</f>
        <v>0</v>
      </c>
      <c r="AF48" s="109">
        <f>'7a.20YrDetails'!AF48</f>
        <v>0</v>
      </c>
      <c r="AG48" s="109">
        <f>'7a.20YrDetails'!AG48</f>
        <v>0</v>
      </c>
      <c r="AH48" s="109">
        <f>'7a.20YrDetails'!AH48</f>
        <v>0</v>
      </c>
      <c r="AI48" s="109">
        <f>'7a.20YrDetails'!AI48</f>
        <v>0</v>
      </c>
      <c r="AJ48" s="109">
        <f>'7a.20YrDetails'!AJ48</f>
        <v>0</v>
      </c>
      <c r="AK48" s="109">
        <f>'7a.20YrDetails'!AK48</f>
        <v>0</v>
      </c>
      <c r="AL48" s="109">
        <f>'7a.20YrDetails'!AL48</f>
        <v>0</v>
      </c>
      <c r="AM48" s="109">
        <f>'7a.20YrDetails'!AM48</f>
        <v>0</v>
      </c>
      <c r="AN48" s="109">
        <f>'7a.20YrDetails'!AN48</f>
        <v>0</v>
      </c>
      <c r="AO48" s="109">
        <f>'7a.20YrDetails'!AO48</f>
        <v>0</v>
      </c>
      <c r="AP48" s="109">
        <f>'7a.20YrDetails'!AP48</f>
        <v>0</v>
      </c>
      <c r="AQ48" s="109">
        <f>'7a.20YrDetails'!AQ48</f>
        <v>0</v>
      </c>
      <c r="AR48" s="109">
        <f>'7a.20YrDetails'!AR48</f>
        <v>0</v>
      </c>
      <c r="AS48" s="109">
        <f>'7a.20YrDetails'!AS48</f>
        <v>0</v>
      </c>
      <c r="AT48" s="109">
        <f>'7a.20YrDetails'!AT48</f>
        <v>0</v>
      </c>
      <c r="AU48" s="109">
        <f>'7a.20YrDetails'!AU48</f>
        <v>0</v>
      </c>
      <c r="AV48" s="109">
        <f>'7a.20YrDetails'!AV48</f>
        <v>0</v>
      </c>
      <c r="AW48" s="109">
        <f>'7a.20YrDetails'!AW48</f>
        <v>0</v>
      </c>
      <c r="AX48" s="109">
        <f>'7a.20YrDetails'!AX48</f>
        <v>0</v>
      </c>
      <c r="AY48" s="109">
        <f>'7a.20YrDetails'!AY48</f>
        <v>0</v>
      </c>
      <c r="AZ48" s="109">
        <f>'7a.20YrDetails'!AZ48</f>
        <v>0</v>
      </c>
      <c r="BA48" s="109">
        <f>'7a.20YrDetails'!BA48</f>
        <v>0</v>
      </c>
      <c r="BB48" s="109">
        <f>'7a.20YrDetails'!BB48</f>
        <v>0</v>
      </c>
      <c r="BC48" s="109">
        <f>'7a.20YrDetails'!BC48</f>
        <v>0</v>
      </c>
      <c r="BD48" s="109">
        <f>'7a.20YrDetails'!BD48</f>
        <v>0</v>
      </c>
      <c r="BE48" s="109">
        <f>'7a.20YrDetails'!BE48</f>
        <v>0</v>
      </c>
      <c r="BF48" s="109">
        <f>'7a.20YrDetails'!BF48</f>
        <v>0</v>
      </c>
      <c r="BG48" s="109">
        <f>'7a.20YrDetails'!BG48</f>
        <v>0</v>
      </c>
      <c r="BH48" s="109">
        <f>'7a.20YrDetails'!BH48</f>
        <v>0</v>
      </c>
      <c r="BI48" s="109">
        <f>'7a.20YrDetails'!BI48</f>
        <v>0</v>
      </c>
      <c r="BJ48" s="109">
        <f>'7a.20YrDetails'!BJ48</f>
        <v>0</v>
      </c>
      <c r="BK48" s="109">
        <f>'7a.20YrDetails'!BK48</f>
        <v>0</v>
      </c>
      <c r="BL48" s="109">
        <f>'7a.20YrDetails'!BL48</f>
        <v>0</v>
      </c>
      <c r="BM48" s="109">
        <f>'7a.20YrDetails'!BM48</f>
        <v>0</v>
      </c>
      <c r="BN48" s="109">
        <f>'7a.20YrDetails'!BN48</f>
        <v>0</v>
      </c>
      <c r="BO48" s="109">
        <f>'7a.20YrDetails'!BO48</f>
        <v>0</v>
      </c>
    </row>
    <row r="49" spans="3:67" ht="12" hidden="1" customHeight="1" outlineLevel="1">
      <c r="C49" s="10" t="str">
        <f>'7a.20YrDetails'!C49</f>
        <v>Bad Debts</v>
      </c>
      <c r="D49" s="22">
        <f>'7a.20YrDetails'!D49</f>
        <v>6370</v>
      </c>
      <c r="E49" s="73">
        <f>'7a.20YrDetails'!E49</f>
        <v>3.5000000000000003E-2</v>
      </c>
      <c r="F49" s="73">
        <f>'7a.20YrDetails'!F49</f>
        <v>3.5000000000000003E-2</v>
      </c>
      <c r="G49" s="31" t="str">
        <f>IF('7a.20YrDetails'!$G49="","",'7a.20YrDetails'!$G49)</f>
        <v/>
      </c>
      <c r="H49" s="109">
        <f>'7a.20YrDetails'!H49</f>
        <v>0</v>
      </c>
      <c r="I49" s="109">
        <f>'7a.20YrDetails'!I49</f>
        <v>0</v>
      </c>
      <c r="J49" s="109">
        <f>'7a.20YrDetails'!J49</f>
        <v>0</v>
      </c>
      <c r="K49" s="109">
        <f>'7a.20YrDetails'!K49</f>
        <v>0</v>
      </c>
      <c r="L49" s="109">
        <f>'7a.20YrDetails'!L49</f>
        <v>0</v>
      </c>
      <c r="M49" s="109">
        <f>'7a.20YrDetails'!M49</f>
        <v>0</v>
      </c>
      <c r="N49" s="109">
        <f>'7a.20YrDetails'!N49</f>
        <v>0</v>
      </c>
      <c r="O49" s="109">
        <f>'7a.20YrDetails'!O49</f>
        <v>0</v>
      </c>
      <c r="P49" s="109">
        <f>'7a.20YrDetails'!P49</f>
        <v>0</v>
      </c>
      <c r="Q49" s="109">
        <f>'7a.20YrDetails'!Q49</f>
        <v>0</v>
      </c>
      <c r="R49" s="109">
        <f>'7a.20YrDetails'!R49</f>
        <v>0</v>
      </c>
      <c r="S49" s="109">
        <f>'7a.20YrDetails'!S49</f>
        <v>0</v>
      </c>
      <c r="T49" s="109">
        <f>'7a.20YrDetails'!T49</f>
        <v>0</v>
      </c>
      <c r="U49" s="109">
        <f>'7a.20YrDetails'!U49</f>
        <v>0</v>
      </c>
      <c r="V49" s="109">
        <f>'7a.20YrDetails'!V49</f>
        <v>0</v>
      </c>
      <c r="W49" s="109">
        <f>'7a.20YrDetails'!W49</f>
        <v>0</v>
      </c>
      <c r="X49" s="109">
        <f>'7a.20YrDetails'!X49</f>
        <v>0</v>
      </c>
      <c r="Y49" s="109">
        <f>'7a.20YrDetails'!Y49</f>
        <v>0</v>
      </c>
      <c r="Z49" s="109">
        <f>'7a.20YrDetails'!Z49</f>
        <v>0</v>
      </c>
      <c r="AA49" s="109">
        <f>'7a.20YrDetails'!AA49</f>
        <v>0</v>
      </c>
      <c r="AB49" s="109">
        <f>'7a.20YrDetails'!AB49</f>
        <v>0</v>
      </c>
      <c r="AC49" s="109">
        <f>'7a.20YrDetails'!AC49</f>
        <v>0</v>
      </c>
      <c r="AD49" s="109">
        <f>'7a.20YrDetails'!AD49</f>
        <v>0</v>
      </c>
      <c r="AE49" s="109">
        <f>'7a.20YrDetails'!AE49</f>
        <v>0</v>
      </c>
      <c r="AF49" s="109">
        <f>'7a.20YrDetails'!AF49</f>
        <v>0</v>
      </c>
      <c r="AG49" s="109">
        <f>'7a.20YrDetails'!AG49</f>
        <v>0</v>
      </c>
      <c r="AH49" s="109">
        <f>'7a.20YrDetails'!AH49</f>
        <v>0</v>
      </c>
      <c r="AI49" s="109">
        <f>'7a.20YrDetails'!AI49</f>
        <v>0</v>
      </c>
      <c r="AJ49" s="109">
        <f>'7a.20YrDetails'!AJ49</f>
        <v>0</v>
      </c>
      <c r="AK49" s="109">
        <f>'7a.20YrDetails'!AK49</f>
        <v>0</v>
      </c>
      <c r="AL49" s="109">
        <f>'7a.20YrDetails'!AL49</f>
        <v>0</v>
      </c>
      <c r="AM49" s="109">
        <f>'7a.20YrDetails'!AM49</f>
        <v>0</v>
      </c>
      <c r="AN49" s="109">
        <f>'7a.20YrDetails'!AN49</f>
        <v>0</v>
      </c>
      <c r="AO49" s="109">
        <f>'7a.20YrDetails'!AO49</f>
        <v>0</v>
      </c>
      <c r="AP49" s="109">
        <f>'7a.20YrDetails'!AP49</f>
        <v>0</v>
      </c>
      <c r="AQ49" s="109">
        <f>'7a.20YrDetails'!AQ49</f>
        <v>0</v>
      </c>
      <c r="AR49" s="109">
        <f>'7a.20YrDetails'!AR49</f>
        <v>0</v>
      </c>
      <c r="AS49" s="109">
        <f>'7a.20YrDetails'!AS49</f>
        <v>0</v>
      </c>
      <c r="AT49" s="109">
        <f>'7a.20YrDetails'!AT49</f>
        <v>0</v>
      </c>
      <c r="AU49" s="109">
        <f>'7a.20YrDetails'!AU49</f>
        <v>0</v>
      </c>
      <c r="AV49" s="109">
        <f>'7a.20YrDetails'!AV49</f>
        <v>0</v>
      </c>
      <c r="AW49" s="109">
        <f>'7a.20YrDetails'!AW49</f>
        <v>0</v>
      </c>
      <c r="AX49" s="109">
        <f>'7a.20YrDetails'!AX49</f>
        <v>0</v>
      </c>
      <c r="AY49" s="109">
        <f>'7a.20YrDetails'!AY49</f>
        <v>0</v>
      </c>
      <c r="AZ49" s="109">
        <f>'7a.20YrDetails'!AZ49</f>
        <v>0</v>
      </c>
      <c r="BA49" s="109">
        <f>'7a.20YrDetails'!BA49</f>
        <v>0</v>
      </c>
      <c r="BB49" s="109">
        <f>'7a.20YrDetails'!BB49</f>
        <v>0</v>
      </c>
      <c r="BC49" s="109">
        <f>'7a.20YrDetails'!BC49</f>
        <v>0</v>
      </c>
      <c r="BD49" s="109">
        <f>'7a.20YrDetails'!BD49</f>
        <v>0</v>
      </c>
      <c r="BE49" s="109">
        <f>'7a.20YrDetails'!BE49</f>
        <v>0</v>
      </c>
      <c r="BF49" s="109">
        <f>'7a.20YrDetails'!BF49</f>
        <v>0</v>
      </c>
      <c r="BG49" s="109">
        <f>'7a.20YrDetails'!BG49</f>
        <v>0</v>
      </c>
      <c r="BH49" s="109">
        <f>'7a.20YrDetails'!BH49</f>
        <v>0</v>
      </c>
      <c r="BI49" s="109">
        <f>'7a.20YrDetails'!BI49</f>
        <v>0</v>
      </c>
      <c r="BJ49" s="109">
        <f>'7a.20YrDetails'!BJ49</f>
        <v>0</v>
      </c>
      <c r="BK49" s="109">
        <f>'7a.20YrDetails'!BK49</f>
        <v>0</v>
      </c>
      <c r="BL49" s="109">
        <f>'7a.20YrDetails'!BL49</f>
        <v>0</v>
      </c>
      <c r="BM49" s="109">
        <f>'7a.20YrDetails'!BM49</f>
        <v>0</v>
      </c>
      <c r="BN49" s="109">
        <f>'7a.20YrDetails'!BN49</f>
        <v>0</v>
      </c>
      <c r="BO49" s="109">
        <f>'7a.20YrDetails'!BO49</f>
        <v>0</v>
      </c>
    </row>
    <row r="50" spans="3:67" ht="12" hidden="1" customHeight="1" outlineLevel="1">
      <c r="C50" s="10" t="str">
        <f>'7a.20YrDetails'!C50</f>
        <v>Miscellaneous</v>
      </c>
      <c r="D50" s="22">
        <f>'7a.20YrDetails'!D50</f>
        <v>6390</v>
      </c>
      <c r="E50" s="73">
        <f>'7a.20YrDetails'!E50</f>
        <v>3.5000000000000003E-2</v>
      </c>
      <c r="F50" s="73">
        <f>'7a.20YrDetails'!F50</f>
        <v>3.5000000000000003E-2</v>
      </c>
      <c r="G50" s="31" t="str">
        <f>IF('7a.20YrDetails'!$G50="","",'7a.20YrDetails'!$G50)</f>
        <v/>
      </c>
      <c r="H50" s="109">
        <f>'7a.20YrDetails'!H50</f>
        <v>0</v>
      </c>
      <c r="I50" s="109">
        <f>'7a.20YrDetails'!I50</f>
        <v>0</v>
      </c>
      <c r="J50" s="109">
        <f>'7a.20YrDetails'!J50</f>
        <v>0</v>
      </c>
      <c r="K50" s="109">
        <f>'7a.20YrDetails'!K50</f>
        <v>0</v>
      </c>
      <c r="L50" s="109">
        <f>'7a.20YrDetails'!L50</f>
        <v>0</v>
      </c>
      <c r="M50" s="109">
        <f>'7a.20YrDetails'!M50</f>
        <v>0</v>
      </c>
      <c r="N50" s="109">
        <f>'7a.20YrDetails'!N50</f>
        <v>0</v>
      </c>
      <c r="O50" s="109">
        <f>'7a.20YrDetails'!O50</f>
        <v>0</v>
      </c>
      <c r="P50" s="109">
        <f>'7a.20YrDetails'!P50</f>
        <v>0</v>
      </c>
      <c r="Q50" s="109">
        <f>'7a.20YrDetails'!Q50</f>
        <v>0</v>
      </c>
      <c r="R50" s="109">
        <f>'7a.20YrDetails'!R50</f>
        <v>0</v>
      </c>
      <c r="S50" s="109">
        <f>'7a.20YrDetails'!S50</f>
        <v>0</v>
      </c>
      <c r="T50" s="109">
        <f>'7a.20YrDetails'!T50</f>
        <v>0</v>
      </c>
      <c r="U50" s="109">
        <f>'7a.20YrDetails'!U50</f>
        <v>0</v>
      </c>
      <c r="V50" s="109">
        <f>'7a.20YrDetails'!V50</f>
        <v>0</v>
      </c>
      <c r="W50" s="109">
        <f>'7a.20YrDetails'!W50</f>
        <v>0</v>
      </c>
      <c r="X50" s="109">
        <f>'7a.20YrDetails'!X50</f>
        <v>0</v>
      </c>
      <c r="Y50" s="109">
        <f>'7a.20YrDetails'!Y50</f>
        <v>0</v>
      </c>
      <c r="Z50" s="109">
        <f>'7a.20YrDetails'!Z50</f>
        <v>0</v>
      </c>
      <c r="AA50" s="109">
        <f>'7a.20YrDetails'!AA50</f>
        <v>0</v>
      </c>
      <c r="AB50" s="109">
        <f>'7a.20YrDetails'!AB50</f>
        <v>0</v>
      </c>
      <c r="AC50" s="109">
        <f>'7a.20YrDetails'!AC50</f>
        <v>0</v>
      </c>
      <c r="AD50" s="109">
        <f>'7a.20YrDetails'!AD50</f>
        <v>0</v>
      </c>
      <c r="AE50" s="109">
        <f>'7a.20YrDetails'!AE50</f>
        <v>0</v>
      </c>
      <c r="AF50" s="109">
        <f>'7a.20YrDetails'!AF50</f>
        <v>0</v>
      </c>
      <c r="AG50" s="109">
        <f>'7a.20YrDetails'!AG50</f>
        <v>0</v>
      </c>
      <c r="AH50" s="109">
        <f>'7a.20YrDetails'!AH50</f>
        <v>0</v>
      </c>
      <c r="AI50" s="109">
        <f>'7a.20YrDetails'!AI50</f>
        <v>0</v>
      </c>
      <c r="AJ50" s="109">
        <f>'7a.20YrDetails'!AJ50</f>
        <v>0</v>
      </c>
      <c r="AK50" s="109">
        <f>'7a.20YrDetails'!AK50</f>
        <v>0</v>
      </c>
      <c r="AL50" s="109">
        <f>'7a.20YrDetails'!AL50</f>
        <v>0</v>
      </c>
      <c r="AM50" s="109">
        <f>'7a.20YrDetails'!AM50</f>
        <v>0</v>
      </c>
      <c r="AN50" s="109">
        <f>'7a.20YrDetails'!AN50</f>
        <v>0</v>
      </c>
      <c r="AO50" s="109">
        <f>'7a.20YrDetails'!AO50</f>
        <v>0</v>
      </c>
      <c r="AP50" s="109">
        <f>'7a.20YrDetails'!AP50</f>
        <v>0</v>
      </c>
      <c r="AQ50" s="109">
        <f>'7a.20YrDetails'!AQ50</f>
        <v>0</v>
      </c>
      <c r="AR50" s="109">
        <f>'7a.20YrDetails'!AR50</f>
        <v>0</v>
      </c>
      <c r="AS50" s="109">
        <f>'7a.20YrDetails'!AS50</f>
        <v>0</v>
      </c>
      <c r="AT50" s="109">
        <f>'7a.20YrDetails'!AT50</f>
        <v>0</v>
      </c>
      <c r="AU50" s="109">
        <f>'7a.20YrDetails'!AU50</f>
        <v>0</v>
      </c>
      <c r="AV50" s="109">
        <f>'7a.20YrDetails'!AV50</f>
        <v>0</v>
      </c>
      <c r="AW50" s="109">
        <f>'7a.20YrDetails'!AW50</f>
        <v>0</v>
      </c>
      <c r="AX50" s="109">
        <f>'7a.20YrDetails'!AX50</f>
        <v>0</v>
      </c>
      <c r="AY50" s="109">
        <f>'7a.20YrDetails'!AY50</f>
        <v>0</v>
      </c>
      <c r="AZ50" s="109">
        <f>'7a.20YrDetails'!AZ50</f>
        <v>0</v>
      </c>
      <c r="BA50" s="109">
        <f>'7a.20YrDetails'!BA50</f>
        <v>0</v>
      </c>
      <c r="BB50" s="109">
        <f>'7a.20YrDetails'!BB50</f>
        <v>0</v>
      </c>
      <c r="BC50" s="109">
        <f>'7a.20YrDetails'!BC50</f>
        <v>0</v>
      </c>
      <c r="BD50" s="109">
        <f>'7a.20YrDetails'!BD50</f>
        <v>0</v>
      </c>
      <c r="BE50" s="109">
        <f>'7a.20YrDetails'!BE50</f>
        <v>0</v>
      </c>
      <c r="BF50" s="109">
        <f>'7a.20YrDetails'!BF50</f>
        <v>0</v>
      </c>
      <c r="BG50" s="109">
        <f>'7a.20YrDetails'!BG50</f>
        <v>0</v>
      </c>
      <c r="BH50" s="109">
        <f>'7a.20YrDetails'!BH50</f>
        <v>0</v>
      </c>
      <c r="BI50" s="109">
        <f>'7a.20YrDetails'!BI50</f>
        <v>0</v>
      </c>
      <c r="BJ50" s="109">
        <f>'7a.20YrDetails'!BJ50</f>
        <v>0</v>
      </c>
      <c r="BK50" s="109">
        <f>'7a.20YrDetails'!BK50</f>
        <v>0</v>
      </c>
      <c r="BL50" s="109">
        <f>'7a.20YrDetails'!BL50</f>
        <v>0</v>
      </c>
      <c r="BM50" s="109">
        <f>'7a.20YrDetails'!BM50</f>
        <v>0</v>
      </c>
      <c r="BN50" s="109">
        <f>'7a.20YrDetails'!BN50</f>
        <v>0</v>
      </c>
      <c r="BO50" s="109">
        <f>'7a.20YrDetails'!BO50</f>
        <v>0</v>
      </c>
    </row>
    <row r="51" spans="3:67" ht="12" hidden="1" customHeight="1" outlineLevel="1">
      <c r="C51" s="11" t="str">
        <f>'7a.20YrDetails'!C51</f>
        <v>Sub-total Administration Expenses</v>
      </c>
      <c r="D51" s="12"/>
      <c r="E51" s="12"/>
      <c r="F51" s="12"/>
      <c r="G51" s="21"/>
      <c r="H51" s="109">
        <f>'7a.20YrDetails'!H51</f>
        <v>0</v>
      </c>
      <c r="I51" s="109">
        <f>'7a.20YrDetails'!I51</f>
        <v>0</v>
      </c>
      <c r="J51" s="109">
        <f>'7a.20YrDetails'!J51</f>
        <v>0</v>
      </c>
      <c r="K51" s="109">
        <f>'7a.20YrDetails'!K51</f>
        <v>0</v>
      </c>
      <c r="L51" s="109">
        <f>'7a.20YrDetails'!L51</f>
        <v>0</v>
      </c>
      <c r="M51" s="109">
        <f>'7a.20YrDetails'!M51</f>
        <v>0</v>
      </c>
      <c r="N51" s="109">
        <f>'7a.20YrDetails'!N51</f>
        <v>0</v>
      </c>
      <c r="O51" s="109">
        <f>'7a.20YrDetails'!O51</f>
        <v>0</v>
      </c>
      <c r="P51" s="109">
        <f>'7a.20YrDetails'!P51</f>
        <v>0</v>
      </c>
      <c r="Q51" s="109">
        <f>'7a.20YrDetails'!Q51</f>
        <v>0</v>
      </c>
      <c r="R51" s="109">
        <f>'7a.20YrDetails'!R51</f>
        <v>0</v>
      </c>
      <c r="S51" s="109">
        <f>'7a.20YrDetails'!S51</f>
        <v>0</v>
      </c>
      <c r="T51" s="109">
        <f>'7a.20YrDetails'!T51</f>
        <v>0</v>
      </c>
      <c r="U51" s="109">
        <f>'7a.20YrDetails'!U51</f>
        <v>0</v>
      </c>
      <c r="V51" s="109">
        <f>'7a.20YrDetails'!V51</f>
        <v>0</v>
      </c>
      <c r="W51" s="109">
        <f>'7a.20YrDetails'!W51</f>
        <v>0</v>
      </c>
      <c r="X51" s="109">
        <f>'7a.20YrDetails'!X51</f>
        <v>0</v>
      </c>
      <c r="Y51" s="109">
        <f>'7a.20YrDetails'!Y51</f>
        <v>0</v>
      </c>
      <c r="Z51" s="109">
        <f>'7a.20YrDetails'!Z51</f>
        <v>0</v>
      </c>
      <c r="AA51" s="109">
        <f>'7a.20YrDetails'!AA51</f>
        <v>0</v>
      </c>
      <c r="AB51" s="109">
        <f>'7a.20YrDetails'!AB51</f>
        <v>0</v>
      </c>
      <c r="AC51" s="109">
        <f>'7a.20YrDetails'!AC51</f>
        <v>0</v>
      </c>
      <c r="AD51" s="109">
        <f>'7a.20YrDetails'!AD51</f>
        <v>0</v>
      </c>
      <c r="AE51" s="109">
        <f>'7a.20YrDetails'!AE51</f>
        <v>0</v>
      </c>
      <c r="AF51" s="109">
        <f>'7a.20YrDetails'!AF51</f>
        <v>0</v>
      </c>
      <c r="AG51" s="109">
        <f>'7a.20YrDetails'!AG51</f>
        <v>0</v>
      </c>
      <c r="AH51" s="109">
        <f>'7a.20YrDetails'!AH51</f>
        <v>0</v>
      </c>
      <c r="AI51" s="109">
        <f>'7a.20YrDetails'!AI51</f>
        <v>0</v>
      </c>
      <c r="AJ51" s="109">
        <f>'7a.20YrDetails'!AJ51</f>
        <v>0</v>
      </c>
      <c r="AK51" s="109">
        <f>'7a.20YrDetails'!AK51</f>
        <v>0</v>
      </c>
      <c r="AL51" s="109">
        <f>'7a.20YrDetails'!AL51</f>
        <v>0</v>
      </c>
      <c r="AM51" s="109">
        <f>'7a.20YrDetails'!AM51</f>
        <v>0</v>
      </c>
      <c r="AN51" s="109">
        <f>'7a.20YrDetails'!AN51</f>
        <v>0</v>
      </c>
      <c r="AO51" s="109">
        <f>'7a.20YrDetails'!AO51</f>
        <v>0</v>
      </c>
      <c r="AP51" s="109">
        <f>'7a.20YrDetails'!AP51</f>
        <v>0</v>
      </c>
      <c r="AQ51" s="109">
        <f>'7a.20YrDetails'!AQ51</f>
        <v>0</v>
      </c>
      <c r="AR51" s="109">
        <f>'7a.20YrDetails'!AR51</f>
        <v>0</v>
      </c>
      <c r="AS51" s="109">
        <f>'7a.20YrDetails'!AS51</f>
        <v>0</v>
      </c>
      <c r="AT51" s="109">
        <f>'7a.20YrDetails'!AT51</f>
        <v>0</v>
      </c>
      <c r="AU51" s="109">
        <f>'7a.20YrDetails'!AU51</f>
        <v>0</v>
      </c>
      <c r="AV51" s="109">
        <f>'7a.20YrDetails'!AV51</f>
        <v>0</v>
      </c>
      <c r="AW51" s="109">
        <f>'7a.20YrDetails'!AW51</f>
        <v>0</v>
      </c>
      <c r="AX51" s="109">
        <f>'7a.20YrDetails'!AX51</f>
        <v>0</v>
      </c>
      <c r="AY51" s="109">
        <f>'7a.20YrDetails'!AY51</f>
        <v>0</v>
      </c>
      <c r="AZ51" s="109">
        <f>'7a.20YrDetails'!AZ51</f>
        <v>0</v>
      </c>
      <c r="BA51" s="109">
        <f>'7a.20YrDetails'!BA51</f>
        <v>0</v>
      </c>
      <c r="BB51" s="109">
        <f>'7a.20YrDetails'!BB51</f>
        <v>0</v>
      </c>
      <c r="BC51" s="109">
        <f>'7a.20YrDetails'!BC51</f>
        <v>0</v>
      </c>
      <c r="BD51" s="109">
        <f>'7a.20YrDetails'!BD51</f>
        <v>0</v>
      </c>
      <c r="BE51" s="109">
        <f>'7a.20YrDetails'!BE51</f>
        <v>0</v>
      </c>
      <c r="BF51" s="109">
        <f>'7a.20YrDetails'!BF51</f>
        <v>0</v>
      </c>
      <c r="BG51" s="109">
        <f>'7a.20YrDetails'!BG51</f>
        <v>0</v>
      </c>
      <c r="BH51" s="109">
        <f>'7a.20YrDetails'!BH51</f>
        <v>0</v>
      </c>
      <c r="BI51" s="109">
        <f>'7a.20YrDetails'!BI51</f>
        <v>0</v>
      </c>
      <c r="BJ51" s="109">
        <f>'7a.20YrDetails'!BJ51</f>
        <v>0</v>
      </c>
      <c r="BK51" s="109">
        <f>'7a.20YrDetails'!BK51</f>
        <v>0</v>
      </c>
      <c r="BL51" s="109">
        <f>'7a.20YrDetails'!BL51</f>
        <v>0</v>
      </c>
      <c r="BM51" s="109">
        <f>'7a.20YrDetails'!BM51</f>
        <v>0</v>
      </c>
      <c r="BN51" s="109">
        <f>'7a.20YrDetails'!BN51</f>
        <v>0</v>
      </c>
      <c r="BO51" s="109">
        <f>'7a.20YrDetails'!BO51</f>
        <v>0</v>
      </c>
    </row>
    <row r="52" spans="3:67" ht="12" customHeight="1" collapsed="1">
      <c r="C52" s="191" t="str">
        <f>'7a.20YrDetails'!C52</f>
        <v>Utilities</v>
      </c>
      <c r="D52" s="14"/>
      <c r="E52" s="72">
        <f>E53</f>
        <v>3.5000000000000003E-2</v>
      </c>
      <c r="F52" s="72">
        <f>IF(SUBTOTAL(103,$C$53:$C$57)&gt;0,"",F53)</f>
        <v>3.5000000000000003E-2</v>
      </c>
      <c r="G52" s="31"/>
      <c r="H52" s="109">
        <f t="shared" ref="H52:S52" si="7">IF(SUBTOTAL(103,$C$53:$C$57)&gt;0,"",H57)</f>
        <v>0</v>
      </c>
      <c r="I52" s="109">
        <f t="shared" si="7"/>
        <v>0</v>
      </c>
      <c r="J52" s="109">
        <f t="shared" si="7"/>
        <v>0</v>
      </c>
      <c r="K52" s="109">
        <f t="shared" si="7"/>
        <v>0</v>
      </c>
      <c r="L52" s="109">
        <f t="shared" si="7"/>
        <v>0</v>
      </c>
      <c r="M52" s="109">
        <f t="shared" si="7"/>
        <v>0</v>
      </c>
      <c r="N52" s="109">
        <f t="shared" si="7"/>
        <v>0</v>
      </c>
      <c r="O52" s="109">
        <f t="shared" si="7"/>
        <v>0</v>
      </c>
      <c r="P52" s="109">
        <f t="shared" si="7"/>
        <v>0</v>
      </c>
      <c r="Q52" s="109">
        <f t="shared" si="7"/>
        <v>0</v>
      </c>
      <c r="R52" s="109">
        <f t="shared" si="7"/>
        <v>0</v>
      </c>
      <c r="S52" s="109">
        <f t="shared" si="7"/>
        <v>0</v>
      </c>
      <c r="T52" s="109">
        <f t="shared" ref="T52:BO52" si="8">IF(SUBTOTAL(103,$C$53:$C$57)&gt;0,"",T57)</f>
        <v>0</v>
      </c>
      <c r="U52" s="109">
        <f t="shared" si="8"/>
        <v>0</v>
      </c>
      <c r="V52" s="109">
        <f t="shared" si="8"/>
        <v>0</v>
      </c>
      <c r="W52" s="109">
        <f t="shared" si="8"/>
        <v>0</v>
      </c>
      <c r="X52" s="109">
        <f t="shared" si="8"/>
        <v>0</v>
      </c>
      <c r="Y52" s="109">
        <f t="shared" si="8"/>
        <v>0</v>
      </c>
      <c r="Z52" s="109">
        <f t="shared" si="8"/>
        <v>0</v>
      </c>
      <c r="AA52" s="109">
        <f t="shared" si="8"/>
        <v>0</v>
      </c>
      <c r="AB52" s="109">
        <f t="shared" si="8"/>
        <v>0</v>
      </c>
      <c r="AC52" s="109">
        <f t="shared" si="8"/>
        <v>0</v>
      </c>
      <c r="AD52" s="109">
        <f t="shared" si="8"/>
        <v>0</v>
      </c>
      <c r="AE52" s="109">
        <f t="shared" si="8"/>
        <v>0</v>
      </c>
      <c r="AF52" s="109">
        <f t="shared" si="8"/>
        <v>0</v>
      </c>
      <c r="AG52" s="109">
        <f t="shared" si="8"/>
        <v>0</v>
      </c>
      <c r="AH52" s="109">
        <f t="shared" si="8"/>
        <v>0</v>
      </c>
      <c r="AI52" s="109">
        <f t="shared" si="8"/>
        <v>0</v>
      </c>
      <c r="AJ52" s="109">
        <f t="shared" si="8"/>
        <v>0</v>
      </c>
      <c r="AK52" s="109">
        <f t="shared" si="8"/>
        <v>0</v>
      </c>
      <c r="AL52" s="109">
        <f t="shared" si="8"/>
        <v>0</v>
      </c>
      <c r="AM52" s="109">
        <f t="shared" si="8"/>
        <v>0</v>
      </c>
      <c r="AN52" s="109">
        <f t="shared" si="8"/>
        <v>0</v>
      </c>
      <c r="AO52" s="109">
        <f t="shared" si="8"/>
        <v>0</v>
      </c>
      <c r="AP52" s="109">
        <f t="shared" si="8"/>
        <v>0</v>
      </c>
      <c r="AQ52" s="109">
        <f t="shared" si="8"/>
        <v>0</v>
      </c>
      <c r="AR52" s="109">
        <f t="shared" si="8"/>
        <v>0</v>
      </c>
      <c r="AS52" s="109">
        <f t="shared" si="8"/>
        <v>0</v>
      </c>
      <c r="AT52" s="109">
        <f t="shared" si="8"/>
        <v>0</v>
      </c>
      <c r="AU52" s="109">
        <f t="shared" si="8"/>
        <v>0</v>
      </c>
      <c r="AV52" s="109">
        <f t="shared" si="8"/>
        <v>0</v>
      </c>
      <c r="AW52" s="109">
        <f t="shared" si="8"/>
        <v>0</v>
      </c>
      <c r="AX52" s="109">
        <f t="shared" si="8"/>
        <v>0</v>
      </c>
      <c r="AY52" s="109">
        <f t="shared" si="8"/>
        <v>0</v>
      </c>
      <c r="AZ52" s="109">
        <f t="shared" si="8"/>
        <v>0</v>
      </c>
      <c r="BA52" s="109">
        <f t="shared" si="8"/>
        <v>0</v>
      </c>
      <c r="BB52" s="109">
        <f t="shared" si="8"/>
        <v>0</v>
      </c>
      <c r="BC52" s="109">
        <f t="shared" si="8"/>
        <v>0</v>
      </c>
      <c r="BD52" s="109">
        <f t="shared" si="8"/>
        <v>0</v>
      </c>
      <c r="BE52" s="109">
        <f t="shared" si="8"/>
        <v>0</v>
      </c>
      <c r="BF52" s="109">
        <f t="shared" si="8"/>
        <v>0</v>
      </c>
      <c r="BG52" s="109">
        <f t="shared" si="8"/>
        <v>0</v>
      </c>
      <c r="BH52" s="109">
        <f t="shared" si="8"/>
        <v>0</v>
      </c>
      <c r="BI52" s="109">
        <f t="shared" si="8"/>
        <v>0</v>
      </c>
      <c r="BJ52" s="109">
        <f t="shared" si="8"/>
        <v>0</v>
      </c>
      <c r="BK52" s="109">
        <f t="shared" si="8"/>
        <v>0</v>
      </c>
      <c r="BL52" s="109">
        <f t="shared" si="8"/>
        <v>0</v>
      </c>
      <c r="BM52" s="109">
        <f t="shared" si="8"/>
        <v>0</v>
      </c>
      <c r="BN52" s="109">
        <f t="shared" si="8"/>
        <v>0</v>
      </c>
      <c r="BO52" s="109">
        <f t="shared" si="8"/>
        <v>0</v>
      </c>
    </row>
    <row r="53" spans="3:67" ht="12" hidden="1" customHeight="1" outlineLevel="1">
      <c r="C53" s="10" t="str">
        <f>'7a.20YrDetails'!C53</f>
        <v>Electricity</v>
      </c>
      <c r="D53" s="10">
        <f>'7a.20YrDetails'!D53</f>
        <v>6450</v>
      </c>
      <c r="E53" s="73">
        <f>'7a.20YrDetails'!E53</f>
        <v>3.5000000000000003E-2</v>
      </c>
      <c r="F53" s="73">
        <f>'7a.20YrDetails'!F53</f>
        <v>3.5000000000000003E-2</v>
      </c>
      <c r="G53" s="31" t="str">
        <f>IF('7a.20YrDetails'!$G53="","",'7a.20YrDetails'!$G53)</f>
        <v/>
      </c>
      <c r="H53" s="109">
        <f>'7a.20YrDetails'!H53</f>
        <v>0</v>
      </c>
      <c r="I53" s="109">
        <f>'7a.20YrDetails'!I53</f>
        <v>0</v>
      </c>
      <c r="J53" s="109">
        <f>'7a.20YrDetails'!J53</f>
        <v>0</v>
      </c>
      <c r="K53" s="109">
        <f>'7a.20YrDetails'!K53</f>
        <v>0</v>
      </c>
      <c r="L53" s="109">
        <f>'7a.20YrDetails'!L53</f>
        <v>0</v>
      </c>
      <c r="M53" s="109">
        <f>'7a.20YrDetails'!M53</f>
        <v>0</v>
      </c>
      <c r="N53" s="109">
        <f>'7a.20YrDetails'!N53</f>
        <v>0</v>
      </c>
      <c r="O53" s="109">
        <f>'7a.20YrDetails'!O53</f>
        <v>0</v>
      </c>
      <c r="P53" s="109">
        <f>'7a.20YrDetails'!P53</f>
        <v>0</v>
      </c>
      <c r="Q53" s="109">
        <f>'7a.20YrDetails'!Q53</f>
        <v>0</v>
      </c>
      <c r="R53" s="109">
        <f>'7a.20YrDetails'!R53</f>
        <v>0</v>
      </c>
      <c r="S53" s="109">
        <f>'7a.20YrDetails'!S53</f>
        <v>0</v>
      </c>
      <c r="T53" s="109">
        <f>'7a.20YrDetails'!T53</f>
        <v>0</v>
      </c>
      <c r="U53" s="109">
        <f>'7a.20YrDetails'!U53</f>
        <v>0</v>
      </c>
      <c r="V53" s="109">
        <f>'7a.20YrDetails'!V53</f>
        <v>0</v>
      </c>
      <c r="W53" s="109">
        <f>'7a.20YrDetails'!W53</f>
        <v>0</v>
      </c>
      <c r="X53" s="109">
        <f>'7a.20YrDetails'!X53</f>
        <v>0</v>
      </c>
      <c r="Y53" s="109">
        <f>'7a.20YrDetails'!Y53</f>
        <v>0</v>
      </c>
      <c r="Z53" s="109">
        <f>'7a.20YrDetails'!Z53</f>
        <v>0</v>
      </c>
      <c r="AA53" s="109">
        <f>'7a.20YrDetails'!AA53</f>
        <v>0</v>
      </c>
      <c r="AB53" s="109">
        <f>'7a.20YrDetails'!AB53</f>
        <v>0</v>
      </c>
      <c r="AC53" s="109">
        <f>'7a.20YrDetails'!AC53</f>
        <v>0</v>
      </c>
      <c r="AD53" s="109">
        <f>'7a.20YrDetails'!AD53</f>
        <v>0</v>
      </c>
      <c r="AE53" s="109">
        <f>'7a.20YrDetails'!AE53</f>
        <v>0</v>
      </c>
      <c r="AF53" s="109">
        <f>'7a.20YrDetails'!AF53</f>
        <v>0</v>
      </c>
      <c r="AG53" s="109">
        <f>'7a.20YrDetails'!AG53</f>
        <v>0</v>
      </c>
      <c r="AH53" s="109">
        <f>'7a.20YrDetails'!AH53</f>
        <v>0</v>
      </c>
      <c r="AI53" s="109">
        <f>'7a.20YrDetails'!AI53</f>
        <v>0</v>
      </c>
      <c r="AJ53" s="109">
        <f>'7a.20YrDetails'!AJ53</f>
        <v>0</v>
      </c>
      <c r="AK53" s="109">
        <f>'7a.20YrDetails'!AK53</f>
        <v>0</v>
      </c>
      <c r="AL53" s="109">
        <f>'7a.20YrDetails'!AL53</f>
        <v>0</v>
      </c>
      <c r="AM53" s="109">
        <f>'7a.20YrDetails'!AM53</f>
        <v>0</v>
      </c>
      <c r="AN53" s="109">
        <f>'7a.20YrDetails'!AN53</f>
        <v>0</v>
      </c>
      <c r="AO53" s="109">
        <f>'7a.20YrDetails'!AO53</f>
        <v>0</v>
      </c>
      <c r="AP53" s="109">
        <f>'7a.20YrDetails'!AP53</f>
        <v>0</v>
      </c>
      <c r="AQ53" s="109">
        <f>'7a.20YrDetails'!AQ53</f>
        <v>0</v>
      </c>
      <c r="AR53" s="109">
        <f>'7a.20YrDetails'!AR53</f>
        <v>0</v>
      </c>
      <c r="AS53" s="109">
        <f>'7a.20YrDetails'!AS53</f>
        <v>0</v>
      </c>
      <c r="AT53" s="109">
        <f>'7a.20YrDetails'!AT53</f>
        <v>0</v>
      </c>
      <c r="AU53" s="109">
        <f>'7a.20YrDetails'!AU53</f>
        <v>0</v>
      </c>
      <c r="AV53" s="109">
        <f>'7a.20YrDetails'!AV53</f>
        <v>0</v>
      </c>
      <c r="AW53" s="109">
        <f>'7a.20YrDetails'!AW53</f>
        <v>0</v>
      </c>
      <c r="AX53" s="109">
        <f>'7a.20YrDetails'!AX53</f>
        <v>0</v>
      </c>
      <c r="AY53" s="109">
        <f>'7a.20YrDetails'!AY53</f>
        <v>0</v>
      </c>
      <c r="AZ53" s="109">
        <f>'7a.20YrDetails'!AZ53</f>
        <v>0</v>
      </c>
      <c r="BA53" s="109">
        <f>'7a.20YrDetails'!BA53</f>
        <v>0</v>
      </c>
      <c r="BB53" s="109">
        <f>'7a.20YrDetails'!BB53</f>
        <v>0</v>
      </c>
      <c r="BC53" s="109">
        <f>'7a.20YrDetails'!BC53</f>
        <v>0</v>
      </c>
      <c r="BD53" s="109">
        <f>'7a.20YrDetails'!BD53</f>
        <v>0</v>
      </c>
      <c r="BE53" s="109">
        <f>'7a.20YrDetails'!BE53</f>
        <v>0</v>
      </c>
      <c r="BF53" s="109">
        <f>'7a.20YrDetails'!BF53</f>
        <v>0</v>
      </c>
      <c r="BG53" s="109">
        <f>'7a.20YrDetails'!BG53</f>
        <v>0</v>
      </c>
      <c r="BH53" s="109">
        <f>'7a.20YrDetails'!BH53</f>
        <v>0</v>
      </c>
      <c r="BI53" s="109">
        <f>'7a.20YrDetails'!BI53</f>
        <v>0</v>
      </c>
      <c r="BJ53" s="109">
        <f>'7a.20YrDetails'!BJ53</f>
        <v>0</v>
      </c>
      <c r="BK53" s="109">
        <f>'7a.20YrDetails'!BK53</f>
        <v>0</v>
      </c>
      <c r="BL53" s="109">
        <f>'7a.20YrDetails'!BL53</f>
        <v>0</v>
      </c>
      <c r="BM53" s="109">
        <f>'7a.20YrDetails'!BM53</f>
        <v>0</v>
      </c>
      <c r="BN53" s="109">
        <f>'7a.20YrDetails'!BN53</f>
        <v>0</v>
      </c>
      <c r="BO53" s="109">
        <f>'7a.20YrDetails'!BO53</f>
        <v>0</v>
      </c>
    </row>
    <row r="54" spans="3:67" ht="12" hidden="1" customHeight="1" outlineLevel="1">
      <c r="C54" s="10" t="str">
        <f>'7a.20YrDetails'!C54</f>
        <v>Water</v>
      </c>
      <c r="D54" s="10">
        <f>'7a.20YrDetails'!D54</f>
        <v>6451</v>
      </c>
      <c r="E54" s="73">
        <f>'7a.20YrDetails'!E54</f>
        <v>3.5000000000000003E-2</v>
      </c>
      <c r="F54" s="73">
        <f>'7a.20YrDetails'!F54</f>
        <v>3.5000000000000003E-2</v>
      </c>
      <c r="G54" s="31" t="str">
        <f>IF('7a.20YrDetails'!$G54="","",'7a.20YrDetails'!$G54)</f>
        <v/>
      </c>
      <c r="H54" s="109">
        <f>'7a.20YrDetails'!H54</f>
        <v>0</v>
      </c>
      <c r="I54" s="109">
        <f>'7a.20YrDetails'!I54</f>
        <v>0</v>
      </c>
      <c r="J54" s="109">
        <f>'7a.20YrDetails'!J54</f>
        <v>0</v>
      </c>
      <c r="K54" s="109">
        <f>'7a.20YrDetails'!K54</f>
        <v>0</v>
      </c>
      <c r="L54" s="109">
        <f>'7a.20YrDetails'!L54</f>
        <v>0</v>
      </c>
      <c r="M54" s="109">
        <f>'7a.20YrDetails'!M54</f>
        <v>0</v>
      </c>
      <c r="N54" s="109">
        <f>'7a.20YrDetails'!N54</f>
        <v>0</v>
      </c>
      <c r="O54" s="109">
        <f>'7a.20YrDetails'!O54</f>
        <v>0</v>
      </c>
      <c r="P54" s="109">
        <f>'7a.20YrDetails'!P54</f>
        <v>0</v>
      </c>
      <c r="Q54" s="109">
        <f>'7a.20YrDetails'!Q54</f>
        <v>0</v>
      </c>
      <c r="R54" s="109">
        <f>'7a.20YrDetails'!R54</f>
        <v>0</v>
      </c>
      <c r="S54" s="109">
        <f>'7a.20YrDetails'!S54</f>
        <v>0</v>
      </c>
      <c r="T54" s="109">
        <f>'7a.20YrDetails'!T54</f>
        <v>0</v>
      </c>
      <c r="U54" s="109">
        <f>'7a.20YrDetails'!U54</f>
        <v>0</v>
      </c>
      <c r="V54" s="109">
        <f>'7a.20YrDetails'!V54</f>
        <v>0</v>
      </c>
      <c r="W54" s="109">
        <f>'7a.20YrDetails'!W54</f>
        <v>0</v>
      </c>
      <c r="X54" s="109">
        <f>'7a.20YrDetails'!X54</f>
        <v>0</v>
      </c>
      <c r="Y54" s="109">
        <f>'7a.20YrDetails'!Y54</f>
        <v>0</v>
      </c>
      <c r="Z54" s="109">
        <f>'7a.20YrDetails'!Z54</f>
        <v>0</v>
      </c>
      <c r="AA54" s="109">
        <f>'7a.20YrDetails'!AA54</f>
        <v>0</v>
      </c>
      <c r="AB54" s="109">
        <f>'7a.20YrDetails'!AB54</f>
        <v>0</v>
      </c>
      <c r="AC54" s="109">
        <f>'7a.20YrDetails'!AC54</f>
        <v>0</v>
      </c>
      <c r="AD54" s="109">
        <f>'7a.20YrDetails'!AD54</f>
        <v>0</v>
      </c>
      <c r="AE54" s="109">
        <f>'7a.20YrDetails'!AE54</f>
        <v>0</v>
      </c>
      <c r="AF54" s="109">
        <f>'7a.20YrDetails'!AF54</f>
        <v>0</v>
      </c>
      <c r="AG54" s="109">
        <f>'7a.20YrDetails'!AG54</f>
        <v>0</v>
      </c>
      <c r="AH54" s="109">
        <f>'7a.20YrDetails'!AH54</f>
        <v>0</v>
      </c>
      <c r="AI54" s="109">
        <f>'7a.20YrDetails'!AI54</f>
        <v>0</v>
      </c>
      <c r="AJ54" s="109">
        <f>'7a.20YrDetails'!AJ54</f>
        <v>0</v>
      </c>
      <c r="AK54" s="109">
        <f>'7a.20YrDetails'!AK54</f>
        <v>0</v>
      </c>
      <c r="AL54" s="109">
        <f>'7a.20YrDetails'!AL54</f>
        <v>0</v>
      </c>
      <c r="AM54" s="109">
        <f>'7a.20YrDetails'!AM54</f>
        <v>0</v>
      </c>
      <c r="AN54" s="109">
        <f>'7a.20YrDetails'!AN54</f>
        <v>0</v>
      </c>
      <c r="AO54" s="109">
        <f>'7a.20YrDetails'!AO54</f>
        <v>0</v>
      </c>
      <c r="AP54" s="109">
        <f>'7a.20YrDetails'!AP54</f>
        <v>0</v>
      </c>
      <c r="AQ54" s="109">
        <f>'7a.20YrDetails'!AQ54</f>
        <v>0</v>
      </c>
      <c r="AR54" s="109">
        <f>'7a.20YrDetails'!AR54</f>
        <v>0</v>
      </c>
      <c r="AS54" s="109">
        <f>'7a.20YrDetails'!AS54</f>
        <v>0</v>
      </c>
      <c r="AT54" s="109">
        <f>'7a.20YrDetails'!AT54</f>
        <v>0</v>
      </c>
      <c r="AU54" s="109">
        <f>'7a.20YrDetails'!AU54</f>
        <v>0</v>
      </c>
      <c r="AV54" s="109">
        <f>'7a.20YrDetails'!AV54</f>
        <v>0</v>
      </c>
      <c r="AW54" s="109">
        <f>'7a.20YrDetails'!AW54</f>
        <v>0</v>
      </c>
      <c r="AX54" s="109">
        <f>'7a.20YrDetails'!AX54</f>
        <v>0</v>
      </c>
      <c r="AY54" s="109">
        <f>'7a.20YrDetails'!AY54</f>
        <v>0</v>
      </c>
      <c r="AZ54" s="109">
        <f>'7a.20YrDetails'!AZ54</f>
        <v>0</v>
      </c>
      <c r="BA54" s="109">
        <f>'7a.20YrDetails'!BA54</f>
        <v>0</v>
      </c>
      <c r="BB54" s="109">
        <f>'7a.20YrDetails'!BB54</f>
        <v>0</v>
      </c>
      <c r="BC54" s="109">
        <f>'7a.20YrDetails'!BC54</f>
        <v>0</v>
      </c>
      <c r="BD54" s="109">
        <f>'7a.20YrDetails'!BD54</f>
        <v>0</v>
      </c>
      <c r="BE54" s="109">
        <f>'7a.20YrDetails'!BE54</f>
        <v>0</v>
      </c>
      <c r="BF54" s="109">
        <f>'7a.20YrDetails'!BF54</f>
        <v>0</v>
      </c>
      <c r="BG54" s="109">
        <f>'7a.20YrDetails'!BG54</f>
        <v>0</v>
      </c>
      <c r="BH54" s="109">
        <f>'7a.20YrDetails'!BH54</f>
        <v>0</v>
      </c>
      <c r="BI54" s="109">
        <f>'7a.20YrDetails'!BI54</f>
        <v>0</v>
      </c>
      <c r="BJ54" s="109">
        <f>'7a.20YrDetails'!BJ54</f>
        <v>0</v>
      </c>
      <c r="BK54" s="109">
        <f>'7a.20YrDetails'!BK54</f>
        <v>0</v>
      </c>
      <c r="BL54" s="109">
        <f>'7a.20YrDetails'!BL54</f>
        <v>0</v>
      </c>
      <c r="BM54" s="109">
        <f>'7a.20YrDetails'!BM54</f>
        <v>0</v>
      </c>
      <c r="BN54" s="109">
        <f>'7a.20YrDetails'!BN54</f>
        <v>0</v>
      </c>
      <c r="BO54" s="109">
        <f>'7a.20YrDetails'!BO54</f>
        <v>0</v>
      </c>
    </row>
    <row r="55" spans="3:67" ht="12" hidden="1" customHeight="1" outlineLevel="1">
      <c r="C55" s="10" t="str">
        <f>'7a.20YrDetails'!C55</f>
        <v>Gas</v>
      </c>
      <c r="D55" s="10">
        <f>'7a.20YrDetails'!D55</f>
        <v>6452</v>
      </c>
      <c r="E55" s="73">
        <f>'7a.20YrDetails'!E55</f>
        <v>3.5000000000000003E-2</v>
      </c>
      <c r="F55" s="73">
        <f>'7a.20YrDetails'!F55</f>
        <v>3.5000000000000003E-2</v>
      </c>
      <c r="G55" s="31" t="str">
        <f>IF('7a.20YrDetails'!$G55="","",'7a.20YrDetails'!$G55)</f>
        <v/>
      </c>
      <c r="H55" s="109">
        <f>'7a.20YrDetails'!H55</f>
        <v>0</v>
      </c>
      <c r="I55" s="109">
        <f>'7a.20YrDetails'!I55</f>
        <v>0</v>
      </c>
      <c r="J55" s="109">
        <f>'7a.20YrDetails'!J55</f>
        <v>0</v>
      </c>
      <c r="K55" s="109">
        <f>'7a.20YrDetails'!K55</f>
        <v>0</v>
      </c>
      <c r="L55" s="109">
        <f>'7a.20YrDetails'!L55</f>
        <v>0</v>
      </c>
      <c r="M55" s="109">
        <f>'7a.20YrDetails'!M55</f>
        <v>0</v>
      </c>
      <c r="N55" s="109">
        <f>'7a.20YrDetails'!N55</f>
        <v>0</v>
      </c>
      <c r="O55" s="109">
        <f>'7a.20YrDetails'!O55</f>
        <v>0</v>
      </c>
      <c r="P55" s="109">
        <f>'7a.20YrDetails'!P55</f>
        <v>0</v>
      </c>
      <c r="Q55" s="109">
        <f>'7a.20YrDetails'!Q55</f>
        <v>0</v>
      </c>
      <c r="R55" s="109">
        <f>'7a.20YrDetails'!R55</f>
        <v>0</v>
      </c>
      <c r="S55" s="109">
        <f>'7a.20YrDetails'!S55</f>
        <v>0</v>
      </c>
      <c r="T55" s="109">
        <f>'7a.20YrDetails'!T55</f>
        <v>0</v>
      </c>
      <c r="U55" s="109">
        <f>'7a.20YrDetails'!U55</f>
        <v>0</v>
      </c>
      <c r="V55" s="109">
        <f>'7a.20YrDetails'!V55</f>
        <v>0</v>
      </c>
      <c r="W55" s="109">
        <f>'7a.20YrDetails'!W55</f>
        <v>0</v>
      </c>
      <c r="X55" s="109">
        <f>'7a.20YrDetails'!X55</f>
        <v>0</v>
      </c>
      <c r="Y55" s="109">
        <f>'7a.20YrDetails'!Y55</f>
        <v>0</v>
      </c>
      <c r="Z55" s="109">
        <f>'7a.20YrDetails'!Z55</f>
        <v>0</v>
      </c>
      <c r="AA55" s="109">
        <f>'7a.20YrDetails'!AA55</f>
        <v>0</v>
      </c>
      <c r="AB55" s="109">
        <f>'7a.20YrDetails'!AB55</f>
        <v>0</v>
      </c>
      <c r="AC55" s="109">
        <f>'7a.20YrDetails'!AC55</f>
        <v>0</v>
      </c>
      <c r="AD55" s="109">
        <f>'7a.20YrDetails'!AD55</f>
        <v>0</v>
      </c>
      <c r="AE55" s="109">
        <f>'7a.20YrDetails'!AE55</f>
        <v>0</v>
      </c>
      <c r="AF55" s="109">
        <f>'7a.20YrDetails'!AF55</f>
        <v>0</v>
      </c>
      <c r="AG55" s="109">
        <f>'7a.20YrDetails'!AG55</f>
        <v>0</v>
      </c>
      <c r="AH55" s="109">
        <f>'7a.20YrDetails'!AH55</f>
        <v>0</v>
      </c>
      <c r="AI55" s="109">
        <f>'7a.20YrDetails'!AI55</f>
        <v>0</v>
      </c>
      <c r="AJ55" s="109">
        <f>'7a.20YrDetails'!AJ55</f>
        <v>0</v>
      </c>
      <c r="AK55" s="109">
        <f>'7a.20YrDetails'!AK55</f>
        <v>0</v>
      </c>
      <c r="AL55" s="109">
        <f>'7a.20YrDetails'!AL55</f>
        <v>0</v>
      </c>
      <c r="AM55" s="109">
        <f>'7a.20YrDetails'!AM55</f>
        <v>0</v>
      </c>
      <c r="AN55" s="109">
        <f>'7a.20YrDetails'!AN55</f>
        <v>0</v>
      </c>
      <c r="AO55" s="109">
        <f>'7a.20YrDetails'!AO55</f>
        <v>0</v>
      </c>
      <c r="AP55" s="109">
        <f>'7a.20YrDetails'!AP55</f>
        <v>0</v>
      </c>
      <c r="AQ55" s="109">
        <f>'7a.20YrDetails'!AQ55</f>
        <v>0</v>
      </c>
      <c r="AR55" s="109">
        <f>'7a.20YrDetails'!AR55</f>
        <v>0</v>
      </c>
      <c r="AS55" s="109">
        <f>'7a.20YrDetails'!AS55</f>
        <v>0</v>
      </c>
      <c r="AT55" s="109">
        <f>'7a.20YrDetails'!AT55</f>
        <v>0</v>
      </c>
      <c r="AU55" s="109">
        <f>'7a.20YrDetails'!AU55</f>
        <v>0</v>
      </c>
      <c r="AV55" s="109">
        <f>'7a.20YrDetails'!AV55</f>
        <v>0</v>
      </c>
      <c r="AW55" s="109">
        <f>'7a.20YrDetails'!AW55</f>
        <v>0</v>
      </c>
      <c r="AX55" s="109">
        <f>'7a.20YrDetails'!AX55</f>
        <v>0</v>
      </c>
      <c r="AY55" s="109">
        <f>'7a.20YrDetails'!AY55</f>
        <v>0</v>
      </c>
      <c r="AZ55" s="109">
        <f>'7a.20YrDetails'!AZ55</f>
        <v>0</v>
      </c>
      <c r="BA55" s="109">
        <f>'7a.20YrDetails'!BA55</f>
        <v>0</v>
      </c>
      <c r="BB55" s="109">
        <f>'7a.20YrDetails'!BB55</f>
        <v>0</v>
      </c>
      <c r="BC55" s="109">
        <f>'7a.20YrDetails'!BC55</f>
        <v>0</v>
      </c>
      <c r="BD55" s="109">
        <f>'7a.20YrDetails'!BD55</f>
        <v>0</v>
      </c>
      <c r="BE55" s="109">
        <f>'7a.20YrDetails'!BE55</f>
        <v>0</v>
      </c>
      <c r="BF55" s="109">
        <f>'7a.20YrDetails'!BF55</f>
        <v>0</v>
      </c>
      <c r="BG55" s="109">
        <f>'7a.20YrDetails'!BG55</f>
        <v>0</v>
      </c>
      <c r="BH55" s="109">
        <f>'7a.20YrDetails'!BH55</f>
        <v>0</v>
      </c>
      <c r="BI55" s="109">
        <f>'7a.20YrDetails'!BI55</f>
        <v>0</v>
      </c>
      <c r="BJ55" s="109">
        <f>'7a.20YrDetails'!BJ55</f>
        <v>0</v>
      </c>
      <c r="BK55" s="109">
        <f>'7a.20YrDetails'!BK55</f>
        <v>0</v>
      </c>
      <c r="BL55" s="109">
        <f>'7a.20YrDetails'!BL55</f>
        <v>0</v>
      </c>
      <c r="BM55" s="109">
        <f>'7a.20YrDetails'!BM55</f>
        <v>0</v>
      </c>
      <c r="BN55" s="109">
        <f>'7a.20YrDetails'!BN55</f>
        <v>0</v>
      </c>
      <c r="BO55" s="109">
        <f>'7a.20YrDetails'!BO55</f>
        <v>0</v>
      </c>
    </row>
    <row r="56" spans="3:67" ht="12" hidden="1" customHeight="1" outlineLevel="1">
      <c r="C56" s="10" t="str">
        <f>'7a.20YrDetails'!C56</f>
        <v>Sewer</v>
      </c>
      <c r="D56" s="10">
        <f>'7a.20YrDetails'!D56</f>
        <v>6453</v>
      </c>
      <c r="E56" s="73">
        <f>'7a.20YrDetails'!E56</f>
        <v>3.5000000000000003E-2</v>
      </c>
      <c r="F56" s="73">
        <f>'7a.20YrDetails'!F56</f>
        <v>3.5000000000000003E-2</v>
      </c>
      <c r="G56" s="31" t="str">
        <f>IF('7a.20YrDetails'!$G56="","",'7a.20YrDetails'!$G56)</f>
        <v/>
      </c>
      <c r="H56" s="109">
        <f>'7a.20YrDetails'!H56</f>
        <v>0</v>
      </c>
      <c r="I56" s="109">
        <f>'7a.20YrDetails'!I56</f>
        <v>0</v>
      </c>
      <c r="J56" s="109">
        <f>'7a.20YrDetails'!J56</f>
        <v>0</v>
      </c>
      <c r="K56" s="109">
        <f>'7a.20YrDetails'!K56</f>
        <v>0</v>
      </c>
      <c r="L56" s="109">
        <f>'7a.20YrDetails'!L56</f>
        <v>0</v>
      </c>
      <c r="M56" s="109">
        <f>'7a.20YrDetails'!M56</f>
        <v>0</v>
      </c>
      <c r="N56" s="109">
        <f>'7a.20YrDetails'!N56</f>
        <v>0</v>
      </c>
      <c r="O56" s="109">
        <f>'7a.20YrDetails'!O56</f>
        <v>0</v>
      </c>
      <c r="P56" s="109">
        <f>'7a.20YrDetails'!P56</f>
        <v>0</v>
      </c>
      <c r="Q56" s="109">
        <f>'7a.20YrDetails'!Q56</f>
        <v>0</v>
      </c>
      <c r="R56" s="109">
        <f>'7a.20YrDetails'!R56</f>
        <v>0</v>
      </c>
      <c r="S56" s="109">
        <f>'7a.20YrDetails'!S56</f>
        <v>0</v>
      </c>
      <c r="T56" s="109">
        <f>'7a.20YrDetails'!T56</f>
        <v>0</v>
      </c>
      <c r="U56" s="109">
        <f>'7a.20YrDetails'!U56</f>
        <v>0</v>
      </c>
      <c r="V56" s="109">
        <f>'7a.20YrDetails'!V56</f>
        <v>0</v>
      </c>
      <c r="W56" s="109">
        <f>'7a.20YrDetails'!W56</f>
        <v>0</v>
      </c>
      <c r="X56" s="109">
        <f>'7a.20YrDetails'!X56</f>
        <v>0</v>
      </c>
      <c r="Y56" s="109">
        <f>'7a.20YrDetails'!Y56</f>
        <v>0</v>
      </c>
      <c r="Z56" s="109">
        <f>'7a.20YrDetails'!Z56</f>
        <v>0</v>
      </c>
      <c r="AA56" s="109">
        <f>'7a.20YrDetails'!AA56</f>
        <v>0</v>
      </c>
      <c r="AB56" s="109">
        <f>'7a.20YrDetails'!AB56</f>
        <v>0</v>
      </c>
      <c r="AC56" s="109">
        <f>'7a.20YrDetails'!AC56</f>
        <v>0</v>
      </c>
      <c r="AD56" s="109">
        <f>'7a.20YrDetails'!AD56</f>
        <v>0</v>
      </c>
      <c r="AE56" s="109">
        <f>'7a.20YrDetails'!AE56</f>
        <v>0</v>
      </c>
      <c r="AF56" s="109">
        <f>'7a.20YrDetails'!AF56</f>
        <v>0</v>
      </c>
      <c r="AG56" s="109">
        <f>'7a.20YrDetails'!AG56</f>
        <v>0</v>
      </c>
      <c r="AH56" s="109">
        <f>'7a.20YrDetails'!AH56</f>
        <v>0</v>
      </c>
      <c r="AI56" s="109">
        <f>'7a.20YrDetails'!AI56</f>
        <v>0</v>
      </c>
      <c r="AJ56" s="109">
        <f>'7a.20YrDetails'!AJ56</f>
        <v>0</v>
      </c>
      <c r="AK56" s="109">
        <f>'7a.20YrDetails'!AK56</f>
        <v>0</v>
      </c>
      <c r="AL56" s="109">
        <f>'7a.20YrDetails'!AL56</f>
        <v>0</v>
      </c>
      <c r="AM56" s="109">
        <f>'7a.20YrDetails'!AM56</f>
        <v>0</v>
      </c>
      <c r="AN56" s="109">
        <f>'7a.20YrDetails'!AN56</f>
        <v>0</v>
      </c>
      <c r="AO56" s="109">
        <f>'7a.20YrDetails'!AO56</f>
        <v>0</v>
      </c>
      <c r="AP56" s="109">
        <f>'7a.20YrDetails'!AP56</f>
        <v>0</v>
      </c>
      <c r="AQ56" s="109">
        <f>'7a.20YrDetails'!AQ56</f>
        <v>0</v>
      </c>
      <c r="AR56" s="109">
        <f>'7a.20YrDetails'!AR56</f>
        <v>0</v>
      </c>
      <c r="AS56" s="109">
        <f>'7a.20YrDetails'!AS56</f>
        <v>0</v>
      </c>
      <c r="AT56" s="109">
        <f>'7a.20YrDetails'!AT56</f>
        <v>0</v>
      </c>
      <c r="AU56" s="109">
        <f>'7a.20YrDetails'!AU56</f>
        <v>0</v>
      </c>
      <c r="AV56" s="109">
        <f>'7a.20YrDetails'!AV56</f>
        <v>0</v>
      </c>
      <c r="AW56" s="109">
        <f>'7a.20YrDetails'!AW56</f>
        <v>0</v>
      </c>
      <c r="AX56" s="109">
        <f>'7a.20YrDetails'!AX56</f>
        <v>0</v>
      </c>
      <c r="AY56" s="109">
        <f>'7a.20YrDetails'!AY56</f>
        <v>0</v>
      </c>
      <c r="AZ56" s="109">
        <f>'7a.20YrDetails'!AZ56</f>
        <v>0</v>
      </c>
      <c r="BA56" s="109">
        <f>'7a.20YrDetails'!BA56</f>
        <v>0</v>
      </c>
      <c r="BB56" s="109">
        <f>'7a.20YrDetails'!BB56</f>
        <v>0</v>
      </c>
      <c r="BC56" s="109">
        <f>'7a.20YrDetails'!BC56</f>
        <v>0</v>
      </c>
      <c r="BD56" s="109">
        <f>'7a.20YrDetails'!BD56</f>
        <v>0</v>
      </c>
      <c r="BE56" s="109">
        <f>'7a.20YrDetails'!BE56</f>
        <v>0</v>
      </c>
      <c r="BF56" s="109">
        <f>'7a.20YrDetails'!BF56</f>
        <v>0</v>
      </c>
      <c r="BG56" s="109">
        <f>'7a.20YrDetails'!BG56</f>
        <v>0</v>
      </c>
      <c r="BH56" s="109">
        <f>'7a.20YrDetails'!BH56</f>
        <v>0</v>
      </c>
      <c r="BI56" s="109">
        <f>'7a.20YrDetails'!BI56</f>
        <v>0</v>
      </c>
      <c r="BJ56" s="109">
        <f>'7a.20YrDetails'!BJ56</f>
        <v>0</v>
      </c>
      <c r="BK56" s="109">
        <f>'7a.20YrDetails'!BK56</f>
        <v>0</v>
      </c>
      <c r="BL56" s="109">
        <f>'7a.20YrDetails'!BL56</f>
        <v>0</v>
      </c>
      <c r="BM56" s="109">
        <f>'7a.20YrDetails'!BM56</f>
        <v>0</v>
      </c>
      <c r="BN56" s="109">
        <f>'7a.20YrDetails'!BN56</f>
        <v>0</v>
      </c>
      <c r="BO56" s="109">
        <f>'7a.20YrDetails'!BO56</f>
        <v>0</v>
      </c>
    </row>
    <row r="57" spans="3:67" ht="12" hidden="1" customHeight="1" outlineLevel="1">
      <c r="C57" s="11" t="str">
        <f>'7a.20YrDetails'!C57</f>
        <v>Sub-total Utilities</v>
      </c>
      <c r="D57" s="11"/>
      <c r="E57" s="12"/>
      <c r="F57" s="12"/>
      <c r="G57" s="21"/>
      <c r="H57" s="109">
        <f>'7a.20YrDetails'!H57</f>
        <v>0</v>
      </c>
      <c r="I57" s="109">
        <f>'7a.20YrDetails'!I57</f>
        <v>0</v>
      </c>
      <c r="J57" s="109">
        <f>'7a.20YrDetails'!J57</f>
        <v>0</v>
      </c>
      <c r="K57" s="109">
        <f>'7a.20YrDetails'!K57</f>
        <v>0</v>
      </c>
      <c r="L57" s="109">
        <f>'7a.20YrDetails'!L57</f>
        <v>0</v>
      </c>
      <c r="M57" s="109">
        <f>'7a.20YrDetails'!M57</f>
        <v>0</v>
      </c>
      <c r="N57" s="109">
        <f>'7a.20YrDetails'!N57</f>
        <v>0</v>
      </c>
      <c r="O57" s="109">
        <f>'7a.20YrDetails'!O57</f>
        <v>0</v>
      </c>
      <c r="P57" s="109">
        <f>'7a.20YrDetails'!P57</f>
        <v>0</v>
      </c>
      <c r="Q57" s="109">
        <f>'7a.20YrDetails'!Q57</f>
        <v>0</v>
      </c>
      <c r="R57" s="109">
        <f>'7a.20YrDetails'!R57</f>
        <v>0</v>
      </c>
      <c r="S57" s="109">
        <f>'7a.20YrDetails'!S57</f>
        <v>0</v>
      </c>
      <c r="T57" s="109">
        <f>'7a.20YrDetails'!T57</f>
        <v>0</v>
      </c>
      <c r="U57" s="109">
        <f>'7a.20YrDetails'!U57</f>
        <v>0</v>
      </c>
      <c r="V57" s="109">
        <f>'7a.20YrDetails'!V57</f>
        <v>0</v>
      </c>
      <c r="W57" s="109">
        <f>'7a.20YrDetails'!W57</f>
        <v>0</v>
      </c>
      <c r="X57" s="109">
        <f>'7a.20YrDetails'!X57</f>
        <v>0</v>
      </c>
      <c r="Y57" s="109">
        <f>'7a.20YrDetails'!Y57</f>
        <v>0</v>
      </c>
      <c r="Z57" s="109">
        <f>'7a.20YrDetails'!Z57</f>
        <v>0</v>
      </c>
      <c r="AA57" s="109">
        <f>'7a.20YrDetails'!AA57</f>
        <v>0</v>
      </c>
      <c r="AB57" s="109">
        <f>'7a.20YrDetails'!AB57</f>
        <v>0</v>
      </c>
      <c r="AC57" s="109">
        <f>'7a.20YrDetails'!AC57</f>
        <v>0</v>
      </c>
      <c r="AD57" s="109">
        <f>'7a.20YrDetails'!AD57</f>
        <v>0</v>
      </c>
      <c r="AE57" s="109">
        <f>'7a.20YrDetails'!AE57</f>
        <v>0</v>
      </c>
      <c r="AF57" s="109">
        <f>'7a.20YrDetails'!AF57</f>
        <v>0</v>
      </c>
      <c r="AG57" s="109">
        <f>'7a.20YrDetails'!AG57</f>
        <v>0</v>
      </c>
      <c r="AH57" s="109">
        <f>'7a.20YrDetails'!AH57</f>
        <v>0</v>
      </c>
      <c r="AI57" s="109">
        <f>'7a.20YrDetails'!AI57</f>
        <v>0</v>
      </c>
      <c r="AJ57" s="109">
        <f>'7a.20YrDetails'!AJ57</f>
        <v>0</v>
      </c>
      <c r="AK57" s="109">
        <f>'7a.20YrDetails'!AK57</f>
        <v>0</v>
      </c>
      <c r="AL57" s="109">
        <f>'7a.20YrDetails'!AL57</f>
        <v>0</v>
      </c>
      <c r="AM57" s="109">
        <f>'7a.20YrDetails'!AM57</f>
        <v>0</v>
      </c>
      <c r="AN57" s="109">
        <f>'7a.20YrDetails'!AN57</f>
        <v>0</v>
      </c>
      <c r="AO57" s="109">
        <f>'7a.20YrDetails'!AO57</f>
        <v>0</v>
      </c>
      <c r="AP57" s="109">
        <f>'7a.20YrDetails'!AP57</f>
        <v>0</v>
      </c>
      <c r="AQ57" s="109">
        <f>'7a.20YrDetails'!AQ57</f>
        <v>0</v>
      </c>
      <c r="AR57" s="109">
        <f>'7a.20YrDetails'!AR57</f>
        <v>0</v>
      </c>
      <c r="AS57" s="109">
        <f>'7a.20YrDetails'!AS57</f>
        <v>0</v>
      </c>
      <c r="AT57" s="109">
        <f>'7a.20YrDetails'!AT57</f>
        <v>0</v>
      </c>
      <c r="AU57" s="109">
        <f>'7a.20YrDetails'!AU57</f>
        <v>0</v>
      </c>
      <c r="AV57" s="109">
        <f>'7a.20YrDetails'!AV57</f>
        <v>0</v>
      </c>
      <c r="AW57" s="109">
        <f>'7a.20YrDetails'!AW57</f>
        <v>0</v>
      </c>
      <c r="AX57" s="109">
        <f>'7a.20YrDetails'!AX57</f>
        <v>0</v>
      </c>
      <c r="AY57" s="109">
        <f>'7a.20YrDetails'!AY57</f>
        <v>0</v>
      </c>
      <c r="AZ57" s="109">
        <f>'7a.20YrDetails'!AZ57</f>
        <v>0</v>
      </c>
      <c r="BA57" s="109">
        <f>'7a.20YrDetails'!BA57</f>
        <v>0</v>
      </c>
      <c r="BB57" s="109">
        <f>'7a.20YrDetails'!BB57</f>
        <v>0</v>
      </c>
      <c r="BC57" s="109">
        <f>'7a.20YrDetails'!BC57</f>
        <v>0</v>
      </c>
      <c r="BD57" s="109">
        <f>'7a.20YrDetails'!BD57</f>
        <v>0</v>
      </c>
      <c r="BE57" s="109">
        <f>'7a.20YrDetails'!BE57</f>
        <v>0</v>
      </c>
      <c r="BF57" s="109">
        <f>'7a.20YrDetails'!BF57</f>
        <v>0</v>
      </c>
      <c r="BG57" s="109">
        <f>'7a.20YrDetails'!BG57</f>
        <v>0</v>
      </c>
      <c r="BH57" s="109">
        <f>'7a.20YrDetails'!BH57</f>
        <v>0</v>
      </c>
      <c r="BI57" s="109">
        <f>'7a.20YrDetails'!BI57</f>
        <v>0</v>
      </c>
      <c r="BJ57" s="109">
        <f>'7a.20YrDetails'!BJ57</f>
        <v>0</v>
      </c>
      <c r="BK57" s="109">
        <f>'7a.20YrDetails'!BK57</f>
        <v>0</v>
      </c>
      <c r="BL57" s="109">
        <f>'7a.20YrDetails'!BL57</f>
        <v>0</v>
      </c>
      <c r="BM57" s="109">
        <f>'7a.20YrDetails'!BM57</f>
        <v>0</v>
      </c>
      <c r="BN57" s="109">
        <f>'7a.20YrDetails'!BN57</f>
        <v>0</v>
      </c>
      <c r="BO57" s="109">
        <f>'7a.20YrDetails'!BO57</f>
        <v>0</v>
      </c>
    </row>
    <row r="58" spans="3:67" ht="12" customHeight="1" collapsed="1">
      <c r="C58" s="191" t="str">
        <f>'7a.20YrDetails'!C58</f>
        <v>Taxes and Licenses</v>
      </c>
      <c r="D58" s="191"/>
      <c r="E58" s="72">
        <f>E59</f>
        <v>3.5000000000000003E-2</v>
      </c>
      <c r="F58" s="72">
        <f>IF(SUBTOTAL(103,$C$59:$C$62)&gt;0,"",F59)</f>
        <v>3.5000000000000003E-2</v>
      </c>
      <c r="G58" s="31"/>
      <c r="H58" s="109">
        <f t="shared" ref="H58:S58" si="9">IF(SUBTOTAL(103,$C$59:$C$62)&gt;0,"",H62)</f>
        <v>0</v>
      </c>
      <c r="I58" s="109">
        <f t="shared" si="9"/>
        <v>0</v>
      </c>
      <c r="J58" s="109">
        <f t="shared" si="9"/>
        <v>0</v>
      </c>
      <c r="K58" s="109">
        <f t="shared" si="9"/>
        <v>0</v>
      </c>
      <c r="L58" s="109">
        <f t="shared" si="9"/>
        <v>0</v>
      </c>
      <c r="M58" s="109">
        <f t="shared" si="9"/>
        <v>0</v>
      </c>
      <c r="N58" s="109">
        <f t="shared" si="9"/>
        <v>0</v>
      </c>
      <c r="O58" s="109">
        <f t="shared" si="9"/>
        <v>0</v>
      </c>
      <c r="P58" s="109">
        <f t="shared" si="9"/>
        <v>0</v>
      </c>
      <c r="Q58" s="109">
        <f t="shared" si="9"/>
        <v>0</v>
      </c>
      <c r="R58" s="109">
        <f t="shared" si="9"/>
        <v>0</v>
      </c>
      <c r="S58" s="109">
        <f t="shared" si="9"/>
        <v>0</v>
      </c>
      <c r="T58" s="109">
        <f t="shared" ref="T58:BO58" si="10">IF(SUBTOTAL(103,$C$59:$C$62)&gt;0,"",T62)</f>
        <v>0</v>
      </c>
      <c r="U58" s="109">
        <f t="shared" si="10"/>
        <v>0</v>
      </c>
      <c r="V58" s="109">
        <f t="shared" si="10"/>
        <v>0</v>
      </c>
      <c r="W58" s="109">
        <f t="shared" si="10"/>
        <v>0</v>
      </c>
      <c r="X58" s="109">
        <f t="shared" si="10"/>
        <v>0</v>
      </c>
      <c r="Y58" s="109">
        <f t="shared" si="10"/>
        <v>0</v>
      </c>
      <c r="Z58" s="109">
        <f t="shared" si="10"/>
        <v>0</v>
      </c>
      <c r="AA58" s="109">
        <f t="shared" si="10"/>
        <v>0</v>
      </c>
      <c r="AB58" s="109">
        <f t="shared" si="10"/>
        <v>0</v>
      </c>
      <c r="AC58" s="109">
        <f t="shared" si="10"/>
        <v>0</v>
      </c>
      <c r="AD58" s="109">
        <f t="shared" si="10"/>
        <v>0</v>
      </c>
      <c r="AE58" s="109">
        <f t="shared" si="10"/>
        <v>0</v>
      </c>
      <c r="AF58" s="109">
        <f t="shared" si="10"/>
        <v>0</v>
      </c>
      <c r="AG58" s="109">
        <f t="shared" si="10"/>
        <v>0</v>
      </c>
      <c r="AH58" s="109">
        <f t="shared" si="10"/>
        <v>0</v>
      </c>
      <c r="AI58" s="109">
        <f t="shared" si="10"/>
        <v>0</v>
      </c>
      <c r="AJ58" s="109">
        <f t="shared" si="10"/>
        <v>0</v>
      </c>
      <c r="AK58" s="109">
        <f t="shared" si="10"/>
        <v>0</v>
      </c>
      <c r="AL58" s="109">
        <f t="shared" si="10"/>
        <v>0</v>
      </c>
      <c r="AM58" s="109">
        <f t="shared" si="10"/>
        <v>0</v>
      </c>
      <c r="AN58" s="109">
        <f t="shared" si="10"/>
        <v>0</v>
      </c>
      <c r="AO58" s="109">
        <f t="shared" si="10"/>
        <v>0</v>
      </c>
      <c r="AP58" s="109">
        <f t="shared" si="10"/>
        <v>0</v>
      </c>
      <c r="AQ58" s="109">
        <f t="shared" si="10"/>
        <v>0</v>
      </c>
      <c r="AR58" s="109">
        <f t="shared" si="10"/>
        <v>0</v>
      </c>
      <c r="AS58" s="109">
        <f t="shared" si="10"/>
        <v>0</v>
      </c>
      <c r="AT58" s="109">
        <f t="shared" si="10"/>
        <v>0</v>
      </c>
      <c r="AU58" s="109">
        <f t="shared" si="10"/>
        <v>0</v>
      </c>
      <c r="AV58" s="109">
        <f t="shared" si="10"/>
        <v>0</v>
      </c>
      <c r="AW58" s="109">
        <f t="shared" si="10"/>
        <v>0</v>
      </c>
      <c r="AX58" s="109">
        <f t="shared" si="10"/>
        <v>0</v>
      </c>
      <c r="AY58" s="109">
        <f t="shared" si="10"/>
        <v>0</v>
      </c>
      <c r="AZ58" s="109">
        <f t="shared" si="10"/>
        <v>0</v>
      </c>
      <c r="BA58" s="109">
        <f t="shared" si="10"/>
        <v>0</v>
      </c>
      <c r="BB58" s="109">
        <f t="shared" si="10"/>
        <v>0</v>
      </c>
      <c r="BC58" s="109">
        <f t="shared" si="10"/>
        <v>0</v>
      </c>
      <c r="BD58" s="109">
        <f t="shared" si="10"/>
        <v>0</v>
      </c>
      <c r="BE58" s="109">
        <f t="shared" si="10"/>
        <v>0</v>
      </c>
      <c r="BF58" s="109">
        <f t="shared" si="10"/>
        <v>0</v>
      </c>
      <c r="BG58" s="109">
        <f t="shared" si="10"/>
        <v>0</v>
      </c>
      <c r="BH58" s="109">
        <f t="shared" si="10"/>
        <v>0</v>
      </c>
      <c r="BI58" s="109">
        <f t="shared" si="10"/>
        <v>0</v>
      </c>
      <c r="BJ58" s="109">
        <f t="shared" si="10"/>
        <v>0</v>
      </c>
      <c r="BK58" s="109">
        <f t="shared" si="10"/>
        <v>0</v>
      </c>
      <c r="BL58" s="109">
        <f t="shared" si="10"/>
        <v>0</v>
      </c>
      <c r="BM58" s="109">
        <f t="shared" si="10"/>
        <v>0</v>
      </c>
      <c r="BN58" s="109">
        <f t="shared" si="10"/>
        <v>0</v>
      </c>
      <c r="BO58" s="109">
        <f t="shared" si="10"/>
        <v>0</v>
      </c>
    </row>
    <row r="59" spans="3:67" ht="12" hidden="1" customHeight="1" outlineLevel="1">
      <c r="C59" s="191" t="str">
        <f>'7a.20YrDetails'!C59</f>
        <v>Real Estate Taxes</v>
      </c>
      <c r="D59" s="191">
        <f>'7a.20YrDetails'!D59</f>
        <v>6710</v>
      </c>
      <c r="E59" s="73">
        <f>'7a.20YrDetails'!E59</f>
        <v>3.5000000000000003E-2</v>
      </c>
      <c r="F59" s="73">
        <f>'7a.20YrDetails'!F59</f>
        <v>3.5000000000000003E-2</v>
      </c>
      <c r="G59" s="31" t="str">
        <f>IF('7a.20YrDetails'!$G59="","",'7a.20YrDetails'!$G59)</f>
        <v/>
      </c>
      <c r="H59" s="109">
        <f>'7a.20YrDetails'!H59</f>
        <v>0</v>
      </c>
      <c r="I59" s="109">
        <f>'7a.20YrDetails'!I59</f>
        <v>0</v>
      </c>
      <c r="J59" s="109">
        <f>'7a.20YrDetails'!J59</f>
        <v>0</v>
      </c>
      <c r="K59" s="109">
        <f>'7a.20YrDetails'!K59</f>
        <v>0</v>
      </c>
      <c r="L59" s="109">
        <f>'7a.20YrDetails'!L59</f>
        <v>0</v>
      </c>
      <c r="M59" s="109">
        <f>'7a.20YrDetails'!M59</f>
        <v>0</v>
      </c>
      <c r="N59" s="109">
        <f>'7a.20YrDetails'!N59</f>
        <v>0</v>
      </c>
      <c r="O59" s="109">
        <f>'7a.20YrDetails'!O59</f>
        <v>0</v>
      </c>
      <c r="P59" s="109">
        <f>'7a.20YrDetails'!P59</f>
        <v>0</v>
      </c>
      <c r="Q59" s="109">
        <f>'7a.20YrDetails'!Q59</f>
        <v>0</v>
      </c>
      <c r="R59" s="109">
        <f>'7a.20YrDetails'!R59</f>
        <v>0</v>
      </c>
      <c r="S59" s="109">
        <f>'7a.20YrDetails'!S59</f>
        <v>0</v>
      </c>
      <c r="T59" s="109">
        <f>'7a.20YrDetails'!T59</f>
        <v>0</v>
      </c>
      <c r="U59" s="109">
        <f>'7a.20YrDetails'!U59</f>
        <v>0</v>
      </c>
      <c r="V59" s="109">
        <f>'7a.20YrDetails'!V59</f>
        <v>0</v>
      </c>
      <c r="W59" s="109">
        <f>'7a.20YrDetails'!W59</f>
        <v>0</v>
      </c>
      <c r="X59" s="109">
        <f>'7a.20YrDetails'!X59</f>
        <v>0</v>
      </c>
      <c r="Y59" s="109">
        <f>'7a.20YrDetails'!Y59</f>
        <v>0</v>
      </c>
      <c r="Z59" s="109">
        <f>'7a.20YrDetails'!Z59</f>
        <v>0</v>
      </c>
      <c r="AA59" s="109">
        <f>'7a.20YrDetails'!AA59</f>
        <v>0</v>
      </c>
      <c r="AB59" s="109">
        <f>'7a.20YrDetails'!AB59</f>
        <v>0</v>
      </c>
      <c r="AC59" s="109">
        <f>'7a.20YrDetails'!AC59</f>
        <v>0</v>
      </c>
      <c r="AD59" s="109">
        <f>'7a.20YrDetails'!AD59</f>
        <v>0</v>
      </c>
      <c r="AE59" s="109">
        <f>'7a.20YrDetails'!AE59</f>
        <v>0</v>
      </c>
      <c r="AF59" s="109">
        <f>'7a.20YrDetails'!AF59</f>
        <v>0</v>
      </c>
      <c r="AG59" s="109">
        <f>'7a.20YrDetails'!AG59</f>
        <v>0</v>
      </c>
      <c r="AH59" s="109">
        <f>'7a.20YrDetails'!AH59</f>
        <v>0</v>
      </c>
      <c r="AI59" s="109">
        <f>'7a.20YrDetails'!AI59</f>
        <v>0</v>
      </c>
      <c r="AJ59" s="109">
        <f>'7a.20YrDetails'!AJ59</f>
        <v>0</v>
      </c>
      <c r="AK59" s="109">
        <f>'7a.20YrDetails'!AK59</f>
        <v>0</v>
      </c>
      <c r="AL59" s="109">
        <f>'7a.20YrDetails'!AL59</f>
        <v>0</v>
      </c>
      <c r="AM59" s="109">
        <f>'7a.20YrDetails'!AM59</f>
        <v>0</v>
      </c>
      <c r="AN59" s="109">
        <f>'7a.20YrDetails'!AN59</f>
        <v>0</v>
      </c>
      <c r="AO59" s="109">
        <f>'7a.20YrDetails'!AO59</f>
        <v>0</v>
      </c>
      <c r="AP59" s="109">
        <f>'7a.20YrDetails'!AP59</f>
        <v>0</v>
      </c>
      <c r="AQ59" s="109">
        <f>'7a.20YrDetails'!AQ59</f>
        <v>0</v>
      </c>
      <c r="AR59" s="109">
        <f>'7a.20YrDetails'!AR59</f>
        <v>0</v>
      </c>
      <c r="AS59" s="109">
        <f>'7a.20YrDetails'!AS59</f>
        <v>0</v>
      </c>
      <c r="AT59" s="109">
        <f>'7a.20YrDetails'!AT59</f>
        <v>0</v>
      </c>
      <c r="AU59" s="109">
        <f>'7a.20YrDetails'!AU59</f>
        <v>0</v>
      </c>
      <c r="AV59" s="109">
        <f>'7a.20YrDetails'!AV59</f>
        <v>0</v>
      </c>
      <c r="AW59" s="109">
        <f>'7a.20YrDetails'!AW59</f>
        <v>0</v>
      </c>
      <c r="AX59" s="109">
        <f>'7a.20YrDetails'!AX59</f>
        <v>0</v>
      </c>
      <c r="AY59" s="109">
        <f>'7a.20YrDetails'!AY59</f>
        <v>0</v>
      </c>
      <c r="AZ59" s="109">
        <f>'7a.20YrDetails'!AZ59</f>
        <v>0</v>
      </c>
      <c r="BA59" s="109">
        <f>'7a.20YrDetails'!BA59</f>
        <v>0</v>
      </c>
      <c r="BB59" s="109">
        <f>'7a.20YrDetails'!BB59</f>
        <v>0</v>
      </c>
      <c r="BC59" s="109">
        <f>'7a.20YrDetails'!BC59</f>
        <v>0</v>
      </c>
      <c r="BD59" s="109">
        <f>'7a.20YrDetails'!BD59</f>
        <v>0</v>
      </c>
      <c r="BE59" s="109">
        <f>'7a.20YrDetails'!BE59</f>
        <v>0</v>
      </c>
      <c r="BF59" s="109">
        <f>'7a.20YrDetails'!BF59</f>
        <v>0</v>
      </c>
      <c r="BG59" s="109">
        <f>'7a.20YrDetails'!BG59</f>
        <v>0</v>
      </c>
      <c r="BH59" s="109">
        <f>'7a.20YrDetails'!BH59</f>
        <v>0</v>
      </c>
      <c r="BI59" s="109">
        <f>'7a.20YrDetails'!BI59</f>
        <v>0</v>
      </c>
      <c r="BJ59" s="109">
        <f>'7a.20YrDetails'!BJ59</f>
        <v>0</v>
      </c>
      <c r="BK59" s="109">
        <f>'7a.20YrDetails'!BK59</f>
        <v>0</v>
      </c>
      <c r="BL59" s="109">
        <f>'7a.20YrDetails'!BL59</f>
        <v>0</v>
      </c>
      <c r="BM59" s="109">
        <f>'7a.20YrDetails'!BM59</f>
        <v>0</v>
      </c>
      <c r="BN59" s="109">
        <f>'7a.20YrDetails'!BN59</f>
        <v>0</v>
      </c>
      <c r="BO59" s="109">
        <f>'7a.20YrDetails'!BO59</f>
        <v>0</v>
      </c>
    </row>
    <row r="60" spans="3:67" ht="12" hidden="1" customHeight="1" outlineLevel="1">
      <c r="C60" s="191" t="str">
        <f>'7a.20YrDetails'!C60</f>
        <v>Payroll Taxes</v>
      </c>
      <c r="D60" s="191">
        <f>'7a.20YrDetails'!D60</f>
        <v>6711</v>
      </c>
      <c r="E60" s="73">
        <f>'7a.20YrDetails'!E60</f>
        <v>3.5000000000000003E-2</v>
      </c>
      <c r="F60" s="73">
        <f>'7a.20YrDetails'!F60</f>
        <v>3.5000000000000003E-2</v>
      </c>
      <c r="G60" s="31" t="str">
        <f>IF('7a.20YrDetails'!$G60="","",'7a.20YrDetails'!$G60)</f>
        <v/>
      </c>
      <c r="H60" s="109">
        <f>'7a.20YrDetails'!H60</f>
        <v>0</v>
      </c>
      <c r="I60" s="109">
        <f>'7a.20YrDetails'!I60</f>
        <v>0</v>
      </c>
      <c r="J60" s="109">
        <f>'7a.20YrDetails'!J60</f>
        <v>0</v>
      </c>
      <c r="K60" s="109">
        <f>'7a.20YrDetails'!K60</f>
        <v>0</v>
      </c>
      <c r="L60" s="109">
        <f>'7a.20YrDetails'!L60</f>
        <v>0</v>
      </c>
      <c r="M60" s="109">
        <f>'7a.20YrDetails'!M60</f>
        <v>0</v>
      </c>
      <c r="N60" s="109">
        <f>'7a.20YrDetails'!N60</f>
        <v>0</v>
      </c>
      <c r="O60" s="109">
        <f>'7a.20YrDetails'!O60</f>
        <v>0</v>
      </c>
      <c r="P60" s="109">
        <f>'7a.20YrDetails'!P60</f>
        <v>0</v>
      </c>
      <c r="Q60" s="109">
        <f>'7a.20YrDetails'!Q60</f>
        <v>0</v>
      </c>
      <c r="R60" s="109">
        <f>'7a.20YrDetails'!R60</f>
        <v>0</v>
      </c>
      <c r="S60" s="109">
        <f>'7a.20YrDetails'!S60</f>
        <v>0</v>
      </c>
      <c r="T60" s="109">
        <f>'7a.20YrDetails'!T60</f>
        <v>0</v>
      </c>
      <c r="U60" s="109">
        <f>'7a.20YrDetails'!U60</f>
        <v>0</v>
      </c>
      <c r="V60" s="109">
        <f>'7a.20YrDetails'!V60</f>
        <v>0</v>
      </c>
      <c r="W60" s="109">
        <f>'7a.20YrDetails'!W60</f>
        <v>0</v>
      </c>
      <c r="X60" s="109">
        <f>'7a.20YrDetails'!X60</f>
        <v>0</v>
      </c>
      <c r="Y60" s="109">
        <f>'7a.20YrDetails'!Y60</f>
        <v>0</v>
      </c>
      <c r="Z60" s="109">
        <f>'7a.20YrDetails'!Z60</f>
        <v>0</v>
      </c>
      <c r="AA60" s="109">
        <f>'7a.20YrDetails'!AA60</f>
        <v>0</v>
      </c>
      <c r="AB60" s="109">
        <f>'7a.20YrDetails'!AB60</f>
        <v>0</v>
      </c>
      <c r="AC60" s="109">
        <f>'7a.20YrDetails'!AC60</f>
        <v>0</v>
      </c>
      <c r="AD60" s="109">
        <f>'7a.20YrDetails'!AD60</f>
        <v>0</v>
      </c>
      <c r="AE60" s="109">
        <f>'7a.20YrDetails'!AE60</f>
        <v>0</v>
      </c>
      <c r="AF60" s="109">
        <f>'7a.20YrDetails'!AF60</f>
        <v>0</v>
      </c>
      <c r="AG60" s="109">
        <f>'7a.20YrDetails'!AG60</f>
        <v>0</v>
      </c>
      <c r="AH60" s="109">
        <f>'7a.20YrDetails'!AH60</f>
        <v>0</v>
      </c>
      <c r="AI60" s="109">
        <f>'7a.20YrDetails'!AI60</f>
        <v>0</v>
      </c>
      <c r="AJ60" s="109">
        <f>'7a.20YrDetails'!AJ60</f>
        <v>0</v>
      </c>
      <c r="AK60" s="109">
        <f>'7a.20YrDetails'!AK60</f>
        <v>0</v>
      </c>
      <c r="AL60" s="109">
        <f>'7a.20YrDetails'!AL60</f>
        <v>0</v>
      </c>
      <c r="AM60" s="109">
        <f>'7a.20YrDetails'!AM60</f>
        <v>0</v>
      </c>
      <c r="AN60" s="109">
        <f>'7a.20YrDetails'!AN60</f>
        <v>0</v>
      </c>
      <c r="AO60" s="109">
        <f>'7a.20YrDetails'!AO60</f>
        <v>0</v>
      </c>
      <c r="AP60" s="109">
        <f>'7a.20YrDetails'!AP60</f>
        <v>0</v>
      </c>
      <c r="AQ60" s="109">
        <f>'7a.20YrDetails'!AQ60</f>
        <v>0</v>
      </c>
      <c r="AR60" s="109">
        <f>'7a.20YrDetails'!AR60</f>
        <v>0</v>
      </c>
      <c r="AS60" s="109">
        <f>'7a.20YrDetails'!AS60</f>
        <v>0</v>
      </c>
      <c r="AT60" s="109">
        <f>'7a.20YrDetails'!AT60</f>
        <v>0</v>
      </c>
      <c r="AU60" s="109">
        <f>'7a.20YrDetails'!AU60</f>
        <v>0</v>
      </c>
      <c r="AV60" s="109">
        <f>'7a.20YrDetails'!AV60</f>
        <v>0</v>
      </c>
      <c r="AW60" s="109">
        <f>'7a.20YrDetails'!AW60</f>
        <v>0</v>
      </c>
      <c r="AX60" s="109">
        <f>'7a.20YrDetails'!AX60</f>
        <v>0</v>
      </c>
      <c r="AY60" s="109">
        <f>'7a.20YrDetails'!AY60</f>
        <v>0</v>
      </c>
      <c r="AZ60" s="109">
        <f>'7a.20YrDetails'!AZ60</f>
        <v>0</v>
      </c>
      <c r="BA60" s="109">
        <f>'7a.20YrDetails'!BA60</f>
        <v>0</v>
      </c>
      <c r="BB60" s="109">
        <f>'7a.20YrDetails'!BB60</f>
        <v>0</v>
      </c>
      <c r="BC60" s="109">
        <f>'7a.20YrDetails'!BC60</f>
        <v>0</v>
      </c>
      <c r="BD60" s="109">
        <f>'7a.20YrDetails'!BD60</f>
        <v>0</v>
      </c>
      <c r="BE60" s="109">
        <f>'7a.20YrDetails'!BE60</f>
        <v>0</v>
      </c>
      <c r="BF60" s="109">
        <f>'7a.20YrDetails'!BF60</f>
        <v>0</v>
      </c>
      <c r="BG60" s="109">
        <f>'7a.20YrDetails'!BG60</f>
        <v>0</v>
      </c>
      <c r="BH60" s="109">
        <f>'7a.20YrDetails'!BH60</f>
        <v>0</v>
      </c>
      <c r="BI60" s="109">
        <f>'7a.20YrDetails'!BI60</f>
        <v>0</v>
      </c>
      <c r="BJ60" s="109">
        <f>'7a.20YrDetails'!BJ60</f>
        <v>0</v>
      </c>
      <c r="BK60" s="109">
        <f>'7a.20YrDetails'!BK60</f>
        <v>0</v>
      </c>
      <c r="BL60" s="109">
        <f>'7a.20YrDetails'!BL60</f>
        <v>0</v>
      </c>
      <c r="BM60" s="109">
        <f>'7a.20YrDetails'!BM60</f>
        <v>0</v>
      </c>
      <c r="BN60" s="109">
        <f>'7a.20YrDetails'!BN60</f>
        <v>0</v>
      </c>
      <c r="BO60" s="109">
        <f>'7a.20YrDetails'!BO60</f>
        <v>0</v>
      </c>
    </row>
    <row r="61" spans="3:67" ht="12" hidden="1" customHeight="1" outlineLevel="1">
      <c r="C61" s="191" t="str">
        <f>'7a.20YrDetails'!C61</f>
        <v>Miscellaneous Taxes, Licenses and Permits</v>
      </c>
      <c r="D61" s="191">
        <f>'7a.20YrDetails'!D61</f>
        <v>6790</v>
      </c>
      <c r="E61" s="73">
        <f>'7a.20YrDetails'!E61</f>
        <v>3.5000000000000003E-2</v>
      </c>
      <c r="F61" s="73">
        <f>'7a.20YrDetails'!F61</f>
        <v>3.5000000000000003E-2</v>
      </c>
      <c r="G61" s="31" t="str">
        <f>IF('7a.20YrDetails'!$G61="","",'7a.20YrDetails'!$G61)</f>
        <v/>
      </c>
      <c r="H61" s="109">
        <f>'7a.20YrDetails'!H61</f>
        <v>0</v>
      </c>
      <c r="I61" s="109">
        <f>'7a.20YrDetails'!I61</f>
        <v>0</v>
      </c>
      <c r="J61" s="109">
        <f>'7a.20YrDetails'!J61</f>
        <v>0</v>
      </c>
      <c r="K61" s="109">
        <f>'7a.20YrDetails'!K61</f>
        <v>0</v>
      </c>
      <c r="L61" s="109">
        <f>'7a.20YrDetails'!L61</f>
        <v>0</v>
      </c>
      <c r="M61" s="109">
        <f>'7a.20YrDetails'!M61</f>
        <v>0</v>
      </c>
      <c r="N61" s="109">
        <f>'7a.20YrDetails'!N61</f>
        <v>0</v>
      </c>
      <c r="O61" s="109">
        <f>'7a.20YrDetails'!O61</f>
        <v>0</v>
      </c>
      <c r="P61" s="109">
        <f>'7a.20YrDetails'!P61</f>
        <v>0</v>
      </c>
      <c r="Q61" s="109">
        <f>'7a.20YrDetails'!Q61</f>
        <v>0</v>
      </c>
      <c r="R61" s="109">
        <f>'7a.20YrDetails'!R61</f>
        <v>0</v>
      </c>
      <c r="S61" s="109">
        <f>'7a.20YrDetails'!S61</f>
        <v>0</v>
      </c>
      <c r="T61" s="109">
        <f>'7a.20YrDetails'!T61</f>
        <v>0</v>
      </c>
      <c r="U61" s="109">
        <f>'7a.20YrDetails'!U61</f>
        <v>0</v>
      </c>
      <c r="V61" s="109">
        <f>'7a.20YrDetails'!V61</f>
        <v>0</v>
      </c>
      <c r="W61" s="109">
        <f>'7a.20YrDetails'!W61</f>
        <v>0</v>
      </c>
      <c r="X61" s="109">
        <f>'7a.20YrDetails'!X61</f>
        <v>0</v>
      </c>
      <c r="Y61" s="109">
        <f>'7a.20YrDetails'!Y61</f>
        <v>0</v>
      </c>
      <c r="Z61" s="109">
        <f>'7a.20YrDetails'!Z61</f>
        <v>0</v>
      </c>
      <c r="AA61" s="109">
        <f>'7a.20YrDetails'!AA61</f>
        <v>0</v>
      </c>
      <c r="AB61" s="109">
        <f>'7a.20YrDetails'!AB61</f>
        <v>0</v>
      </c>
      <c r="AC61" s="109">
        <f>'7a.20YrDetails'!AC61</f>
        <v>0</v>
      </c>
      <c r="AD61" s="109">
        <f>'7a.20YrDetails'!AD61</f>
        <v>0</v>
      </c>
      <c r="AE61" s="109">
        <f>'7a.20YrDetails'!AE61</f>
        <v>0</v>
      </c>
      <c r="AF61" s="109">
        <f>'7a.20YrDetails'!AF61</f>
        <v>0</v>
      </c>
      <c r="AG61" s="109">
        <f>'7a.20YrDetails'!AG61</f>
        <v>0</v>
      </c>
      <c r="AH61" s="109">
        <f>'7a.20YrDetails'!AH61</f>
        <v>0</v>
      </c>
      <c r="AI61" s="109">
        <f>'7a.20YrDetails'!AI61</f>
        <v>0</v>
      </c>
      <c r="AJ61" s="109">
        <f>'7a.20YrDetails'!AJ61</f>
        <v>0</v>
      </c>
      <c r="AK61" s="109">
        <f>'7a.20YrDetails'!AK61</f>
        <v>0</v>
      </c>
      <c r="AL61" s="109">
        <f>'7a.20YrDetails'!AL61</f>
        <v>0</v>
      </c>
      <c r="AM61" s="109">
        <f>'7a.20YrDetails'!AM61</f>
        <v>0</v>
      </c>
      <c r="AN61" s="109">
        <f>'7a.20YrDetails'!AN61</f>
        <v>0</v>
      </c>
      <c r="AO61" s="109">
        <f>'7a.20YrDetails'!AO61</f>
        <v>0</v>
      </c>
      <c r="AP61" s="109">
        <f>'7a.20YrDetails'!AP61</f>
        <v>0</v>
      </c>
      <c r="AQ61" s="109">
        <f>'7a.20YrDetails'!AQ61</f>
        <v>0</v>
      </c>
      <c r="AR61" s="109">
        <f>'7a.20YrDetails'!AR61</f>
        <v>0</v>
      </c>
      <c r="AS61" s="109">
        <f>'7a.20YrDetails'!AS61</f>
        <v>0</v>
      </c>
      <c r="AT61" s="109">
        <f>'7a.20YrDetails'!AT61</f>
        <v>0</v>
      </c>
      <c r="AU61" s="109">
        <f>'7a.20YrDetails'!AU61</f>
        <v>0</v>
      </c>
      <c r="AV61" s="109">
        <f>'7a.20YrDetails'!AV61</f>
        <v>0</v>
      </c>
      <c r="AW61" s="109">
        <f>'7a.20YrDetails'!AW61</f>
        <v>0</v>
      </c>
      <c r="AX61" s="109">
        <f>'7a.20YrDetails'!AX61</f>
        <v>0</v>
      </c>
      <c r="AY61" s="109">
        <f>'7a.20YrDetails'!AY61</f>
        <v>0</v>
      </c>
      <c r="AZ61" s="109">
        <f>'7a.20YrDetails'!AZ61</f>
        <v>0</v>
      </c>
      <c r="BA61" s="109">
        <f>'7a.20YrDetails'!BA61</f>
        <v>0</v>
      </c>
      <c r="BB61" s="109">
        <f>'7a.20YrDetails'!BB61</f>
        <v>0</v>
      </c>
      <c r="BC61" s="109">
        <f>'7a.20YrDetails'!BC61</f>
        <v>0</v>
      </c>
      <c r="BD61" s="109">
        <f>'7a.20YrDetails'!BD61</f>
        <v>0</v>
      </c>
      <c r="BE61" s="109">
        <f>'7a.20YrDetails'!BE61</f>
        <v>0</v>
      </c>
      <c r="BF61" s="109">
        <f>'7a.20YrDetails'!BF61</f>
        <v>0</v>
      </c>
      <c r="BG61" s="109">
        <f>'7a.20YrDetails'!BG61</f>
        <v>0</v>
      </c>
      <c r="BH61" s="109">
        <f>'7a.20YrDetails'!BH61</f>
        <v>0</v>
      </c>
      <c r="BI61" s="109">
        <f>'7a.20YrDetails'!BI61</f>
        <v>0</v>
      </c>
      <c r="BJ61" s="109">
        <f>'7a.20YrDetails'!BJ61</f>
        <v>0</v>
      </c>
      <c r="BK61" s="109">
        <f>'7a.20YrDetails'!BK61</f>
        <v>0</v>
      </c>
      <c r="BL61" s="109">
        <f>'7a.20YrDetails'!BL61</f>
        <v>0</v>
      </c>
      <c r="BM61" s="109">
        <f>'7a.20YrDetails'!BM61</f>
        <v>0</v>
      </c>
      <c r="BN61" s="109">
        <f>'7a.20YrDetails'!BN61</f>
        <v>0</v>
      </c>
      <c r="BO61" s="109">
        <f>'7a.20YrDetails'!BO61</f>
        <v>0</v>
      </c>
    </row>
    <row r="62" spans="3:67" ht="12" hidden="1" customHeight="1" outlineLevel="1">
      <c r="C62" s="11" t="str">
        <f>'7a.20YrDetails'!C62</f>
        <v>Sub-total Taxes and Licenses</v>
      </c>
      <c r="D62" s="11"/>
      <c r="E62" s="12"/>
      <c r="F62" s="12"/>
      <c r="G62" s="21"/>
      <c r="H62" s="109">
        <f>'7a.20YrDetails'!H62</f>
        <v>0</v>
      </c>
      <c r="I62" s="109">
        <f>'7a.20YrDetails'!I62</f>
        <v>0</v>
      </c>
      <c r="J62" s="109">
        <f>'7a.20YrDetails'!J62</f>
        <v>0</v>
      </c>
      <c r="K62" s="109">
        <f>'7a.20YrDetails'!K62</f>
        <v>0</v>
      </c>
      <c r="L62" s="109">
        <f>'7a.20YrDetails'!L62</f>
        <v>0</v>
      </c>
      <c r="M62" s="109">
        <f>'7a.20YrDetails'!M62</f>
        <v>0</v>
      </c>
      <c r="N62" s="109">
        <f>'7a.20YrDetails'!N62</f>
        <v>0</v>
      </c>
      <c r="O62" s="109">
        <f>'7a.20YrDetails'!O62</f>
        <v>0</v>
      </c>
      <c r="P62" s="109">
        <f>'7a.20YrDetails'!P62</f>
        <v>0</v>
      </c>
      <c r="Q62" s="109">
        <f>'7a.20YrDetails'!Q62</f>
        <v>0</v>
      </c>
      <c r="R62" s="109">
        <f>'7a.20YrDetails'!R62</f>
        <v>0</v>
      </c>
      <c r="S62" s="109">
        <f>'7a.20YrDetails'!S62</f>
        <v>0</v>
      </c>
      <c r="T62" s="109">
        <f>'7a.20YrDetails'!T62</f>
        <v>0</v>
      </c>
      <c r="U62" s="109">
        <f>'7a.20YrDetails'!U62</f>
        <v>0</v>
      </c>
      <c r="V62" s="109">
        <f>'7a.20YrDetails'!V62</f>
        <v>0</v>
      </c>
      <c r="W62" s="109">
        <f>'7a.20YrDetails'!W62</f>
        <v>0</v>
      </c>
      <c r="X62" s="109">
        <f>'7a.20YrDetails'!X62</f>
        <v>0</v>
      </c>
      <c r="Y62" s="109">
        <f>'7a.20YrDetails'!Y62</f>
        <v>0</v>
      </c>
      <c r="Z62" s="109">
        <f>'7a.20YrDetails'!Z62</f>
        <v>0</v>
      </c>
      <c r="AA62" s="109">
        <f>'7a.20YrDetails'!AA62</f>
        <v>0</v>
      </c>
      <c r="AB62" s="109">
        <f>'7a.20YrDetails'!AB62</f>
        <v>0</v>
      </c>
      <c r="AC62" s="109">
        <f>'7a.20YrDetails'!AC62</f>
        <v>0</v>
      </c>
      <c r="AD62" s="109">
        <f>'7a.20YrDetails'!AD62</f>
        <v>0</v>
      </c>
      <c r="AE62" s="109">
        <f>'7a.20YrDetails'!AE62</f>
        <v>0</v>
      </c>
      <c r="AF62" s="109">
        <f>'7a.20YrDetails'!AF62</f>
        <v>0</v>
      </c>
      <c r="AG62" s="109">
        <f>'7a.20YrDetails'!AG62</f>
        <v>0</v>
      </c>
      <c r="AH62" s="109">
        <f>'7a.20YrDetails'!AH62</f>
        <v>0</v>
      </c>
      <c r="AI62" s="109">
        <f>'7a.20YrDetails'!AI62</f>
        <v>0</v>
      </c>
      <c r="AJ62" s="109">
        <f>'7a.20YrDetails'!AJ62</f>
        <v>0</v>
      </c>
      <c r="AK62" s="109">
        <f>'7a.20YrDetails'!AK62</f>
        <v>0</v>
      </c>
      <c r="AL62" s="109">
        <f>'7a.20YrDetails'!AL62</f>
        <v>0</v>
      </c>
      <c r="AM62" s="109">
        <f>'7a.20YrDetails'!AM62</f>
        <v>0</v>
      </c>
      <c r="AN62" s="109">
        <f>'7a.20YrDetails'!AN62</f>
        <v>0</v>
      </c>
      <c r="AO62" s="109">
        <f>'7a.20YrDetails'!AO62</f>
        <v>0</v>
      </c>
      <c r="AP62" s="109">
        <f>'7a.20YrDetails'!AP62</f>
        <v>0</v>
      </c>
      <c r="AQ62" s="109">
        <f>'7a.20YrDetails'!AQ62</f>
        <v>0</v>
      </c>
      <c r="AR62" s="109">
        <f>'7a.20YrDetails'!AR62</f>
        <v>0</v>
      </c>
      <c r="AS62" s="109">
        <f>'7a.20YrDetails'!AS62</f>
        <v>0</v>
      </c>
      <c r="AT62" s="109">
        <f>'7a.20YrDetails'!AT62</f>
        <v>0</v>
      </c>
      <c r="AU62" s="109">
        <f>'7a.20YrDetails'!AU62</f>
        <v>0</v>
      </c>
      <c r="AV62" s="109">
        <f>'7a.20YrDetails'!AV62</f>
        <v>0</v>
      </c>
      <c r="AW62" s="109">
        <f>'7a.20YrDetails'!AW62</f>
        <v>0</v>
      </c>
      <c r="AX62" s="109">
        <f>'7a.20YrDetails'!AX62</f>
        <v>0</v>
      </c>
      <c r="AY62" s="109">
        <f>'7a.20YrDetails'!AY62</f>
        <v>0</v>
      </c>
      <c r="AZ62" s="109">
        <f>'7a.20YrDetails'!AZ62</f>
        <v>0</v>
      </c>
      <c r="BA62" s="109">
        <f>'7a.20YrDetails'!BA62</f>
        <v>0</v>
      </c>
      <c r="BB62" s="109">
        <f>'7a.20YrDetails'!BB62</f>
        <v>0</v>
      </c>
      <c r="BC62" s="109">
        <f>'7a.20YrDetails'!BC62</f>
        <v>0</v>
      </c>
      <c r="BD62" s="109">
        <f>'7a.20YrDetails'!BD62</f>
        <v>0</v>
      </c>
      <c r="BE62" s="109">
        <f>'7a.20YrDetails'!BE62</f>
        <v>0</v>
      </c>
      <c r="BF62" s="109">
        <f>'7a.20YrDetails'!BF62</f>
        <v>0</v>
      </c>
      <c r="BG62" s="109">
        <f>'7a.20YrDetails'!BG62</f>
        <v>0</v>
      </c>
      <c r="BH62" s="109">
        <f>'7a.20YrDetails'!BH62</f>
        <v>0</v>
      </c>
      <c r="BI62" s="109">
        <f>'7a.20YrDetails'!BI62</f>
        <v>0</v>
      </c>
      <c r="BJ62" s="109">
        <f>'7a.20YrDetails'!BJ62</f>
        <v>0</v>
      </c>
      <c r="BK62" s="109">
        <f>'7a.20YrDetails'!BK62</f>
        <v>0</v>
      </c>
      <c r="BL62" s="109">
        <f>'7a.20YrDetails'!BL62</f>
        <v>0</v>
      </c>
      <c r="BM62" s="109">
        <f>'7a.20YrDetails'!BM62</f>
        <v>0</v>
      </c>
      <c r="BN62" s="109">
        <f>'7a.20YrDetails'!BN62</f>
        <v>0</v>
      </c>
      <c r="BO62" s="109">
        <f>'7a.20YrDetails'!BO62</f>
        <v>0</v>
      </c>
    </row>
    <row r="63" spans="3:67" ht="12" customHeight="1" collapsed="1">
      <c r="C63" s="191" t="str">
        <f>'7a.20YrDetails'!C63</f>
        <v>Insurance</v>
      </c>
      <c r="D63" s="191"/>
      <c r="E63" s="72">
        <f>E64</f>
        <v>3.5000000000000003E-2</v>
      </c>
      <c r="F63" s="72">
        <f>IF(SUBTOTAL(103,$C$64:$C$68)&gt;0,"",F64)</f>
        <v>3.5000000000000003E-2</v>
      </c>
      <c r="G63" s="31"/>
      <c r="H63" s="109">
        <f t="shared" ref="H63:S63" si="11">IF(SUBTOTAL(103,$C$64:$C$68)&gt;0,"",H68)</f>
        <v>0</v>
      </c>
      <c r="I63" s="109">
        <f t="shared" si="11"/>
        <v>0</v>
      </c>
      <c r="J63" s="109">
        <f t="shared" si="11"/>
        <v>0</v>
      </c>
      <c r="K63" s="109">
        <f t="shared" si="11"/>
        <v>0</v>
      </c>
      <c r="L63" s="109">
        <f t="shared" si="11"/>
        <v>0</v>
      </c>
      <c r="M63" s="109">
        <f t="shared" si="11"/>
        <v>0</v>
      </c>
      <c r="N63" s="109">
        <f t="shared" si="11"/>
        <v>0</v>
      </c>
      <c r="O63" s="109">
        <f t="shared" si="11"/>
        <v>0</v>
      </c>
      <c r="P63" s="109">
        <f t="shared" si="11"/>
        <v>0</v>
      </c>
      <c r="Q63" s="109">
        <f t="shared" si="11"/>
        <v>0</v>
      </c>
      <c r="R63" s="109">
        <f t="shared" si="11"/>
        <v>0</v>
      </c>
      <c r="S63" s="109">
        <f t="shared" si="11"/>
        <v>0</v>
      </c>
      <c r="T63" s="109">
        <f t="shared" ref="T63:BO63" si="12">IF(SUBTOTAL(103,$C$64:$C$68)&gt;0,"",T68)</f>
        <v>0</v>
      </c>
      <c r="U63" s="109">
        <f t="shared" si="12"/>
        <v>0</v>
      </c>
      <c r="V63" s="109">
        <f t="shared" si="12"/>
        <v>0</v>
      </c>
      <c r="W63" s="109">
        <f t="shared" si="12"/>
        <v>0</v>
      </c>
      <c r="X63" s="109">
        <f t="shared" si="12"/>
        <v>0</v>
      </c>
      <c r="Y63" s="109">
        <f t="shared" si="12"/>
        <v>0</v>
      </c>
      <c r="Z63" s="109">
        <f t="shared" si="12"/>
        <v>0</v>
      </c>
      <c r="AA63" s="109">
        <f t="shared" si="12"/>
        <v>0</v>
      </c>
      <c r="AB63" s="109">
        <f t="shared" si="12"/>
        <v>0</v>
      </c>
      <c r="AC63" s="109">
        <f t="shared" si="12"/>
        <v>0</v>
      </c>
      <c r="AD63" s="109">
        <f t="shared" si="12"/>
        <v>0</v>
      </c>
      <c r="AE63" s="109">
        <f t="shared" si="12"/>
        <v>0</v>
      </c>
      <c r="AF63" s="109">
        <f t="shared" si="12"/>
        <v>0</v>
      </c>
      <c r="AG63" s="109">
        <f t="shared" si="12"/>
        <v>0</v>
      </c>
      <c r="AH63" s="109">
        <f t="shared" si="12"/>
        <v>0</v>
      </c>
      <c r="AI63" s="109">
        <f t="shared" si="12"/>
        <v>0</v>
      </c>
      <c r="AJ63" s="109">
        <f t="shared" si="12"/>
        <v>0</v>
      </c>
      <c r="AK63" s="109">
        <f t="shared" si="12"/>
        <v>0</v>
      </c>
      <c r="AL63" s="109">
        <f t="shared" si="12"/>
        <v>0</v>
      </c>
      <c r="AM63" s="109">
        <f t="shared" si="12"/>
        <v>0</v>
      </c>
      <c r="AN63" s="109">
        <f t="shared" si="12"/>
        <v>0</v>
      </c>
      <c r="AO63" s="109">
        <f t="shared" si="12"/>
        <v>0</v>
      </c>
      <c r="AP63" s="109">
        <f t="shared" si="12"/>
        <v>0</v>
      </c>
      <c r="AQ63" s="109">
        <f t="shared" si="12"/>
        <v>0</v>
      </c>
      <c r="AR63" s="109">
        <f t="shared" si="12"/>
        <v>0</v>
      </c>
      <c r="AS63" s="109">
        <f t="shared" si="12"/>
        <v>0</v>
      </c>
      <c r="AT63" s="109">
        <f t="shared" si="12"/>
        <v>0</v>
      </c>
      <c r="AU63" s="109">
        <f t="shared" si="12"/>
        <v>0</v>
      </c>
      <c r="AV63" s="109">
        <f t="shared" si="12"/>
        <v>0</v>
      </c>
      <c r="AW63" s="109">
        <f t="shared" si="12"/>
        <v>0</v>
      </c>
      <c r="AX63" s="109">
        <f t="shared" si="12"/>
        <v>0</v>
      </c>
      <c r="AY63" s="109">
        <f t="shared" si="12"/>
        <v>0</v>
      </c>
      <c r="AZ63" s="109">
        <f t="shared" si="12"/>
        <v>0</v>
      </c>
      <c r="BA63" s="109">
        <f t="shared" si="12"/>
        <v>0</v>
      </c>
      <c r="BB63" s="109">
        <f t="shared" si="12"/>
        <v>0</v>
      </c>
      <c r="BC63" s="109">
        <f t="shared" si="12"/>
        <v>0</v>
      </c>
      <c r="BD63" s="109">
        <f t="shared" si="12"/>
        <v>0</v>
      </c>
      <c r="BE63" s="109">
        <f t="shared" si="12"/>
        <v>0</v>
      </c>
      <c r="BF63" s="109">
        <f t="shared" si="12"/>
        <v>0</v>
      </c>
      <c r="BG63" s="109">
        <f t="shared" si="12"/>
        <v>0</v>
      </c>
      <c r="BH63" s="109">
        <f t="shared" si="12"/>
        <v>0</v>
      </c>
      <c r="BI63" s="109">
        <f t="shared" si="12"/>
        <v>0</v>
      </c>
      <c r="BJ63" s="109">
        <f t="shared" si="12"/>
        <v>0</v>
      </c>
      <c r="BK63" s="109">
        <f t="shared" si="12"/>
        <v>0</v>
      </c>
      <c r="BL63" s="109">
        <f t="shared" si="12"/>
        <v>0</v>
      </c>
      <c r="BM63" s="109">
        <f t="shared" si="12"/>
        <v>0</v>
      </c>
      <c r="BN63" s="109">
        <f t="shared" si="12"/>
        <v>0</v>
      </c>
      <c r="BO63" s="109">
        <f t="shared" si="12"/>
        <v>0</v>
      </c>
    </row>
    <row r="64" spans="3:67" ht="12" hidden="1" customHeight="1" outlineLevel="1">
      <c r="C64" s="191" t="str">
        <f>'7a.20YrDetails'!C64</f>
        <v>Property and Liability Insurance</v>
      </c>
      <c r="D64" s="191">
        <f>'7a.20YrDetails'!D64</f>
        <v>6720</v>
      </c>
      <c r="E64" s="73">
        <f>'7a.20YrDetails'!E64</f>
        <v>3.5000000000000003E-2</v>
      </c>
      <c r="F64" s="73">
        <f>'7a.20YrDetails'!F64</f>
        <v>3.5000000000000003E-2</v>
      </c>
      <c r="G64" s="31" t="str">
        <f>IF('7a.20YrDetails'!$G64="","",'7a.20YrDetails'!$G64)</f>
        <v/>
      </c>
      <c r="H64" s="109">
        <f>'7a.20YrDetails'!H64</f>
        <v>0</v>
      </c>
      <c r="I64" s="109">
        <f>'7a.20YrDetails'!I64</f>
        <v>0</v>
      </c>
      <c r="J64" s="109">
        <f>'7a.20YrDetails'!J64</f>
        <v>0</v>
      </c>
      <c r="K64" s="109">
        <f>'7a.20YrDetails'!K64</f>
        <v>0</v>
      </c>
      <c r="L64" s="109">
        <f>'7a.20YrDetails'!L64</f>
        <v>0</v>
      </c>
      <c r="M64" s="109">
        <f>'7a.20YrDetails'!M64</f>
        <v>0</v>
      </c>
      <c r="N64" s="109">
        <f>'7a.20YrDetails'!N64</f>
        <v>0</v>
      </c>
      <c r="O64" s="109">
        <f>'7a.20YrDetails'!O64</f>
        <v>0</v>
      </c>
      <c r="P64" s="109">
        <f>'7a.20YrDetails'!P64</f>
        <v>0</v>
      </c>
      <c r="Q64" s="109">
        <f>'7a.20YrDetails'!Q64</f>
        <v>0</v>
      </c>
      <c r="R64" s="109">
        <f>'7a.20YrDetails'!R64</f>
        <v>0</v>
      </c>
      <c r="S64" s="109">
        <f>'7a.20YrDetails'!S64</f>
        <v>0</v>
      </c>
      <c r="T64" s="109">
        <f>'7a.20YrDetails'!T64</f>
        <v>0</v>
      </c>
      <c r="U64" s="109">
        <f>'7a.20YrDetails'!U64</f>
        <v>0</v>
      </c>
      <c r="V64" s="109">
        <f>'7a.20YrDetails'!V64</f>
        <v>0</v>
      </c>
      <c r="W64" s="109">
        <f>'7a.20YrDetails'!W64</f>
        <v>0</v>
      </c>
      <c r="X64" s="109">
        <f>'7a.20YrDetails'!X64</f>
        <v>0</v>
      </c>
      <c r="Y64" s="109">
        <f>'7a.20YrDetails'!Y64</f>
        <v>0</v>
      </c>
      <c r="Z64" s="109">
        <f>'7a.20YrDetails'!Z64</f>
        <v>0</v>
      </c>
      <c r="AA64" s="109">
        <f>'7a.20YrDetails'!AA64</f>
        <v>0</v>
      </c>
      <c r="AB64" s="109">
        <f>'7a.20YrDetails'!AB64</f>
        <v>0</v>
      </c>
      <c r="AC64" s="109">
        <f>'7a.20YrDetails'!AC64</f>
        <v>0</v>
      </c>
      <c r="AD64" s="109">
        <f>'7a.20YrDetails'!AD64</f>
        <v>0</v>
      </c>
      <c r="AE64" s="109">
        <f>'7a.20YrDetails'!AE64</f>
        <v>0</v>
      </c>
      <c r="AF64" s="109">
        <f>'7a.20YrDetails'!AF64</f>
        <v>0</v>
      </c>
      <c r="AG64" s="109">
        <f>'7a.20YrDetails'!AG64</f>
        <v>0</v>
      </c>
      <c r="AH64" s="109">
        <f>'7a.20YrDetails'!AH64</f>
        <v>0</v>
      </c>
      <c r="AI64" s="109">
        <f>'7a.20YrDetails'!AI64</f>
        <v>0</v>
      </c>
      <c r="AJ64" s="109">
        <f>'7a.20YrDetails'!AJ64</f>
        <v>0</v>
      </c>
      <c r="AK64" s="109">
        <f>'7a.20YrDetails'!AK64</f>
        <v>0</v>
      </c>
      <c r="AL64" s="109">
        <f>'7a.20YrDetails'!AL64</f>
        <v>0</v>
      </c>
      <c r="AM64" s="109">
        <f>'7a.20YrDetails'!AM64</f>
        <v>0</v>
      </c>
      <c r="AN64" s="109">
        <f>'7a.20YrDetails'!AN64</f>
        <v>0</v>
      </c>
      <c r="AO64" s="109">
        <f>'7a.20YrDetails'!AO64</f>
        <v>0</v>
      </c>
      <c r="AP64" s="109">
        <f>'7a.20YrDetails'!AP64</f>
        <v>0</v>
      </c>
      <c r="AQ64" s="109">
        <f>'7a.20YrDetails'!AQ64</f>
        <v>0</v>
      </c>
      <c r="AR64" s="109">
        <f>'7a.20YrDetails'!AR64</f>
        <v>0</v>
      </c>
      <c r="AS64" s="109">
        <f>'7a.20YrDetails'!AS64</f>
        <v>0</v>
      </c>
      <c r="AT64" s="109">
        <f>'7a.20YrDetails'!AT64</f>
        <v>0</v>
      </c>
      <c r="AU64" s="109">
        <f>'7a.20YrDetails'!AU64</f>
        <v>0</v>
      </c>
      <c r="AV64" s="109">
        <f>'7a.20YrDetails'!AV64</f>
        <v>0</v>
      </c>
      <c r="AW64" s="109">
        <f>'7a.20YrDetails'!AW64</f>
        <v>0</v>
      </c>
      <c r="AX64" s="109">
        <f>'7a.20YrDetails'!AX64</f>
        <v>0</v>
      </c>
      <c r="AY64" s="109">
        <f>'7a.20YrDetails'!AY64</f>
        <v>0</v>
      </c>
      <c r="AZ64" s="109">
        <f>'7a.20YrDetails'!AZ64</f>
        <v>0</v>
      </c>
      <c r="BA64" s="109">
        <f>'7a.20YrDetails'!BA64</f>
        <v>0</v>
      </c>
      <c r="BB64" s="109">
        <f>'7a.20YrDetails'!BB64</f>
        <v>0</v>
      </c>
      <c r="BC64" s="109">
        <f>'7a.20YrDetails'!BC64</f>
        <v>0</v>
      </c>
      <c r="BD64" s="109">
        <f>'7a.20YrDetails'!BD64</f>
        <v>0</v>
      </c>
      <c r="BE64" s="109">
        <f>'7a.20YrDetails'!BE64</f>
        <v>0</v>
      </c>
      <c r="BF64" s="109">
        <f>'7a.20YrDetails'!BF64</f>
        <v>0</v>
      </c>
      <c r="BG64" s="109">
        <f>'7a.20YrDetails'!BG64</f>
        <v>0</v>
      </c>
      <c r="BH64" s="109">
        <f>'7a.20YrDetails'!BH64</f>
        <v>0</v>
      </c>
      <c r="BI64" s="109">
        <f>'7a.20YrDetails'!BI64</f>
        <v>0</v>
      </c>
      <c r="BJ64" s="109">
        <f>'7a.20YrDetails'!BJ64</f>
        <v>0</v>
      </c>
      <c r="BK64" s="109">
        <f>'7a.20YrDetails'!BK64</f>
        <v>0</v>
      </c>
      <c r="BL64" s="109">
        <f>'7a.20YrDetails'!BL64</f>
        <v>0</v>
      </c>
      <c r="BM64" s="109">
        <f>'7a.20YrDetails'!BM64</f>
        <v>0</v>
      </c>
      <c r="BN64" s="109">
        <f>'7a.20YrDetails'!BN64</f>
        <v>0</v>
      </c>
      <c r="BO64" s="109">
        <f>'7a.20YrDetails'!BO64</f>
        <v>0</v>
      </c>
    </row>
    <row r="65" spans="3:67" ht="12" hidden="1" customHeight="1" outlineLevel="1">
      <c r="C65" s="191" t="str">
        <f>'7a.20YrDetails'!C65</f>
        <v>Fidelity Bond Insurance</v>
      </c>
      <c r="D65" s="191">
        <f>'7a.20YrDetails'!D65</f>
        <v>6721</v>
      </c>
      <c r="E65" s="73">
        <f>'7a.20YrDetails'!E65</f>
        <v>3.5000000000000003E-2</v>
      </c>
      <c r="F65" s="73">
        <f>'7a.20YrDetails'!F65</f>
        <v>3.5000000000000003E-2</v>
      </c>
      <c r="G65" s="31" t="str">
        <f>IF('7a.20YrDetails'!$G65="","",'7a.20YrDetails'!$G65)</f>
        <v/>
      </c>
      <c r="H65" s="109">
        <f>'7a.20YrDetails'!H65</f>
        <v>0</v>
      </c>
      <c r="I65" s="109">
        <f>'7a.20YrDetails'!I65</f>
        <v>0</v>
      </c>
      <c r="J65" s="109">
        <f>'7a.20YrDetails'!J65</f>
        <v>0</v>
      </c>
      <c r="K65" s="109">
        <f>'7a.20YrDetails'!K65</f>
        <v>0</v>
      </c>
      <c r="L65" s="109">
        <f>'7a.20YrDetails'!L65</f>
        <v>0</v>
      </c>
      <c r="M65" s="109">
        <f>'7a.20YrDetails'!M65</f>
        <v>0</v>
      </c>
      <c r="N65" s="109">
        <f>'7a.20YrDetails'!N65</f>
        <v>0</v>
      </c>
      <c r="O65" s="109">
        <f>'7a.20YrDetails'!O65</f>
        <v>0</v>
      </c>
      <c r="P65" s="109">
        <f>'7a.20YrDetails'!P65</f>
        <v>0</v>
      </c>
      <c r="Q65" s="109">
        <f>'7a.20YrDetails'!Q65</f>
        <v>0</v>
      </c>
      <c r="R65" s="109">
        <f>'7a.20YrDetails'!R65</f>
        <v>0</v>
      </c>
      <c r="S65" s="109">
        <f>'7a.20YrDetails'!S65</f>
        <v>0</v>
      </c>
      <c r="T65" s="109">
        <f>'7a.20YrDetails'!T65</f>
        <v>0</v>
      </c>
      <c r="U65" s="109">
        <f>'7a.20YrDetails'!U65</f>
        <v>0</v>
      </c>
      <c r="V65" s="109">
        <f>'7a.20YrDetails'!V65</f>
        <v>0</v>
      </c>
      <c r="W65" s="109">
        <f>'7a.20YrDetails'!W65</f>
        <v>0</v>
      </c>
      <c r="X65" s="109">
        <f>'7a.20YrDetails'!X65</f>
        <v>0</v>
      </c>
      <c r="Y65" s="109">
        <f>'7a.20YrDetails'!Y65</f>
        <v>0</v>
      </c>
      <c r="Z65" s="109">
        <f>'7a.20YrDetails'!Z65</f>
        <v>0</v>
      </c>
      <c r="AA65" s="109">
        <f>'7a.20YrDetails'!AA65</f>
        <v>0</v>
      </c>
      <c r="AB65" s="109">
        <f>'7a.20YrDetails'!AB65</f>
        <v>0</v>
      </c>
      <c r="AC65" s="109">
        <f>'7a.20YrDetails'!AC65</f>
        <v>0</v>
      </c>
      <c r="AD65" s="109">
        <f>'7a.20YrDetails'!AD65</f>
        <v>0</v>
      </c>
      <c r="AE65" s="109">
        <f>'7a.20YrDetails'!AE65</f>
        <v>0</v>
      </c>
      <c r="AF65" s="109">
        <f>'7a.20YrDetails'!AF65</f>
        <v>0</v>
      </c>
      <c r="AG65" s="109">
        <f>'7a.20YrDetails'!AG65</f>
        <v>0</v>
      </c>
      <c r="AH65" s="109">
        <f>'7a.20YrDetails'!AH65</f>
        <v>0</v>
      </c>
      <c r="AI65" s="109">
        <f>'7a.20YrDetails'!AI65</f>
        <v>0</v>
      </c>
      <c r="AJ65" s="109">
        <f>'7a.20YrDetails'!AJ65</f>
        <v>0</v>
      </c>
      <c r="AK65" s="109">
        <f>'7a.20YrDetails'!AK65</f>
        <v>0</v>
      </c>
      <c r="AL65" s="109">
        <f>'7a.20YrDetails'!AL65</f>
        <v>0</v>
      </c>
      <c r="AM65" s="109">
        <f>'7a.20YrDetails'!AM65</f>
        <v>0</v>
      </c>
      <c r="AN65" s="109">
        <f>'7a.20YrDetails'!AN65</f>
        <v>0</v>
      </c>
      <c r="AO65" s="109">
        <f>'7a.20YrDetails'!AO65</f>
        <v>0</v>
      </c>
      <c r="AP65" s="109">
        <f>'7a.20YrDetails'!AP65</f>
        <v>0</v>
      </c>
      <c r="AQ65" s="109">
        <f>'7a.20YrDetails'!AQ65</f>
        <v>0</v>
      </c>
      <c r="AR65" s="109">
        <f>'7a.20YrDetails'!AR65</f>
        <v>0</v>
      </c>
      <c r="AS65" s="109">
        <f>'7a.20YrDetails'!AS65</f>
        <v>0</v>
      </c>
      <c r="AT65" s="109">
        <f>'7a.20YrDetails'!AT65</f>
        <v>0</v>
      </c>
      <c r="AU65" s="109">
        <f>'7a.20YrDetails'!AU65</f>
        <v>0</v>
      </c>
      <c r="AV65" s="109">
        <f>'7a.20YrDetails'!AV65</f>
        <v>0</v>
      </c>
      <c r="AW65" s="109">
        <f>'7a.20YrDetails'!AW65</f>
        <v>0</v>
      </c>
      <c r="AX65" s="109">
        <f>'7a.20YrDetails'!AX65</f>
        <v>0</v>
      </c>
      <c r="AY65" s="109">
        <f>'7a.20YrDetails'!AY65</f>
        <v>0</v>
      </c>
      <c r="AZ65" s="109">
        <f>'7a.20YrDetails'!AZ65</f>
        <v>0</v>
      </c>
      <c r="BA65" s="109">
        <f>'7a.20YrDetails'!BA65</f>
        <v>0</v>
      </c>
      <c r="BB65" s="109">
        <f>'7a.20YrDetails'!BB65</f>
        <v>0</v>
      </c>
      <c r="BC65" s="109">
        <f>'7a.20YrDetails'!BC65</f>
        <v>0</v>
      </c>
      <c r="BD65" s="109">
        <f>'7a.20YrDetails'!BD65</f>
        <v>0</v>
      </c>
      <c r="BE65" s="109">
        <f>'7a.20YrDetails'!BE65</f>
        <v>0</v>
      </c>
      <c r="BF65" s="109">
        <f>'7a.20YrDetails'!BF65</f>
        <v>0</v>
      </c>
      <c r="BG65" s="109">
        <f>'7a.20YrDetails'!BG65</f>
        <v>0</v>
      </c>
      <c r="BH65" s="109">
        <f>'7a.20YrDetails'!BH65</f>
        <v>0</v>
      </c>
      <c r="BI65" s="109">
        <f>'7a.20YrDetails'!BI65</f>
        <v>0</v>
      </c>
      <c r="BJ65" s="109">
        <f>'7a.20YrDetails'!BJ65</f>
        <v>0</v>
      </c>
      <c r="BK65" s="109">
        <f>'7a.20YrDetails'!BK65</f>
        <v>0</v>
      </c>
      <c r="BL65" s="109">
        <f>'7a.20YrDetails'!BL65</f>
        <v>0</v>
      </c>
      <c r="BM65" s="109">
        <f>'7a.20YrDetails'!BM65</f>
        <v>0</v>
      </c>
      <c r="BN65" s="109">
        <f>'7a.20YrDetails'!BN65</f>
        <v>0</v>
      </c>
      <c r="BO65" s="109">
        <f>'7a.20YrDetails'!BO65</f>
        <v>0</v>
      </c>
    </row>
    <row r="66" spans="3:67" ht="12" hidden="1" customHeight="1" outlineLevel="1">
      <c r="C66" s="191" t="str">
        <f>'7a.20YrDetails'!C66</f>
        <v>Worker's Compensation</v>
      </c>
      <c r="D66" s="191">
        <f>'7a.20YrDetails'!D66</f>
        <v>6722</v>
      </c>
      <c r="E66" s="73">
        <f>'7a.20YrDetails'!E66</f>
        <v>3.5000000000000003E-2</v>
      </c>
      <c r="F66" s="73">
        <f>'7a.20YrDetails'!F66</f>
        <v>3.5000000000000003E-2</v>
      </c>
      <c r="G66" s="31" t="str">
        <f>IF('7a.20YrDetails'!$G66="","",'7a.20YrDetails'!$G66)</f>
        <v/>
      </c>
      <c r="H66" s="109">
        <f>'7a.20YrDetails'!H66</f>
        <v>0</v>
      </c>
      <c r="I66" s="109">
        <f>'7a.20YrDetails'!I66</f>
        <v>0</v>
      </c>
      <c r="J66" s="109">
        <f>'7a.20YrDetails'!J66</f>
        <v>0</v>
      </c>
      <c r="K66" s="109">
        <f>'7a.20YrDetails'!K66</f>
        <v>0</v>
      </c>
      <c r="L66" s="109">
        <f>'7a.20YrDetails'!L66</f>
        <v>0</v>
      </c>
      <c r="M66" s="109">
        <f>'7a.20YrDetails'!M66</f>
        <v>0</v>
      </c>
      <c r="N66" s="109">
        <f>'7a.20YrDetails'!N66</f>
        <v>0</v>
      </c>
      <c r="O66" s="109">
        <f>'7a.20YrDetails'!O66</f>
        <v>0</v>
      </c>
      <c r="P66" s="109">
        <f>'7a.20YrDetails'!P66</f>
        <v>0</v>
      </c>
      <c r="Q66" s="109">
        <f>'7a.20YrDetails'!Q66</f>
        <v>0</v>
      </c>
      <c r="R66" s="109">
        <f>'7a.20YrDetails'!R66</f>
        <v>0</v>
      </c>
      <c r="S66" s="109">
        <f>'7a.20YrDetails'!S66</f>
        <v>0</v>
      </c>
      <c r="T66" s="109">
        <f>'7a.20YrDetails'!T66</f>
        <v>0</v>
      </c>
      <c r="U66" s="109">
        <f>'7a.20YrDetails'!U66</f>
        <v>0</v>
      </c>
      <c r="V66" s="109">
        <f>'7a.20YrDetails'!V66</f>
        <v>0</v>
      </c>
      <c r="W66" s="109">
        <f>'7a.20YrDetails'!W66</f>
        <v>0</v>
      </c>
      <c r="X66" s="109">
        <f>'7a.20YrDetails'!X66</f>
        <v>0</v>
      </c>
      <c r="Y66" s="109">
        <f>'7a.20YrDetails'!Y66</f>
        <v>0</v>
      </c>
      <c r="Z66" s="109">
        <f>'7a.20YrDetails'!Z66</f>
        <v>0</v>
      </c>
      <c r="AA66" s="109">
        <f>'7a.20YrDetails'!AA66</f>
        <v>0</v>
      </c>
      <c r="AB66" s="109">
        <f>'7a.20YrDetails'!AB66</f>
        <v>0</v>
      </c>
      <c r="AC66" s="109">
        <f>'7a.20YrDetails'!AC66</f>
        <v>0</v>
      </c>
      <c r="AD66" s="109">
        <f>'7a.20YrDetails'!AD66</f>
        <v>0</v>
      </c>
      <c r="AE66" s="109">
        <f>'7a.20YrDetails'!AE66</f>
        <v>0</v>
      </c>
      <c r="AF66" s="109">
        <f>'7a.20YrDetails'!AF66</f>
        <v>0</v>
      </c>
      <c r="AG66" s="109">
        <f>'7a.20YrDetails'!AG66</f>
        <v>0</v>
      </c>
      <c r="AH66" s="109">
        <f>'7a.20YrDetails'!AH66</f>
        <v>0</v>
      </c>
      <c r="AI66" s="109">
        <f>'7a.20YrDetails'!AI66</f>
        <v>0</v>
      </c>
      <c r="AJ66" s="109">
        <f>'7a.20YrDetails'!AJ66</f>
        <v>0</v>
      </c>
      <c r="AK66" s="109">
        <f>'7a.20YrDetails'!AK66</f>
        <v>0</v>
      </c>
      <c r="AL66" s="109">
        <f>'7a.20YrDetails'!AL66</f>
        <v>0</v>
      </c>
      <c r="AM66" s="109">
        <f>'7a.20YrDetails'!AM66</f>
        <v>0</v>
      </c>
      <c r="AN66" s="109">
        <f>'7a.20YrDetails'!AN66</f>
        <v>0</v>
      </c>
      <c r="AO66" s="109">
        <f>'7a.20YrDetails'!AO66</f>
        <v>0</v>
      </c>
      <c r="AP66" s="109">
        <f>'7a.20YrDetails'!AP66</f>
        <v>0</v>
      </c>
      <c r="AQ66" s="109">
        <f>'7a.20YrDetails'!AQ66</f>
        <v>0</v>
      </c>
      <c r="AR66" s="109">
        <f>'7a.20YrDetails'!AR66</f>
        <v>0</v>
      </c>
      <c r="AS66" s="109">
        <f>'7a.20YrDetails'!AS66</f>
        <v>0</v>
      </c>
      <c r="AT66" s="109">
        <f>'7a.20YrDetails'!AT66</f>
        <v>0</v>
      </c>
      <c r="AU66" s="109">
        <f>'7a.20YrDetails'!AU66</f>
        <v>0</v>
      </c>
      <c r="AV66" s="109">
        <f>'7a.20YrDetails'!AV66</f>
        <v>0</v>
      </c>
      <c r="AW66" s="109">
        <f>'7a.20YrDetails'!AW66</f>
        <v>0</v>
      </c>
      <c r="AX66" s="109">
        <f>'7a.20YrDetails'!AX66</f>
        <v>0</v>
      </c>
      <c r="AY66" s="109">
        <f>'7a.20YrDetails'!AY66</f>
        <v>0</v>
      </c>
      <c r="AZ66" s="109">
        <f>'7a.20YrDetails'!AZ66</f>
        <v>0</v>
      </c>
      <c r="BA66" s="109">
        <f>'7a.20YrDetails'!BA66</f>
        <v>0</v>
      </c>
      <c r="BB66" s="109">
        <f>'7a.20YrDetails'!BB66</f>
        <v>0</v>
      </c>
      <c r="BC66" s="109">
        <f>'7a.20YrDetails'!BC66</f>
        <v>0</v>
      </c>
      <c r="BD66" s="109">
        <f>'7a.20YrDetails'!BD66</f>
        <v>0</v>
      </c>
      <c r="BE66" s="109">
        <f>'7a.20YrDetails'!BE66</f>
        <v>0</v>
      </c>
      <c r="BF66" s="109">
        <f>'7a.20YrDetails'!BF66</f>
        <v>0</v>
      </c>
      <c r="BG66" s="109">
        <f>'7a.20YrDetails'!BG66</f>
        <v>0</v>
      </c>
      <c r="BH66" s="109">
        <f>'7a.20YrDetails'!BH66</f>
        <v>0</v>
      </c>
      <c r="BI66" s="109">
        <f>'7a.20YrDetails'!BI66</f>
        <v>0</v>
      </c>
      <c r="BJ66" s="109">
        <f>'7a.20YrDetails'!BJ66</f>
        <v>0</v>
      </c>
      <c r="BK66" s="109">
        <f>'7a.20YrDetails'!BK66</f>
        <v>0</v>
      </c>
      <c r="BL66" s="109">
        <f>'7a.20YrDetails'!BL66</f>
        <v>0</v>
      </c>
      <c r="BM66" s="109">
        <f>'7a.20YrDetails'!BM66</f>
        <v>0</v>
      </c>
      <c r="BN66" s="109">
        <f>'7a.20YrDetails'!BN66</f>
        <v>0</v>
      </c>
      <c r="BO66" s="109">
        <f>'7a.20YrDetails'!BO66</f>
        <v>0</v>
      </c>
    </row>
    <row r="67" spans="3:67" ht="12" hidden="1" customHeight="1" outlineLevel="1">
      <c r="C67" s="191" t="str">
        <f>'7a.20YrDetails'!C67</f>
        <v>Director's &amp; Officers' Liability Insurance</v>
      </c>
      <c r="D67" s="191">
        <f>'7a.20YrDetails'!D67</f>
        <v>6722</v>
      </c>
      <c r="E67" s="73">
        <f>'7a.20YrDetails'!E67</f>
        <v>3.5000000000000003E-2</v>
      </c>
      <c r="F67" s="73">
        <f>'7a.20YrDetails'!F67</f>
        <v>3.5000000000000003E-2</v>
      </c>
      <c r="G67" s="31" t="str">
        <f>IF('7a.20YrDetails'!$G67="","",'7a.20YrDetails'!$G67)</f>
        <v/>
      </c>
      <c r="H67" s="109">
        <f>'7a.20YrDetails'!H67</f>
        <v>0</v>
      </c>
      <c r="I67" s="109">
        <f>'7a.20YrDetails'!I67</f>
        <v>0</v>
      </c>
      <c r="J67" s="109">
        <f>'7a.20YrDetails'!J67</f>
        <v>0</v>
      </c>
      <c r="K67" s="109">
        <f>'7a.20YrDetails'!K67</f>
        <v>0</v>
      </c>
      <c r="L67" s="109">
        <f>'7a.20YrDetails'!L67</f>
        <v>0</v>
      </c>
      <c r="M67" s="109">
        <f>'7a.20YrDetails'!M67</f>
        <v>0</v>
      </c>
      <c r="N67" s="109">
        <f>'7a.20YrDetails'!N67</f>
        <v>0</v>
      </c>
      <c r="O67" s="109">
        <f>'7a.20YrDetails'!O67</f>
        <v>0</v>
      </c>
      <c r="P67" s="109">
        <f>'7a.20YrDetails'!P67</f>
        <v>0</v>
      </c>
      <c r="Q67" s="109">
        <f>'7a.20YrDetails'!Q67</f>
        <v>0</v>
      </c>
      <c r="R67" s="109">
        <f>'7a.20YrDetails'!R67</f>
        <v>0</v>
      </c>
      <c r="S67" s="109">
        <f>'7a.20YrDetails'!S67</f>
        <v>0</v>
      </c>
      <c r="T67" s="109">
        <f>'7a.20YrDetails'!T67</f>
        <v>0</v>
      </c>
      <c r="U67" s="109">
        <f>'7a.20YrDetails'!U67</f>
        <v>0</v>
      </c>
      <c r="V67" s="109">
        <f>'7a.20YrDetails'!V67</f>
        <v>0</v>
      </c>
      <c r="W67" s="109">
        <f>'7a.20YrDetails'!W67</f>
        <v>0</v>
      </c>
      <c r="X67" s="109">
        <f>'7a.20YrDetails'!X67</f>
        <v>0</v>
      </c>
      <c r="Y67" s="109">
        <f>'7a.20YrDetails'!Y67</f>
        <v>0</v>
      </c>
      <c r="Z67" s="109">
        <f>'7a.20YrDetails'!Z67</f>
        <v>0</v>
      </c>
      <c r="AA67" s="109">
        <f>'7a.20YrDetails'!AA67</f>
        <v>0</v>
      </c>
      <c r="AB67" s="109">
        <f>'7a.20YrDetails'!AB67</f>
        <v>0</v>
      </c>
      <c r="AC67" s="109">
        <f>'7a.20YrDetails'!AC67</f>
        <v>0</v>
      </c>
      <c r="AD67" s="109">
        <f>'7a.20YrDetails'!AD67</f>
        <v>0</v>
      </c>
      <c r="AE67" s="109">
        <f>'7a.20YrDetails'!AE67</f>
        <v>0</v>
      </c>
      <c r="AF67" s="109">
        <f>'7a.20YrDetails'!AF67</f>
        <v>0</v>
      </c>
      <c r="AG67" s="109">
        <f>'7a.20YrDetails'!AG67</f>
        <v>0</v>
      </c>
      <c r="AH67" s="109">
        <f>'7a.20YrDetails'!AH67</f>
        <v>0</v>
      </c>
      <c r="AI67" s="109">
        <f>'7a.20YrDetails'!AI67</f>
        <v>0</v>
      </c>
      <c r="AJ67" s="109">
        <f>'7a.20YrDetails'!AJ67</f>
        <v>0</v>
      </c>
      <c r="AK67" s="109">
        <f>'7a.20YrDetails'!AK67</f>
        <v>0</v>
      </c>
      <c r="AL67" s="109">
        <f>'7a.20YrDetails'!AL67</f>
        <v>0</v>
      </c>
      <c r="AM67" s="109">
        <f>'7a.20YrDetails'!AM67</f>
        <v>0</v>
      </c>
      <c r="AN67" s="109">
        <f>'7a.20YrDetails'!AN67</f>
        <v>0</v>
      </c>
      <c r="AO67" s="109">
        <f>'7a.20YrDetails'!AO67</f>
        <v>0</v>
      </c>
      <c r="AP67" s="109">
        <f>'7a.20YrDetails'!AP67</f>
        <v>0</v>
      </c>
      <c r="AQ67" s="109">
        <f>'7a.20YrDetails'!AQ67</f>
        <v>0</v>
      </c>
      <c r="AR67" s="109">
        <f>'7a.20YrDetails'!AR67</f>
        <v>0</v>
      </c>
      <c r="AS67" s="109">
        <f>'7a.20YrDetails'!AS67</f>
        <v>0</v>
      </c>
      <c r="AT67" s="109">
        <f>'7a.20YrDetails'!AT67</f>
        <v>0</v>
      </c>
      <c r="AU67" s="109">
        <f>'7a.20YrDetails'!AU67</f>
        <v>0</v>
      </c>
      <c r="AV67" s="109">
        <f>'7a.20YrDetails'!AV67</f>
        <v>0</v>
      </c>
      <c r="AW67" s="109">
        <f>'7a.20YrDetails'!AW67</f>
        <v>0</v>
      </c>
      <c r="AX67" s="109">
        <f>'7a.20YrDetails'!AX67</f>
        <v>0</v>
      </c>
      <c r="AY67" s="109">
        <f>'7a.20YrDetails'!AY67</f>
        <v>0</v>
      </c>
      <c r="AZ67" s="109">
        <f>'7a.20YrDetails'!AZ67</f>
        <v>0</v>
      </c>
      <c r="BA67" s="109">
        <f>'7a.20YrDetails'!BA67</f>
        <v>0</v>
      </c>
      <c r="BB67" s="109">
        <f>'7a.20YrDetails'!BB67</f>
        <v>0</v>
      </c>
      <c r="BC67" s="109">
        <f>'7a.20YrDetails'!BC67</f>
        <v>0</v>
      </c>
      <c r="BD67" s="109">
        <f>'7a.20YrDetails'!BD67</f>
        <v>0</v>
      </c>
      <c r="BE67" s="109">
        <f>'7a.20YrDetails'!BE67</f>
        <v>0</v>
      </c>
      <c r="BF67" s="109">
        <f>'7a.20YrDetails'!BF67</f>
        <v>0</v>
      </c>
      <c r="BG67" s="109">
        <f>'7a.20YrDetails'!BG67</f>
        <v>0</v>
      </c>
      <c r="BH67" s="109">
        <f>'7a.20YrDetails'!BH67</f>
        <v>0</v>
      </c>
      <c r="BI67" s="109">
        <f>'7a.20YrDetails'!BI67</f>
        <v>0</v>
      </c>
      <c r="BJ67" s="109">
        <f>'7a.20YrDetails'!BJ67</f>
        <v>0</v>
      </c>
      <c r="BK67" s="109">
        <f>'7a.20YrDetails'!BK67</f>
        <v>0</v>
      </c>
      <c r="BL67" s="109">
        <f>'7a.20YrDetails'!BL67</f>
        <v>0</v>
      </c>
      <c r="BM67" s="109">
        <f>'7a.20YrDetails'!BM67</f>
        <v>0</v>
      </c>
      <c r="BN67" s="109">
        <f>'7a.20YrDetails'!BN67</f>
        <v>0</v>
      </c>
      <c r="BO67" s="109">
        <f>'7a.20YrDetails'!BO67</f>
        <v>0</v>
      </c>
    </row>
    <row r="68" spans="3:67" ht="12" hidden="1" customHeight="1" outlineLevel="1">
      <c r="C68" s="11" t="str">
        <f>'7a.20YrDetails'!C68</f>
        <v>Sub-total Insurance</v>
      </c>
      <c r="D68" s="11"/>
      <c r="E68" s="12"/>
      <c r="F68" s="12"/>
      <c r="G68" s="21"/>
      <c r="H68" s="109">
        <f>'7a.20YrDetails'!H68</f>
        <v>0</v>
      </c>
      <c r="I68" s="109">
        <f>'7a.20YrDetails'!I68</f>
        <v>0</v>
      </c>
      <c r="J68" s="109">
        <f>'7a.20YrDetails'!J68</f>
        <v>0</v>
      </c>
      <c r="K68" s="109">
        <f>'7a.20YrDetails'!K68</f>
        <v>0</v>
      </c>
      <c r="L68" s="109">
        <f>'7a.20YrDetails'!L68</f>
        <v>0</v>
      </c>
      <c r="M68" s="109">
        <f>'7a.20YrDetails'!M68</f>
        <v>0</v>
      </c>
      <c r="N68" s="109">
        <f>'7a.20YrDetails'!N68</f>
        <v>0</v>
      </c>
      <c r="O68" s="109">
        <f>'7a.20YrDetails'!O68</f>
        <v>0</v>
      </c>
      <c r="P68" s="109">
        <f>'7a.20YrDetails'!P68</f>
        <v>0</v>
      </c>
      <c r="Q68" s="109">
        <f>'7a.20YrDetails'!Q68</f>
        <v>0</v>
      </c>
      <c r="R68" s="109">
        <f>'7a.20YrDetails'!R68</f>
        <v>0</v>
      </c>
      <c r="S68" s="109">
        <f>'7a.20YrDetails'!S68</f>
        <v>0</v>
      </c>
      <c r="T68" s="109">
        <f>'7a.20YrDetails'!T68</f>
        <v>0</v>
      </c>
      <c r="U68" s="109">
        <f>'7a.20YrDetails'!U68</f>
        <v>0</v>
      </c>
      <c r="V68" s="109">
        <f>'7a.20YrDetails'!V68</f>
        <v>0</v>
      </c>
      <c r="W68" s="109">
        <f>'7a.20YrDetails'!W68</f>
        <v>0</v>
      </c>
      <c r="X68" s="109">
        <f>'7a.20YrDetails'!X68</f>
        <v>0</v>
      </c>
      <c r="Y68" s="109">
        <f>'7a.20YrDetails'!Y68</f>
        <v>0</v>
      </c>
      <c r="Z68" s="109">
        <f>'7a.20YrDetails'!Z68</f>
        <v>0</v>
      </c>
      <c r="AA68" s="109">
        <f>'7a.20YrDetails'!AA68</f>
        <v>0</v>
      </c>
      <c r="AB68" s="109">
        <f>'7a.20YrDetails'!AB68</f>
        <v>0</v>
      </c>
      <c r="AC68" s="109">
        <f>'7a.20YrDetails'!AC68</f>
        <v>0</v>
      </c>
      <c r="AD68" s="109">
        <f>'7a.20YrDetails'!AD68</f>
        <v>0</v>
      </c>
      <c r="AE68" s="109">
        <f>'7a.20YrDetails'!AE68</f>
        <v>0</v>
      </c>
      <c r="AF68" s="109">
        <f>'7a.20YrDetails'!AF68</f>
        <v>0</v>
      </c>
      <c r="AG68" s="109">
        <f>'7a.20YrDetails'!AG68</f>
        <v>0</v>
      </c>
      <c r="AH68" s="109">
        <f>'7a.20YrDetails'!AH68</f>
        <v>0</v>
      </c>
      <c r="AI68" s="109">
        <f>'7a.20YrDetails'!AI68</f>
        <v>0</v>
      </c>
      <c r="AJ68" s="109">
        <f>'7a.20YrDetails'!AJ68</f>
        <v>0</v>
      </c>
      <c r="AK68" s="109">
        <f>'7a.20YrDetails'!AK68</f>
        <v>0</v>
      </c>
      <c r="AL68" s="109">
        <f>'7a.20YrDetails'!AL68</f>
        <v>0</v>
      </c>
      <c r="AM68" s="109">
        <f>'7a.20YrDetails'!AM68</f>
        <v>0</v>
      </c>
      <c r="AN68" s="109">
        <f>'7a.20YrDetails'!AN68</f>
        <v>0</v>
      </c>
      <c r="AO68" s="109">
        <f>'7a.20YrDetails'!AO68</f>
        <v>0</v>
      </c>
      <c r="AP68" s="109">
        <f>'7a.20YrDetails'!AP68</f>
        <v>0</v>
      </c>
      <c r="AQ68" s="109">
        <f>'7a.20YrDetails'!AQ68</f>
        <v>0</v>
      </c>
      <c r="AR68" s="109">
        <f>'7a.20YrDetails'!AR68</f>
        <v>0</v>
      </c>
      <c r="AS68" s="109">
        <f>'7a.20YrDetails'!AS68</f>
        <v>0</v>
      </c>
      <c r="AT68" s="109">
        <f>'7a.20YrDetails'!AT68</f>
        <v>0</v>
      </c>
      <c r="AU68" s="109">
        <f>'7a.20YrDetails'!AU68</f>
        <v>0</v>
      </c>
      <c r="AV68" s="109">
        <f>'7a.20YrDetails'!AV68</f>
        <v>0</v>
      </c>
      <c r="AW68" s="109">
        <f>'7a.20YrDetails'!AW68</f>
        <v>0</v>
      </c>
      <c r="AX68" s="109">
        <f>'7a.20YrDetails'!AX68</f>
        <v>0</v>
      </c>
      <c r="AY68" s="109">
        <f>'7a.20YrDetails'!AY68</f>
        <v>0</v>
      </c>
      <c r="AZ68" s="109">
        <f>'7a.20YrDetails'!AZ68</f>
        <v>0</v>
      </c>
      <c r="BA68" s="109">
        <f>'7a.20YrDetails'!BA68</f>
        <v>0</v>
      </c>
      <c r="BB68" s="109">
        <f>'7a.20YrDetails'!BB68</f>
        <v>0</v>
      </c>
      <c r="BC68" s="109">
        <f>'7a.20YrDetails'!BC68</f>
        <v>0</v>
      </c>
      <c r="BD68" s="109">
        <f>'7a.20YrDetails'!BD68</f>
        <v>0</v>
      </c>
      <c r="BE68" s="109">
        <f>'7a.20YrDetails'!BE68</f>
        <v>0</v>
      </c>
      <c r="BF68" s="109">
        <f>'7a.20YrDetails'!BF68</f>
        <v>0</v>
      </c>
      <c r="BG68" s="109">
        <f>'7a.20YrDetails'!BG68</f>
        <v>0</v>
      </c>
      <c r="BH68" s="109">
        <f>'7a.20YrDetails'!BH68</f>
        <v>0</v>
      </c>
      <c r="BI68" s="109">
        <f>'7a.20YrDetails'!BI68</f>
        <v>0</v>
      </c>
      <c r="BJ68" s="109">
        <f>'7a.20YrDetails'!BJ68</f>
        <v>0</v>
      </c>
      <c r="BK68" s="109">
        <f>'7a.20YrDetails'!BK68</f>
        <v>0</v>
      </c>
      <c r="BL68" s="109">
        <f>'7a.20YrDetails'!BL68</f>
        <v>0</v>
      </c>
      <c r="BM68" s="109">
        <f>'7a.20YrDetails'!BM68</f>
        <v>0</v>
      </c>
      <c r="BN68" s="109">
        <f>'7a.20YrDetails'!BN68</f>
        <v>0</v>
      </c>
      <c r="BO68" s="109">
        <f>'7a.20YrDetails'!BO68</f>
        <v>0</v>
      </c>
    </row>
    <row r="69" spans="3:67" ht="12" customHeight="1" collapsed="1">
      <c r="C69" s="191" t="str">
        <f>'7a.20YrDetails'!C69</f>
        <v>Maintenance &amp; Repair</v>
      </c>
      <c r="D69" s="191"/>
      <c r="E69" s="72">
        <f>E70</f>
        <v>3.5000000000000003E-2</v>
      </c>
      <c r="F69" s="72">
        <f>IF(SUBTOTAL(103,$C$70:$C$78)&gt;0,"",F70)</f>
        <v>3.5000000000000003E-2</v>
      </c>
      <c r="G69" s="31"/>
      <c r="H69" s="109">
        <f t="shared" ref="H69:S69" si="13">IF(SUBTOTAL(103,$C$70:$C$78)&gt;0,"",H78)</f>
        <v>0</v>
      </c>
      <c r="I69" s="109">
        <f t="shared" si="13"/>
        <v>0</v>
      </c>
      <c r="J69" s="109">
        <f t="shared" si="13"/>
        <v>0</v>
      </c>
      <c r="K69" s="109">
        <f t="shared" si="13"/>
        <v>0</v>
      </c>
      <c r="L69" s="109">
        <f t="shared" si="13"/>
        <v>0</v>
      </c>
      <c r="M69" s="109">
        <f t="shared" si="13"/>
        <v>0</v>
      </c>
      <c r="N69" s="109">
        <f t="shared" si="13"/>
        <v>0</v>
      </c>
      <c r="O69" s="109">
        <f t="shared" si="13"/>
        <v>0</v>
      </c>
      <c r="P69" s="109">
        <f t="shared" si="13"/>
        <v>0</v>
      </c>
      <c r="Q69" s="109">
        <f t="shared" si="13"/>
        <v>0</v>
      </c>
      <c r="R69" s="109">
        <f t="shared" si="13"/>
        <v>0</v>
      </c>
      <c r="S69" s="109">
        <f t="shared" si="13"/>
        <v>0</v>
      </c>
      <c r="T69" s="109">
        <f t="shared" ref="T69:BO69" si="14">IF(SUBTOTAL(103,$C$70:$C$78)&gt;0,"",T78)</f>
        <v>0</v>
      </c>
      <c r="U69" s="109">
        <f t="shared" si="14"/>
        <v>0</v>
      </c>
      <c r="V69" s="109">
        <f t="shared" si="14"/>
        <v>0</v>
      </c>
      <c r="W69" s="109">
        <f t="shared" si="14"/>
        <v>0</v>
      </c>
      <c r="X69" s="109">
        <f t="shared" si="14"/>
        <v>0</v>
      </c>
      <c r="Y69" s="109">
        <f t="shared" si="14"/>
        <v>0</v>
      </c>
      <c r="Z69" s="109">
        <f t="shared" si="14"/>
        <v>0</v>
      </c>
      <c r="AA69" s="109">
        <f t="shared" si="14"/>
        <v>0</v>
      </c>
      <c r="AB69" s="109">
        <f t="shared" si="14"/>
        <v>0</v>
      </c>
      <c r="AC69" s="109">
        <f t="shared" si="14"/>
        <v>0</v>
      </c>
      <c r="AD69" s="109">
        <f t="shared" si="14"/>
        <v>0</v>
      </c>
      <c r="AE69" s="109">
        <f t="shared" si="14"/>
        <v>0</v>
      </c>
      <c r="AF69" s="109">
        <f t="shared" si="14"/>
        <v>0</v>
      </c>
      <c r="AG69" s="109">
        <f t="shared" si="14"/>
        <v>0</v>
      </c>
      <c r="AH69" s="109">
        <f t="shared" si="14"/>
        <v>0</v>
      </c>
      <c r="AI69" s="109">
        <f t="shared" si="14"/>
        <v>0</v>
      </c>
      <c r="AJ69" s="109">
        <f t="shared" si="14"/>
        <v>0</v>
      </c>
      <c r="AK69" s="109">
        <f t="shared" si="14"/>
        <v>0</v>
      </c>
      <c r="AL69" s="109">
        <f t="shared" si="14"/>
        <v>0</v>
      </c>
      <c r="AM69" s="109">
        <f t="shared" si="14"/>
        <v>0</v>
      </c>
      <c r="AN69" s="109">
        <f t="shared" si="14"/>
        <v>0</v>
      </c>
      <c r="AO69" s="109">
        <f t="shared" si="14"/>
        <v>0</v>
      </c>
      <c r="AP69" s="109">
        <f t="shared" si="14"/>
        <v>0</v>
      </c>
      <c r="AQ69" s="109">
        <f t="shared" si="14"/>
        <v>0</v>
      </c>
      <c r="AR69" s="109">
        <f t="shared" si="14"/>
        <v>0</v>
      </c>
      <c r="AS69" s="109">
        <f t="shared" si="14"/>
        <v>0</v>
      </c>
      <c r="AT69" s="109">
        <f t="shared" si="14"/>
        <v>0</v>
      </c>
      <c r="AU69" s="109">
        <f t="shared" si="14"/>
        <v>0</v>
      </c>
      <c r="AV69" s="109">
        <f t="shared" si="14"/>
        <v>0</v>
      </c>
      <c r="AW69" s="109">
        <f t="shared" si="14"/>
        <v>0</v>
      </c>
      <c r="AX69" s="109">
        <f t="shared" si="14"/>
        <v>0</v>
      </c>
      <c r="AY69" s="109">
        <f t="shared" si="14"/>
        <v>0</v>
      </c>
      <c r="AZ69" s="109">
        <f t="shared" si="14"/>
        <v>0</v>
      </c>
      <c r="BA69" s="109">
        <f t="shared" si="14"/>
        <v>0</v>
      </c>
      <c r="BB69" s="109">
        <f t="shared" si="14"/>
        <v>0</v>
      </c>
      <c r="BC69" s="109">
        <f t="shared" si="14"/>
        <v>0</v>
      </c>
      <c r="BD69" s="109">
        <f t="shared" si="14"/>
        <v>0</v>
      </c>
      <c r="BE69" s="109">
        <f t="shared" si="14"/>
        <v>0</v>
      </c>
      <c r="BF69" s="109">
        <f t="shared" si="14"/>
        <v>0</v>
      </c>
      <c r="BG69" s="109">
        <f t="shared" si="14"/>
        <v>0</v>
      </c>
      <c r="BH69" s="109">
        <f t="shared" si="14"/>
        <v>0</v>
      </c>
      <c r="BI69" s="109">
        <f t="shared" si="14"/>
        <v>0</v>
      </c>
      <c r="BJ69" s="109">
        <f t="shared" si="14"/>
        <v>0</v>
      </c>
      <c r="BK69" s="109">
        <f t="shared" si="14"/>
        <v>0</v>
      </c>
      <c r="BL69" s="109">
        <f t="shared" si="14"/>
        <v>0</v>
      </c>
      <c r="BM69" s="109">
        <f t="shared" si="14"/>
        <v>0</v>
      </c>
      <c r="BN69" s="109">
        <f t="shared" si="14"/>
        <v>0</v>
      </c>
      <c r="BO69" s="109">
        <f t="shared" si="14"/>
        <v>0</v>
      </c>
    </row>
    <row r="70" spans="3:67" ht="12" hidden="1" customHeight="1" outlineLevel="1">
      <c r="C70" s="191" t="str">
        <f>'7a.20YrDetails'!C70</f>
        <v>Payroll</v>
      </c>
      <c r="D70" s="191">
        <f>'7a.20YrDetails'!D70</f>
        <v>6510</v>
      </c>
      <c r="E70" s="20">
        <f>'7a.20YrDetails'!E70</f>
        <v>3.5000000000000003E-2</v>
      </c>
      <c r="F70" s="20">
        <f>'7a.20YrDetails'!F70</f>
        <v>3.5000000000000003E-2</v>
      </c>
      <c r="G70" s="46" t="str">
        <f>IF('7a.20YrDetails'!$G70="","",'7a.20YrDetails'!$G70)</f>
        <v/>
      </c>
      <c r="H70" s="109">
        <f>'7a.20YrDetails'!H70</f>
        <v>0</v>
      </c>
      <c r="I70" s="109">
        <f>'7a.20YrDetails'!I70</f>
        <v>0</v>
      </c>
      <c r="J70" s="109">
        <f>'7a.20YrDetails'!J70</f>
        <v>0</v>
      </c>
      <c r="K70" s="109">
        <f>'7a.20YrDetails'!K70</f>
        <v>0</v>
      </c>
      <c r="L70" s="109">
        <f>'7a.20YrDetails'!L70</f>
        <v>0</v>
      </c>
      <c r="M70" s="109">
        <f>'7a.20YrDetails'!M70</f>
        <v>0</v>
      </c>
      <c r="N70" s="109">
        <f>'7a.20YrDetails'!N70</f>
        <v>0</v>
      </c>
      <c r="O70" s="109">
        <f>'7a.20YrDetails'!O70</f>
        <v>0</v>
      </c>
      <c r="P70" s="109">
        <f>'7a.20YrDetails'!P70</f>
        <v>0</v>
      </c>
      <c r="Q70" s="109">
        <f>'7a.20YrDetails'!Q70</f>
        <v>0</v>
      </c>
      <c r="R70" s="109">
        <f>'7a.20YrDetails'!R70</f>
        <v>0</v>
      </c>
      <c r="S70" s="109">
        <f>'7a.20YrDetails'!S70</f>
        <v>0</v>
      </c>
      <c r="T70" s="109">
        <f>'7a.20YrDetails'!T70</f>
        <v>0</v>
      </c>
      <c r="U70" s="109">
        <f>'7a.20YrDetails'!U70</f>
        <v>0</v>
      </c>
      <c r="V70" s="109">
        <f>'7a.20YrDetails'!V70</f>
        <v>0</v>
      </c>
      <c r="W70" s="109">
        <f>'7a.20YrDetails'!W70</f>
        <v>0</v>
      </c>
      <c r="X70" s="109">
        <f>'7a.20YrDetails'!X70</f>
        <v>0</v>
      </c>
      <c r="Y70" s="109">
        <f>'7a.20YrDetails'!Y70</f>
        <v>0</v>
      </c>
      <c r="Z70" s="109">
        <f>'7a.20YrDetails'!Z70</f>
        <v>0</v>
      </c>
      <c r="AA70" s="109">
        <f>'7a.20YrDetails'!AA70</f>
        <v>0</v>
      </c>
      <c r="AB70" s="109">
        <f>'7a.20YrDetails'!AB70</f>
        <v>0</v>
      </c>
      <c r="AC70" s="109">
        <f>'7a.20YrDetails'!AC70</f>
        <v>0</v>
      </c>
      <c r="AD70" s="109">
        <f>'7a.20YrDetails'!AD70</f>
        <v>0</v>
      </c>
      <c r="AE70" s="109">
        <f>'7a.20YrDetails'!AE70</f>
        <v>0</v>
      </c>
      <c r="AF70" s="109">
        <f>'7a.20YrDetails'!AF70</f>
        <v>0</v>
      </c>
      <c r="AG70" s="109">
        <f>'7a.20YrDetails'!AG70</f>
        <v>0</v>
      </c>
      <c r="AH70" s="109">
        <f>'7a.20YrDetails'!AH70</f>
        <v>0</v>
      </c>
      <c r="AI70" s="109">
        <f>'7a.20YrDetails'!AI70</f>
        <v>0</v>
      </c>
      <c r="AJ70" s="109">
        <f>'7a.20YrDetails'!AJ70</f>
        <v>0</v>
      </c>
      <c r="AK70" s="109">
        <f>'7a.20YrDetails'!AK70</f>
        <v>0</v>
      </c>
      <c r="AL70" s="109">
        <f>'7a.20YrDetails'!AL70</f>
        <v>0</v>
      </c>
      <c r="AM70" s="109">
        <f>'7a.20YrDetails'!AM70</f>
        <v>0</v>
      </c>
      <c r="AN70" s="109">
        <f>'7a.20YrDetails'!AN70</f>
        <v>0</v>
      </c>
      <c r="AO70" s="109">
        <f>'7a.20YrDetails'!AO70</f>
        <v>0</v>
      </c>
      <c r="AP70" s="109">
        <f>'7a.20YrDetails'!AP70</f>
        <v>0</v>
      </c>
      <c r="AQ70" s="109">
        <f>'7a.20YrDetails'!AQ70</f>
        <v>0</v>
      </c>
      <c r="AR70" s="109">
        <f>'7a.20YrDetails'!AR70</f>
        <v>0</v>
      </c>
      <c r="AS70" s="109">
        <f>'7a.20YrDetails'!AS70</f>
        <v>0</v>
      </c>
      <c r="AT70" s="109">
        <f>'7a.20YrDetails'!AT70</f>
        <v>0</v>
      </c>
      <c r="AU70" s="109">
        <f>'7a.20YrDetails'!AU70</f>
        <v>0</v>
      </c>
      <c r="AV70" s="109">
        <f>'7a.20YrDetails'!AV70</f>
        <v>0</v>
      </c>
      <c r="AW70" s="109">
        <f>'7a.20YrDetails'!AW70</f>
        <v>0</v>
      </c>
      <c r="AX70" s="109">
        <f>'7a.20YrDetails'!AX70</f>
        <v>0</v>
      </c>
      <c r="AY70" s="109">
        <f>'7a.20YrDetails'!AY70</f>
        <v>0</v>
      </c>
      <c r="AZ70" s="109">
        <f>'7a.20YrDetails'!AZ70</f>
        <v>0</v>
      </c>
      <c r="BA70" s="109">
        <f>'7a.20YrDetails'!BA70</f>
        <v>0</v>
      </c>
      <c r="BB70" s="109">
        <f>'7a.20YrDetails'!BB70</f>
        <v>0</v>
      </c>
      <c r="BC70" s="109">
        <f>'7a.20YrDetails'!BC70</f>
        <v>0</v>
      </c>
      <c r="BD70" s="109">
        <f>'7a.20YrDetails'!BD70</f>
        <v>0</v>
      </c>
      <c r="BE70" s="109">
        <f>'7a.20YrDetails'!BE70</f>
        <v>0</v>
      </c>
      <c r="BF70" s="109">
        <f>'7a.20YrDetails'!BF70</f>
        <v>0</v>
      </c>
      <c r="BG70" s="109">
        <f>'7a.20YrDetails'!BG70</f>
        <v>0</v>
      </c>
      <c r="BH70" s="109">
        <f>'7a.20YrDetails'!BH70</f>
        <v>0</v>
      </c>
      <c r="BI70" s="109">
        <f>'7a.20YrDetails'!BI70</f>
        <v>0</v>
      </c>
      <c r="BJ70" s="109">
        <f>'7a.20YrDetails'!BJ70</f>
        <v>0</v>
      </c>
      <c r="BK70" s="109">
        <f>'7a.20YrDetails'!BK70</f>
        <v>0</v>
      </c>
      <c r="BL70" s="109">
        <f>'7a.20YrDetails'!BL70</f>
        <v>0</v>
      </c>
      <c r="BM70" s="109">
        <f>'7a.20YrDetails'!BM70</f>
        <v>0</v>
      </c>
      <c r="BN70" s="109">
        <f>'7a.20YrDetails'!BN70</f>
        <v>0</v>
      </c>
      <c r="BO70" s="109">
        <f>'7a.20YrDetails'!BO70</f>
        <v>0</v>
      </c>
    </row>
    <row r="71" spans="3:67" ht="12" hidden="1" customHeight="1" outlineLevel="1">
      <c r="C71" s="191" t="str">
        <f>'7a.20YrDetails'!C71</f>
        <v>Supplies</v>
      </c>
      <c r="D71" s="191">
        <f>'7a.20YrDetails'!D71</f>
        <v>6515</v>
      </c>
      <c r="E71" s="20">
        <f>'7a.20YrDetails'!E71</f>
        <v>3.5000000000000003E-2</v>
      </c>
      <c r="F71" s="20">
        <f>'7a.20YrDetails'!F71</f>
        <v>3.5000000000000003E-2</v>
      </c>
      <c r="G71" s="46" t="str">
        <f>IF('7a.20YrDetails'!$G71="","",'7a.20YrDetails'!$G71)</f>
        <v/>
      </c>
      <c r="H71" s="109">
        <f>'7a.20YrDetails'!H71</f>
        <v>0</v>
      </c>
      <c r="I71" s="109">
        <f>'7a.20YrDetails'!I71</f>
        <v>0</v>
      </c>
      <c r="J71" s="109">
        <f>'7a.20YrDetails'!J71</f>
        <v>0</v>
      </c>
      <c r="K71" s="109">
        <f>'7a.20YrDetails'!K71</f>
        <v>0</v>
      </c>
      <c r="L71" s="109">
        <f>'7a.20YrDetails'!L71</f>
        <v>0</v>
      </c>
      <c r="M71" s="109">
        <f>'7a.20YrDetails'!M71</f>
        <v>0</v>
      </c>
      <c r="N71" s="109">
        <f>'7a.20YrDetails'!N71</f>
        <v>0</v>
      </c>
      <c r="O71" s="109">
        <f>'7a.20YrDetails'!O71</f>
        <v>0</v>
      </c>
      <c r="P71" s="109">
        <f>'7a.20YrDetails'!P71</f>
        <v>0</v>
      </c>
      <c r="Q71" s="109">
        <f>'7a.20YrDetails'!Q71</f>
        <v>0</v>
      </c>
      <c r="R71" s="109">
        <f>'7a.20YrDetails'!R71</f>
        <v>0</v>
      </c>
      <c r="S71" s="109">
        <f>'7a.20YrDetails'!S71</f>
        <v>0</v>
      </c>
      <c r="T71" s="109">
        <f>'7a.20YrDetails'!T71</f>
        <v>0</v>
      </c>
      <c r="U71" s="109">
        <f>'7a.20YrDetails'!U71</f>
        <v>0</v>
      </c>
      <c r="V71" s="109">
        <f>'7a.20YrDetails'!V71</f>
        <v>0</v>
      </c>
      <c r="W71" s="109">
        <f>'7a.20YrDetails'!W71</f>
        <v>0</v>
      </c>
      <c r="X71" s="109">
        <f>'7a.20YrDetails'!X71</f>
        <v>0</v>
      </c>
      <c r="Y71" s="109">
        <f>'7a.20YrDetails'!Y71</f>
        <v>0</v>
      </c>
      <c r="Z71" s="109">
        <f>'7a.20YrDetails'!Z71</f>
        <v>0</v>
      </c>
      <c r="AA71" s="109">
        <f>'7a.20YrDetails'!AA71</f>
        <v>0</v>
      </c>
      <c r="AB71" s="109">
        <f>'7a.20YrDetails'!AB71</f>
        <v>0</v>
      </c>
      <c r="AC71" s="109">
        <f>'7a.20YrDetails'!AC71</f>
        <v>0</v>
      </c>
      <c r="AD71" s="109">
        <f>'7a.20YrDetails'!AD71</f>
        <v>0</v>
      </c>
      <c r="AE71" s="109">
        <f>'7a.20YrDetails'!AE71</f>
        <v>0</v>
      </c>
      <c r="AF71" s="109">
        <f>'7a.20YrDetails'!AF71</f>
        <v>0</v>
      </c>
      <c r="AG71" s="109">
        <f>'7a.20YrDetails'!AG71</f>
        <v>0</v>
      </c>
      <c r="AH71" s="109">
        <f>'7a.20YrDetails'!AH71</f>
        <v>0</v>
      </c>
      <c r="AI71" s="109">
        <f>'7a.20YrDetails'!AI71</f>
        <v>0</v>
      </c>
      <c r="AJ71" s="109">
        <f>'7a.20YrDetails'!AJ71</f>
        <v>0</v>
      </c>
      <c r="AK71" s="109">
        <f>'7a.20YrDetails'!AK71</f>
        <v>0</v>
      </c>
      <c r="AL71" s="109">
        <f>'7a.20YrDetails'!AL71</f>
        <v>0</v>
      </c>
      <c r="AM71" s="109">
        <f>'7a.20YrDetails'!AM71</f>
        <v>0</v>
      </c>
      <c r="AN71" s="109">
        <f>'7a.20YrDetails'!AN71</f>
        <v>0</v>
      </c>
      <c r="AO71" s="109">
        <f>'7a.20YrDetails'!AO71</f>
        <v>0</v>
      </c>
      <c r="AP71" s="109">
        <f>'7a.20YrDetails'!AP71</f>
        <v>0</v>
      </c>
      <c r="AQ71" s="109">
        <f>'7a.20YrDetails'!AQ71</f>
        <v>0</v>
      </c>
      <c r="AR71" s="109">
        <f>'7a.20YrDetails'!AR71</f>
        <v>0</v>
      </c>
      <c r="AS71" s="109">
        <f>'7a.20YrDetails'!AS71</f>
        <v>0</v>
      </c>
      <c r="AT71" s="109">
        <f>'7a.20YrDetails'!AT71</f>
        <v>0</v>
      </c>
      <c r="AU71" s="109">
        <f>'7a.20YrDetails'!AU71</f>
        <v>0</v>
      </c>
      <c r="AV71" s="109">
        <f>'7a.20YrDetails'!AV71</f>
        <v>0</v>
      </c>
      <c r="AW71" s="109">
        <f>'7a.20YrDetails'!AW71</f>
        <v>0</v>
      </c>
      <c r="AX71" s="109">
        <f>'7a.20YrDetails'!AX71</f>
        <v>0</v>
      </c>
      <c r="AY71" s="109">
        <f>'7a.20YrDetails'!AY71</f>
        <v>0</v>
      </c>
      <c r="AZ71" s="109">
        <f>'7a.20YrDetails'!AZ71</f>
        <v>0</v>
      </c>
      <c r="BA71" s="109">
        <f>'7a.20YrDetails'!BA71</f>
        <v>0</v>
      </c>
      <c r="BB71" s="109">
        <f>'7a.20YrDetails'!BB71</f>
        <v>0</v>
      </c>
      <c r="BC71" s="109">
        <f>'7a.20YrDetails'!BC71</f>
        <v>0</v>
      </c>
      <c r="BD71" s="109">
        <f>'7a.20YrDetails'!BD71</f>
        <v>0</v>
      </c>
      <c r="BE71" s="109">
        <f>'7a.20YrDetails'!BE71</f>
        <v>0</v>
      </c>
      <c r="BF71" s="109">
        <f>'7a.20YrDetails'!BF71</f>
        <v>0</v>
      </c>
      <c r="BG71" s="109">
        <f>'7a.20YrDetails'!BG71</f>
        <v>0</v>
      </c>
      <c r="BH71" s="109">
        <f>'7a.20YrDetails'!BH71</f>
        <v>0</v>
      </c>
      <c r="BI71" s="109">
        <f>'7a.20YrDetails'!BI71</f>
        <v>0</v>
      </c>
      <c r="BJ71" s="109">
        <f>'7a.20YrDetails'!BJ71</f>
        <v>0</v>
      </c>
      <c r="BK71" s="109">
        <f>'7a.20YrDetails'!BK71</f>
        <v>0</v>
      </c>
      <c r="BL71" s="109">
        <f>'7a.20YrDetails'!BL71</f>
        <v>0</v>
      </c>
      <c r="BM71" s="109">
        <f>'7a.20YrDetails'!BM71</f>
        <v>0</v>
      </c>
      <c r="BN71" s="109">
        <f>'7a.20YrDetails'!BN71</f>
        <v>0</v>
      </c>
      <c r="BO71" s="109">
        <f>'7a.20YrDetails'!BO71</f>
        <v>0</v>
      </c>
    </row>
    <row r="72" spans="3:67" ht="12" hidden="1" customHeight="1" outlineLevel="1">
      <c r="C72" s="191" t="str">
        <f>'7a.20YrDetails'!C72</f>
        <v>Contracts</v>
      </c>
      <c r="D72" s="191">
        <f>'7a.20YrDetails'!D72</f>
        <v>6520</v>
      </c>
      <c r="E72" s="20">
        <f>'7a.20YrDetails'!E72</f>
        <v>3.5000000000000003E-2</v>
      </c>
      <c r="F72" s="20">
        <f>'7a.20YrDetails'!F72</f>
        <v>3.5000000000000003E-2</v>
      </c>
      <c r="G72" s="46" t="str">
        <f>IF('7a.20YrDetails'!$G72="","",'7a.20YrDetails'!$G72)</f>
        <v/>
      </c>
      <c r="H72" s="109">
        <f>'7a.20YrDetails'!H72</f>
        <v>0</v>
      </c>
      <c r="I72" s="109">
        <f>'7a.20YrDetails'!I72</f>
        <v>0</v>
      </c>
      <c r="J72" s="109">
        <f>'7a.20YrDetails'!J72</f>
        <v>0</v>
      </c>
      <c r="K72" s="109">
        <f>'7a.20YrDetails'!K72</f>
        <v>0</v>
      </c>
      <c r="L72" s="109">
        <f>'7a.20YrDetails'!L72</f>
        <v>0</v>
      </c>
      <c r="M72" s="109">
        <f>'7a.20YrDetails'!M72</f>
        <v>0</v>
      </c>
      <c r="N72" s="109">
        <f>'7a.20YrDetails'!N72</f>
        <v>0</v>
      </c>
      <c r="O72" s="109">
        <f>'7a.20YrDetails'!O72</f>
        <v>0</v>
      </c>
      <c r="P72" s="109">
        <f>'7a.20YrDetails'!P72</f>
        <v>0</v>
      </c>
      <c r="Q72" s="109">
        <f>'7a.20YrDetails'!Q72</f>
        <v>0</v>
      </c>
      <c r="R72" s="109">
        <f>'7a.20YrDetails'!R72</f>
        <v>0</v>
      </c>
      <c r="S72" s="109">
        <f>'7a.20YrDetails'!S72</f>
        <v>0</v>
      </c>
      <c r="T72" s="109">
        <f>'7a.20YrDetails'!T72</f>
        <v>0</v>
      </c>
      <c r="U72" s="109">
        <f>'7a.20YrDetails'!U72</f>
        <v>0</v>
      </c>
      <c r="V72" s="109">
        <f>'7a.20YrDetails'!V72</f>
        <v>0</v>
      </c>
      <c r="W72" s="109">
        <f>'7a.20YrDetails'!W72</f>
        <v>0</v>
      </c>
      <c r="X72" s="109">
        <f>'7a.20YrDetails'!X72</f>
        <v>0</v>
      </c>
      <c r="Y72" s="109">
        <f>'7a.20YrDetails'!Y72</f>
        <v>0</v>
      </c>
      <c r="Z72" s="109">
        <f>'7a.20YrDetails'!Z72</f>
        <v>0</v>
      </c>
      <c r="AA72" s="109">
        <f>'7a.20YrDetails'!AA72</f>
        <v>0</v>
      </c>
      <c r="AB72" s="109">
        <f>'7a.20YrDetails'!AB72</f>
        <v>0</v>
      </c>
      <c r="AC72" s="109">
        <f>'7a.20YrDetails'!AC72</f>
        <v>0</v>
      </c>
      <c r="AD72" s="109">
        <f>'7a.20YrDetails'!AD72</f>
        <v>0</v>
      </c>
      <c r="AE72" s="109">
        <f>'7a.20YrDetails'!AE72</f>
        <v>0</v>
      </c>
      <c r="AF72" s="109">
        <f>'7a.20YrDetails'!AF72</f>
        <v>0</v>
      </c>
      <c r="AG72" s="109">
        <f>'7a.20YrDetails'!AG72</f>
        <v>0</v>
      </c>
      <c r="AH72" s="109">
        <f>'7a.20YrDetails'!AH72</f>
        <v>0</v>
      </c>
      <c r="AI72" s="109">
        <f>'7a.20YrDetails'!AI72</f>
        <v>0</v>
      </c>
      <c r="AJ72" s="109">
        <f>'7a.20YrDetails'!AJ72</f>
        <v>0</v>
      </c>
      <c r="AK72" s="109">
        <f>'7a.20YrDetails'!AK72</f>
        <v>0</v>
      </c>
      <c r="AL72" s="109">
        <f>'7a.20YrDetails'!AL72</f>
        <v>0</v>
      </c>
      <c r="AM72" s="109">
        <f>'7a.20YrDetails'!AM72</f>
        <v>0</v>
      </c>
      <c r="AN72" s="109">
        <f>'7a.20YrDetails'!AN72</f>
        <v>0</v>
      </c>
      <c r="AO72" s="109">
        <f>'7a.20YrDetails'!AO72</f>
        <v>0</v>
      </c>
      <c r="AP72" s="109">
        <f>'7a.20YrDetails'!AP72</f>
        <v>0</v>
      </c>
      <c r="AQ72" s="109">
        <f>'7a.20YrDetails'!AQ72</f>
        <v>0</v>
      </c>
      <c r="AR72" s="109">
        <f>'7a.20YrDetails'!AR72</f>
        <v>0</v>
      </c>
      <c r="AS72" s="109">
        <f>'7a.20YrDetails'!AS72</f>
        <v>0</v>
      </c>
      <c r="AT72" s="109">
        <f>'7a.20YrDetails'!AT72</f>
        <v>0</v>
      </c>
      <c r="AU72" s="109">
        <f>'7a.20YrDetails'!AU72</f>
        <v>0</v>
      </c>
      <c r="AV72" s="109">
        <f>'7a.20YrDetails'!AV72</f>
        <v>0</v>
      </c>
      <c r="AW72" s="109">
        <f>'7a.20YrDetails'!AW72</f>
        <v>0</v>
      </c>
      <c r="AX72" s="109">
        <f>'7a.20YrDetails'!AX72</f>
        <v>0</v>
      </c>
      <c r="AY72" s="109">
        <f>'7a.20YrDetails'!AY72</f>
        <v>0</v>
      </c>
      <c r="AZ72" s="109">
        <f>'7a.20YrDetails'!AZ72</f>
        <v>0</v>
      </c>
      <c r="BA72" s="109">
        <f>'7a.20YrDetails'!BA72</f>
        <v>0</v>
      </c>
      <c r="BB72" s="109">
        <f>'7a.20YrDetails'!BB72</f>
        <v>0</v>
      </c>
      <c r="BC72" s="109">
        <f>'7a.20YrDetails'!BC72</f>
        <v>0</v>
      </c>
      <c r="BD72" s="109">
        <f>'7a.20YrDetails'!BD72</f>
        <v>0</v>
      </c>
      <c r="BE72" s="109">
        <f>'7a.20YrDetails'!BE72</f>
        <v>0</v>
      </c>
      <c r="BF72" s="109">
        <f>'7a.20YrDetails'!BF72</f>
        <v>0</v>
      </c>
      <c r="BG72" s="109">
        <f>'7a.20YrDetails'!BG72</f>
        <v>0</v>
      </c>
      <c r="BH72" s="109">
        <f>'7a.20YrDetails'!BH72</f>
        <v>0</v>
      </c>
      <c r="BI72" s="109">
        <f>'7a.20YrDetails'!BI72</f>
        <v>0</v>
      </c>
      <c r="BJ72" s="109">
        <f>'7a.20YrDetails'!BJ72</f>
        <v>0</v>
      </c>
      <c r="BK72" s="109">
        <f>'7a.20YrDetails'!BK72</f>
        <v>0</v>
      </c>
      <c r="BL72" s="109">
        <f>'7a.20YrDetails'!BL72</f>
        <v>0</v>
      </c>
      <c r="BM72" s="109">
        <f>'7a.20YrDetails'!BM72</f>
        <v>0</v>
      </c>
      <c r="BN72" s="109">
        <f>'7a.20YrDetails'!BN72</f>
        <v>0</v>
      </c>
      <c r="BO72" s="109">
        <f>'7a.20YrDetails'!BO72</f>
        <v>0</v>
      </c>
    </row>
    <row r="73" spans="3:67" ht="12" hidden="1" customHeight="1" outlineLevel="1">
      <c r="C73" s="191" t="str">
        <f>'7a.20YrDetails'!C73</f>
        <v>Garbage and Trash Removal</v>
      </c>
      <c r="D73" s="191">
        <f>'7a.20YrDetails'!D73</f>
        <v>6525</v>
      </c>
      <c r="E73" s="20">
        <f>'7a.20YrDetails'!E73</f>
        <v>3.5000000000000003E-2</v>
      </c>
      <c r="F73" s="20">
        <f>'7a.20YrDetails'!F73</f>
        <v>3.5000000000000003E-2</v>
      </c>
      <c r="G73" s="46" t="str">
        <f>IF('7a.20YrDetails'!$G73="","",'7a.20YrDetails'!$G73)</f>
        <v/>
      </c>
      <c r="H73" s="109">
        <f>'7a.20YrDetails'!H73</f>
        <v>0</v>
      </c>
      <c r="I73" s="109">
        <f>'7a.20YrDetails'!I73</f>
        <v>0</v>
      </c>
      <c r="J73" s="109">
        <f>'7a.20YrDetails'!J73</f>
        <v>0</v>
      </c>
      <c r="K73" s="109">
        <f>'7a.20YrDetails'!K73</f>
        <v>0</v>
      </c>
      <c r="L73" s="109">
        <f>'7a.20YrDetails'!L73</f>
        <v>0</v>
      </c>
      <c r="M73" s="109">
        <f>'7a.20YrDetails'!M73</f>
        <v>0</v>
      </c>
      <c r="N73" s="109">
        <f>'7a.20YrDetails'!N73</f>
        <v>0</v>
      </c>
      <c r="O73" s="109">
        <f>'7a.20YrDetails'!O73</f>
        <v>0</v>
      </c>
      <c r="P73" s="109">
        <f>'7a.20YrDetails'!P73</f>
        <v>0</v>
      </c>
      <c r="Q73" s="109">
        <f>'7a.20YrDetails'!Q73</f>
        <v>0</v>
      </c>
      <c r="R73" s="109">
        <f>'7a.20YrDetails'!R73</f>
        <v>0</v>
      </c>
      <c r="S73" s="109">
        <f>'7a.20YrDetails'!S73</f>
        <v>0</v>
      </c>
      <c r="T73" s="109">
        <f>'7a.20YrDetails'!T73</f>
        <v>0</v>
      </c>
      <c r="U73" s="109">
        <f>'7a.20YrDetails'!U73</f>
        <v>0</v>
      </c>
      <c r="V73" s="109">
        <f>'7a.20YrDetails'!V73</f>
        <v>0</v>
      </c>
      <c r="W73" s="109">
        <f>'7a.20YrDetails'!W73</f>
        <v>0</v>
      </c>
      <c r="X73" s="109">
        <f>'7a.20YrDetails'!X73</f>
        <v>0</v>
      </c>
      <c r="Y73" s="109">
        <f>'7a.20YrDetails'!Y73</f>
        <v>0</v>
      </c>
      <c r="Z73" s="109">
        <f>'7a.20YrDetails'!Z73</f>
        <v>0</v>
      </c>
      <c r="AA73" s="109">
        <f>'7a.20YrDetails'!AA73</f>
        <v>0</v>
      </c>
      <c r="AB73" s="109">
        <f>'7a.20YrDetails'!AB73</f>
        <v>0</v>
      </c>
      <c r="AC73" s="109">
        <f>'7a.20YrDetails'!AC73</f>
        <v>0</v>
      </c>
      <c r="AD73" s="109">
        <f>'7a.20YrDetails'!AD73</f>
        <v>0</v>
      </c>
      <c r="AE73" s="109">
        <f>'7a.20YrDetails'!AE73</f>
        <v>0</v>
      </c>
      <c r="AF73" s="109">
        <f>'7a.20YrDetails'!AF73</f>
        <v>0</v>
      </c>
      <c r="AG73" s="109">
        <f>'7a.20YrDetails'!AG73</f>
        <v>0</v>
      </c>
      <c r="AH73" s="109">
        <f>'7a.20YrDetails'!AH73</f>
        <v>0</v>
      </c>
      <c r="AI73" s="109">
        <f>'7a.20YrDetails'!AI73</f>
        <v>0</v>
      </c>
      <c r="AJ73" s="109">
        <f>'7a.20YrDetails'!AJ73</f>
        <v>0</v>
      </c>
      <c r="AK73" s="109">
        <f>'7a.20YrDetails'!AK73</f>
        <v>0</v>
      </c>
      <c r="AL73" s="109">
        <f>'7a.20YrDetails'!AL73</f>
        <v>0</v>
      </c>
      <c r="AM73" s="109">
        <f>'7a.20YrDetails'!AM73</f>
        <v>0</v>
      </c>
      <c r="AN73" s="109">
        <f>'7a.20YrDetails'!AN73</f>
        <v>0</v>
      </c>
      <c r="AO73" s="109">
        <f>'7a.20YrDetails'!AO73</f>
        <v>0</v>
      </c>
      <c r="AP73" s="109">
        <f>'7a.20YrDetails'!AP73</f>
        <v>0</v>
      </c>
      <c r="AQ73" s="109">
        <f>'7a.20YrDetails'!AQ73</f>
        <v>0</v>
      </c>
      <c r="AR73" s="109">
        <f>'7a.20YrDetails'!AR73</f>
        <v>0</v>
      </c>
      <c r="AS73" s="109">
        <f>'7a.20YrDetails'!AS73</f>
        <v>0</v>
      </c>
      <c r="AT73" s="109">
        <f>'7a.20YrDetails'!AT73</f>
        <v>0</v>
      </c>
      <c r="AU73" s="109">
        <f>'7a.20YrDetails'!AU73</f>
        <v>0</v>
      </c>
      <c r="AV73" s="109">
        <f>'7a.20YrDetails'!AV73</f>
        <v>0</v>
      </c>
      <c r="AW73" s="109">
        <f>'7a.20YrDetails'!AW73</f>
        <v>0</v>
      </c>
      <c r="AX73" s="109">
        <f>'7a.20YrDetails'!AX73</f>
        <v>0</v>
      </c>
      <c r="AY73" s="109">
        <f>'7a.20YrDetails'!AY73</f>
        <v>0</v>
      </c>
      <c r="AZ73" s="109">
        <f>'7a.20YrDetails'!AZ73</f>
        <v>0</v>
      </c>
      <c r="BA73" s="109">
        <f>'7a.20YrDetails'!BA73</f>
        <v>0</v>
      </c>
      <c r="BB73" s="109">
        <f>'7a.20YrDetails'!BB73</f>
        <v>0</v>
      </c>
      <c r="BC73" s="109">
        <f>'7a.20YrDetails'!BC73</f>
        <v>0</v>
      </c>
      <c r="BD73" s="109">
        <f>'7a.20YrDetails'!BD73</f>
        <v>0</v>
      </c>
      <c r="BE73" s="109">
        <f>'7a.20YrDetails'!BE73</f>
        <v>0</v>
      </c>
      <c r="BF73" s="109">
        <f>'7a.20YrDetails'!BF73</f>
        <v>0</v>
      </c>
      <c r="BG73" s="109">
        <f>'7a.20YrDetails'!BG73</f>
        <v>0</v>
      </c>
      <c r="BH73" s="109">
        <f>'7a.20YrDetails'!BH73</f>
        <v>0</v>
      </c>
      <c r="BI73" s="109">
        <f>'7a.20YrDetails'!BI73</f>
        <v>0</v>
      </c>
      <c r="BJ73" s="109">
        <f>'7a.20YrDetails'!BJ73</f>
        <v>0</v>
      </c>
      <c r="BK73" s="109">
        <f>'7a.20YrDetails'!BK73</f>
        <v>0</v>
      </c>
      <c r="BL73" s="109">
        <f>'7a.20YrDetails'!BL73</f>
        <v>0</v>
      </c>
      <c r="BM73" s="109">
        <f>'7a.20YrDetails'!BM73</f>
        <v>0</v>
      </c>
      <c r="BN73" s="109">
        <f>'7a.20YrDetails'!BN73</f>
        <v>0</v>
      </c>
      <c r="BO73" s="109">
        <f>'7a.20YrDetails'!BO73</f>
        <v>0</v>
      </c>
    </row>
    <row r="74" spans="3:67" ht="12" hidden="1" customHeight="1" outlineLevel="1">
      <c r="C74" s="191" t="str">
        <f>'7a.20YrDetails'!C74</f>
        <v>Security Payroll/Contract</v>
      </c>
      <c r="D74" s="191">
        <f>'7a.20YrDetails'!D74</f>
        <v>6530</v>
      </c>
      <c r="E74" s="20">
        <f>'7a.20YrDetails'!E74</f>
        <v>3.5000000000000003E-2</v>
      </c>
      <c r="F74" s="20">
        <f>'7a.20YrDetails'!F74</f>
        <v>3.5000000000000003E-2</v>
      </c>
      <c r="G74" s="46" t="str">
        <f>IF('7a.20YrDetails'!$G74="","",'7a.20YrDetails'!$G74)</f>
        <v/>
      </c>
      <c r="H74" s="109">
        <f>'7a.20YrDetails'!H74</f>
        <v>0</v>
      </c>
      <c r="I74" s="109">
        <f>'7a.20YrDetails'!I74</f>
        <v>0</v>
      </c>
      <c r="J74" s="109">
        <f>'7a.20YrDetails'!J74</f>
        <v>0</v>
      </c>
      <c r="K74" s="109">
        <f>'7a.20YrDetails'!K74</f>
        <v>0</v>
      </c>
      <c r="L74" s="109">
        <f>'7a.20YrDetails'!L74</f>
        <v>0</v>
      </c>
      <c r="M74" s="109">
        <f>'7a.20YrDetails'!M74</f>
        <v>0</v>
      </c>
      <c r="N74" s="109">
        <f>'7a.20YrDetails'!N74</f>
        <v>0</v>
      </c>
      <c r="O74" s="109">
        <f>'7a.20YrDetails'!O74</f>
        <v>0</v>
      </c>
      <c r="P74" s="109">
        <f>'7a.20YrDetails'!P74</f>
        <v>0</v>
      </c>
      <c r="Q74" s="109">
        <f>'7a.20YrDetails'!Q74</f>
        <v>0</v>
      </c>
      <c r="R74" s="109">
        <f>'7a.20YrDetails'!R74</f>
        <v>0</v>
      </c>
      <c r="S74" s="109">
        <f>'7a.20YrDetails'!S74</f>
        <v>0</v>
      </c>
      <c r="T74" s="109">
        <f>'7a.20YrDetails'!T74</f>
        <v>0</v>
      </c>
      <c r="U74" s="109">
        <f>'7a.20YrDetails'!U74</f>
        <v>0</v>
      </c>
      <c r="V74" s="109">
        <f>'7a.20YrDetails'!V74</f>
        <v>0</v>
      </c>
      <c r="W74" s="109">
        <f>'7a.20YrDetails'!W74</f>
        <v>0</v>
      </c>
      <c r="X74" s="109">
        <f>'7a.20YrDetails'!X74</f>
        <v>0</v>
      </c>
      <c r="Y74" s="109">
        <f>'7a.20YrDetails'!Y74</f>
        <v>0</v>
      </c>
      <c r="Z74" s="109">
        <f>'7a.20YrDetails'!Z74</f>
        <v>0</v>
      </c>
      <c r="AA74" s="109">
        <f>'7a.20YrDetails'!AA74</f>
        <v>0</v>
      </c>
      <c r="AB74" s="109">
        <f>'7a.20YrDetails'!AB74</f>
        <v>0</v>
      </c>
      <c r="AC74" s="109">
        <f>'7a.20YrDetails'!AC74</f>
        <v>0</v>
      </c>
      <c r="AD74" s="109">
        <f>'7a.20YrDetails'!AD74</f>
        <v>0</v>
      </c>
      <c r="AE74" s="109">
        <f>'7a.20YrDetails'!AE74</f>
        <v>0</v>
      </c>
      <c r="AF74" s="109">
        <f>'7a.20YrDetails'!AF74</f>
        <v>0</v>
      </c>
      <c r="AG74" s="109">
        <f>'7a.20YrDetails'!AG74</f>
        <v>0</v>
      </c>
      <c r="AH74" s="109">
        <f>'7a.20YrDetails'!AH74</f>
        <v>0</v>
      </c>
      <c r="AI74" s="109">
        <f>'7a.20YrDetails'!AI74</f>
        <v>0</v>
      </c>
      <c r="AJ74" s="109">
        <f>'7a.20YrDetails'!AJ74</f>
        <v>0</v>
      </c>
      <c r="AK74" s="109">
        <f>'7a.20YrDetails'!AK74</f>
        <v>0</v>
      </c>
      <c r="AL74" s="109">
        <f>'7a.20YrDetails'!AL74</f>
        <v>0</v>
      </c>
      <c r="AM74" s="109">
        <f>'7a.20YrDetails'!AM74</f>
        <v>0</v>
      </c>
      <c r="AN74" s="109">
        <f>'7a.20YrDetails'!AN74</f>
        <v>0</v>
      </c>
      <c r="AO74" s="109">
        <f>'7a.20YrDetails'!AO74</f>
        <v>0</v>
      </c>
      <c r="AP74" s="109">
        <f>'7a.20YrDetails'!AP74</f>
        <v>0</v>
      </c>
      <c r="AQ74" s="109">
        <f>'7a.20YrDetails'!AQ74</f>
        <v>0</v>
      </c>
      <c r="AR74" s="109">
        <f>'7a.20YrDetails'!AR74</f>
        <v>0</v>
      </c>
      <c r="AS74" s="109">
        <f>'7a.20YrDetails'!AS74</f>
        <v>0</v>
      </c>
      <c r="AT74" s="109">
        <f>'7a.20YrDetails'!AT74</f>
        <v>0</v>
      </c>
      <c r="AU74" s="109">
        <f>'7a.20YrDetails'!AU74</f>
        <v>0</v>
      </c>
      <c r="AV74" s="109">
        <f>'7a.20YrDetails'!AV74</f>
        <v>0</v>
      </c>
      <c r="AW74" s="109">
        <f>'7a.20YrDetails'!AW74</f>
        <v>0</v>
      </c>
      <c r="AX74" s="109">
        <f>'7a.20YrDetails'!AX74</f>
        <v>0</v>
      </c>
      <c r="AY74" s="109">
        <f>'7a.20YrDetails'!AY74</f>
        <v>0</v>
      </c>
      <c r="AZ74" s="109">
        <f>'7a.20YrDetails'!AZ74</f>
        <v>0</v>
      </c>
      <c r="BA74" s="109">
        <f>'7a.20YrDetails'!BA74</f>
        <v>0</v>
      </c>
      <c r="BB74" s="109">
        <f>'7a.20YrDetails'!BB74</f>
        <v>0</v>
      </c>
      <c r="BC74" s="109">
        <f>'7a.20YrDetails'!BC74</f>
        <v>0</v>
      </c>
      <c r="BD74" s="109">
        <f>'7a.20YrDetails'!BD74</f>
        <v>0</v>
      </c>
      <c r="BE74" s="109">
        <f>'7a.20YrDetails'!BE74</f>
        <v>0</v>
      </c>
      <c r="BF74" s="109">
        <f>'7a.20YrDetails'!BF74</f>
        <v>0</v>
      </c>
      <c r="BG74" s="109">
        <f>'7a.20YrDetails'!BG74</f>
        <v>0</v>
      </c>
      <c r="BH74" s="109">
        <f>'7a.20YrDetails'!BH74</f>
        <v>0</v>
      </c>
      <c r="BI74" s="109">
        <f>'7a.20YrDetails'!BI74</f>
        <v>0</v>
      </c>
      <c r="BJ74" s="109">
        <f>'7a.20YrDetails'!BJ74</f>
        <v>0</v>
      </c>
      <c r="BK74" s="109">
        <f>'7a.20YrDetails'!BK74</f>
        <v>0</v>
      </c>
      <c r="BL74" s="109">
        <f>'7a.20YrDetails'!BL74</f>
        <v>0</v>
      </c>
      <c r="BM74" s="109">
        <f>'7a.20YrDetails'!BM74</f>
        <v>0</v>
      </c>
      <c r="BN74" s="109">
        <f>'7a.20YrDetails'!BN74</f>
        <v>0</v>
      </c>
      <c r="BO74" s="109">
        <f>'7a.20YrDetails'!BO74</f>
        <v>0</v>
      </c>
    </row>
    <row r="75" spans="3:67" ht="12" hidden="1" customHeight="1" outlineLevel="1">
      <c r="C75" s="191" t="str">
        <f>'7a.20YrDetails'!C75</f>
        <v>HVAC Repairs and Maintenance</v>
      </c>
      <c r="D75" s="191">
        <f>'7a.20YrDetails'!D75</f>
        <v>6546</v>
      </c>
      <c r="E75" s="20">
        <f>'7a.20YrDetails'!E75</f>
        <v>3.5000000000000003E-2</v>
      </c>
      <c r="F75" s="20">
        <f>'7a.20YrDetails'!F75</f>
        <v>3.5000000000000003E-2</v>
      </c>
      <c r="G75" s="46" t="str">
        <f>IF('7a.20YrDetails'!$G75="","",'7a.20YrDetails'!$G75)</f>
        <v/>
      </c>
      <c r="H75" s="109">
        <f>'7a.20YrDetails'!H75</f>
        <v>0</v>
      </c>
      <c r="I75" s="109">
        <f>'7a.20YrDetails'!I75</f>
        <v>0</v>
      </c>
      <c r="J75" s="109">
        <f>'7a.20YrDetails'!J75</f>
        <v>0</v>
      </c>
      <c r="K75" s="109">
        <f>'7a.20YrDetails'!K75</f>
        <v>0</v>
      </c>
      <c r="L75" s="109">
        <f>'7a.20YrDetails'!L75</f>
        <v>0</v>
      </c>
      <c r="M75" s="109">
        <f>'7a.20YrDetails'!M75</f>
        <v>0</v>
      </c>
      <c r="N75" s="109">
        <f>'7a.20YrDetails'!N75</f>
        <v>0</v>
      </c>
      <c r="O75" s="109">
        <f>'7a.20YrDetails'!O75</f>
        <v>0</v>
      </c>
      <c r="P75" s="109">
        <f>'7a.20YrDetails'!P75</f>
        <v>0</v>
      </c>
      <c r="Q75" s="109">
        <f>'7a.20YrDetails'!Q75</f>
        <v>0</v>
      </c>
      <c r="R75" s="109">
        <f>'7a.20YrDetails'!R75</f>
        <v>0</v>
      </c>
      <c r="S75" s="109">
        <f>'7a.20YrDetails'!S75</f>
        <v>0</v>
      </c>
      <c r="T75" s="109">
        <f>'7a.20YrDetails'!T75</f>
        <v>0</v>
      </c>
      <c r="U75" s="109">
        <f>'7a.20YrDetails'!U75</f>
        <v>0</v>
      </c>
      <c r="V75" s="109">
        <f>'7a.20YrDetails'!V75</f>
        <v>0</v>
      </c>
      <c r="W75" s="109">
        <f>'7a.20YrDetails'!W75</f>
        <v>0</v>
      </c>
      <c r="X75" s="109">
        <f>'7a.20YrDetails'!X75</f>
        <v>0</v>
      </c>
      <c r="Y75" s="109">
        <f>'7a.20YrDetails'!Y75</f>
        <v>0</v>
      </c>
      <c r="Z75" s="109">
        <f>'7a.20YrDetails'!Z75</f>
        <v>0</v>
      </c>
      <c r="AA75" s="109">
        <f>'7a.20YrDetails'!AA75</f>
        <v>0</v>
      </c>
      <c r="AB75" s="109">
        <f>'7a.20YrDetails'!AB75</f>
        <v>0</v>
      </c>
      <c r="AC75" s="109">
        <f>'7a.20YrDetails'!AC75</f>
        <v>0</v>
      </c>
      <c r="AD75" s="109">
        <f>'7a.20YrDetails'!AD75</f>
        <v>0</v>
      </c>
      <c r="AE75" s="109">
        <f>'7a.20YrDetails'!AE75</f>
        <v>0</v>
      </c>
      <c r="AF75" s="109">
        <f>'7a.20YrDetails'!AF75</f>
        <v>0</v>
      </c>
      <c r="AG75" s="109">
        <f>'7a.20YrDetails'!AG75</f>
        <v>0</v>
      </c>
      <c r="AH75" s="109">
        <f>'7a.20YrDetails'!AH75</f>
        <v>0</v>
      </c>
      <c r="AI75" s="109">
        <f>'7a.20YrDetails'!AI75</f>
        <v>0</v>
      </c>
      <c r="AJ75" s="109">
        <f>'7a.20YrDetails'!AJ75</f>
        <v>0</v>
      </c>
      <c r="AK75" s="109">
        <f>'7a.20YrDetails'!AK75</f>
        <v>0</v>
      </c>
      <c r="AL75" s="109">
        <f>'7a.20YrDetails'!AL75</f>
        <v>0</v>
      </c>
      <c r="AM75" s="109">
        <f>'7a.20YrDetails'!AM75</f>
        <v>0</v>
      </c>
      <c r="AN75" s="109">
        <f>'7a.20YrDetails'!AN75</f>
        <v>0</v>
      </c>
      <c r="AO75" s="109">
        <f>'7a.20YrDetails'!AO75</f>
        <v>0</v>
      </c>
      <c r="AP75" s="109">
        <f>'7a.20YrDetails'!AP75</f>
        <v>0</v>
      </c>
      <c r="AQ75" s="109">
        <f>'7a.20YrDetails'!AQ75</f>
        <v>0</v>
      </c>
      <c r="AR75" s="109">
        <f>'7a.20YrDetails'!AR75</f>
        <v>0</v>
      </c>
      <c r="AS75" s="109">
        <f>'7a.20YrDetails'!AS75</f>
        <v>0</v>
      </c>
      <c r="AT75" s="109">
        <f>'7a.20YrDetails'!AT75</f>
        <v>0</v>
      </c>
      <c r="AU75" s="109">
        <f>'7a.20YrDetails'!AU75</f>
        <v>0</v>
      </c>
      <c r="AV75" s="109">
        <f>'7a.20YrDetails'!AV75</f>
        <v>0</v>
      </c>
      <c r="AW75" s="109">
        <f>'7a.20YrDetails'!AW75</f>
        <v>0</v>
      </c>
      <c r="AX75" s="109">
        <f>'7a.20YrDetails'!AX75</f>
        <v>0</v>
      </c>
      <c r="AY75" s="109">
        <f>'7a.20YrDetails'!AY75</f>
        <v>0</v>
      </c>
      <c r="AZ75" s="109">
        <f>'7a.20YrDetails'!AZ75</f>
        <v>0</v>
      </c>
      <c r="BA75" s="109">
        <f>'7a.20YrDetails'!BA75</f>
        <v>0</v>
      </c>
      <c r="BB75" s="109">
        <f>'7a.20YrDetails'!BB75</f>
        <v>0</v>
      </c>
      <c r="BC75" s="109">
        <f>'7a.20YrDetails'!BC75</f>
        <v>0</v>
      </c>
      <c r="BD75" s="109">
        <f>'7a.20YrDetails'!BD75</f>
        <v>0</v>
      </c>
      <c r="BE75" s="109">
        <f>'7a.20YrDetails'!BE75</f>
        <v>0</v>
      </c>
      <c r="BF75" s="109">
        <f>'7a.20YrDetails'!BF75</f>
        <v>0</v>
      </c>
      <c r="BG75" s="109">
        <f>'7a.20YrDetails'!BG75</f>
        <v>0</v>
      </c>
      <c r="BH75" s="109">
        <f>'7a.20YrDetails'!BH75</f>
        <v>0</v>
      </c>
      <c r="BI75" s="109">
        <f>'7a.20YrDetails'!BI75</f>
        <v>0</v>
      </c>
      <c r="BJ75" s="109">
        <f>'7a.20YrDetails'!BJ75</f>
        <v>0</v>
      </c>
      <c r="BK75" s="109">
        <f>'7a.20YrDetails'!BK75</f>
        <v>0</v>
      </c>
      <c r="BL75" s="109">
        <f>'7a.20YrDetails'!BL75</f>
        <v>0</v>
      </c>
      <c r="BM75" s="109">
        <f>'7a.20YrDetails'!BM75</f>
        <v>0</v>
      </c>
      <c r="BN75" s="109">
        <f>'7a.20YrDetails'!BN75</f>
        <v>0</v>
      </c>
      <c r="BO75" s="109">
        <f>'7a.20YrDetails'!BO75</f>
        <v>0</v>
      </c>
    </row>
    <row r="76" spans="3:67" ht="12" hidden="1" customHeight="1" outlineLevel="1">
      <c r="C76" s="191" t="str">
        <f>'7a.20YrDetails'!C76</f>
        <v>Vehicle and Maintenance Equipment Operation and Repairs</v>
      </c>
      <c r="D76" s="191">
        <f>'7a.20YrDetails'!D76</f>
        <v>6570</v>
      </c>
      <c r="E76" s="20">
        <f>'7a.20YrDetails'!E76</f>
        <v>3.5000000000000003E-2</v>
      </c>
      <c r="F76" s="20">
        <f>'7a.20YrDetails'!F76</f>
        <v>3.5000000000000003E-2</v>
      </c>
      <c r="G76" s="46" t="str">
        <f>IF('7a.20YrDetails'!$G76="","",'7a.20YrDetails'!$G76)</f>
        <v/>
      </c>
      <c r="H76" s="109">
        <f>'7a.20YrDetails'!H76</f>
        <v>0</v>
      </c>
      <c r="I76" s="109">
        <f>'7a.20YrDetails'!I76</f>
        <v>0</v>
      </c>
      <c r="J76" s="109">
        <f>'7a.20YrDetails'!J76</f>
        <v>0</v>
      </c>
      <c r="K76" s="109">
        <f>'7a.20YrDetails'!K76</f>
        <v>0</v>
      </c>
      <c r="L76" s="109">
        <f>'7a.20YrDetails'!L76</f>
        <v>0</v>
      </c>
      <c r="M76" s="109">
        <f>'7a.20YrDetails'!M76</f>
        <v>0</v>
      </c>
      <c r="N76" s="109">
        <f>'7a.20YrDetails'!N76</f>
        <v>0</v>
      </c>
      <c r="O76" s="109">
        <f>'7a.20YrDetails'!O76</f>
        <v>0</v>
      </c>
      <c r="P76" s="109">
        <f>'7a.20YrDetails'!P76</f>
        <v>0</v>
      </c>
      <c r="Q76" s="109">
        <f>'7a.20YrDetails'!Q76</f>
        <v>0</v>
      </c>
      <c r="R76" s="109">
        <f>'7a.20YrDetails'!R76</f>
        <v>0</v>
      </c>
      <c r="S76" s="109">
        <f>'7a.20YrDetails'!S76</f>
        <v>0</v>
      </c>
      <c r="T76" s="109">
        <f>'7a.20YrDetails'!T76</f>
        <v>0</v>
      </c>
      <c r="U76" s="109">
        <f>'7a.20YrDetails'!U76</f>
        <v>0</v>
      </c>
      <c r="V76" s="109">
        <f>'7a.20YrDetails'!V76</f>
        <v>0</v>
      </c>
      <c r="W76" s="109">
        <f>'7a.20YrDetails'!W76</f>
        <v>0</v>
      </c>
      <c r="X76" s="109">
        <f>'7a.20YrDetails'!X76</f>
        <v>0</v>
      </c>
      <c r="Y76" s="109">
        <f>'7a.20YrDetails'!Y76</f>
        <v>0</v>
      </c>
      <c r="Z76" s="109">
        <f>'7a.20YrDetails'!Z76</f>
        <v>0</v>
      </c>
      <c r="AA76" s="109">
        <f>'7a.20YrDetails'!AA76</f>
        <v>0</v>
      </c>
      <c r="AB76" s="109">
        <f>'7a.20YrDetails'!AB76</f>
        <v>0</v>
      </c>
      <c r="AC76" s="109">
        <f>'7a.20YrDetails'!AC76</f>
        <v>0</v>
      </c>
      <c r="AD76" s="109">
        <f>'7a.20YrDetails'!AD76</f>
        <v>0</v>
      </c>
      <c r="AE76" s="109">
        <f>'7a.20YrDetails'!AE76</f>
        <v>0</v>
      </c>
      <c r="AF76" s="109">
        <f>'7a.20YrDetails'!AF76</f>
        <v>0</v>
      </c>
      <c r="AG76" s="109">
        <f>'7a.20YrDetails'!AG76</f>
        <v>0</v>
      </c>
      <c r="AH76" s="109">
        <f>'7a.20YrDetails'!AH76</f>
        <v>0</v>
      </c>
      <c r="AI76" s="109">
        <f>'7a.20YrDetails'!AI76</f>
        <v>0</v>
      </c>
      <c r="AJ76" s="109">
        <f>'7a.20YrDetails'!AJ76</f>
        <v>0</v>
      </c>
      <c r="AK76" s="109">
        <f>'7a.20YrDetails'!AK76</f>
        <v>0</v>
      </c>
      <c r="AL76" s="109">
        <f>'7a.20YrDetails'!AL76</f>
        <v>0</v>
      </c>
      <c r="AM76" s="109">
        <f>'7a.20YrDetails'!AM76</f>
        <v>0</v>
      </c>
      <c r="AN76" s="109">
        <f>'7a.20YrDetails'!AN76</f>
        <v>0</v>
      </c>
      <c r="AO76" s="109">
        <f>'7a.20YrDetails'!AO76</f>
        <v>0</v>
      </c>
      <c r="AP76" s="109">
        <f>'7a.20YrDetails'!AP76</f>
        <v>0</v>
      </c>
      <c r="AQ76" s="109">
        <f>'7a.20YrDetails'!AQ76</f>
        <v>0</v>
      </c>
      <c r="AR76" s="109">
        <f>'7a.20YrDetails'!AR76</f>
        <v>0</v>
      </c>
      <c r="AS76" s="109">
        <f>'7a.20YrDetails'!AS76</f>
        <v>0</v>
      </c>
      <c r="AT76" s="109">
        <f>'7a.20YrDetails'!AT76</f>
        <v>0</v>
      </c>
      <c r="AU76" s="109">
        <f>'7a.20YrDetails'!AU76</f>
        <v>0</v>
      </c>
      <c r="AV76" s="109">
        <f>'7a.20YrDetails'!AV76</f>
        <v>0</v>
      </c>
      <c r="AW76" s="109">
        <f>'7a.20YrDetails'!AW76</f>
        <v>0</v>
      </c>
      <c r="AX76" s="109">
        <f>'7a.20YrDetails'!AX76</f>
        <v>0</v>
      </c>
      <c r="AY76" s="109">
        <f>'7a.20YrDetails'!AY76</f>
        <v>0</v>
      </c>
      <c r="AZ76" s="109">
        <f>'7a.20YrDetails'!AZ76</f>
        <v>0</v>
      </c>
      <c r="BA76" s="109">
        <f>'7a.20YrDetails'!BA76</f>
        <v>0</v>
      </c>
      <c r="BB76" s="109">
        <f>'7a.20YrDetails'!BB76</f>
        <v>0</v>
      </c>
      <c r="BC76" s="109">
        <f>'7a.20YrDetails'!BC76</f>
        <v>0</v>
      </c>
      <c r="BD76" s="109">
        <f>'7a.20YrDetails'!BD76</f>
        <v>0</v>
      </c>
      <c r="BE76" s="109">
        <f>'7a.20YrDetails'!BE76</f>
        <v>0</v>
      </c>
      <c r="BF76" s="109">
        <f>'7a.20YrDetails'!BF76</f>
        <v>0</v>
      </c>
      <c r="BG76" s="109">
        <f>'7a.20YrDetails'!BG76</f>
        <v>0</v>
      </c>
      <c r="BH76" s="109">
        <f>'7a.20YrDetails'!BH76</f>
        <v>0</v>
      </c>
      <c r="BI76" s="109">
        <f>'7a.20YrDetails'!BI76</f>
        <v>0</v>
      </c>
      <c r="BJ76" s="109">
        <f>'7a.20YrDetails'!BJ76</f>
        <v>0</v>
      </c>
      <c r="BK76" s="109">
        <f>'7a.20YrDetails'!BK76</f>
        <v>0</v>
      </c>
      <c r="BL76" s="109">
        <f>'7a.20YrDetails'!BL76</f>
        <v>0</v>
      </c>
      <c r="BM76" s="109">
        <f>'7a.20YrDetails'!BM76</f>
        <v>0</v>
      </c>
      <c r="BN76" s="109">
        <f>'7a.20YrDetails'!BN76</f>
        <v>0</v>
      </c>
      <c r="BO76" s="109">
        <f>'7a.20YrDetails'!BO76</f>
        <v>0</v>
      </c>
    </row>
    <row r="77" spans="3:67" ht="12" hidden="1" customHeight="1" outlineLevel="1">
      <c r="C77" s="191" t="str">
        <f>'7a.20YrDetails'!C77</f>
        <v>Miscellaneous Operating and Maintenance Expenses</v>
      </c>
      <c r="D77" s="191">
        <f>'7a.20YrDetails'!D77</f>
        <v>6590</v>
      </c>
      <c r="E77" s="20">
        <f>'7a.20YrDetails'!E77</f>
        <v>3.5000000000000003E-2</v>
      </c>
      <c r="F77" s="20">
        <f>'7a.20YrDetails'!F77</f>
        <v>3.5000000000000003E-2</v>
      </c>
      <c r="G77" s="46" t="str">
        <f>IF('7a.20YrDetails'!$G77="","",'7a.20YrDetails'!$G77)</f>
        <v/>
      </c>
      <c r="H77" s="109">
        <f>'7a.20YrDetails'!H77</f>
        <v>0</v>
      </c>
      <c r="I77" s="109">
        <f>'7a.20YrDetails'!I77</f>
        <v>0</v>
      </c>
      <c r="J77" s="109">
        <f>'7a.20YrDetails'!J77</f>
        <v>0</v>
      </c>
      <c r="K77" s="109">
        <f>'7a.20YrDetails'!K77</f>
        <v>0</v>
      </c>
      <c r="L77" s="109">
        <f>'7a.20YrDetails'!L77</f>
        <v>0</v>
      </c>
      <c r="M77" s="109">
        <f>'7a.20YrDetails'!M77</f>
        <v>0</v>
      </c>
      <c r="N77" s="109">
        <f>'7a.20YrDetails'!N77</f>
        <v>0</v>
      </c>
      <c r="O77" s="109">
        <f>'7a.20YrDetails'!O77</f>
        <v>0</v>
      </c>
      <c r="P77" s="109">
        <f>'7a.20YrDetails'!P77</f>
        <v>0</v>
      </c>
      <c r="Q77" s="109">
        <f>'7a.20YrDetails'!Q77</f>
        <v>0</v>
      </c>
      <c r="R77" s="109">
        <f>'7a.20YrDetails'!R77</f>
        <v>0</v>
      </c>
      <c r="S77" s="109">
        <f>'7a.20YrDetails'!S77</f>
        <v>0</v>
      </c>
      <c r="T77" s="109">
        <f>'7a.20YrDetails'!T77</f>
        <v>0</v>
      </c>
      <c r="U77" s="109">
        <f>'7a.20YrDetails'!U77</f>
        <v>0</v>
      </c>
      <c r="V77" s="109">
        <f>'7a.20YrDetails'!V77</f>
        <v>0</v>
      </c>
      <c r="W77" s="109">
        <f>'7a.20YrDetails'!W77</f>
        <v>0</v>
      </c>
      <c r="X77" s="109">
        <f>'7a.20YrDetails'!X77</f>
        <v>0</v>
      </c>
      <c r="Y77" s="109">
        <f>'7a.20YrDetails'!Y77</f>
        <v>0</v>
      </c>
      <c r="Z77" s="109">
        <f>'7a.20YrDetails'!Z77</f>
        <v>0</v>
      </c>
      <c r="AA77" s="109">
        <f>'7a.20YrDetails'!AA77</f>
        <v>0</v>
      </c>
      <c r="AB77" s="109">
        <f>'7a.20YrDetails'!AB77</f>
        <v>0</v>
      </c>
      <c r="AC77" s="109">
        <f>'7a.20YrDetails'!AC77</f>
        <v>0</v>
      </c>
      <c r="AD77" s="109">
        <f>'7a.20YrDetails'!AD77</f>
        <v>0</v>
      </c>
      <c r="AE77" s="109">
        <f>'7a.20YrDetails'!AE77</f>
        <v>0</v>
      </c>
      <c r="AF77" s="109">
        <f>'7a.20YrDetails'!AF77</f>
        <v>0</v>
      </c>
      <c r="AG77" s="109">
        <f>'7a.20YrDetails'!AG77</f>
        <v>0</v>
      </c>
      <c r="AH77" s="109">
        <f>'7a.20YrDetails'!AH77</f>
        <v>0</v>
      </c>
      <c r="AI77" s="109">
        <f>'7a.20YrDetails'!AI77</f>
        <v>0</v>
      </c>
      <c r="AJ77" s="109">
        <f>'7a.20YrDetails'!AJ77</f>
        <v>0</v>
      </c>
      <c r="AK77" s="109">
        <f>'7a.20YrDetails'!AK77</f>
        <v>0</v>
      </c>
      <c r="AL77" s="109">
        <f>'7a.20YrDetails'!AL77</f>
        <v>0</v>
      </c>
      <c r="AM77" s="109">
        <f>'7a.20YrDetails'!AM77</f>
        <v>0</v>
      </c>
      <c r="AN77" s="109">
        <f>'7a.20YrDetails'!AN77</f>
        <v>0</v>
      </c>
      <c r="AO77" s="109">
        <f>'7a.20YrDetails'!AO77</f>
        <v>0</v>
      </c>
      <c r="AP77" s="109">
        <f>'7a.20YrDetails'!AP77</f>
        <v>0</v>
      </c>
      <c r="AQ77" s="109">
        <f>'7a.20YrDetails'!AQ77</f>
        <v>0</v>
      </c>
      <c r="AR77" s="109">
        <f>'7a.20YrDetails'!AR77</f>
        <v>0</v>
      </c>
      <c r="AS77" s="109">
        <f>'7a.20YrDetails'!AS77</f>
        <v>0</v>
      </c>
      <c r="AT77" s="109">
        <f>'7a.20YrDetails'!AT77</f>
        <v>0</v>
      </c>
      <c r="AU77" s="109">
        <f>'7a.20YrDetails'!AU77</f>
        <v>0</v>
      </c>
      <c r="AV77" s="109">
        <f>'7a.20YrDetails'!AV77</f>
        <v>0</v>
      </c>
      <c r="AW77" s="109">
        <f>'7a.20YrDetails'!AW77</f>
        <v>0</v>
      </c>
      <c r="AX77" s="109">
        <f>'7a.20YrDetails'!AX77</f>
        <v>0</v>
      </c>
      <c r="AY77" s="109">
        <f>'7a.20YrDetails'!AY77</f>
        <v>0</v>
      </c>
      <c r="AZ77" s="109">
        <f>'7a.20YrDetails'!AZ77</f>
        <v>0</v>
      </c>
      <c r="BA77" s="109">
        <f>'7a.20YrDetails'!BA77</f>
        <v>0</v>
      </c>
      <c r="BB77" s="109">
        <f>'7a.20YrDetails'!BB77</f>
        <v>0</v>
      </c>
      <c r="BC77" s="109">
        <f>'7a.20YrDetails'!BC77</f>
        <v>0</v>
      </c>
      <c r="BD77" s="109">
        <f>'7a.20YrDetails'!BD77</f>
        <v>0</v>
      </c>
      <c r="BE77" s="109">
        <f>'7a.20YrDetails'!BE77</f>
        <v>0</v>
      </c>
      <c r="BF77" s="109">
        <f>'7a.20YrDetails'!BF77</f>
        <v>0</v>
      </c>
      <c r="BG77" s="109">
        <f>'7a.20YrDetails'!BG77</f>
        <v>0</v>
      </c>
      <c r="BH77" s="109">
        <f>'7a.20YrDetails'!BH77</f>
        <v>0</v>
      </c>
      <c r="BI77" s="109">
        <f>'7a.20YrDetails'!BI77</f>
        <v>0</v>
      </c>
      <c r="BJ77" s="109">
        <f>'7a.20YrDetails'!BJ77</f>
        <v>0</v>
      </c>
      <c r="BK77" s="109">
        <f>'7a.20YrDetails'!BK77</f>
        <v>0</v>
      </c>
      <c r="BL77" s="109">
        <f>'7a.20YrDetails'!BL77</f>
        <v>0</v>
      </c>
      <c r="BM77" s="109">
        <f>'7a.20YrDetails'!BM77</f>
        <v>0</v>
      </c>
      <c r="BN77" s="109">
        <f>'7a.20YrDetails'!BN77</f>
        <v>0</v>
      </c>
      <c r="BO77" s="109">
        <f>'7a.20YrDetails'!BO77</f>
        <v>0</v>
      </c>
    </row>
    <row r="78" spans="3:67" ht="12" hidden="1" customHeight="1" outlineLevel="1">
      <c r="C78" s="11" t="str">
        <f>'7a.20YrDetails'!C78</f>
        <v>Sub-total Maintenance &amp; Repair Expenses</v>
      </c>
      <c r="D78" s="11"/>
      <c r="E78" s="48"/>
      <c r="F78" s="48"/>
      <c r="G78" s="49"/>
      <c r="H78" s="109">
        <f>'7a.20YrDetails'!H78</f>
        <v>0</v>
      </c>
      <c r="I78" s="109">
        <f>'7a.20YrDetails'!I78</f>
        <v>0</v>
      </c>
      <c r="J78" s="109">
        <f>'7a.20YrDetails'!J78</f>
        <v>0</v>
      </c>
      <c r="K78" s="109">
        <f>'7a.20YrDetails'!K78</f>
        <v>0</v>
      </c>
      <c r="L78" s="109">
        <f>'7a.20YrDetails'!L78</f>
        <v>0</v>
      </c>
      <c r="M78" s="109">
        <f>'7a.20YrDetails'!M78</f>
        <v>0</v>
      </c>
      <c r="N78" s="109">
        <f>'7a.20YrDetails'!N78</f>
        <v>0</v>
      </c>
      <c r="O78" s="109">
        <f>'7a.20YrDetails'!O78</f>
        <v>0</v>
      </c>
      <c r="P78" s="109">
        <f>'7a.20YrDetails'!P78</f>
        <v>0</v>
      </c>
      <c r="Q78" s="109">
        <f>'7a.20YrDetails'!Q78</f>
        <v>0</v>
      </c>
      <c r="R78" s="109">
        <f>'7a.20YrDetails'!R78</f>
        <v>0</v>
      </c>
      <c r="S78" s="109">
        <f>'7a.20YrDetails'!S78</f>
        <v>0</v>
      </c>
      <c r="T78" s="109">
        <f>'7a.20YrDetails'!T78</f>
        <v>0</v>
      </c>
      <c r="U78" s="109">
        <f>'7a.20YrDetails'!U78</f>
        <v>0</v>
      </c>
      <c r="V78" s="109">
        <f>'7a.20YrDetails'!V78</f>
        <v>0</v>
      </c>
      <c r="W78" s="109">
        <f>'7a.20YrDetails'!W78</f>
        <v>0</v>
      </c>
      <c r="X78" s="109">
        <f>'7a.20YrDetails'!X78</f>
        <v>0</v>
      </c>
      <c r="Y78" s="109">
        <f>'7a.20YrDetails'!Y78</f>
        <v>0</v>
      </c>
      <c r="Z78" s="109">
        <f>'7a.20YrDetails'!Z78</f>
        <v>0</v>
      </c>
      <c r="AA78" s="109">
        <f>'7a.20YrDetails'!AA78</f>
        <v>0</v>
      </c>
      <c r="AB78" s="109">
        <f>'7a.20YrDetails'!AB78</f>
        <v>0</v>
      </c>
      <c r="AC78" s="109">
        <f>'7a.20YrDetails'!AC78</f>
        <v>0</v>
      </c>
      <c r="AD78" s="109">
        <f>'7a.20YrDetails'!AD78</f>
        <v>0</v>
      </c>
      <c r="AE78" s="109">
        <f>'7a.20YrDetails'!AE78</f>
        <v>0</v>
      </c>
      <c r="AF78" s="109">
        <f>'7a.20YrDetails'!AF78</f>
        <v>0</v>
      </c>
      <c r="AG78" s="109">
        <f>'7a.20YrDetails'!AG78</f>
        <v>0</v>
      </c>
      <c r="AH78" s="109">
        <f>'7a.20YrDetails'!AH78</f>
        <v>0</v>
      </c>
      <c r="AI78" s="109">
        <f>'7a.20YrDetails'!AI78</f>
        <v>0</v>
      </c>
      <c r="AJ78" s="109">
        <f>'7a.20YrDetails'!AJ78</f>
        <v>0</v>
      </c>
      <c r="AK78" s="109">
        <f>'7a.20YrDetails'!AK78</f>
        <v>0</v>
      </c>
      <c r="AL78" s="109">
        <f>'7a.20YrDetails'!AL78</f>
        <v>0</v>
      </c>
      <c r="AM78" s="109">
        <f>'7a.20YrDetails'!AM78</f>
        <v>0</v>
      </c>
      <c r="AN78" s="109">
        <f>'7a.20YrDetails'!AN78</f>
        <v>0</v>
      </c>
      <c r="AO78" s="109">
        <f>'7a.20YrDetails'!AO78</f>
        <v>0</v>
      </c>
      <c r="AP78" s="109">
        <f>'7a.20YrDetails'!AP78</f>
        <v>0</v>
      </c>
      <c r="AQ78" s="109">
        <f>'7a.20YrDetails'!AQ78</f>
        <v>0</v>
      </c>
      <c r="AR78" s="109">
        <f>'7a.20YrDetails'!AR78</f>
        <v>0</v>
      </c>
      <c r="AS78" s="109">
        <f>'7a.20YrDetails'!AS78</f>
        <v>0</v>
      </c>
      <c r="AT78" s="109">
        <f>'7a.20YrDetails'!AT78</f>
        <v>0</v>
      </c>
      <c r="AU78" s="109">
        <f>'7a.20YrDetails'!AU78</f>
        <v>0</v>
      </c>
      <c r="AV78" s="109">
        <f>'7a.20YrDetails'!AV78</f>
        <v>0</v>
      </c>
      <c r="AW78" s="109">
        <f>'7a.20YrDetails'!AW78</f>
        <v>0</v>
      </c>
      <c r="AX78" s="109">
        <f>'7a.20YrDetails'!AX78</f>
        <v>0</v>
      </c>
      <c r="AY78" s="109">
        <f>'7a.20YrDetails'!AY78</f>
        <v>0</v>
      </c>
      <c r="AZ78" s="109">
        <f>'7a.20YrDetails'!AZ78</f>
        <v>0</v>
      </c>
      <c r="BA78" s="109">
        <f>'7a.20YrDetails'!BA78</f>
        <v>0</v>
      </c>
      <c r="BB78" s="109">
        <f>'7a.20YrDetails'!BB78</f>
        <v>0</v>
      </c>
      <c r="BC78" s="109">
        <f>'7a.20YrDetails'!BC78</f>
        <v>0</v>
      </c>
      <c r="BD78" s="109">
        <f>'7a.20YrDetails'!BD78</f>
        <v>0</v>
      </c>
      <c r="BE78" s="109">
        <f>'7a.20YrDetails'!BE78</f>
        <v>0</v>
      </c>
      <c r="BF78" s="109">
        <f>'7a.20YrDetails'!BF78</f>
        <v>0</v>
      </c>
      <c r="BG78" s="109">
        <f>'7a.20YrDetails'!BG78</f>
        <v>0</v>
      </c>
      <c r="BH78" s="109">
        <f>'7a.20YrDetails'!BH78</f>
        <v>0</v>
      </c>
      <c r="BI78" s="109">
        <f>'7a.20YrDetails'!BI78</f>
        <v>0</v>
      </c>
      <c r="BJ78" s="109">
        <f>'7a.20YrDetails'!BJ78</f>
        <v>0</v>
      </c>
      <c r="BK78" s="109">
        <f>'7a.20YrDetails'!BK78</f>
        <v>0</v>
      </c>
      <c r="BL78" s="109">
        <f>'7a.20YrDetails'!BL78</f>
        <v>0</v>
      </c>
      <c r="BM78" s="109">
        <f>'7a.20YrDetails'!BM78</f>
        <v>0</v>
      </c>
      <c r="BN78" s="109">
        <f>'7a.20YrDetails'!BN78</f>
        <v>0</v>
      </c>
      <c r="BO78" s="109">
        <f>'7a.20YrDetails'!BO78</f>
        <v>0</v>
      </c>
    </row>
    <row r="79" spans="3:67" ht="12" hidden="1" customHeight="1" outlineLevel="1">
      <c r="C79" s="11"/>
      <c r="D79" s="12"/>
      <c r="E79" s="48"/>
      <c r="F79" s="48"/>
      <c r="G79" s="4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09"/>
      <c r="AM79" s="109"/>
      <c r="AN79" s="109"/>
      <c r="AO79" s="109"/>
      <c r="AP79" s="109"/>
      <c r="AQ79" s="109"/>
      <c r="AR79" s="109"/>
      <c r="AS79" s="109"/>
      <c r="AT79" s="109"/>
      <c r="AU79" s="109"/>
      <c r="AV79" s="109"/>
      <c r="AW79" s="109"/>
      <c r="AX79" s="109"/>
      <c r="AY79" s="109"/>
      <c r="AZ79" s="109"/>
      <c r="BA79" s="109"/>
      <c r="BB79" s="109"/>
      <c r="BC79" s="109"/>
      <c r="BD79" s="109"/>
      <c r="BE79" s="109"/>
      <c r="BF79" s="109"/>
      <c r="BG79" s="109"/>
      <c r="BH79" s="109"/>
      <c r="BI79" s="109"/>
      <c r="BJ79" s="109"/>
      <c r="BK79" s="109"/>
      <c r="BL79" s="109"/>
      <c r="BM79" s="109"/>
      <c r="BN79" s="109"/>
      <c r="BO79" s="109"/>
    </row>
    <row r="80" spans="3:67" ht="12" customHeight="1" collapsed="1">
      <c r="C80" s="191" t="str">
        <f>'7a.20YrDetails'!C80</f>
        <v>Supportive Services</v>
      </c>
      <c r="D80" s="191">
        <f>'7a.20YrDetails'!D80</f>
        <v>6900</v>
      </c>
      <c r="E80" s="20">
        <f>'7a.20YrDetails'!E80</f>
        <v>3.5000000000000003E-2</v>
      </c>
      <c r="F80" s="20">
        <f>'7a.20YrDetails'!F80</f>
        <v>3.5000000000000003E-2</v>
      </c>
      <c r="G80" s="46" t="str">
        <f>IF('7a.20YrDetails'!$G80="","",'7a.20YrDetails'!$G80)</f>
        <v/>
      </c>
      <c r="H80" s="109">
        <f>'7a.20YrDetails'!H80</f>
        <v>0</v>
      </c>
      <c r="I80" s="109">
        <f>'7a.20YrDetails'!I80</f>
        <v>0</v>
      </c>
      <c r="J80" s="109">
        <f>'7a.20YrDetails'!J80</f>
        <v>0</v>
      </c>
      <c r="K80" s="109">
        <f>'7a.20YrDetails'!K80</f>
        <v>0</v>
      </c>
      <c r="L80" s="109">
        <f>'7a.20YrDetails'!L80</f>
        <v>0</v>
      </c>
      <c r="M80" s="109">
        <f>'7a.20YrDetails'!M80</f>
        <v>0</v>
      </c>
      <c r="N80" s="109">
        <f>'7a.20YrDetails'!N80</f>
        <v>0</v>
      </c>
      <c r="O80" s="109">
        <f>'7a.20YrDetails'!O80</f>
        <v>0</v>
      </c>
      <c r="P80" s="109">
        <f>'7a.20YrDetails'!P80</f>
        <v>0</v>
      </c>
      <c r="Q80" s="109">
        <f>'7a.20YrDetails'!Q80</f>
        <v>0</v>
      </c>
      <c r="R80" s="109">
        <f>'7a.20YrDetails'!R80</f>
        <v>0</v>
      </c>
      <c r="S80" s="109">
        <f>'7a.20YrDetails'!S80</f>
        <v>0</v>
      </c>
      <c r="T80" s="109">
        <f>'7a.20YrDetails'!T80</f>
        <v>0</v>
      </c>
      <c r="U80" s="109">
        <f>'7a.20YrDetails'!U80</f>
        <v>0</v>
      </c>
      <c r="V80" s="109">
        <f>'7a.20YrDetails'!V80</f>
        <v>0</v>
      </c>
      <c r="W80" s="109">
        <f>'7a.20YrDetails'!W80</f>
        <v>0</v>
      </c>
      <c r="X80" s="109">
        <f>'7a.20YrDetails'!X80</f>
        <v>0</v>
      </c>
      <c r="Y80" s="109">
        <f>'7a.20YrDetails'!Y80</f>
        <v>0</v>
      </c>
      <c r="Z80" s="109">
        <f>'7a.20YrDetails'!Z80</f>
        <v>0</v>
      </c>
      <c r="AA80" s="109">
        <f>'7a.20YrDetails'!AA80</f>
        <v>0</v>
      </c>
      <c r="AB80" s="109">
        <f>'7a.20YrDetails'!AB80</f>
        <v>0</v>
      </c>
      <c r="AC80" s="109">
        <f>'7a.20YrDetails'!AC80</f>
        <v>0</v>
      </c>
      <c r="AD80" s="109">
        <f>'7a.20YrDetails'!AD80</f>
        <v>0</v>
      </c>
      <c r="AE80" s="109">
        <f>'7a.20YrDetails'!AE80</f>
        <v>0</v>
      </c>
      <c r="AF80" s="109">
        <f>'7a.20YrDetails'!AF80</f>
        <v>0</v>
      </c>
      <c r="AG80" s="109">
        <f>'7a.20YrDetails'!AG80</f>
        <v>0</v>
      </c>
      <c r="AH80" s="109">
        <f>'7a.20YrDetails'!AH80</f>
        <v>0</v>
      </c>
      <c r="AI80" s="109">
        <f>'7a.20YrDetails'!AI80</f>
        <v>0</v>
      </c>
      <c r="AJ80" s="109">
        <f>'7a.20YrDetails'!AJ80</f>
        <v>0</v>
      </c>
      <c r="AK80" s="109">
        <f>'7a.20YrDetails'!AK80</f>
        <v>0</v>
      </c>
      <c r="AL80" s="109">
        <f>'7a.20YrDetails'!AL80</f>
        <v>0</v>
      </c>
      <c r="AM80" s="109">
        <f>'7a.20YrDetails'!AM80</f>
        <v>0</v>
      </c>
      <c r="AN80" s="109">
        <f>'7a.20YrDetails'!AN80</f>
        <v>0</v>
      </c>
      <c r="AO80" s="109">
        <f>'7a.20YrDetails'!AO80</f>
        <v>0</v>
      </c>
      <c r="AP80" s="109">
        <f>'7a.20YrDetails'!AP80</f>
        <v>0</v>
      </c>
      <c r="AQ80" s="109">
        <f>'7a.20YrDetails'!AQ80</f>
        <v>0</v>
      </c>
      <c r="AR80" s="109">
        <f>'7a.20YrDetails'!AR80</f>
        <v>0</v>
      </c>
      <c r="AS80" s="109">
        <f>'7a.20YrDetails'!AS80</f>
        <v>0</v>
      </c>
      <c r="AT80" s="109">
        <f>'7a.20YrDetails'!AT80</f>
        <v>0</v>
      </c>
      <c r="AU80" s="109">
        <f>'7a.20YrDetails'!AU80</f>
        <v>0</v>
      </c>
      <c r="AV80" s="109">
        <f>'7a.20YrDetails'!AV80</f>
        <v>0</v>
      </c>
      <c r="AW80" s="109">
        <f>'7a.20YrDetails'!AW80</f>
        <v>0</v>
      </c>
      <c r="AX80" s="109">
        <f>'7a.20YrDetails'!AX80</f>
        <v>0</v>
      </c>
      <c r="AY80" s="109">
        <f>'7a.20YrDetails'!AY80</f>
        <v>0</v>
      </c>
      <c r="AZ80" s="109">
        <f>'7a.20YrDetails'!AZ80</f>
        <v>0</v>
      </c>
      <c r="BA80" s="109">
        <f>'7a.20YrDetails'!BA80</f>
        <v>0</v>
      </c>
      <c r="BB80" s="109">
        <f>'7a.20YrDetails'!BB80</f>
        <v>0</v>
      </c>
      <c r="BC80" s="109">
        <f>'7a.20YrDetails'!BC80</f>
        <v>0</v>
      </c>
      <c r="BD80" s="109">
        <f>'7a.20YrDetails'!BD80</f>
        <v>0</v>
      </c>
      <c r="BE80" s="109">
        <f>'7a.20YrDetails'!BE80</f>
        <v>0</v>
      </c>
      <c r="BF80" s="109">
        <f>'7a.20YrDetails'!BF80</f>
        <v>0</v>
      </c>
      <c r="BG80" s="109">
        <f>'7a.20YrDetails'!BG80</f>
        <v>0</v>
      </c>
      <c r="BH80" s="109">
        <f>'7a.20YrDetails'!BH80</f>
        <v>0</v>
      </c>
      <c r="BI80" s="109">
        <f>'7a.20YrDetails'!BI80</f>
        <v>0</v>
      </c>
      <c r="BJ80" s="109">
        <f>'7a.20YrDetails'!BJ80</f>
        <v>0</v>
      </c>
      <c r="BK80" s="109">
        <f>'7a.20YrDetails'!BK80</f>
        <v>0</v>
      </c>
      <c r="BL80" s="109">
        <f>'7a.20YrDetails'!BL80</f>
        <v>0</v>
      </c>
      <c r="BM80" s="109">
        <f>'7a.20YrDetails'!BM80</f>
        <v>0</v>
      </c>
      <c r="BN80" s="109">
        <f>'7a.20YrDetails'!BN80</f>
        <v>0</v>
      </c>
      <c r="BO80" s="109">
        <f>'7a.20YrDetails'!BO80</f>
        <v>0</v>
      </c>
    </row>
    <row r="81" spans="3:67" ht="12" customHeight="1">
      <c r="C81" s="191" t="str">
        <f>'7a.20YrDetails'!C81</f>
        <v>Commercial Expenses</v>
      </c>
      <c r="D81" s="191">
        <f>'7a.20YrDetails'!D81</f>
        <v>0</v>
      </c>
      <c r="E81" s="15"/>
      <c r="F81" s="71"/>
      <c r="G81" s="46" t="str">
        <f>IF('7a.20YrDetails'!$G81="","",'7a.20YrDetails'!$G81)</f>
        <v>from 'Commercial Op. Budget' Worksheet; Commercial to Residential allocation: 100%</v>
      </c>
      <c r="H81" s="109">
        <f>'7a.20YrDetails'!H81</f>
        <v>0</v>
      </c>
      <c r="I81" s="109">
        <f>'7a.20YrDetails'!I81</f>
        <v>0</v>
      </c>
      <c r="J81" s="109">
        <f>'7a.20YrDetails'!J81</f>
        <v>0</v>
      </c>
      <c r="K81" s="109">
        <f>'7a.20YrDetails'!K81</f>
        <v>0</v>
      </c>
      <c r="L81" s="109">
        <f>'7a.20YrDetails'!L81</f>
        <v>0</v>
      </c>
      <c r="M81" s="109">
        <f>'7a.20YrDetails'!M81</f>
        <v>0</v>
      </c>
      <c r="N81" s="109">
        <f>'7a.20YrDetails'!N81</f>
        <v>0</v>
      </c>
      <c r="O81" s="109">
        <f>'7a.20YrDetails'!O81</f>
        <v>0</v>
      </c>
      <c r="P81" s="109">
        <f>'7a.20YrDetails'!P81</f>
        <v>0</v>
      </c>
      <c r="Q81" s="109">
        <f>'7a.20YrDetails'!Q81</f>
        <v>0</v>
      </c>
      <c r="R81" s="109">
        <f>'7a.20YrDetails'!R81</f>
        <v>0</v>
      </c>
      <c r="S81" s="109">
        <f>'7a.20YrDetails'!S81</f>
        <v>0</v>
      </c>
      <c r="T81" s="109">
        <f>'7a.20YrDetails'!T81</f>
        <v>0</v>
      </c>
      <c r="U81" s="109">
        <f>'7a.20YrDetails'!U81</f>
        <v>0</v>
      </c>
      <c r="V81" s="109">
        <f>'7a.20YrDetails'!V81</f>
        <v>0</v>
      </c>
      <c r="W81" s="109">
        <f>'7a.20YrDetails'!W81</f>
        <v>0</v>
      </c>
      <c r="X81" s="109">
        <f>'7a.20YrDetails'!X81</f>
        <v>0</v>
      </c>
      <c r="Y81" s="109">
        <f>'7a.20YrDetails'!Y81</f>
        <v>0</v>
      </c>
      <c r="Z81" s="109">
        <f>'7a.20YrDetails'!Z81</f>
        <v>0</v>
      </c>
      <c r="AA81" s="109">
        <f>'7a.20YrDetails'!AA81</f>
        <v>0</v>
      </c>
      <c r="AB81" s="109">
        <f>'7a.20YrDetails'!AB81</f>
        <v>0</v>
      </c>
      <c r="AC81" s="109">
        <f>'7a.20YrDetails'!AC81</f>
        <v>0</v>
      </c>
      <c r="AD81" s="109">
        <f>'7a.20YrDetails'!AD81</f>
        <v>0</v>
      </c>
      <c r="AE81" s="109">
        <f>'7a.20YrDetails'!AE81</f>
        <v>0</v>
      </c>
      <c r="AF81" s="109">
        <f>'7a.20YrDetails'!AF81</f>
        <v>0</v>
      </c>
      <c r="AG81" s="109">
        <f>'7a.20YrDetails'!AG81</f>
        <v>0</v>
      </c>
      <c r="AH81" s="109">
        <f>'7a.20YrDetails'!AH81</f>
        <v>0</v>
      </c>
      <c r="AI81" s="109">
        <f>'7a.20YrDetails'!AI81</f>
        <v>0</v>
      </c>
      <c r="AJ81" s="109">
        <f>'7a.20YrDetails'!AJ81</f>
        <v>0</v>
      </c>
      <c r="AK81" s="109">
        <f>'7a.20YrDetails'!AK81</f>
        <v>0</v>
      </c>
      <c r="AL81" s="109">
        <f>'7a.20YrDetails'!AL81</f>
        <v>0</v>
      </c>
      <c r="AM81" s="109">
        <f>'7a.20YrDetails'!AM81</f>
        <v>0</v>
      </c>
      <c r="AN81" s="109">
        <f>'7a.20YrDetails'!AN81</f>
        <v>0</v>
      </c>
      <c r="AO81" s="109">
        <f>'7a.20YrDetails'!AO81</f>
        <v>0</v>
      </c>
      <c r="AP81" s="109">
        <f>'7a.20YrDetails'!AP81</f>
        <v>0</v>
      </c>
      <c r="AQ81" s="109">
        <f>'7a.20YrDetails'!AQ81</f>
        <v>0</v>
      </c>
      <c r="AR81" s="109">
        <f>'7a.20YrDetails'!AR81</f>
        <v>0</v>
      </c>
      <c r="AS81" s="109">
        <f>'7a.20YrDetails'!AS81</f>
        <v>0</v>
      </c>
      <c r="AT81" s="109">
        <f>'7a.20YrDetails'!AT81</f>
        <v>0</v>
      </c>
      <c r="AU81" s="109">
        <f>'7a.20YrDetails'!AU81</f>
        <v>0</v>
      </c>
      <c r="AV81" s="109">
        <f>'7a.20YrDetails'!AV81</f>
        <v>0</v>
      </c>
      <c r="AW81" s="109">
        <f>'7a.20YrDetails'!AW81</f>
        <v>0</v>
      </c>
      <c r="AX81" s="109">
        <f>'7a.20YrDetails'!AX81</f>
        <v>0</v>
      </c>
      <c r="AY81" s="109">
        <f>'7a.20YrDetails'!AY81</f>
        <v>0</v>
      </c>
      <c r="AZ81" s="109">
        <f>'7a.20YrDetails'!AZ81</f>
        <v>0</v>
      </c>
      <c r="BA81" s="109">
        <f>'7a.20YrDetails'!BA81</f>
        <v>0</v>
      </c>
      <c r="BB81" s="109">
        <f>'7a.20YrDetails'!BB81</f>
        <v>0</v>
      </c>
      <c r="BC81" s="109">
        <f>'7a.20YrDetails'!BC81</f>
        <v>0</v>
      </c>
      <c r="BD81" s="109">
        <f>'7a.20YrDetails'!BD81</f>
        <v>0</v>
      </c>
      <c r="BE81" s="109">
        <f>'7a.20YrDetails'!BE81</f>
        <v>0</v>
      </c>
      <c r="BF81" s="109">
        <f>'7a.20YrDetails'!BF81</f>
        <v>0</v>
      </c>
      <c r="BG81" s="109">
        <f>'7a.20YrDetails'!BG81</f>
        <v>0</v>
      </c>
      <c r="BH81" s="109">
        <f>'7a.20YrDetails'!BH81</f>
        <v>0</v>
      </c>
      <c r="BI81" s="109">
        <f>'7a.20YrDetails'!BI81</f>
        <v>0</v>
      </c>
      <c r="BJ81" s="109">
        <f>'7a.20YrDetails'!BJ81</f>
        <v>0</v>
      </c>
      <c r="BK81" s="109">
        <f>'7a.20YrDetails'!BK81</f>
        <v>0</v>
      </c>
      <c r="BL81" s="109">
        <f>'7a.20YrDetails'!BL81</f>
        <v>0</v>
      </c>
      <c r="BM81" s="109">
        <f>'7a.20YrDetails'!BM81</f>
        <v>0</v>
      </c>
      <c r="BN81" s="109">
        <f>'7a.20YrDetails'!BN81</f>
        <v>0</v>
      </c>
      <c r="BO81" s="109">
        <f>'7a.20YrDetails'!BO81</f>
        <v>0</v>
      </c>
    </row>
    <row r="82" spans="3:67" ht="12" customHeight="1">
      <c r="C82" s="74"/>
      <c r="D82" s="8"/>
      <c r="E82" s="8"/>
      <c r="F82" s="75"/>
      <c r="G82" s="51"/>
      <c r="H82" s="335"/>
      <c r="I82" s="335"/>
      <c r="J82" s="335"/>
      <c r="K82" s="335"/>
      <c r="L82" s="335"/>
      <c r="M82" s="335"/>
      <c r="N82" s="335"/>
      <c r="O82" s="335"/>
      <c r="P82" s="335"/>
      <c r="Q82" s="335"/>
      <c r="R82" s="335"/>
      <c r="S82" s="335"/>
      <c r="T82" s="335"/>
      <c r="U82" s="335"/>
      <c r="V82" s="335"/>
      <c r="W82" s="335"/>
      <c r="X82" s="335"/>
      <c r="Y82" s="335"/>
      <c r="Z82" s="335"/>
      <c r="AA82" s="335"/>
      <c r="AB82" s="335"/>
      <c r="AC82" s="335"/>
      <c r="AD82" s="335"/>
      <c r="AE82" s="335"/>
      <c r="AF82" s="335"/>
      <c r="AG82" s="335"/>
      <c r="AH82" s="335"/>
      <c r="AI82" s="335"/>
      <c r="AJ82" s="335"/>
      <c r="AK82" s="335"/>
      <c r="AL82" s="335"/>
      <c r="AM82" s="335"/>
      <c r="AN82" s="335"/>
      <c r="AO82" s="335"/>
      <c r="AP82" s="335"/>
      <c r="AQ82" s="335"/>
      <c r="AR82" s="335"/>
      <c r="AS82" s="335"/>
      <c r="AT82" s="335"/>
      <c r="AU82" s="335"/>
      <c r="AV82" s="335"/>
      <c r="AW82" s="335"/>
      <c r="AX82" s="335"/>
      <c r="AY82" s="335"/>
      <c r="AZ82" s="335"/>
      <c r="BA82" s="335"/>
      <c r="BB82" s="335"/>
      <c r="BC82" s="335"/>
      <c r="BD82" s="335"/>
      <c r="BE82" s="335"/>
      <c r="BF82" s="335"/>
      <c r="BG82" s="335"/>
      <c r="BH82" s="335"/>
      <c r="BI82" s="335"/>
      <c r="BJ82" s="335"/>
      <c r="BK82" s="335"/>
      <c r="BL82" s="335"/>
      <c r="BM82" s="335"/>
      <c r="BN82" s="335"/>
      <c r="BO82" s="335"/>
    </row>
    <row r="83" spans="3:67" ht="12" customHeight="1">
      <c r="C83" s="74" t="str">
        <f>'7a.20YrDetails'!C83</f>
        <v xml:space="preserve">TOTAL OPERATING EXPENSES </v>
      </c>
      <c r="D83" s="9"/>
      <c r="E83" s="9"/>
      <c r="F83" s="76"/>
      <c r="G83" s="77"/>
      <c r="H83" s="28">
        <f>'7a.20YrDetails'!H83</f>
        <v>0</v>
      </c>
      <c r="I83" s="28">
        <f>'7a.20YrDetails'!I83</f>
        <v>0</v>
      </c>
      <c r="J83" s="28">
        <f>'7a.20YrDetails'!J83</f>
        <v>0</v>
      </c>
      <c r="K83" s="28">
        <f>'7a.20YrDetails'!K83</f>
        <v>0</v>
      </c>
      <c r="L83" s="28">
        <f>'7a.20YrDetails'!L83</f>
        <v>0</v>
      </c>
      <c r="M83" s="28">
        <f>'7a.20YrDetails'!M83</f>
        <v>0</v>
      </c>
      <c r="N83" s="28">
        <f>'7a.20YrDetails'!N83</f>
        <v>0</v>
      </c>
      <c r="O83" s="28">
        <f>'7a.20YrDetails'!O83</f>
        <v>0</v>
      </c>
      <c r="P83" s="28">
        <f>'7a.20YrDetails'!P83</f>
        <v>0</v>
      </c>
      <c r="Q83" s="28">
        <f>'7a.20YrDetails'!Q83</f>
        <v>0</v>
      </c>
      <c r="R83" s="28">
        <f>'7a.20YrDetails'!R83</f>
        <v>0</v>
      </c>
      <c r="S83" s="28">
        <f>'7a.20YrDetails'!S83</f>
        <v>0</v>
      </c>
      <c r="T83" s="28">
        <f>'7a.20YrDetails'!T83</f>
        <v>0</v>
      </c>
      <c r="U83" s="28">
        <f>'7a.20YrDetails'!U83</f>
        <v>0</v>
      </c>
      <c r="V83" s="28">
        <f>'7a.20YrDetails'!V83</f>
        <v>0</v>
      </c>
      <c r="W83" s="28">
        <f>'7a.20YrDetails'!W83</f>
        <v>0</v>
      </c>
      <c r="X83" s="28">
        <f>'7a.20YrDetails'!X83</f>
        <v>0</v>
      </c>
      <c r="Y83" s="28">
        <f>'7a.20YrDetails'!Y83</f>
        <v>0</v>
      </c>
      <c r="Z83" s="28">
        <f>'7a.20YrDetails'!Z83</f>
        <v>0</v>
      </c>
      <c r="AA83" s="28">
        <f>'7a.20YrDetails'!AA83</f>
        <v>0</v>
      </c>
      <c r="AB83" s="28">
        <f>'7a.20YrDetails'!AB83</f>
        <v>0</v>
      </c>
      <c r="AC83" s="28">
        <f>'7a.20YrDetails'!AC83</f>
        <v>0</v>
      </c>
      <c r="AD83" s="28">
        <f>'7a.20YrDetails'!AD83</f>
        <v>0</v>
      </c>
      <c r="AE83" s="28">
        <f>'7a.20YrDetails'!AE83</f>
        <v>0</v>
      </c>
      <c r="AF83" s="28">
        <f>'7a.20YrDetails'!AF83</f>
        <v>0</v>
      </c>
      <c r="AG83" s="28">
        <f>'7a.20YrDetails'!AG83</f>
        <v>0</v>
      </c>
      <c r="AH83" s="28">
        <f>'7a.20YrDetails'!AH83</f>
        <v>0</v>
      </c>
      <c r="AI83" s="28">
        <f>'7a.20YrDetails'!AI83</f>
        <v>0</v>
      </c>
      <c r="AJ83" s="28">
        <f>'7a.20YrDetails'!AJ83</f>
        <v>0</v>
      </c>
      <c r="AK83" s="28">
        <f>'7a.20YrDetails'!AK83</f>
        <v>0</v>
      </c>
      <c r="AL83" s="28">
        <f>'7a.20YrDetails'!AL83</f>
        <v>0</v>
      </c>
      <c r="AM83" s="28">
        <f>'7a.20YrDetails'!AM83</f>
        <v>0</v>
      </c>
      <c r="AN83" s="28">
        <f>'7a.20YrDetails'!AN83</f>
        <v>0</v>
      </c>
      <c r="AO83" s="28">
        <f>'7a.20YrDetails'!AO83</f>
        <v>0</v>
      </c>
      <c r="AP83" s="28">
        <f>'7a.20YrDetails'!AP83</f>
        <v>0</v>
      </c>
      <c r="AQ83" s="28">
        <f>'7a.20YrDetails'!AQ83</f>
        <v>0</v>
      </c>
      <c r="AR83" s="28">
        <f>'7a.20YrDetails'!AR83</f>
        <v>0</v>
      </c>
      <c r="AS83" s="28">
        <f>'7a.20YrDetails'!AS83</f>
        <v>0</v>
      </c>
      <c r="AT83" s="28">
        <f>'7a.20YrDetails'!AT83</f>
        <v>0</v>
      </c>
      <c r="AU83" s="28">
        <f>'7a.20YrDetails'!AU83</f>
        <v>0</v>
      </c>
      <c r="AV83" s="28">
        <f>'7a.20YrDetails'!AV83</f>
        <v>0</v>
      </c>
      <c r="AW83" s="28">
        <f>'7a.20YrDetails'!AW83</f>
        <v>0</v>
      </c>
      <c r="AX83" s="28">
        <f>'7a.20YrDetails'!AX83</f>
        <v>0</v>
      </c>
      <c r="AY83" s="28">
        <f>'7a.20YrDetails'!AY83</f>
        <v>0</v>
      </c>
      <c r="AZ83" s="28">
        <f>'7a.20YrDetails'!AZ83</f>
        <v>0</v>
      </c>
      <c r="BA83" s="28">
        <f>'7a.20YrDetails'!BA83</f>
        <v>0</v>
      </c>
      <c r="BB83" s="28">
        <f>'7a.20YrDetails'!BB83</f>
        <v>0</v>
      </c>
      <c r="BC83" s="28">
        <f>'7a.20YrDetails'!BC83</f>
        <v>0</v>
      </c>
      <c r="BD83" s="28">
        <f>'7a.20YrDetails'!BD83</f>
        <v>0</v>
      </c>
      <c r="BE83" s="28">
        <f>'7a.20YrDetails'!BE83</f>
        <v>0</v>
      </c>
      <c r="BF83" s="28">
        <f>'7a.20YrDetails'!BF83</f>
        <v>0</v>
      </c>
      <c r="BG83" s="28">
        <f>'7a.20YrDetails'!BG83</f>
        <v>0</v>
      </c>
      <c r="BH83" s="28">
        <f>'7a.20YrDetails'!BH83</f>
        <v>0</v>
      </c>
      <c r="BI83" s="28">
        <f>'7a.20YrDetails'!BI83</f>
        <v>0</v>
      </c>
      <c r="BJ83" s="28">
        <f>'7a.20YrDetails'!BJ83</f>
        <v>0</v>
      </c>
      <c r="BK83" s="28">
        <f>'7a.20YrDetails'!BK83</f>
        <v>0</v>
      </c>
      <c r="BL83" s="28">
        <f>'7a.20YrDetails'!BL83</f>
        <v>0</v>
      </c>
      <c r="BM83" s="28">
        <f>'7a.20YrDetails'!BM83</f>
        <v>0</v>
      </c>
      <c r="BN83" s="28">
        <f>'7a.20YrDetails'!BN83</f>
        <v>0</v>
      </c>
      <c r="BO83" s="28">
        <f>'7a.20YrDetails'!BO83</f>
        <v>0</v>
      </c>
    </row>
    <row r="84" spans="3:67" ht="12" customHeight="1">
      <c r="C84" s="27" t="str">
        <f>'7a.20YrDetails'!C84</f>
        <v>PUPA (w/o Reserves/GL Base Rent/Bond Fees)</v>
      </c>
      <c r="D84" s="12"/>
      <c r="E84" s="12"/>
      <c r="F84" s="79"/>
      <c r="G84" s="80"/>
      <c r="H84" s="904"/>
      <c r="I84" s="904"/>
      <c r="J84" s="115" t="str">
        <f>'7a.20YrDetails'!J84</f>
        <v/>
      </c>
      <c r="K84" s="115"/>
      <c r="L84" s="115"/>
      <c r="M84" s="116" t="str">
        <f>IF('7a.20YrDetails'!M$84=0,"",'7a.20YrDetails'!M$84)</f>
        <v/>
      </c>
      <c r="N84" s="116"/>
      <c r="O84" s="116"/>
      <c r="P84" s="116" t="str">
        <f>IF('7a.20YrDetails'!P$84=0,"",'7a.20YrDetails'!P$84)</f>
        <v/>
      </c>
      <c r="Q84" s="116"/>
      <c r="R84" s="116"/>
      <c r="S84" s="116" t="str">
        <f>IF('7a.20YrDetails'!S$84=0,"",'7a.20YrDetails'!S$84)</f>
        <v/>
      </c>
      <c r="T84" s="116"/>
      <c r="U84" s="116"/>
      <c r="V84" s="116" t="str">
        <f>IF('7a.20YrDetails'!V$84=0,"",'7a.20YrDetails'!V$84)</f>
        <v/>
      </c>
      <c r="W84" s="116"/>
      <c r="X84" s="116"/>
      <c r="Y84" s="116" t="str">
        <f>IF('7a.20YrDetails'!Y$84=0,"",'7a.20YrDetails'!Y$84)</f>
        <v/>
      </c>
      <c r="Z84" s="116"/>
      <c r="AA84" s="116"/>
      <c r="AB84" s="116" t="str">
        <f>IF('7a.20YrDetails'!AB$84=0,"",'7a.20YrDetails'!AB$84)</f>
        <v/>
      </c>
      <c r="AC84" s="116"/>
      <c r="AD84" s="116"/>
      <c r="AE84" s="116" t="str">
        <f>IF('7a.20YrDetails'!AE$84=0,"",'7a.20YrDetails'!AE$84)</f>
        <v/>
      </c>
      <c r="AF84" s="116"/>
      <c r="AG84" s="116"/>
      <c r="AH84" s="116" t="str">
        <f>IF('7a.20YrDetails'!AH$84=0,"",'7a.20YrDetails'!AH$84)</f>
        <v/>
      </c>
      <c r="AI84" s="116"/>
      <c r="AJ84" s="116"/>
      <c r="AK84" s="116" t="str">
        <f>IF('7a.20YrDetails'!AK$84=0,"",'7a.20YrDetails'!AK$84)</f>
        <v/>
      </c>
      <c r="AL84" s="116"/>
      <c r="AM84" s="116"/>
      <c r="AN84" s="116" t="str">
        <f>IF('7a.20YrDetails'!AN$84=0,"",'7a.20YrDetails'!AN$84)</f>
        <v/>
      </c>
      <c r="AO84" s="116"/>
      <c r="AP84" s="116"/>
      <c r="AQ84" s="116" t="str">
        <f>IF('7a.20YrDetails'!AQ$84=0,"",'7a.20YrDetails'!AQ$84)</f>
        <v/>
      </c>
      <c r="AR84" s="116"/>
      <c r="AS84" s="116"/>
      <c r="AT84" s="116" t="str">
        <f>IF('7a.20YrDetails'!AT$84=0,"",'7a.20YrDetails'!AT$84)</f>
        <v/>
      </c>
      <c r="AU84" s="116"/>
      <c r="AV84" s="116"/>
      <c r="AW84" s="116" t="str">
        <f>IF('7a.20YrDetails'!AW$84=0,"",'7a.20YrDetails'!AW$84)</f>
        <v/>
      </c>
      <c r="AX84" s="116"/>
      <c r="AY84" s="116"/>
      <c r="AZ84" s="116" t="str">
        <f>IF('7a.20YrDetails'!AZ$84=0,"",'7a.20YrDetails'!AZ$84)</f>
        <v/>
      </c>
      <c r="BA84" s="116"/>
      <c r="BB84" s="116"/>
      <c r="BC84" s="116" t="str">
        <f>IF('7a.20YrDetails'!BC$84=0,"",'7a.20YrDetails'!BC$84)</f>
        <v/>
      </c>
      <c r="BD84" s="116"/>
      <c r="BE84" s="116"/>
      <c r="BF84" s="116" t="str">
        <f>IF('7a.20YrDetails'!BF$84=0,"",'7a.20YrDetails'!BF$84)</f>
        <v/>
      </c>
      <c r="BG84" s="116"/>
      <c r="BH84" s="116"/>
      <c r="BI84" s="116" t="str">
        <f>IF('7a.20YrDetails'!BI$84=0,"",'7a.20YrDetails'!BI$84)</f>
        <v/>
      </c>
      <c r="BJ84" s="116"/>
      <c r="BK84" s="116"/>
      <c r="BL84" s="116" t="str">
        <f>IF('7a.20YrDetails'!BL$84=0,"",'7a.20YrDetails'!BL$84)</f>
        <v/>
      </c>
      <c r="BM84" s="116"/>
      <c r="BN84" s="116"/>
      <c r="BO84" s="116" t="str">
        <f>IF('7a.20YrDetails'!BO$84=0,"",'7a.20YrDetails'!BO$84)</f>
        <v/>
      </c>
    </row>
    <row r="85" spans="3:67" ht="12" customHeight="1">
      <c r="C85" s="61" t="str">
        <f>'7a.20YrDetails'!C85</f>
        <v>Reserves/Ground Lease Base Rent/Bond Fees</v>
      </c>
      <c r="D85" s="22"/>
      <c r="E85" s="9"/>
      <c r="F85" s="52"/>
      <c r="G85" s="56"/>
      <c r="H85" s="56" t="str">
        <f>IF(SUBTOTAL(103,$C$86:$C$93)&gt;0,"",H93)</f>
        <v/>
      </c>
      <c r="I85" s="56" t="str">
        <f>IF(SUBTOTAL(103,$C$86:$C$93)&gt;0,"",I93)</f>
        <v/>
      </c>
      <c r="J85" s="109" t="str">
        <f>IF(SUBTOTAL(103,$C$86:$C$93)&gt;0,"",J93)</f>
        <v/>
      </c>
      <c r="K85" s="109"/>
      <c r="L85" s="109"/>
      <c r="M85" s="109" t="str">
        <f>IF(SUBTOTAL(103,$C$86:$C$93)&gt;0,"",M93)</f>
        <v/>
      </c>
      <c r="N85" s="109"/>
      <c r="O85" s="109"/>
      <c r="P85" s="109" t="str">
        <f>IF(SUBTOTAL(103,$C$86:$C$93)&gt;0,"",P93)</f>
        <v/>
      </c>
      <c r="Q85" s="109"/>
      <c r="R85" s="109"/>
      <c r="S85" s="109" t="str">
        <f>IF(SUBTOTAL(103,$C$86:$C$93)&gt;0,"",S93)</f>
        <v/>
      </c>
      <c r="T85" s="109"/>
      <c r="U85" s="109"/>
      <c r="V85" s="109" t="str">
        <f>IF(SUBTOTAL(103,$C$86:$C$93)&gt;0,"",V93)</f>
        <v/>
      </c>
      <c r="W85" s="109"/>
      <c r="X85" s="109"/>
      <c r="Y85" s="109" t="str">
        <f>IF(SUBTOTAL(103,$C$86:$C$93)&gt;0,"",Y93)</f>
        <v/>
      </c>
      <c r="Z85" s="109"/>
      <c r="AA85" s="109"/>
      <c r="AB85" s="109" t="str">
        <f>IF(SUBTOTAL(103,$C$86:$C$93)&gt;0,"",AB93)</f>
        <v/>
      </c>
      <c r="AC85" s="109"/>
      <c r="AD85" s="109"/>
      <c r="AE85" s="109" t="str">
        <f>IF(SUBTOTAL(103,$C$86:$C$93)&gt;0,"",AE93)</f>
        <v/>
      </c>
      <c r="AF85" s="109"/>
      <c r="AG85" s="109"/>
      <c r="AH85" s="109" t="str">
        <f>IF(SUBTOTAL(103,$C$86:$C$93)&gt;0,"",AH93)</f>
        <v/>
      </c>
      <c r="AI85" s="109"/>
      <c r="AJ85" s="109"/>
      <c r="AK85" s="109" t="str">
        <f>IF(SUBTOTAL(103,$C$86:$C$93)&gt;0,"",AK93)</f>
        <v/>
      </c>
      <c r="AL85" s="109"/>
      <c r="AM85" s="109"/>
      <c r="AN85" s="109" t="str">
        <f>IF(SUBTOTAL(103,$C$86:$C$93)&gt;0,"",AN93)</f>
        <v/>
      </c>
      <c r="AO85" s="109"/>
      <c r="AP85" s="109"/>
      <c r="AQ85" s="109" t="str">
        <f>IF(SUBTOTAL(103,$C$86:$C$93)&gt;0,"",AQ93)</f>
        <v/>
      </c>
      <c r="AR85" s="109"/>
      <c r="AS85" s="109"/>
      <c r="AT85" s="109" t="str">
        <f>IF(SUBTOTAL(103,$C$86:$C$93)&gt;0,"",AT93)</f>
        <v/>
      </c>
      <c r="AU85" s="109"/>
      <c r="AV85" s="109"/>
      <c r="AW85" s="109" t="str">
        <f>IF(SUBTOTAL(103,$C$86:$C$93)&gt;0,"",AW93)</f>
        <v/>
      </c>
      <c r="AX85" s="109"/>
      <c r="AY85" s="109"/>
      <c r="AZ85" s="109" t="str">
        <f>IF(SUBTOTAL(103,$C$86:$C$93)&gt;0,"",AZ93)</f>
        <v/>
      </c>
      <c r="BA85" s="109"/>
      <c r="BB85" s="109"/>
      <c r="BC85" s="109" t="str">
        <f>IF(SUBTOTAL(103,$C$86:$C$93)&gt;0,"",BC93)</f>
        <v/>
      </c>
      <c r="BD85" s="109"/>
      <c r="BE85" s="109"/>
      <c r="BF85" s="109" t="str">
        <f>IF(SUBTOTAL(103,$C$86:$C$93)&gt;0,"",BF93)</f>
        <v/>
      </c>
      <c r="BG85" s="109"/>
      <c r="BH85" s="109"/>
      <c r="BI85" s="109" t="str">
        <f>IF(SUBTOTAL(103,$C$86:$C$93)&gt;0,"",BI93)</f>
        <v/>
      </c>
      <c r="BJ85" s="109"/>
      <c r="BK85" s="109"/>
      <c r="BL85" s="109" t="str">
        <f>IF(SUBTOTAL(103,$C$86:$C$93)&gt;0,"",BL93)</f>
        <v/>
      </c>
      <c r="BM85" s="109"/>
      <c r="BN85" s="109"/>
      <c r="BO85" s="109" t="str">
        <f>IF(SUBTOTAL(103,$C$86:$C$93)&gt;0,"",BO93)</f>
        <v/>
      </c>
    </row>
    <row r="86" spans="3:67" ht="12" customHeight="1" outlineLevel="1">
      <c r="C86" s="191" t="str">
        <f>'7a.20YrDetails'!C86</f>
        <v xml:space="preserve">Ground Lease Base Rent </v>
      </c>
      <c r="D86" s="22"/>
      <c r="E86" s="813"/>
      <c r="F86" s="812"/>
      <c r="G86" s="46" t="str">
        <f>IF('7a.20YrDetails'!$G86="","",'7a.20YrDetails'!$G86)</f>
        <v/>
      </c>
      <c r="H86" s="97">
        <f>'7a.20YrDetails'!H86</f>
        <v>0</v>
      </c>
      <c r="I86" s="97">
        <f>'7a.20YrDetails'!I86</f>
        <v>0</v>
      </c>
      <c r="J86" s="113">
        <f>'7a.20YrDetails'!J86</f>
        <v>0</v>
      </c>
      <c r="K86" s="97">
        <f>'7a.20YrDetails'!K86</f>
        <v>0</v>
      </c>
      <c r="L86" s="97">
        <f>'7a.20YrDetails'!L86</f>
        <v>0</v>
      </c>
      <c r="M86" s="113">
        <f>'7a.20YrDetails'!M86</f>
        <v>0</v>
      </c>
      <c r="N86" s="97">
        <f>'7a.20YrDetails'!N86</f>
        <v>0</v>
      </c>
      <c r="O86" s="97">
        <f>'7a.20YrDetails'!O86</f>
        <v>0</v>
      </c>
      <c r="P86" s="113">
        <f>'7a.20YrDetails'!P86</f>
        <v>0</v>
      </c>
      <c r="Q86" s="97">
        <f>'7a.20YrDetails'!Q86</f>
        <v>0</v>
      </c>
      <c r="R86" s="97">
        <f>'7a.20YrDetails'!R86</f>
        <v>0</v>
      </c>
      <c r="S86" s="113">
        <f>'7a.20YrDetails'!S86</f>
        <v>0</v>
      </c>
      <c r="T86" s="97">
        <f>'7a.20YrDetails'!T86</f>
        <v>0</v>
      </c>
      <c r="U86" s="97">
        <f>'7a.20YrDetails'!U86</f>
        <v>0</v>
      </c>
      <c r="V86" s="113">
        <f>'7a.20YrDetails'!V86</f>
        <v>0</v>
      </c>
      <c r="W86" s="97">
        <f>'7a.20YrDetails'!W86</f>
        <v>0</v>
      </c>
      <c r="X86" s="97">
        <f>'7a.20YrDetails'!X86</f>
        <v>0</v>
      </c>
      <c r="Y86" s="113">
        <f>'7a.20YrDetails'!Y86</f>
        <v>0</v>
      </c>
      <c r="Z86" s="97">
        <f>'7a.20YrDetails'!Z86</f>
        <v>0</v>
      </c>
      <c r="AA86" s="97">
        <f>'7a.20YrDetails'!AA86</f>
        <v>0</v>
      </c>
      <c r="AB86" s="113">
        <f>'7a.20YrDetails'!AB86</f>
        <v>0</v>
      </c>
      <c r="AC86" s="97">
        <f>'7a.20YrDetails'!AC86</f>
        <v>0</v>
      </c>
      <c r="AD86" s="97">
        <f>'7a.20YrDetails'!AD86</f>
        <v>0</v>
      </c>
      <c r="AE86" s="113">
        <f>'7a.20YrDetails'!AE86</f>
        <v>0</v>
      </c>
      <c r="AF86" s="97">
        <f>'7a.20YrDetails'!AF86</f>
        <v>0</v>
      </c>
      <c r="AG86" s="97">
        <f>'7a.20YrDetails'!AG86</f>
        <v>0</v>
      </c>
      <c r="AH86" s="113">
        <f>'7a.20YrDetails'!AH86</f>
        <v>0</v>
      </c>
      <c r="AI86" s="97">
        <f>'7a.20YrDetails'!AI86</f>
        <v>0</v>
      </c>
      <c r="AJ86" s="97">
        <f>'7a.20YrDetails'!AJ86</f>
        <v>0</v>
      </c>
      <c r="AK86" s="113">
        <f>'7a.20YrDetails'!AK86</f>
        <v>0</v>
      </c>
      <c r="AL86" s="97">
        <f>'7a.20YrDetails'!AL86</f>
        <v>0</v>
      </c>
      <c r="AM86" s="97">
        <f>'7a.20YrDetails'!AM86</f>
        <v>0</v>
      </c>
      <c r="AN86" s="113">
        <f>'7a.20YrDetails'!AN86</f>
        <v>0</v>
      </c>
      <c r="AO86" s="97">
        <f>'7a.20YrDetails'!AO86</f>
        <v>0</v>
      </c>
      <c r="AP86" s="97">
        <f>'7a.20YrDetails'!AP86</f>
        <v>0</v>
      </c>
      <c r="AQ86" s="113">
        <f>'7a.20YrDetails'!AQ86</f>
        <v>0</v>
      </c>
      <c r="AR86" s="97">
        <f>'7a.20YrDetails'!AR86</f>
        <v>0</v>
      </c>
      <c r="AS86" s="97">
        <f>'7a.20YrDetails'!AS86</f>
        <v>0</v>
      </c>
      <c r="AT86" s="113">
        <f>'7a.20YrDetails'!AT86</f>
        <v>0</v>
      </c>
      <c r="AU86" s="97">
        <f>'7a.20YrDetails'!AU86</f>
        <v>0</v>
      </c>
      <c r="AV86" s="97">
        <f>'7a.20YrDetails'!AV86</f>
        <v>0</v>
      </c>
      <c r="AW86" s="113">
        <f>'7a.20YrDetails'!AW86</f>
        <v>0</v>
      </c>
      <c r="AX86" s="97">
        <f>'7a.20YrDetails'!AX86</f>
        <v>0</v>
      </c>
      <c r="AY86" s="97">
        <f>'7a.20YrDetails'!AY86</f>
        <v>0</v>
      </c>
      <c r="AZ86" s="113">
        <f>'7a.20YrDetails'!AZ86</f>
        <v>0</v>
      </c>
      <c r="BA86" s="97">
        <f>'7a.20YrDetails'!BA86</f>
        <v>0</v>
      </c>
      <c r="BB86" s="97">
        <f>'7a.20YrDetails'!BB86</f>
        <v>0</v>
      </c>
      <c r="BC86" s="113">
        <f>'7a.20YrDetails'!BC86</f>
        <v>0</v>
      </c>
      <c r="BD86" s="97">
        <f>'7a.20YrDetails'!BD86</f>
        <v>0</v>
      </c>
      <c r="BE86" s="97">
        <f>'7a.20YrDetails'!BE86</f>
        <v>0</v>
      </c>
      <c r="BF86" s="113">
        <f>'7a.20YrDetails'!BF86</f>
        <v>0</v>
      </c>
      <c r="BG86" s="97">
        <f>'7a.20YrDetails'!BG86</f>
        <v>0</v>
      </c>
      <c r="BH86" s="97">
        <f>'7a.20YrDetails'!BH86</f>
        <v>0</v>
      </c>
      <c r="BI86" s="113">
        <f>'7a.20YrDetails'!BI86</f>
        <v>0</v>
      </c>
      <c r="BJ86" s="97">
        <f>'7a.20YrDetails'!BJ86</f>
        <v>0</v>
      </c>
      <c r="BK86" s="97">
        <f>'7a.20YrDetails'!BK86</f>
        <v>0</v>
      </c>
      <c r="BL86" s="113">
        <f>'7a.20YrDetails'!BL86</f>
        <v>0</v>
      </c>
      <c r="BM86" s="97">
        <f>'7a.20YrDetails'!BM86</f>
        <v>0</v>
      </c>
      <c r="BN86" s="97">
        <f>'7a.20YrDetails'!BN86</f>
        <v>0</v>
      </c>
      <c r="BO86" s="113">
        <f>'7a.20YrDetails'!BO86</f>
        <v>0</v>
      </c>
    </row>
    <row r="87" spans="3:67" ht="12" customHeight="1" outlineLevel="1">
      <c r="C87" s="191" t="str">
        <f>'7a.20YrDetails'!C87</f>
        <v xml:space="preserve">Bond Monitoring Fee </v>
      </c>
      <c r="D87" s="22"/>
      <c r="E87" s="813"/>
      <c r="F87" s="812"/>
      <c r="G87" s="46" t="str">
        <f>IF('7a.20YrDetails'!$G87="","",'7a.20YrDetails'!$G87)</f>
        <v/>
      </c>
      <c r="H87" s="97">
        <f>'7a.20YrDetails'!H87</f>
        <v>0</v>
      </c>
      <c r="I87" s="97">
        <f>'7a.20YrDetails'!I87</f>
        <v>0</v>
      </c>
      <c r="J87" s="113">
        <f>'7a.20YrDetails'!J87</f>
        <v>0</v>
      </c>
      <c r="K87" s="97">
        <f>'7a.20YrDetails'!K87</f>
        <v>0</v>
      </c>
      <c r="L87" s="97">
        <f>'7a.20YrDetails'!L87</f>
        <v>0</v>
      </c>
      <c r="M87" s="113">
        <f>'7a.20YrDetails'!M87</f>
        <v>0</v>
      </c>
      <c r="N87" s="97">
        <f>'7a.20YrDetails'!N87</f>
        <v>0</v>
      </c>
      <c r="O87" s="97">
        <f>'7a.20YrDetails'!O87</f>
        <v>0</v>
      </c>
      <c r="P87" s="113">
        <f>'7a.20YrDetails'!P87</f>
        <v>0</v>
      </c>
      <c r="Q87" s="97">
        <f>'7a.20YrDetails'!Q87</f>
        <v>0</v>
      </c>
      <c r="R87" s="97">
        <f>'7a.20YrDetails'!R87</f>
        <v>0</v>
      </c>
      <c r="S87" s="113">
        <f>'7a.20YrDetails'!S87</f>
        <v>0</v>
      </c>
      <c r="T87" s="97">
        <f>'7a.20YrDetails'!T87</f>
        <v>0</v>
      </c>
      <c r="U87" s="97">
        <f>'7a.20YrDetails'!U87</f>
        <v>0</v>
      </c>
      <c r="V87" s="113">
        <f>'7a.20YrDetails'!V87</f>
        <v>0</v>
      </c>
      <c r="W87" s="97">
        <f>'7a.20YrDetails'!W87</f>
        <v>0</v>
      </c>
      <c r="X87" s="97">
        <f>'7a.20YrDetails'!X87</f>
        <v>0</v>
      </c>
      <c r="Y87" s="113">
        <f>'7a.20YrDetails'!Y87</f>
        <v>0</v>
      </c>
      <c r="Z87" s="97">
        <f>'7a.20YrDetails'!Z87</f>
        <v>0</v>
      </c>
      <c r="AA87" s="97">
        <f>'7a.20YrDetails'!AA87</f>
        <v>0</v>
      </c>
      <c r="AB87" s="113">
        <f>'7a.20YrDetails'!AB87</f>
        <v>0</v>
      </c>
      <c r="AC87" s="97">
        <f>'7a.20YrDetails'!AC87</f>
        <v>0</v>
      </c>
      <c r="AD87" s="97">
        <f>'7a.20YrDetails'!AD87</f>
        <v>0</v>
      </c>
      <c r="AE87" s="113">
        <f>'7a.20YrDetails'!AE87</f>
        <v>0</v>
      </c>
      <c r="AF87" s="97">
        <f>'7a.20YrDetails'!AF87</f>
        <v>0</v>
      </c>
      <c r="AG87" s="97">
        <f>'7a.20YrDetails'!AG87</f>
        <v>0</v>
      </c>
      <c r="AH87" s="113">
        <f>'7a.20YrDetails'!AH87</f>
        <v>0</v>
      </c>
      <c r="AI87" s="97">
        <f>'7a.20YrDetails'!AI87</f>
        <v>0</v>
      </c>
      <c r="AJ87" s="97">
        <f>'7a.20YrDetails'!AJ87</f>
        <v>0</v>
      </c>
      <c r="AK87" s="113">
        <f>'7a.20YrDetails'!AK87</f>
        <v>0</v>
      </c>
      <c r="AL87" s="97">
        <f>'7a.20YrDetails'!AL87</f>
        <v>0</v>
      </c>
      <c r="AM87" s="97">
        <f>'7a.20YrDetails'!AM87</f>
        <v>0</v>
      </c>
      <c r="AN87" s="113">
        <f>'7a.20YrDetails'!AN87</f>
        <v>0</v>
      </c>
      <c r="AO87" s="97">
        <f>'7a.20YrDetails'!AO87</f>
        <v>0</v>
      </c>
      <c r="AP87" s="97">
        <f>'7a.20YrDetails'!AP87</f>
        <v>0</v>
      </c>
      <c r="AQ87" s="113">
        <f>'7a.20YrDetails'!AQ87</f>
        <v>0</v>
      </c>
      <c r="AR87" s="97">
        <f>'7a.20YrDetails'!AR87</f>
        <v>0</v>
      </c>
      <c r="AS87" s="97">
        <f>'7a.20YrDetails'!AS87</f>
        <v>0</v>
      </c>
      <c r="AT87" s="113">
        <f>'7a.20YrDetails'!AT87</f>
        <v>0</v>
      </c>
      <c r="AU87" s="97">
        <f>'7a.20YrDetails'!AU87</f>
        <v>0</v>
      </c>
      <c r="AV87" s="97">
        <f>'7a.20YrDetails'!AV87</f>
        <v>0</v>
      </c>
      <c r="AW87" s="113">
        <f>'7a.20YrDetails'!AW87</f>
        <v>0</v>
      </c>
      <c r="AX87" s="97">
        <f>'7a.20YrDetails'!AX87</f>
        <v>0</v>
      </c>
      <c r="AY87" s="97">
        <f>'7a.20YrDetails'!AY87</f>
        <v>0</v>
      </c>
      <c r="AZ87" s="113">
        <f>'7a.20YrDetails'!AZ87</f>
        <v>0</v>
      </c>
      <c r="BA87" s="97">
        <f>'7a.20YrDetails'!BA87</f>
        <v>0</v>
      </c>
      <c r="BB87" s="97">
        <f>'7a.20YrDetails'!BB87</f>
        <v>0</v>
      </c>
      <c r="BC87" s="113">
        <f>'7a.20YrDetails'!BC87</f>
        <v>0</v>
      </c>
      <c r="BD87" s="97">
        <f>'7a.20YrDetails'!BD87</f>
        <v>0</v>
      </c>
      <c r="BE87" s="97">
        <f>'7a.20YrDetails'!BE87</f>
        <v>0</v>
      </c>
      <c r="BF87" s="113">
        <f>'7a.20YrDetails'!BF87</f>
        <v>0</v>
      </c>
      <c r="BG87" s="97">
        <f>'7a.20YrDetails'!BG87</f>
        <v>0</v>
      </c>
      <c r="BH87" s="97">
        <f>'7a.20YrDetails'!BH87</f>
        <v>0</v>
      </c>
      <c r="BI87" s="113">
        <f>'7a.20YrDetails'!BI87</f>
        <v>0</v>
      </c>
      <c r="BJ87" s="97">
        <f>'7a.20YrDetails'!BJ87</f>
        <v>0</v>
      </c>
      <c r="BK87" s="97">
        <f>'7a.20YrDetails'!BK87</f>
        <v>0</v>
      </c>
      <c r="BL87" s="113">
        <f>'7a.20YrDetails'!BL87</f>
        <v>0</v>
      </c>
      <c r="BM87" s="97">
        <f>'7a.20YrDetails'!BM87</f>
        <v>0</v>
      </c>
      <c r="BN87" s="97">
        <f>'7a.20YrDetails'!BN87</f>
        <v>0</v>
      </c>
      <c r="BO87" s="113">
        <f>'7a.20YrDetails'!BO87</f>
        <v>0</v>
      </c>
    </row>
    <row r="88" spans="3:67" ht="12" customHeight="1" outlineLevel="1">
      <c r="C88" s="191" t="str">
        <f>'7a.20YrDetails'!C88</f>
        <v>Replacement Reserve Deposit</v>
      </c>
      <c r="D88" s="22"/>
      <c r="E88" s="813"/>
      <c r="F88" s="812"/>
      <c r="G88" s="46" t="str">
        <f>IF('7a.20YrDetails'!$G88="","",'7a.20YrDetails'!$G88)</f>
        <v/>
      </c>
      <c r="H88" s="97">
        <f>'7a.20YrDetails'!H88</f>
        <v>0</v>
      </c>
      <c r="I88" s="97">
        <f>'7a.20YrDetails'!I88</f>
        <v>0</v>
      </c>
      <c r="J88" s="113">
        <f>'7a.20YrDetails'!J88</f>
        <v>0</v>
      </c>
      <c r="K88" s="97">
        <f>'7a.20YrDetails'!K88</f>
        <v>0</v>
      </c>
      <c r="L88" s="97">
        <f>'7a.20YrDetails'!L88</f>
        <v>0</v>
      </c>
      <c r="M88" s="113">
        <f>'7a.20YrDetails'!M88</f>
        <v>0</v>
      </c>
      <c r="N88" s="97">
        <f>'7a.20YrDetails'!N88</f>
        <v>0</v>
      </c>
      <c r="O88" s="97">
        <f>'7a.20YrDetails'!O88</f>
        <v>0</v>
      </c>
      <c r="P88" s="113">
        <f>'7a.20YrDetails'!P88</f>
        <v>0</v>
      </c>
      <c r="Q88" s="97">
        <f>'7a.20YrDetails'!Q88</f>
        <v>0</v>
      </c>
      <c r="R88" s="97">
        <f>'7a.20YrDetails'!R88</f>
        <v>0</v>
      </c>
      <c r="S88" s="113">
        <f>'7a.20YrDetails'!S88</f>
        <v>0</v>
      </c>
      <c r="T88" s="97">
        <f>'7a.20YrDetails'!T88</f>
        <v>0</v>
      </c>
      <c r="U88" s="97">
        <f>'7a.20YrDetails'!U88</f>
        <v>0</v>
      </c>
      <c r="V88" s="113">
        <f>'7a.20YrDetails'!V88</f>
        <v>0</v>
      </c>
      <c r="W88" s="97">
        <f>'7a.20YrDetails'!W88</f>
        <v>0</v>
      </c>
      <c r="X88" s="97">
        <f>'7a.20YrDetails'!X88</f>
        <v>0</v>
      </c>
      <c r="Y88" s="113">
        <f>'7a.20YrDetails'!Y88</f>
        <v>0</v>
      </c>
      <c r="Z88" s="97">
        <f>'7a.20YrDetails'!Z88</f>
        <v>0</v>
      </c>
      <c r="AA88" s="97">
        <f>'7a.20YrDetails'!AA88</f>
        <v>0</v>
      </c>
      <c r="AB88" s="113">
        <f>'7a.20YrDetails'!AB88</f>
        <v>0</v>
      </c>
      <c r="AC88" s="97">
        <f>'7a.20YrDetails'!AC88</f>
        <v>0</v>
      </c>
      <c r="AD88" s="97">
        <f>'7a.20YrDetails'!AD88</f>
        <v>0</v>
      </c>
      <c r="AE88" s="113">
        <f>'7a.20YrDetails'!AE88</f>
        <v>0</v>
      </c>
      <c r="AF88" s="97">
        <f>'7a.20YrDetails'!AF88</f>
        <v>0</v>
      </c>
      <c r="AG88" s="97">
        <f>'7a.20YrDetails'!AG88</f>
        <v>0</v>
      </c>
      <c r="AH88" s="113">
        <f>'7a.20YrDetails'!AH88</f>
        <v>0</v>
      </c>
      <c r="AI88" s="97">
        <f>'7a.20YrDetails'!AI88</f>
        <v>0</v>
      </c>
      <c r="AJ88" s="97">
        <f>'7a.20YrDetails'!AJ88</f>
        <v>0</v>
      </c>
      <c r="AK88" s="113">
        <f>'7a.20YrDetails'!AK88</f>
        <v>0</v>
      </c>
      <c r="AL88" s="97">
        <f>'7a.20YrDetails'!AL88</f>
        <v>0</v>
      </c>
      <c r="AM88" s="97">
        <f>'7a.20YrDetails'!AM88</f>
        <v>0</v>
      </c>
      <c r="AN88" s="113">
        <f>'7a.20YrDetails'!AN88</f>
        <v>0</v>
      </c>
      <c r="AO88" s="97">
        <f>'7a.20YrDetails'!AO88</f>
        <v>0</v>
      </c>
      <c r="AP88" s="97">
        <f>'7a.20YrDetails'!AP88</f>
        <v>0</v>
      </c>
      <c r="AQ88" s="113">
        <f>'7a.20YrDetails'!AQ88</f>
        <v>0</v>
      </c>
      <c r="AR88" s="97">
        <f>'7a.20YrDetails'!AR88</f>
        <v>0</v>
      </c>
      <c r="AS88" s="97">
        <f>'7a.20YrDetails'!AS88</f>
        <v>0</v>
      </c>
      <c r="AT88" s="113">
        <f>'7a.20YrDetails'!AT88</f>
        <v>0</v>
      </c>
      <c r="AU88" s="97">
        <f>'7a.20YrDetails'!AU88</f>
        <v>0</v>
      </c>
      <c r="AV88" s="97">
        <f>'7a.20YrDetails'!AV88</f>
        <v>0</v>
      </c>
      <c r="AW88" s="113">
        <f>'7a.20YrDetails'!AW88</f>
        <v>0</v>
      </c>
      <c r="AX88" s="97">
        <f>'7a.20YrDetails'!AX88</f>
        <v>0</v>
      </c>
      <c r="AY88" s="97">
        <f>'7a.20YrDetails'!AY88</f>
        <v>0</v>
      </c>
      <c r="AZ88" s="113">
        <f>'7a.20YrDetails'!AZ88</f>
        <v>0</v>
      </c>
      <c r="BA88" s="97">
        <f>'7a.20YrDetails'!BA88</f>
        <v>0</v>
      </c>
      <c r="BB88" s="97">
        <f>'7a.20YrDetails'!BB88</f>
        <v>0</v>
      </c>
      <c r="BC88" s="113">
        <f>'7a.20YrDetails'!BC88</f>
        <v>0</v>
      </c>
      <c r="BD88" s="97">
        <f>'7a.20YrDetails'!BD88</f>
        <v>0</v>
      </c>
      <c r="BE88" s="97">
        <f>'7a.20YrDetails'!BE88</f>
        <v>0</v>
      </c>
      <c r="BF88" s="113">
        <f>'7a.20YrDetails'!BF88</f>
        <v>0</v>
      </c>
      <c r="BG88" s="97">
        <f>'7a.20YrDetails'!BG88</f>
        <v>0</v>
      </c>
      <c r="BH88" s="97">
        <f>'7a.20YrDetails'!BH88</f>
        <v>0</v>
      </c>
      <c r="BI88" s="113">
        <f>'7a.20YrDetails'!BI88</f>
        <v>0</v>
      </c>
      <c r="BJ88" s="97">
        <f>'7a.20YrDetails'!BJ88</f>
        <v>0</v>
      </c>
      <c r="BK88" s="97">
        <f>'7a.20YrDetails'!BK88</f>
        <v>0</v>
      </c>
      <c r="BL88" s="113">
        <f>'7a.20YrDetails'!BL88</f>
        <v>0</v>
      </c>
      <c r="BM88" s="97">
        <f>'7a.20YrDetails'!BM88</f>
        <v>0</v>
      </c>
      <c r="BN88" s="97">
        <f>'7a.20YrDetails'!BN88</f>
        <v>0</v>
      </c>
      <c r="BO88" s="113">
        <f>'7a.20YrDetails'!BO88</f>
        <v>0</v>
      </c>
    </row>
    <row r="89" spans="3:67" ht="12" customHeight="1" outlineLevel="1">
      <c r="C89" s="191" t="str">
        <f>'7a.20YrDetails'!C89</f>
        <v>Operating Reserve Deposit</v>
      </c>
      <c r="D89" s="22"/>
      <c r="E89" s="813"/>
      <c r="F89" s="812"/>
      <c r="G89" s="46" t="str">
        <f>IF('7a.20YrDetails'!$G89="","",'7a.20YrDetails'!$G89)</f>
        <v/>
      </c>
      <c r="H89" s="97">
        <f>'7a.20YrDetails'!H89</f>
        <v>0</v>
      </c>
      <c r="I89" s="97">
        <f>'7a.20YrDetails'!I89</f>
        <v>0</v>
      </c>
      <c r="J89" s="113">
        <f>'7a.20YrDetails'!J89</f>
        <v>0</v>
      </c>
      <c r="K89" s="97">
        <f>'7a.20YrDetails'!K89</f>
        <v>0</v>
      </c>
      <c r="L89" s="97">
        <f>'7a.20YrDetails'!L89</f>
        <v>0</v>
      </c>
      <c r="M89" s="113">
        <f>'7a.20YrDetails'!M89</f>
        <v>0</v>
      </c>
      <c r="N89" s="97">
        <f>'7a.20YrDetails'!N89</f>
        <v>0</v>
      </c>
      <c r="O89" s="97">
        <f>'7a.20YrDetails'!O89</f>
        <v>0</v>
      </c>
      <c r="P89" s="113">
        <f>'7a.20YrDetails'!P89</f>
        <v>0</v>
      </c>
      <c r="Q89" s="97">
        <f>'7a.20YrDetails'!Q89</f>
        <v>0</v>
      </c>
      <c r="R89" s="97">
        <f>'7a.20YrDetails'!R89</f>
        <v>0</v>
      </c>
      <c r="S89" s="113">
        <f>'7a.20YrDetails'!S89</f>
        <v>0</v>
      </c>
      <c r="T89" s="97">
        <f>'7a.20YrDetails'!T89</f>
        <v>0</v>
      </c>
      <c r="U89" s="97">
        <f>'7a.20YrDetails'!U89</f>
        <v>0</v>
      </c>
      <c r="V89" s="113">
        <f>'7a.20YrDetails'!V89</f>
        <v>0</v>
      </c>
      <c r="W89" s="97">
        <f>'7a.20YrDetails'!W89</f>
        <v>0</v>
      </c>
      <c r="X89" s="97">
        <f>'7a.20YrDetails'!X89</f>
        <v>0</v>
      </c>
      <c r="Y89" s="113">
        <f>'7a.20YrDetails'!Y89</f>
        <v>0</v>
      </c>
      <c r="Z89" s="97">
        <f>'7a.20YrDetails'!Z89</f>
        <v>0</v>
      </c>
      <c r="AA89" s="97">
        <f>'7a.20YrDetails'!AA89</f>
        <v>0</v>
      </c>
      <c r="AB89" s="113">
        <f>'7a.20YrDetails'!AB89</f>
        <v>0</v>
      </c>
      <c r="AC89" s="97">
        <f>'7a.20YrDetails'!AC89</f>
        <v>0</v>
      </c>
      <c r="AD89" s="97">
        <f>'7a.20YrDetails'!AD89</f>
        <v>0</v>
      </c>
      <c r="AE89" s="113">
        <f>'7a.20YrDetails'!AE89</f>
        <v>0</v>
      </c>
      <c r="AF89" s="97">
        <f>'7a.20YrDetails'!AF89</f>
        <v>0</v>
      </c>
      <c r="AG89" s="97">
        <f>'7a.20YrDetails'!AG89</f>
        <v>0</v>
      </c>
      <c r="AH89" s="113">
        <f>'7a.20YrDetails'!AH89</f>
        <v>0</v>
      </c>
      <c r="AI89" s="97">
        <f>'7a.20YrDetails'!AI89</f>
        <v>0</v>
      </c>
      <c r="AJ89" s="97">
        <f>'7a.20YrDetails'!AJ89</f>
        <v>0</v>
      </c>
      <c r="AK89" s="113">
        <f>'7a.20YrDetails'!AK89</f>
        <v>0</v>
      </c>
      <c r="AL89" s="97">
        <f>'7a.20YrDetails'!AL89</f>
        <v>0</v>
      </c>
      <c r="AM89" s="97">
        <f>'7a.20YrDetails'!AM89</f>
        <v>0</v>
      </c>
      <c r="AN89" s="113">
        <f>'7a.20YrDetails'!AN89</f>
        <v>0</v>
      </c>
      <c r="AO89" s="97">
        <f>'7a.20YrDetails'!AO89</f>
        <v>0</v>
      </c>
      <c r="AP89" s="97">
        <f>'7a.20YrDetails'!AP89</f>
        <v>0</v>
      </c>
      <c r="AQ89" s="113">
        <f>'7a.20YrDetails'!AQ89</f>
        <v>0</v>
      </c>
      <c r="AR89" s="97">
        <f>'7a.20YrDetails'!AR89</f>
        <v>0</v>
      </c>
      <c r="AS89" s="97">
        <f>'7a.20YrDetails'!AS89</f>
        <v>0</v>
      </c>
      <c r="AT89" s="113">
        <f>'7a.20YrDetails'!AT89</f>
        <v>0</v>
      </c>
      <c r="AU89" s="97">
        <f>'7a.20YrDetails'!AU89</f>
        <v>0</v>
      </c>
      <c r="AV89" s="97">
        <f>'7a.20YrDetails'!AV89</f>
        <v>0</v>
      </c>
      <c r="AW89" s="113">
        <f>'7a.20YrDetails'!AW89</f>
        <v>0</v>
      </c>
      <c r="AX89" s="97">
        <f>'7a.20YrDetails'!AX89</f>
        <v>0</v>
      </c>
      <c r="AY89" s="97">
        <f>'7a.20YrDetails'!AY89</f>
        <v>0</v>
      </c>
      <c r="AZ89" s="113">
        <f>'7a.20YrDetails'!AZ89</f>
        <v>0</v>
      </c>
      <c r="BA89" s="97">
        <f>'7a.20YrDetails'!BA89</f>
        <v>0</v>
      </c>
      <c r="BB89" s="97">
        <f>'7a.20YrDetails'!BB89</f>
        <v>0</v>
      </c>
      <c r="BC89" s="113">
        <f>'7a.20YrDetails'!BC89</f>
        <v>0</v>
      </c>
      <c r="BD89" s="97">
        <f>'7a.20YrDetails'!BD89</f>
        <v>0</v>
      </c>
      <c r="BE89" s="97">
        <f>'7a.20YrDetails'!BE89</f>
        <v>0</v>
      </c>
      <c r="BF89" s="113">
        <f>'7a.20YrDetails'!BF89</f>
        <v>0</v>
      </c>
      <c r="BG89" s="97">
        <f>'7a.20YrDetails'!BG89</f>
        <v>0</v>
      </c>
      <c r="BH89" s="97">
        <f>'7a.20YrDetails'!BH89</f>
        <v>0</v>
      </c>
      <c r="BI89" s="113">
        <f>'7a.20YrDetails'!BI89</f>
        <v>0</v>
      </c>
      <c r="BJ89" s="97">
        <f>'7a.20YrDetails'!BJ89</f>
        <v>0</v>
      </c>
      <c r="BK89" s="97">
        <f>'7a.20YrDetails'!BK89</f>
        <v>0</v>
      </c>
      <c r="BL89" s="113">
        <f>'7a.20YrDetails'!BL89</f>
        <v>0</v>
      </c>
      <c r="BM89" s="97">
        <f>'7a.20YrDetails'!BM89</f>
        <v>0</v>
      </c>
      <c r="BN89" s="97">
        <f>'7a.20YrDetails'!BN89</f>
        <v>0</v>
      </c>
      <c r="BO89" s="113">
        <f>'7a.20YrDetails'!BO89</f>
        <v>0</v>
      </c>
    </row>
    <row r="90" spans="3:67" ht="12" customHeight="1" outlineLevel="1">
      <c r="C90" s="191" t="str">
        <f>'7a.20YrDetails'!C90</f>
        <v>Other Required Reserve 1 Deposit</v>
      </c>
      <c r="D90" s="22"/>
      <c r="E90" s="813"/>
      <c r="F90" s="812"/>
      <c r="G90" s="46" t="str">
        <f>IF('7a.20YrDetails'!$G90="","",'7a.20YrDetails'!$G90)</f>
        <v/>
      </c>
      <c r="H90" s="97">
        <f>'7a.20YrDetails'!H90</f>
        <v>0</v>
      </c>
      <c r="I90" s="97">
        <f>'7a.20YrDetails'!I90</f>
        <v>0</v>
      </c>
      <c r="J90" s="113">
        <f>'7a.20YrDetails'!J90</f>
        <v>0</v>
      </c>
      <c r="K90" s="97">
        <f>'7a.20YrDetails'!K90</f>
        <v>0</v>
      </c>
      <c r="L90" s="97">
        <f>'7a.20YrDetails'!L90</f>
        <v>0</v>
      </c>
      <c r="M90" s="113">
        <f>'7a.20YrDetails'!M90</f>
        <v>0</v>
      </c>
      <c r="N90" s="97">
        <f>'7a.20YrDetails'!N90</f>
        <v>0</v>
      </c>
      <c r="O90" s="97">
        <f>'7a.20YrDetails'!O90</f>
        <v>0</v>
      </c>
      <c r="P90" s="113">
        <f>'7a.20YrDetails'!P90</f>
        <v>0</v>
      </c>
      <c r="Q90" s="97">
        <f>'7a.20YrDetails'!Q90</f>
        <v>0</v>
      </c>
      <c r="R90" s="97">
        <f>'7a.20YrDetails'!R90</f>
        <v>0</v>
      </c>
      <c r="S90" s="113">
        <f>'7a.20YrDetails'!S90</f>
        <v>0</v>
      </c>
      <c r="T90" s="97">
        <f>'7a.20YrDetails'!T90</f>
        <v>0</v>
      </c>
      <c r="U90" s="97">
        <f>'7a.20YrDetails'!U90</f>
        <v>0</v>
      </c>
      <c r="V90" s="113">
        <f>'7a.20YrDetails'!V90</f>
        <v>0</v>
      </c>
      <c r="W90" s="97">
        <f>'7a.20YrDetails'!W90</f>
        <v>0</v>
      </c>
      <c r="X90" s="97">
        <f>'7a.20YrDetails'!X90</f>
        <v>0</v>
      </c>
      <c r="Y90" s="113">
        <f>'7a.20YrDetails'!Y90</f>
        <v>0</v>
      </c>
      <c r="Z90" s="97">
        <f>'7a.20YrDetails'!Z90</f>
        <v>0</v>
      </c>
      <c r="AA90" s="97">
        <f>'7a.20YrDetails'!AA90</f>
        <v>0</v>
      </c>
      <c r="AB90" s="113">
        <f>'7a.20YrDetails'!AB90</f>
        <v>0</v>
      </c>
      <c r="AC90" s="97">
        <f>'7a.20YrDetails'!AC90</f>
        <v>0</v>
      </c>
      <c r="AD90" s="97">
        <f>'7a.20YrDetails'!AD90</f>
        <v>0</v>
      </c>
      <c r="AE90" s="113">
        <f>'7a.20YrDetails'!AE90</f>
        <v>0</v>
      </c>
      <c r="AF90" s="97">
        <f>'7a.20YrDetails'!AF90</f>
        <v>0</v>
      </c>
      <c r="AG90" s="97">
        <f>'7a.20YrDetails'!AG90</f>
        <v>0</v>
      </c>
      <c r="AH90" s="113">
        <f>'7a.20YrDetails'!AH90</f>
        <v>0</v>
      </c>
      <c r="AI90" s="97">
        <f>'7a.20YrDetails'!AI90</f>
        <v>0</v>
      </c>
      <c r="AJ90" s="97">
        <f>'7a.20YrDetails'!AJ90</f>
        <v>0</v>
      </c>
      <c r="AK90" s="113">
        <f>'7a.20YrDetails'!AK90</f>
        <v>0</v>
      </c>
      <c r="AL90" s="97">
        <f>'7a.20YrDetails'!AL90</f>
        <v>0</v>
      </c>
      <c r="AM90" s="97">
        <f>'7a.20YrDetails'!AM90</f>
        <v>0</v>
      </c>
      <c r="AN90" s="113">
        <f>'7a.20YrDetails'!AN90</f>
        <v>0</v>
      </c>
      <c r="AO90" s="97">
        <f>'7a.20YrDetails'!AO90</f>
        <v>0</v>
      </c>
      <c r="AP90" s="97">
        <f>'7a.20YrDetails'!AP90</f>
        <v>0</v>
      </c>
      <c r="AQ90" s="113">
        <f>'7a.20YrDetails'!AQ90</f>
        <v>0</v>
      </c>
      <c r="AR90" s="97">
        <f>'7a.20YrDetails'!AR90</f>
        <v>0</v>
      </c>
      <c r="AS90" s="97">
        <f>'7a.20YrDetails'!AS90</f>
        <v>0</v>
      </c>
      <c r="AT90" s="113">
        <f>'7a.20YrDetails'!AT90</f>
        <v>0</v>
      </c>
      <c r="AU90" s="97">
        <f>'7a.20YrDetails'!AU90</f>
        <v>0</v>
      </c>
      <c r="AV90" s="97">
        <f>'7a.20YrDetails'!AV90</f>
        <v>0</v>
      </c>
      <c r="AW90" s="113">
        <f>'7a.20YrDetails'!AW90</f>
        <v>0</v>
      </c>
      <c r="AX90" s="97">
        <f>'7a.20YrDetails'!AX90</f>
        <v>0</v>
      </c>
      <c r="AY90" s="97">
        <f>'7a.20YrDetails'!AY90</f>
        <v>0</v>
      </c>
      <c r="AZ90" s="113">
        <f>'7a.20YrDetails'!AZ90</f>
        <v>0</v>
      </c>
      <c r="BA90" s="97">
        <f>'7a.20YrDetails'!BA90</f>
        <v>0</v>
      </c>
      <c r="BB90" s="97">
        <f>'7a.20YrDetails'!BB90</f>
        <v>0</v>
      </c>
      <c r="BC90" s="113">
        <f>'7a.20YrDetails'!BC90</f>
        <v>0</v>
      </c>
      <c r="BD90" s="97">
        <f>'7a.20YrDetails'!BD90</f>
        <v>0</v>
      </c>
      <c r="BE90" s="97">
        <f>'7a.20YrDetails'!BE90</f>
        <v>0</v>
      </c>
      <c r="BF90" s="113">
        <f>'7a.20YrDetails'!BF90</f>
        <v>0</v>
      </c>
      <c r="BG90" s="97">
        <f>'7a.20YrDetails'!BG90</f>
        <v>0</v>
      </c>
      <c r="BH90" s="97">
        <f>'7a.20YrDetails'!BH90</f>
        <v>0</v>
      </c>
      <c r="BI90" s="113">
        <f>'7a.20YrDetails'!BI90</f>
        <v>0</v>
      </c>
      <c r="BJ90" s="97">
        <f>'7a.20YrDetails'!BJ90</f>
        <v>0</v>
      </c>
      <c r="BK90" s="97">
        <f>'7a.20YrDetails'!BK90</f>
        <v>0</v>
      </c>
      <c r="BL90" s="113">
        <f>'7a.20YrDetails'!BL90</f>
        <v>0</v>
      </c>
      <c r="BM90" s="97">
        <f>'7a.20YrDetails'!BM90</f>
        <v>0</v>
      </c>
      <c r="BN90" s="97">
        <f>'7a.20YrDetails'!BN90</f>
        <v>0</v>
      </c>
      <c r="BO90" s="113">
        <f>'7a.20YrDetails'!BO90</f>
        <v>0</v>
      </c>
    </row>
    <row r="91" spans="3:67" ht="12" customHeight="1" outlineLevel="1">
      <c r="C91" s="191" t="str">
        <f>'7a.20YrDetails'!C91</f>
        <v>Other Required Reserve 2 Deposit</v>
      </c>
      <c r="D91" s="22"/>
      <c r="E91" s="813"/>
      <c r="F91" s="812"/>
      <c r="G91" s="46" t="str">
        <f>IF('7a.20YrDetails'!$G91="","",'7a.20YrDetails'!$G91)</f>
        <v/>
      </c>
      <c r="H91" s="97">
        <f>'7a.20YrDetails'!H91</f>
        <v>0</v>
      </c>
      <c r="I91" s="97">
        <f>'7a.20YrDetails'!I91</f>
        <v>0</v>
      </c>
      <c r="J91" s="113">
        <f>'7a.20YrDetails'!J91</f>
        <v>0</v>
      </c>
      <c r="K91" s="97">
        <f>'7a.20YrDetails'!K91</f>
        <v>0</v>
      </c>
      <c r="L91" s="97">
        <f>'7a.20YrDetails'!L91</f>
        <v>0</v>
      </c>
      <c r="M91" s="113">
        <f>'7a.20YrDetails'!M91</f>
        <v>0</v>
      </c>
      <c r="N91" s="97">
        <f>'7a.20YrDetails'!N91</f>
        <v>0</v>
      </c>
      <c r="O91" s="97">
        <f>'7a.20YrDetails'!O91</f>
        <v>0</v>
      </c>
      <c r="P91" s="113">
        <f>'7a.20YrDetails'!P91</f>
        <v>0</v>
      </c>
      <c r="Q91" s="97">
        <f>'7a.20YrDetails'!Q91</f>
        <v>0</v>
      </c>
      <c r="R91" s="97">
        <f>'7a.20YrDetails'!R91</f>
        <v>0</v>
      </c>
      <c r="S91" s="113">
        <f>'7a.20YrDetails'!S91</f>
        <v>0</v>
      </c>
      <c r="T91" s="97">
        <f>'7a.20YrDetails'!T91</f>
        <v>0</v>
      </c>
      <c r="U91" s="97">
        <f>'7a.20YrDetails'!U91</f>
        <v>0</v>
      </c>
      <c r="V91" s="113">
        <f>'7a.20YrDetails'!V91</f>
        <v>0</v>
      </c>
      <c r="W91" s="97">
        <f>'7a.20YrDetails'!W91</f>
        <v>0</v>
      </c>
      <c r="X91" s="97">
        <f>'7a.20YrDetails'!X91</f>
        <v>0</v>
      </c>
      <c r="Y91" s="113">
        <f>'7a.20YrDetails'!Y91</f>
        <v>0</v>
      </c>
      <c r="Z91" s="97">
        <f>'7a.20YrDetails'!Z91</f>
        <v>0</v>
      </c>
      <c r="AA91" s="97">
        <f>'7a.20YrDetails'!AA91</f>
        <v>0</v>
      </c>
      <c r="AB91" s="113">
        <f>'7a.20YrDetails'!AB91</f>
        <v>0</v>
      </c>
      <c r="AC91" s="97">
        <f>'7a.20YrDetails'!AC91</f>
        <v>0</v>
      </c>
      <c r="AD91" s="97">
        <f>'7a.20YrDetails'!AD91</f>
        <v>0</v>
      </c>
      <c r="AE91" s="113">
        <f>'7a.20YrDetails'!AE91</f>
        <v>0</v>
      </c>
      <c r="AF91" s="97">
        <f>'7a.20YrDetails'!AF91</f>
        <v>0</v>
      </c>
      <c r="AG91" s="97">
        <f>'7a.20YrDetails'!AG91</f>
        <v>0</v>
      </c>
      <c r="AH91" s="113">
        <f>'7a.20YrDetails'!AH91</f>
        <v>0</v>
      </c>
      <c r="AI91" s="97">
        <f>'7a.20YrDetails'!AI91</f>
        <v>0</v>
      </c>
      <c r="AJ91" s="97">
        <f>'7a.20YrDetails'!AJ91</f>
        <v>0</v>
      </c>
      <c r="AK91" s="113">
        <f>'7a.20YrDetails'!AK91</f>
        <v>0</v>
      </c>
      <c r="AL91" s="97">
        <f>'7a.20YrDetails'!AL91</f>
        <v>0</v>
      </c>
      <c r="AM91" s="97">
        <f>'7a.20YrDetails'!AM91</f>
        <v>0</v>
      </c>
      <c r="AN91" s="113">
        <f>'7a.20YrDetails'!AN91</f>
        <v>0</v>
      </c>
      <c r="AO91" s="97">
        <f>'7a.20YrDetails'!AO91</f>
        <v>0</v>
      </c>
      <c r="AP91" s="97">
        <f>'7a.20YrDetails'!AP91</f>
        <v>0</v>
      </c>
      <c r="AQ91" s="113">
        <f>'7a.20YrDetails'!AQ91</f>
        <v>0</v>
      </c>
      <c r="AR91" s="97">
        <f>'7a.20YrDetails'!AR91</f>
        <v>0</v>
      </c>
      <c r="AS91" s="97">
        <f>'7a.20YrDetails'!AS91</f>
        <v>0</v>
      </c>
      <c r="AT91" s="113">
        <f>'7a.20YrDetails'!AT91</f>
        <v>0</v>
      </c>
      <c r="AU91" s="97">
        <f>'7a.20YrDetails'!AU91</f>
        <v>0</v>
      </c>
      <c r="AV91" s="97">
        <f>'7a.20YrDetails'!AV91</f>
        <v>0</v>
      </c>
      <c r="AW91" s="113">
        <f>'7a.20YrDetails'!AW91</f>
        <v>0</v>
      </c>
      <c r="AX91" s="97">
        <f>'7a.20YrDetails'!AX91</f>
        <v>0</v>
      </c>
      <c r="AY91" s="97">
        <f>'7a.20YrDetails'!AY91</f>
        <v>0</v>
      </c>
      <c r="AZ91" s="113">
        <f>'7a.20YrDetails'!AZ91</f>
        <v>0</v>
      </c>
      <c r="BA91" s="97">
        <f>'7a.20YrDetails'!BA91</f>
        <v>0</v>
      </c>
      <c r="BB91" s="97">
        <f>'7a.20YrDetails'!BB91</f>
        <v>0</v>
      </c>
      <c r="BC91" s="113">
        <f>'7a.20YrDetails'!BC91</f>
        <v>0</v>
      </c>
      <c r="BD91" s="97">
        <f>'7a.20YrDetails'!BD91</f>
        <v>0</v>
      </c>
      <c r="BE91" s="97">
        <f>'7a.20YrDetails'!BE91</f>
        <v>0</v>
      </c>
      <c r="BF91" s="113">
        <f>'7a.20YrDetails'!BF91</f>
        <v>0</v>
      </c>
      <c r="BG91" s="97">
        <f>'7a.20YrDetails'!BG91</f>
        <v>0</v>
      </c>
      <c r="BH91" s="97">
        <f>'7a.20YrDetails'!BH91</f>
        <v>0</v>
      </c>
      <c r="BI91" s="113">
        <f>'7a.20YrDetails'!BI91</f>
        <v>0</v>
      </c>
      <c r="BJ91" s="97">
        <f>'7a.20YrDetails'!BJ91</f>
        <v>0</v>
      </c>
      <c r="BK91" s="97">
        <f>'7a.20YrDetails'!BK91</f>
        <v>0</v>
      </c>
      <c r="BL91" s="113">
        <f>'7a.20YrDetails'!BL91</f>
        <v>0</v>
      </c>
      <c r="BM91" s="97">
        <f>'7a.20YrDetails'!BM91</f>
        <v>0</v>
      </c>
      <c r="BN91" s="97">
        <f>'7a.20YrDetails'!BN91</f>
        <v>0</v>
      </c>
      <c r="BO91" s="113">
        <f>'7a.20YrDetails'!BO91</f>
        <v>0</v>
      </c>
    </row>
    <row r="92" spans="3:67" ht="12" customHeight="1" outlineLevel="1">
      <c r="C92" s="191" t="str">
        <f>'7a.20YrDetails'!C92</f>
        <v>Required Reserve Deposit/s, Commercial</v>
      </c>
      <c r="D92" s="22"/>
      <c r="E92" s="813"/>
      <c r="F92" s="812"/>
      <c r="G92" s="46" t="str">
        <f>IF('7a.20YrDetails'!$G92="","",'7a.20YrDetails'!$G92)</f>
        <v>from 'Commercial Op. Budget' Worksheet; Commercial to Residential allocation: 100%</v>
      </c>
      <c r="H92" s="97">
        <f>'7a.20YrDetails'!H92</f>
        <v>0</v>
      </c>
      <c r="I92" s="97">
        <f>'7a.20YrDetails'!I92</f>
        <v>0</v>
      </c>
      <c r="J92" s="113">
        <f>'7a.20YrDetails'!J92</f>
        <v>0</v>
      </c>
      <c r="K92" s="97">
        <f>'7a.20YrDetails'!K92</f>
        <v>0</v>
      </c>
      <c r="L92" s="97">
        <f>'7a.20YrDetails'!L92</f>
        <v>0</v>
      </c>
      <c r="M92" s="113">
        <f>'7a.20YrDetails'!M92</f>
        <v>0</v>
      </c>
      <c r="N92" s="97">
        <f>'7a.20YrDetails'!N92</f>
        <v>0</v>
      </c>
      <c r="O92" s="97">
        <f>'7a.20YrDetails'!O92</f>
        <v>0</v>
      </c>
      <c r="P92" s="113">
        <f>'7a.20YrDetails'!P92</f>
        <v>0</v>
      </c>
      <c r="Q92" s="97">
        <f>'7a.20YrDetails'!Q92</f>
        <v>0</v>
      </c>
      <c r="R92" s="97">
        <f>'7a.20YrDetails'!R92</f>
        <v>0</v>
      </c>
      <c r="S92" s="113">
        <f>'7a.20YrDetails'!S92</f>
        <v>0</v>
      </c>
      <c r="T92" s="97">
        <f>'7a.20YrDetails'!T92</f>
        <v>0</v>
      </c>
      <c r="U92" s="97">
        <f>'7a.20YrDetails'!U92</f>
        <v>0</v>
      </c>
      <c r="V92" s="113">
        <f>'7a.20YrDetails'!V92</f>
        <v>0</v>
      </c>
      <c r="W92" s="97">
        <f>'7a.20YrDetails'!W92</f>
        <v>0</v>
      </c>
      <c r="X92" s="97">
        <f>'7a.20YrDetails'!X92</f>
        <v>0</v>
      </c>
      <c r="Y92" s="113">
        <f>'7a.20YrDetails'!Y92</f>
        <v>0</v>
      </c>
      <c r="Z92" s="97">
        <f>'7a.20YrDetails'!Z92</f>
        <v>0</v>
      </c>
      <c r="AA92" s="97">
        <f>'7a.20YrDetails'!AA92</f>
        <v>0</v>
      </c>
      <c r="AB92" s="113">
        <f>'7a.20YrDetails'!AB92</f>
        <v>0</v>
      </c>
      <c r="AC92" s="97">
        <f>'7a.20YrDetails'!AC92</f>
        <v>0</v>
      </c>
      <c r="AD92" s="97">
        <f>'7a.20YrDetails'!AD92</f>
        <v>0</v>
      </c>
      <c r="AE92" s="113">
        <f>'7a.20YrDetails'!AE92</f>
        <v>0</v>
      </c>
      <c r="AF92" s="97">
        <f>'7a.20YrDetails'!AF92</f>
        <v>0</v>
      </c>
      <c r="AG92" s="97">
        <f>'7a.20YrDetails'!AG92</f>
        <v>0</v>
      </c>
      <c r="AH92" s="113">
        <f>'7a.20YrDetails'!AH92</f>
        <v>0</v>
      </c>
      <c r="AI92" s="97">
        <f>'7a.20YrDetails'!AI92</f>
        <v>0</v>
      </c>
      <c r="AJ92" s="97">
        <f>'7a.20YrDetails'!AJ92</f>
        <v>0</v>
      </c>
      <c r="AK92" s="113">
        <f>'7a.20YrDetails'!AK92</f>
        <v>0</v>
      </c>
      <c r="AL92" s="97">
        <f>'7a.20YrDetails'!AL92</f>
        <v>0</v>
      </c>
      <c r="AM92" s="97">
        <f>'7a.20YrDetails'!AM92</f>
        <v>0</v>
      </c>
      <c r="AN92" s="113">
        <f>'7a.20YrDetails'!AN92</f>
        <v>0</v>
      </c>
      <c r="AO92" s="97">
        <f>'7a.20YrDetails'!AO92</f>
        <v>0</v>
      </c>
      <c r="AP92" s="97">
        <f>'7a.20YrDetails'!AP92</f>
        <v>0</v>
      </c>
      <c r="AQ92" s="113">
        <f>'7a.20YrDetails'!AQ92</f>
        <v>0</v>
      </c>
      <c r="AR92" s="97">
        <f>'7a.20YrDetails'!AR92</f>
        <v>0</v>
      </c>
      <c r="AS92" s="97">
        <f>'7a.20YrDetails'!AS92</f>
        <v>0</v>
      </c>
      <c r="AT92" s="113">
        <f>'7a.20YrDetails'!AT92</f>
        <v>0</v>
      </c>
      <c r="AU92" s="97">
        <f>'7a.20YrDetails'!AU92</f>
        <v>0</v>
      </c>
      <c r="AV92" s="97">
        <f>'7a.20YrDetails'!AV92</f>
        <v>0</v>
      </c>
      <c r="AW92" s="113">
        <f>'7a.20YrDetails'!AW92</f>
        <v>0</v>
      </c>
      <c r="AX92" s="97">
        <f>'7a.20YrDetails'!AX92</f>
        <v>0</v>
      </c>
      <c r="AY92" s="97">
        <f>'7a.20YrDetails'!AY92</f>
        <v>0</v>
      </c>
      <c r="AZ92" s="113">
        <f>'7a.20YrDetails'!AZ92</f>
        <v>0</v>
      </c>
      <c r="BA92" s="97">
        <f>'7a.20YrDetails'!BA92</f>
        <v>0</v>
      </c>
      <c r="BB92" s="97">
        <f>'7a.20YrDetails'!BB92</f>
        <v>0</v>
      </c>
      <c r="BC92" s="113">
        <f>'7a.20YrDetails'!BC92</f>
        <v>0</v>
      </c>
      <c r="BD92" s="97">
        <f>'7a.20YrDetails'!BD92</f>
        <v>0</v>
      </c>
      <c r="BE92" s="97">
        <f>'7a.20YrDetails'!BE92</f>
        <v>0</v>
      </c>
      <c r="BF92" s="113">
        <f>'7a.20YrDetails'!BF92</f>
        <v>0</v>
      </c>
      <c r="BG92" s="97">
        <f>'7a.20YrDetails'!BG92</f>
        <v>0</v>
      </c>
      <c r="BH92" s="97">
        <f>'7a.20YrDetails'!BH92</f>
        <v>0</v>
      </c>
      <c r="BI92" s="113">
        <f>'7a.20YrDetails'!BI92</f>
        <v>0</v>
      </c>
      <c r="BJ92" s="97">
        <f>'7a.20YrDetails'!BJ92</f>
        <v>0</v>
      </c>
      <c r="BK92" s="97">
        <f>'7a.20YrDetails'!BK92</f>
        <v>0</v>
      </c>
      <c r="BL92" s="113">
        <f>'7a.20YrDetails'!BL92</f>
        <v>0</v>
      </c>
      <c r="BM92" s="97">
        <f>'7a.20YrDetails'!BM92</f>
        <v>0</v>
      </c>
      <c r="BN92" s="97">
        <f>'7a.20YrDetails'!BN92</f>
        <v>0</v>
      </c>
      <c r="BO92" s="113">
        <f>'7a.20YrDetails'!BO92</f>
        <v>0</v>
      </c>
    </row>
    <row r="93" spans="3:67" ht="12" customHeight="1" outlineLevel="1">
      <c r="C93" s="74" t="str">
        <f>'7a.20YrDetails'!C93</f>
        <v>Sub-total Reserves/Ground Lease Base Rent/Bond Fees</v>
      </c>
      <c r="D93" s="8"/>
      <c r="E93" s="8"/>
      <c r="F93" s="25"/>
      <c r="G93" s="25" t="e">
        <f>IF(#REF!="","",#REF!)</f>
        <v>#REF!</v>
      </c>
      <c r="H93" s="114">
        <f>'7a.20YrDetails'!H93</f>
        <v>0</v>
      </c>
      <c r="I93" s="114">
        <f>'7a.20YrDetails'!I93</f>
        <v>0</v>
      </c>
      <c r="J93" s="114">
        <f>'7a.20YrDetails'!J93</f>
        <v>0</v>
      </c>
      <c r="K93" s="114">
        <f>'7a.20YrDetails'!K93</f>
        <v>0</v>
      </c>
      <c r="L93" s="114">
        <f>'7a.20YrDetails'!L93</f>
        <v>0</v>
      </c>
      <c r="M93" s="114">
        <f>'7a.20YrDetails'!M93</f>
        <v>0</v>
      </c>
      <c r="N93" s="114">
        <f>'7a.20YrDetails'!N93</f>
        <v>0</v>
      </c>
      <c r="O93" s="114">
        <f>'7a.20YrDetails'!O93</f>
        <v>0</v>
      </c>
      <c r="P93" s="114">
        <f>'7a.20YrDetails'!P93</f>
        <v>0</v>
      </c>
      <c r="Q93" s="114">
        <f>'7a.20YrDetails'!Q93</f>
        <v>0</v>
      </c>
      <c r="R93" s="114">
        <f>'7a.20YrDetails'!R93</f>
        <v>0</v>
      </c>
      <c r="S93" s="114">
        <f>'7a.20YrDetails'!S93</f>
        <v>0</v>
      </c>
      <c r="T93" s="114">
        <f>'7a.20YrDetails'!T93</f>
        <v>0</v>
      </c>
      <c r="U93" s="114">
        <f>'7a.20YrDetails'!U93</f>
        <v>0</v>
      </c>
      <c r="V93" s="114">
        <f>'7a.20YrDetails'!V93</f>
        <v>0</v>
      </c>
      <c r="W93" s="114">
        <f>'7a.20YrDetails'!W93</f>
        <v>0</v>
      </c>
      <c r="X93" s="114">
        <f>'7a.20YrDetails'!X93</f>
        <v>0</v>
      </c>
      <c r="Y93" s="114">
        <f>'7a.20YrDetails'!Y93</f>
        <v>0</v>
      </c>
      <c r="Z93" s="114">
        <f>'7a.20YrDetails'!Z93</f>
        <v>0</v>
      </c>
      <c r="AA93" s="114">
        <f>'7a.20YrDetails'!AA93</f>
        <v>0</v>
      </c>
      <c r="AB93" s="114">
        <f>'7a.20YrDetails'!AB93</f>
        <v>0</v>
      </c>
      <c r="AC93" s="114">
        <f>'7a.20YrDetails'!AC93</f>
        <v>0</v>
      </c>
      <c r="AD93" s="114">
        <f>'7a.20YrDetails'!AD93</f>
        <v>0</v>
      </c>
      <c r="AE93" s="114">
        <f>'7a.20YrDetails'!AE93</f>
        <v>0</v>
      </c>
      <c r="AF93" s="114">
        <f>'7a.20YrDetails'!AF93</f>
        <v>0</v>
      </c>
      <c r="AG93" s="114">
        <f>'7a.20YrDetails'!AG93</f>
        <v>0</v>
      </c>
      <c r="AH93" s="114">
        <f>'7a.20YrDetails'!AH93</f>
        <v>0</v>
      </c>
      <c r="AI93" s="114">
        <f>'7a.20YrDetails'!AI93</f>
        <v>0</v>
      </c>
      <c r="AJ93" s="114">
        <f>'7a.20YrDetails'!AJ93</f>
        <v>0</v>
      </c>
      <c r="AK93" s="114">
        <f>'7a.20YrDetails'!AK93</f>
        <v>0</v>
      </c>
      <c r="AL93" s="114">
        <f>'7a.20YrDetails'!AL93</f>
        <v>0</v>
      </c>
      <c r="AM93" s="114">
        <f>'7a.20YrDetails'!AM93</f>
        <v>0</v>
      </c>
      <c r="AN93" s="114">
        <f>'7a.20YrDetails'!AN93</f>
        <v>0</v>
      </c>
      <c r="AO93" s="114">
        <f>'7a.20YrDetails'!AO93</f>
        <v>0</v>
      </c>
      <c r="AP93" s="114">
        <f>'7a.20YrDetails'!AP93</f>
        <v>0</v>
      </c>
      <c r="AQ93" s="114">
        <f>'7a.20YrDetails'!AQ93</f>
        <v>0</v>
      </c>
      <c r="AR93" s="114">
        <f>'7a.20YrDetails'!AR93</f>
        <v>0</v>
      </c>
      <c r="AS93" s="114">
        <f>'7a.20YrDetails'!AS93</f>
        <v>0</v>
      </c>
      <c r="AT93" s="114">
        <f>'7a.20YrDetails'!AT93</f>
        <v>0</v>
      </c>
      <c r="AU93" s="114">
        <f>'7a.20YrDetails'!AU93</f>
        <v>0</v>
      </c>
      <c r="AV93" s="114">
        <f>'7a.20YrDetails'!AV93</f>
        <v>0</v>
      </c>
      <c r="AW93" s="114">
        <f>'7a.20YrDetails'!AW93</f>
        <v>0</v>
      </c>
      <c r="AX93" s="114">
        <f>'7a.20YrDetails'!AX93</f>
        <v>0</v>
      </c>
      <c r="AY93" s="114">
        <f>'7a.20YrDetails'!AY93</f>
        <v>0</v>
      </c>
      <c r="AZ93" s="114">
        <f>'7a.20YrDetails'!AZ93</f>
        <v>0</v>
      </c>
      <c r="BA93" s="114">
        <f>'7a.20YrDetails'!BA93</f>
        <v>0</v>
      </c>
      <c r="BB93" s="114">
        <f>'7a.20YrDetails'!BB93</f>
        <v>0</v>
      </c>
      <c r="BC93" s="114">
        <f>'7a.20YrDetails'!BC93</f>
        <v>0</v>
      </c>
      <c r="BD93" s="114">
        <f>'7a.20YrDetails'!BD93</f>
        <v>0</v>
      </c>
      <c r="BE93" s="114">
        <f>'7a.20YrDetails'!BE93</f>
        <v>0</v>
      </c>
      <c r="BF93" s="114">
        <f>'7a.20YrDetails'!BF93</f>
        <v>0</v>
      </c>
      <c r="BG93" s="114">
        <f>'7a.20YrDetails'!BG93</f>
        <v>0</v>
      </c>
      <c r="BH93" s="114">
        <f>'7a.20YrDetails'!BH93</f>
        <v>0</v>
      </c>
      <c r="BI93" s="114">
        <f>'7a.20YrDetails'!BI93</f>
        <v>0</v>
      </c>
      <c r="BJ93" s="114">
        <f>'7a.20YrDetails'!BJ93</f>
        <v>0</v>
      </c>
      <c r="BK93" s="114">
        <f>'7a.20YrDetails'!BK93</f>
        <v>0</v>
      </c>
      <c r="BL93" s="114">
        <f>'7a.20YrDetails'!BL93</f>
        <v>0</v>
      </c>
      <c r="BM93" s="114">
        <f>'7a.20YrDetails'!BM93</f>
        <v>0</v>
      </c>
      <c r="BN93" s="114">
        <f>'7a.20YrDetails'!BN93</f>
        <v>0</v>
      </c>
      <c r="BO93" s="114">
        <f>'7a.20YrDetails'!BO93</f>
        <v>0</v>
      </c>
    </row>
    <row r="94" spans="3:67" ht="12" customHeight="1">
      <c r="C94" s="55"/>
      <c r="D94" s="8"/>
      <c r="E94" s="8"/>
      <c r="F94" s="25"/>
      <c r="G94" s="25"/>
      <c r="H94" s="96"/>
      <c r="I94" s="96"/>
      <c r="J94" s="96"/>
      <c r="K94" s="96"/>
      <c r="L94" s="96"/>
      <c r="M94" s="96"/>
      <c r="N94" s="96"/>
      <c r="O94" s="96"/>
      <c r="P94" s="96"/>
      <c r="Q94" s="96"/>
      <c r="R94" s="96"/>
      <c r="S94" s="96"/>
      <c r="T94" s="96"/>
      <c r="U94" s="96"/>
      <c r="V94" s="96"/>
      <c r="W94" s="96"/>
      <c r="X94" s="96"/>
      <c r="Y94" s="96"/>
      <c r="Z94" s="96"/>
      <c r="AA94" s="96"/>
      <c r="AB94" s="96"/>
      <c r="AC94" s="96"/>
      <c r="AD94" s="96"/>
      <c r="AE94" s="96"/>
      <c r="AF94" s="96"/>
      <c r="AG94" s="96"/>
      <c r="AH94" s="96"/>
      <c r="AI94" s="96"/>
      <c r="AJ94" s="96"/>
      <c r="AK94" s="96"/>
      <c r="AL94" s="96"/>
      <c r="AM94" s="96"/>
      <c r="AN94" s="96"/>
      <c r="AO94" s="96"/>
      <c r="AP94" s="96"/>
      <c r="AQ94" s="96"/>
      <c r="AR94" s="96"/>
      <c r="AS94" s="96"/>
      <c r="AT94" s="96"/>
      <c r="AU94" s="96"/>
      <c r="AV94" s="96"/>
      <c r="AW94" s="96"/>
      <c r="AX94" s="96"/>
      <c r="AY94" s="96"/>
      <c r="AZ94" s="96"/>
      <c r="BA94" s="96"/>
      <c r="BB94" s="96"/>
      <c r="BC94" s="96"/>
      <c r="BD94" s="96"/>
      <c r="BE94" s="96"/>
      <c r="BF94" s="96"/>
      <c r="BG94" s="96"/>
      <c r="BH94" s="96"/>
      <c r="BI94" s="96"/>
      <c r="BJ94" s="96"/>
      <c r="BK94" s="96"/>
      <c r="BL94" s="96"/>
      <c r="BM94" s="96"/>
      <c r="BN94" s="96"/>
      <c r="BO94" s="96"/>
    </row>
    <row r="95" spans="3:67" ht="12" customHeight="1">
      <c r="C95" s="74" t="str">
        <f>'7a.20YrDetails'!C95</f>
        <v>TOTAL OPERATING EXPENSES (w/ Reserves/GL Base Rent/ Bond Fees)</v>
      </c>
      <c r="D95" s="12"/>
      <c r="E95" s="12"/>
      <c r="F95" s="25"/>
      <c r="G95" s="25"/>
      <c r="H95" s="28">
        <f>'7a.20YrDetails'!H95</f>
        <v>0</v>
      </c>
      <c r="I95" s="28">
        <f>'7a.20YrDetails'!I95</f>
        <v>0</v>
      </c>
      <c r="J95" s="28">
        <f>'7a.20YrDetails'!J95</f>
        <v>0</v>
      </c>
      <c r="K95" s="28">
        <f>'7a.20YrDetails'!K95</f>
        <v>0</v>
      </c>
      <c r="L95" s="28">
        <f>'7a.20YrDetails'!L95</f>
        <v>0</v>
      </c>
      <c r="M95" s="28">
        <f>'7a.20YrDetails'!M95</f>
        <v>0</v>
      </c>
      <c r="N95" s="28">
        <f>'7a.20YrDetails'!N95</f>
        <v>0</v>
      </c>
      <c r="O95" s="28">
        <f>'7a.20YrDetails'!O95</f>
        <v>0</v>
      </c>
      <c r="P95" s="28">
        <f>'7a.20YrDetails'!P95</f>
        <v>0</v>
      </c>
      <c r="Q95" s="28">
        <f>'7a.20YrDetails'!Q95</f>
        <v>0</v>
      </c>
      <c r="R95" s="28">
        <f>'7a.20YrDetails'!R95</f>
        <v>0</v>
      </c>
      <c r="S95" s="28">
        <f>'7a.20YrDetails'!S95</f>
        <v>0</v>
      </c>
      <c r="T95" s="28">
        <f>'7a.20YrDetails'!T95</f>
        <v>0</v>
      </c>
      <c r="U95" s="28">
        <f>'7a.20YrDetails'!U95</f>
        <v>0</v>
      </c>
      <c r="V95" s="28">
        <f>'7a.20YrDetails'!V95</f>
        <v>0</v>
      </c>
      <c r="W95" s="28">
        <f>'7a.20YrDetails'!W95</f>
        <v>0</v>
      </c>
      <c r="X95" s="28">
        <f>'7a.20YrDetails'!X95</f>
        <v>0</v>
      </c>
      <c r="Y95" s="28">
        <f>'7a.20YrDetails'!Y95</f>
        <v>0</v>
      </c>
      <c r="Z95" s="28">
        <f>'7a.20YrDetails'!Z95</f>
        <v>0</v>
      </c>
      <c r="AA95" s="28">
        <f>'7a.20YrDetails'!AA95</f>
        <v>0</v>
      </c>
      <c r="AB95" s="28">
        <f>'7a.20YrDetails'!AB95</f>
        <v>0</v>
      </c>
      <c r="AC95" s="28">
        <f>'7a.20YrDetails'!AC95</f>
        <v>0</v>
      </c>
      <c r="AD95" s="28">
        <f>'7a.20YrDetails'!AD95</f>
        <v>0</v>
      </c>
      <c r="AE95" s="28">
        <f>'7a.20YrDetails'!AE95</f>
        <v>0</v>
      </c>
      <c r="AF95" s="28">
        <f>'7a.20YrDetails'!AF95</f>
        <v>0</v>
      </c>
      <c r="AG95" s="28">
        <f>'7a.20YrDetails'!AG95</f>
        <v>0</v>
      </c>
      <c r="AH95" s="28">
        <f>'7a.20YrDetails'!AH95</f>
        <v>0</v>
      </c>
      <c r="AI95" s="28">
        <f>'7a.20YrDetails'!AI95</f>
        <v>0</v>
      </c>
      <c r="AJ95" s="28">
        <f>'7a.20YrDetails'!AJ95</f>
        <v>0</v>
      </c>
      <c r="AK95" s="28">
        <f>'7a.20YrDetails'!AK95</f>
        <v>0</v>
      </c>
      <c r="AL95" s="28">
        <f>'7a.20YrDetails'!AL95</f>
        <v>0</v>
      </c>
      <c r="AM95" s="28">
        <f>'7a.20YrDetails'!AM95</f>
        <v>0</v>
      </c>
      <c r="AN95" s="28">
        <f>'7a.20YrDetails'!AN95</f>
        <v>0</v>
      </c>
      <c r="AO95" s="28">
        <f>'7a.20YrDetails'!AO95</f>
        <v>0</v>
      </c>
      <c r="AP95" s="28">
        <f>'7a.20YrDetails'!AP95</f>
        <v>0</v>
      </c>
      <c r="AQ95" s="28">
        <f>'7a.20YrDetails'!AQ95</f>
        <v>0</v>
      </c>
      <c r="AR95" s="28">
        <f>'7a.20YrDetails'!AR95</f>
        <v>0</v>
      </c>
      <c r="AS95" s="28">
        <f>'7a.20YrDetails'!AS95</f>
        <v>0</v>
      </c>
      <c r="AT95" s="28">
        <f>'7a.20YrDetails'!AT95</f>
        <v>0</v>
      </c>
      <c r="AU95" s="28">
        <f>'7a.20YrDetails'!AU95</f>
        <v>0</v>
      </c>
      <c r="AV95" s="28">
        <f>'7a.20YrDetails'!AV95</f>
        <v>0</v>
      </c>
      <c r="AW95" s="28">
        <f>'7a.20YrDetails'!AW95</f>
        <v>0</v>
      </c>
      <c r="AX95" s="28">
        <f>'7a.20YrDetails'!AX95</f>
        <v>0</v>
      </c>
      <c r="AY95" s="28">
        <f>'7a.20YrDetails'!AY95</f>
        <v>0</v>
      </c>
      <c r="AZ95" s="28">
        <f>'7a.20YrDetails'!AZ95</f>
        <v>0</v>
      </c>
      <c r="BA95" s="28">
        <f>'7a.20YrDetails'!BA95</f>
        <v>0</v>
      </c>
      <c r="BB95" s="28">
        <f>'7a.20YrDetails'!BB95</f>
        <v>0</v>
      </c>
      <c r="BC95" s="28">
        <f>'7a.20YrDetails'!BC95</f>
        <v>0</v>
      </c>
      <c r="BD95" s="28">
        <f>'7a.20YrDetails'!BD95</f>
        <v>0</v>
      </c>
      <c r="BE95" s="28">
        <f>'7a.20YrDetails'!BE95</f>
        <v>0</v>
      </c>
      <c r="BF95" s="28">
        <f>'7a.20YrDetails'!BF95</f>
        <v>0</v>
      </c>
      <c r="BG95" s="28">
        <f>'7a.20YrDetails'!BG95</f>
        <v>0</v>
      </c>
      <c r="BH95" s="28">
        <f>'7a.20YrDetails'!BH95</f>
        <v>0</v>
      </c>
      <c r="BI95" s="28">
        <f>'7a.20YrDetails'!BI95</f>
        <v>0</v>
      </c>
      <c r="BJ95" s="28">
        <f>'7a.20YrDetails'!BJ95</f>
        <v>0</v>
      </c>
      <c r="BK95" s="28">
        <f>'7a.20YrDetails'!BK95</f>
        <v>0</v>
      </c>
      <c r="BL95" s="28">
        <f>'7a.20YrDetails'!BL95</f>
        <v>0</v>
      </c>
      <c r="BM95" s="28">
        <f>'7a.20YrDetails'!BM95</f>
        <v>0</v>
      </c>
      <c r="BN95" s="28">
        <f>'7a.20YrDetails'!BN95</f>
        <v>0</v>
      </c>
      <c r="BO95" s="28">
        <f>'7a.20YrDetails'!BO95</f>
        <v>0</v>
      </c>
    </row>
    <row r="96" spans="3:67" ht="12" customHeight="1">
      <c r="C96" s="27" t="str">
        <f>'7a.20YrDetails'!C96</f>
        <v>PUPA (w/ Reserves/GL Base Rent/Bond Fees)</v>
      </c>
      <c r="D96" s="12"/>
      <c r="E96" s="12"/>
      <c r="F96" s="81"/>
      <c r="G96" s="81"/>
      <c r="H96" s="81"/>
      <c r="I96" s="81"/>
      <c r="J96" s="115" t="str">
        <f>'7a.20YrDetails'!J96</f>
        <v/>
      </c>
      <c r="K96" s="115"/>
      <c r="L96" s="115"/>
      <c r="M96" s="115" t="str">
        <f>IF('7a.20YrDetails'!M96=0,"",'7a.20YrDetails'!M96)</f>
        <v/>
      </c>
      <c r="N96" s="115"/>
      <c r="O96" s="115"/>
      <c r="P96" s="115" t="str">
        <f>IF('7a.20YrDetails'!P96=0,"",'7a.20YrDetails'!P96)</f>
        <v/>
      </c>
      <c r="Q96" s="115"/>
      <c r="R96" s="115"/>
      <c r="S96" s="115" t="str">
        <f>IF('7a.20YrDetails'!S96=0,"",'7a.20YrDetails'!S96)</f>
        <v/>
      </c>
      <c r="T96" s="115"/>
      <c r="U96" s="115"/>
      <c r="V96" s="115" t="str">
        <f>IF('7a.20YrDetails'!V96=0,"",'7a.20YrDetails'!V96)</f>
        <v/>
      </c>
      <c r="W96" s="115"/>
      <c r="X96" s="115"/>
      <c r="Y96" s="115" t="str">
        <f>IF('7a.20YrDetails'!Y96=0,"",'7a.20YrDetails'!Y96)</f>
        <v/>
      </c>
      <c r="Z96" s="115"/>
      <c r="AA96" s="115"/>
      <c r="AB96" s="115" t="str">
        <f>IF('7a.20YrDetails'!AB96=0,"",'7a.20YrDetails'!AB96)</f>
        <v/>
      </c>
      <c r="AC96" s="115"/>
      <c r="AD96" s="115"/>
      <c r="AE96" s="115" t="str">
        <f>IF('7a.20YrDetails'!AE96=0,"",'7a.20YrDetails'!AE96)</f>
        <v/>
      </c>
      <c r="AF96" s="115"/>
      <c r="AG96" s="115"/>
      <c r="AH96" s="115" t="str">
        <f>IF('7a.20YrDetails'!AH96=0,"",'7a.20YrDetails'!AH96)</f>
        <v/>
      </c>
      <c r="AI96" s="115"/>
      <c r="AJ96" s="115"/>
      <c r="AK96" s="115" t="str">
        <f>IF('7a.20YrDetails'!AK96=0,"",'7a.20YrDetails'!AK96)</f>
        <v/>
      </c>
      <c r="AL96" s="115"/>
      <c r="AM96" s="115"/>
      <c r="AN96" s="115" t="str">
        <f>IF('7a.20YrDetails'!AN96=0,"",'7a.20YrDetails'!AN96)</f>
        <v/>
      </c>
      <c r="AO96" s="115"/>
      <c r="AP96" s="115"/>
      <c r="AQ96" s="115" t="str">
        <f>IF('7a.20YrDetails'!AQ96=0,"",'7a.20YrDetails'!AQ96)</f>
        <v/>
      </c>
      <c r="AR96" s="115"/>
      <c r="AS96" s="115"/>
      <c r="AT96" s="115" t="str">
        <f>IF('7a.20YrDetails'!AT96=0,"",'7a.20YrDetails'!AT96)</f>
        <v/>
      </c>
      <c r="AU96" s="115"/>
      <c r="AV96" s="115"/>
      <c r="AW96" s="115" t="str">
        <f>IF('7a.20YrDetails'!AW96=0,"",'7a.20YrDetails'!AW96)</f>
        <v/>
      </c>
      <c r="AX96" s="115"/>
      <c r="AY96" s="115"/>
      <c r="AZ96" s="115" t="str">
        <f>IF('7a.20YrDetails'!AZ96=0,"",'7a.20YrDetails'!AZ96)</f>
        <v/>
      </c>
      <c r="BA96" s="115"/>
      <c r="BB96" s="115"/>
      <c r="BC96" s="115" t="str">
        <f>IF('7a.20YrDetails'!BC96=0,"",'7a.20YrDetails'!BC96)</f>
        <v/>
      </c>
      <c r="BD96" s="115"/>
      <c r="BE96" s="115"/>
      <c r="BF96" s="115" t="str">
        <f>IF('7a.20YrDetails'!BF96=0,"",'7a.20YrDetails'!BF96)</f>
        <v/>
      </c>
      <c r="BG96" s="115"/>
      <c r="BH96" s="115"/>
      <c r="BI96" s="115" t="str">
        <f>IF('7a.20YrDetails'!BI96=0,"",'7a.20YrDetails'!BI96)</f>
        <v/>
      </c>
      <c r="BJ96" s="115"/>
      <c r="BK96" s="115"/>
      <c r="BL96" s="115" t="str">
        <f>IF('7a.20YrDetails'!BL96=0,"",'7a.20YrDetails'!BL96)</f>
        <v/>
      </c>
      <c r="BM96" s="115"/>
      <c r="BN96" s="115"/>
      <c r="BO96" s="115" t="str">
        <f>IF('7a.20YrDetails'!BO96=0,"",'7a.20YrDetails'!BO96)</f>
        <v/>
      </c>
    </row>
    <row r="97" spans="3:67" ht="12" customHeight="1">
      <c r="C97" s="6" t="str">
        <f>'7a.20YrDetails'!C97</f>
        <v>NET OPERATING INCOME (INCOME minus OP EXPENSES)</v>
      </c>
      <c r="D97" s="8"/>
      <c r="E97" s="8"/>
      <c r="F97" s="50"/>
      <c r="G97" s="46" t="str">
        <f>IF('7a.20YrDetails'!$G97="","",'7a.20YrDetails'!$G97)</f>
        <v/>
      </c>
      <c r="H97" s="28">
        <f>'7a.20YrDetails'!H97</f>
        <v>0</v>
      </c>
      <c r="I97" s="28">
        <f>'7a.20YrDetails'!I97</f>
        <v>0</v>
      </c>
      <c r="J97" s="28">
        <f>'7a.20YrDetails'!J97</f>
        <v>0</v>
      </c>
      <c r="K97" s="28">
        <f>'7a.20YrDetails'!K97</f>
        <v>0</v>
      </c>
      <c r="L97" s="28">
        <f>'7a.20YrDetails'!L97</f>
        <v>0</v>
      </c>
      <c r="M97" s="28">
        <f>'7a.20YrDetails'!M97</f>
        <v>0</v>
      </c>
      <c r="N97" s="28">
        <f>'7a.20YrDetails'!N97</f>
        <v>0</v>
      </c>
      <c r="O97" s="28">
        <f>'7a.20YrDetails'!O97</f>
        <v>0</v>
      </c>
      <c r="P97" s="28">
        <f>'7a.20YrDetails'!P97</f>
        <v>0</v>
      </c>
      <c r="Q97" s="28">
        <f>'7a.20YrDetails'!Q97</f>
        <v>0</v>
      </c>
      <c r="R97" s="28">
        <f>'7a.20YrDetails'!R97</f>
        <v>0</v>
      </c>
      <c r="S97" s="28">
        <f>'7a.20YrDetails'!S97</f>
        <v>0</v>
      </c>
      <c r="T97" s="28">
        <f>'7a.20YrDetails'!T97</f>
        <v>0</v>
      </c>
      <c r="U97" s="28">
        <f>'7a.20YrDetails'!U97</f>
        <v>0</v>
      </c>
      <c r="V97" s="28">
        <f>'7a.20YrDetails'!V97</f>
        <v>0</v>
      </c>
      <c r="W97" s="28">
        <f>'7a.20YrDetails'!W97</f>
        <v>0</v>
      </c>
      <c r="X97" s="28">
        <f>'7a.20YrDetails'!X97</f>
        <v>0</v>
      </c>
      <c r="Y97" s="28">
        <f>'7a.20YrDetails'!Y97</f>
        <v>0</v>
      </c>
      <c r="Z97" s="28">
        <f>'7a.20YrDetails'!Z97</f>
        <v>0</v>
      </c>
      <c r="AA97" s="28">
        <f>'7a.20YrDetails'!AA97</f>
        <v>0</v>
      </c>
      <c r="AB97" s="28">
        <f>'7a.20YrDetails'!AB97</f>
        <v>0</v>
      </c>
      <c r="AC97" s="28">
        <f>'7a.20YrDetails'!AC97</f>
        <v>0</v>
      </c>
      <c r="AD97" s="28">
        <f>'7a.20YrDetails'!AD97</f>
        <v>0</v>
      </c>
      <c r="AE97" s="28">
        <f>'7a.20YrDetails'!AE97</f>
        <v>0</v>
      </c>
      <c r="AF97" s="28">
        <f>'7a.20YrDetails'!AF97</f>
        <v>0</v>
      </c>
      <c r="AG97" s="28">
        <f>'7a.20YrDetails'!AG97</f>
        <v>0</v>
      </c>
      <c r="AH97" s="28">
        <f>'7a.20YrDetails'!AH97</f>
        <v>0</v>
      </c>
      <c r="AI97" s="28">
        <f>'7a.20YrDetails'!AI97</f>
        <v>0</v>
      </c>
      <c r="AJ97" s="28">
        <f>'7a.20YrDetails'!AJ97</f>
        <v>0</v>
      </c>
      <c r="AK97" s="28">
        <f>'7a.20YrDetails'!AK97</f>
        <v>0</v>
      </c>
      <c r="AL97" s="28">
        <f>'7a.20YrDetails'!AL97</f>
        <v>0</v>
      </c>
      <c r="AM97" s="28">
        <f>'7a.20YrDetails'!AM97</f>
        <v>0</v>
      </c>
      <c r="AN97" s="28">
        <f>'7a.20YrDetails'!AN97</f>
        <v>0</v>
      </c>
      <c r="AO97" s="28">
        <f>'7a.20YrDetails'!AO97</f>
        <v>0</v>
      </c>
      <c r="AP97" s="28">
        <f>'7a.20YrDetails'!AP97</f>
        <v>0</v>
      </c>
      <c r="AQ97" s="28">
        <f>'7a.20YrDetails'!AQ97</f>
        <v>0</v>
      </c>
      <c r="AR97" s="28">
        <f>'7a.20YrDetails'!AR97</f>
        <v>0</v>
      </c>
      <c r="AS97" s="28">
        <f>'7a.20YrDetails'!AS97</f>
        <v>0</v>
      </c>
      <c r="AT97" s="28">
        <f>'7a.20YrDetails'!AT97</f>
        <v>0</v>
      </c>
      <c r="AU97" s="28">
        <f>'7a.20YrDetails'!AU97</f>
        <v>0</v>
      </c>
      <c r="AV97" s="28">
        <f>'7a.20YrDetails'!AV97</f>
        <v>0</v>
      </c>
      <c r="AW97" s="28">
        <f>'7a.20YrDetails'!AW97</f>
        <v>0</v>
      </c>
      <c r="AX97" s="28">
        <f>'7a.20YrDetails'!AX97</f>
        <v>0</v>
      </c>
      <c r="AY97" s="28">
        <f>'7a.20YrDetails'!AY97</f>
        <v>0</v>
      </c>
      <c r="AZ97" s="28">
        <f>'7a.20YrDetails'!AZ97</f>
        <v>0</v>
      </c>
      <c r="BA97" s="28">
        <f>'7a.20YrDetails'!BA97</f>
        <v>0</v>
      </c>
      <c r="BB97" s="28">
        <f>'7a.20YrDetails'!BB97</f>
        <v>0</v>
      </c>
      <c r="BC97" s="28">
        <f>'7a.20YrDetails'!BC97</f>
        <v>0</v>
      </c>
      <c r="BD97" s="28">
        <f>'7a.20YrDetails'!BD97</f>
        <v>0</v>
      </c>
      <c r="BE97" s="28">
        <f>'7a.20YrDetails'!BE97</f>
        <v>0</v>
      </c>
      <c r="BF97" s="28">
        <f>'7a.20YrDetails'!BF97</f>
        <v>0</v>
      </c>
      <c r="BG97" s="28">
        <f>'7a.20YrDetails'!BG97</f>
        <v>0</v>
      </c>
      <c r="BH97" s="28">
        <f>'7a.20YrDetails'!BH97</f>
        <v>0</v>
      </c>
      <c r="BI97" s="28">
        <f>'7a.20YrDetails'!BI97</f>
        <v>0</v>
      </c>
      <c r="BJ97" s="28">
        <f>'7a.20YrDetails'!BJ97</f>
        <v>0</v>
      </c>
      <c r="BK97" s="28">
        <f>'7a.20YrDetails'!BK97</f>
        <v>0</v>
      </c>
      <c r="BL97" s="28">
        <f>'7a.20YrDetails'!BL97</f>
        <v>0</v>
      </c>
      <c r="BM97" s="28">
        <f>'7a.20YrDetails'!BM97</f>
        <v>0</v>
      </c>
      <c r="BN97" s="28">
        <f>'7a.20YrDetails'!BN97</f>
        <v>0</v>
      </c>
      <c r="BO97" s="28">
        <f>'7a.20YrDetails'!BO97</f>
        <v>0</v>
      </c>
    </row>
    <row r="98" spans="3:67" ht="12" customHeight="1">
      <c r="C98" s="6"/>
      <c r="D98" s="8"/>
      <c r="E98" s="8"/>
      <c r="F98" s="50"/>
      <c r="G98" s="49"/>
      <c r="H98" s="49"/>
      <c r="I98" s="49"/>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row>
    <row r="99" spans="3:67" ht="12" customHeight="1">
      <c r="C99" s="6" t="str">
        <f>'7a.20YrDetails'!C99</f>
        <v>DEBT SERVICE/MUST PAY PAYMENTS ("hard debt"/amortized loans)</v>
      </c>
      <c r="D99" s="9"/>
      <c r="E99" s="9"/>
      <c r="F99" s="52"/>
      <c r="G99" s="49"/>
      <c r="H99" s="49"/>
      <c r="I99" s="49"/>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row>
    <row r="100" spans="3:67" ht="12" customHeight="1">
      <c r="C100" s="17" t="str">
        <f>'7a.20YrDetails'!C100</f>
        <v>Hard Debt - First Lender</v>
      </c>
      <c r="D100" s="9"/>
      <c r="E100" s="9"/>
      <c r="F100" s="52"/>
      <c r="G100" s="46" t="str">
        <f>IF('7a.20YrDetails'!$G100="","",'7a.20YrDetails'!$G100)</f>
        <v xml:space="preserve">Enter comments re: annual increase, etc. </v>
      </c>
      <c r="H100" s="109">
        <f>'7a.20YrDetails'!H100</f>
        <v>0</v>
      </c>
      <c r="I100" s="109">
        <f>'7a.20YrDetails'!I100</f>
        <v>0</v>
      </c>
      <c r="J100" s="109">
        <f>'7a.20YrDetails'!J100</f>
        <v>0</v>
      </c>
      <c r="K100" s="109">
        <f>'7a.20YrDetails'!K100</f>
        <v>0</v>
      </c>
      <c r="L100" s="109">
        <f>'7a.20YrDetails'!L100</f>
        <v>0</v>
      </c>
      <c r="M100" s="109">
        <f>'7a.20YrDetails'!M100</f>
        <v>0</v>
      </c>
      <c r="N100" s="109">
        <f>'7a.20YrDetails'!N100</f>
        <v>0</v>
      </c>
      <c r="O100" s="109">
        <f>'7a.20YrDetails'!O100</f>
        <v>0</v>
      </c>
      <c r="P100" s="109">
        <f>'7a.20YrDetails'!P100</f>
        <v>0</v>
      </c>
      <c r="Q100" s="109">
        <f>'7a.20YrDetails'!Q100</f>
        <v>0</v>
      </c>
      <c r="R100" s="109">
        <f>'7a.20YrDetails'!R100</f>
        <v>0</v>
      </c>
      <c r="S100" s="109">
        <f>'7a.20YrDetails'!S100</f>
        <v>0</v>
      </c>
      <c r="T100" s="109">
        <f>'7a.20YrDetails'!T100</f>
        <v>0</v>
      </c>
      <c r="U100" s="109">
        <f>'7a.20YrDetails'!U100</f>
        <v>0</v>
      </c>
      <c r="V100" s="109">
        <f>'7a.20YrDetails'!V100</f>
        <v>0</v>
      </c>
      <c r="W100" s="109">
        <f>'7a.20YrDetails'!W100</f>
        <v>0</v>
      </c>
      <c r="X100" s="109">
        <f>'7a.20YrDetails'!X100</f>
        <v>0</v>
      </c>
      <c r="Y100" s="109">
        <f>'7a.20YrDetails'!Y100</f>
        <v>0</v>
      </c>
      <c r="Z100" s="109">
        <f>'7a.20YrDetails'!Z100</f>
        <v>0</v>
      </c>
      <c r="AA100" s="109">
        <f>'7a.20YrDetails'!AA100</f>
        <v>0</v>
      </c>
      <c r="AB100" s="109">
        <f>'7a.20YrDetails'!AB100</f>
        <v>0</v>
      </c>
      <c r="AC100" s="109">
        <f>'7a.20YrDetails'!AC100</f>
        <v>0</v>
      </c>
      <c r="AD100" s="109">
        <f>'7a.20YrDetails'!AD100</f>
        <v>0</v>
      </c>
      <c r="AE100" s="109">
        <f>'7a.20YrDetails'!AE100</f>
        <v>0</v>
      </c>
      <c r="AF100" s="109">
        <f>'7a.20YrDetails'!AF100</f>
        <v>0</v>
      </c>
      <c r="AG100" s="109">
        <f>'7a.20YrDetails'!AG100</f>
        <v>0</v>
      </c>
      <c r="AH100" s="109">
        <f>'7a.20YrDetails'!AH100</f>
        <v>0</v>
      </c>
      <c r="AI100" s="109">
        <f>'7a.20YrDetails'!AI100</f>
        <v>0</v>
      </c>
      <c r="AJ100" s="109">
        <f>'7a.20YrDetails'!AJ100</f>
        <v>0</v>
      </c>
      <c r="AK100" s="109">
        <f>'7a.20YrDetails'!AK100</f>
        <v>0</v>
      </c>
      <c r="AL100" s="109">
        <f>'7a.20YrDetails'!AL100</f>
        <v>0</v>
      </c>
      <c r="AM100" s="109">
        <f>'7a.20YrDetails'!AM100</f>
        <v>0</v>
      </c>
      <c r="AN100" s="109">
        <f>'7a.20YrDetails'!AN100</f>
        <v>0</v>
      </c>
      <c r="AO100" s="109">
        <f>'7a.20YrDetails'!AO100</f>
        <v>0</v>
      </c>
      <c r="AP100" s="109">
        <f>'7a.20YrDetails'!AP100</f>
        <v>0</v>
      </c>
      <c r="AQ100" s="109">
        <f>'7a.20YrDetails'!AQ100</f>
        <v>0</v>
      </c>
      <c r="AR100" s="109">
        <f>'7a.20YrDetails'!AR100</f>
        <v>0</v>
      </c>
      <c r="AS100" s="109">
        <f>'7a.20YrDetails'!AS100</f>
        <v>0</v>
      </c>
      <c r="AT100" s="109">
        <f>'7a.20YrDetails'!AT100</f>
        <v>0</v>
      </c>
      <c r="AU100" s="109">
        <f>'7a.20YrDetails'!AU100</f>
        <v>0</v>
      </c>
      <c r="AV100" s="109">
        <f>'7a.20YrDetails'!AV100</f>
        <v>0</v>
      </c>
      <c r="AW100" s="109">
        <f>'7a.20YrDetails'!AW100</f>
        <v>0</v>
      </c>
      <c r="AX100" s="109">
        <f>'7a.20YrDetails'!AX100</f>
        <v>0</v>
      </c>
      <c r="AY100" s="109">
        <f>'7a.20YrDetails'!AY100</f>
        <v>0</v>
      </c>
      <c r="AZ100" s="109">
        <f>'7a.20YrDetails'!AZ100</f>
        <v>0</v>
      </c>
      <c r="BA100" s="109">
        <f>'7a.20YrDetails'!BA100</f>
        <v>0</v>
      </c>
      <c r="BB100" s="109">
        <f>'7a.20YrDetails'!BB100</f>
        <v>0</v>
      </c>
      <c r="BC100" s="109">
        <f>'7a.20YrDetails'!BC100</f>
        <v>0</v>
      </c>
      <c r="BD100" s="109">
        <f>'7a.20YrDetails'!BD100</f>
        <v>0</v>
      </c>
      <c r="BE100" s="109">
        <f>'7a.20YrDetails'!BE100</f>
        <v>0</v>
      </c>
      <c r="BF100" s="109">
        <f>'7a.20YrDetails'!BF100</f>
        <v>0</v>
      </c>
      <c r="BG100" s="109">
        <f>'7a.20YrDetails'!BG100</f>
        <v>0</v>
      </c>
      <c r="BH100" s="109">
        <f>'7a.20YrDetails'!BH100</f>
        <v>0</v>
      </c>
      <c r="BI100" s="109">
        <f>'7a.20YrDetails'!BI100</f>
        <v>0</v>
      </c>
      <c r="BJ100" s="109">
        <f>'7a.20YrDetails'!BJ100</f>
        <v>0</v>
      </c>
      <c r="BK100" s="109">
        <f>'7a.20YrDetails'!BK100</f>
        <v>0</v>
      </c>
      <c r="BL100" s="109">
        <f>'7a.20YrDetails'!BL100</f>
        <v>0</v>
      </c>
      <c r="BM100" s="109">
        <f>'7a.20YrDetails'!BM100</f>
        <v>0</v>
      </c>
      <c r="BN100" s="109">
        <f>'7a.20YrDetails'!BN100</f>
        <v>0</v>
      </c>
      <c r="BO100" s="109">
        <f>'7a.20YrDetails'!BO100</f>
        <v>0</v>
      </c>
    </row>
    <row r="101" spans="3:67" ht="12" customHeight="1">
      <c r="C101" s="17" t="str">
        <f>'7a.20YrDetails'!C101</f>
        <v>Hard Debt - Second Lender (HCD Program 0.42% pymt, or other 2nd Lender)</v>
      </c>
      <c r="D101" s="9"/>
      <c r="E101" s="9"/>
      <c r="F101" s="52"/>
      <c r="G101" s="46" t="str">
        <f>IF('7a.20YrDetails'!$G101="","",'7a.20YrDetails'!$G101)</f>
        <v xml:space="preserve">Enter comments re: annual increase, etc. </v>
      </c>
      <c r="H101" s="109">
        <f>'7a.20YrDetails'!H101</f>
        <v>0</v>
      </c>
      <c r="I101" s="109">
        <f>'7a.20YrDetails'!I101</f>
        <v>0</v>
      </c>
      <c r="J101" s="109">
        <f>'7a.20YrDetails'!J101</f>
        <v>0</v>
      </c>
      <c r="K101" s="109">
        <f>'7a.20YrDetails'!K101</f>
        <v>0</v>
      </c>
      <c r="L101" s="109">
        <f>'7a.20YrDetails'!L101</f>
        <v>0</v>
      </c>
      <c r="M101" s="109">
        <f>'7a.20YrDetails'!M101</f>
        <v>0</v>
      </c>
      <c r="N101" s="109">
        <f>'7a.20YrDetails'!N101</f>
        <v>0</v>
      </c>
      <c r="O101" s="109">
        <f>'7a.20YrDetails'!O101</f>
        <v>0</v>
      </c>
      <c r="P101" s="109">
        <f>'7a.20YrDetails'!P101</f>
        <v>0</v>
      </c>
      <c r="Q101" s="109">
        <f>'7a.20YrDetails'!Q101</f>
        <v>0</v>
      </c>
      <c r="R101" s="109">
        <f>'7a.20YrDetails'!R101</f>
        <v>0</v>
      </c>
      <c r="S101" s="109">
        <f>'7a.20YrDetails'!S101</f>
        <v>0</v>
      </c>
      <c r="T101" s="109">
        <f>'7a.20YrDetails'!T101</f>
        <v>0</v>
      </c>
      <c r="U101" s="109">
        <f>'7a.20YrDetails'!U101</f>
        <v>0</v>
      </c>
      <c r="V101" s="109">
        <f>'7a.20YrDetails'!V101</f>
        <v>0</v>
      </c>
      <c r="W101" s="109">
        <f>'7a.20YrDetails'!W101</f>
        <v>0</v>
      </c>
      <c r="X101" s="109">
        <f>'7a.20YrDetails'!X101</f>
        <v>0</v>
      </c>
      <c r="Y101" s="109">
        <f>'7a.20YrDetails'!Y101</f>
        <v>0</v>
      </c>
      <c r="Z101" s="109">
        <f>'7a.20YrDetails'!Z101</f>
        <v>0</v>
      </c>
      <c r="AA101" s="109">
        <f>'7a.20YrDetails'!AA101</f>
        <v>0</v>
      </c>
      <c r="AB101" s="109">
        <f>'7a.20YrDetails'!AB101</f>
        <v>0</v>
      </c>
      <c r="AC101" s="109">
        <f>'7a.20YrDetails'!AC101</f>
        <v>0</v>
      </c>
      <c r="AD101" s="109">
        <f>'7a.20YrDetails'!AD101</f>
        <v>0</v>
      </c>
      <c r="AE101" s="109">
        <f>'7a.20YrDetails'!AE101</f>
        <v>0</v>
      </c>
      <c r="AF101" s="109">
        <f>'7a.20YrDetails'!AF101</f>
        <v>0</v>
      </c>
      <c r="AG101" s="109">
        <f>'7a.20YrDetails'!AG101</f>
        <v>0</v>
      </c>
      <c r="AH101" s="109">
        <f>'7a.20YrDetails'!AH101</f>
        <v>0</v>
      </c>
      <c r="AI101" s="109">
        <f>'7a.20YrDetails'!AI101</f>
        <v>0</v>
      </c>
      <c r="AJ101" s="109">
        <f>'7a.20YrDetails'!AJ101</f>
        <v>0</v>
      </c>
      <c r="AK101" s="109">
        <f>'7a.20YrDetails'!AK101</f>
        <v>0</v>
      </c>
      <c r="AL101" s="109">
        <f>'7a.20YrDetails'!AL101</f>
        <v>0</v>
      </c>
      <c r="AM101" s="109">
        <f>'7a.20YrDetails'!AM101</f>
        <v>0</v>
      </c>
      <c r="AN101" s="109">
        <f>'7a.20YrDetails'!AN101</f>
        <v>0</v>
      </c>
      <c r="AO101" s="109">
        <f>'7a.20YrDetails'!AO101</f>
        <v>0</v>
      </c>
      <c r="AP101" s="109">
        <f>'7a.20YrDetails'!AP101</f>
        <v>0</v>
      </c>
      <c r="AQ101" s="109">
        <f>'7a.20YrDetails'!AQ101</f>
        <v>0</v>
      </c>
      <c r="AR101" s="109">
        <f>'7a.20YrDetails'!AR101</f>
        <v>0</v>
      </c>
      <c r="AS101" s="109">
        <f>'7a.20YrDetails'!AS101</f>
        <v>0</v>
      </c>
      <c r="AT101" s="109">
        <f>'7a.20YrDetails'!AT101</f>
        <v>0</v>
      </c>
      <c r="AU101" s="109">
        <f>'7a.20YrDetails'!AU101</f>
        <v>0</v>
      </c>
      <c r="AV101" s="109">
        <f>'7a.20YrDetails'!AV101</f>
        <v>0</v>
      </c>
      <c r="AW101" s="109">
        <f>'7a.20YrDetails'!AW101</f>
        <v>0</v>
      </c>
      <c r="AX101" s="109">
        <f>'7a.20YrDetails'!AX101</f>
        <v>0</v>
      </c>
      <c r="AY101" s="109">
        <f>'7a.20YrDetails'!AY101</f>
        <v>0</v>
      </c>
      <c r="AZ101" s="109">
        <f>'7a.20YrDetails'!AZ101</f>
        <v>0</v>
      </c>
      <c r="BA101" s="109">
        <f>'7a.20YrDetails'!BA101</f>
        <v>0</v>
      </c>
      <c r="BB101" s="109">
        <f>'7a.20YrDetails'!BB101</f>
        <v>0</v>
      </c>
      <c r="BC101" s="109">
        <f>'7a.20YrDetails'!BC101</f>
        <v>0</v>
      </c>
      <c r="BD101" s="109">
        <f>'7a.20YrDetails'!BD101</f>
        <v>0</v>
      </c>
      <c r="BE101" s="109">
        <f>'7a.20YrDetails'!BE101</f>
        <v>0</v>
      </c>
      <c r="BF101" s="109">
        <f>'7a.20YrDetails'!BF101</f>
        <v>0</v>
      </c>
      <c r="BG101" s="109">
        <f>'7a.20YrDetails'!BG101</f>
        <v>0</v>
      </c>
      <c r="BH101" s="109">
        <f>'7a.20YrDetails'!BH101</f>
        <v>0</v>
      </c>
      <c r="BI101" s="109">
        <f>'7a.20YrDetails'!BI101</f>
        <v>0</v>
      </c>
      <c r="BJ101" s="109">
        <f>'7a.20YrDetails'!BJ101</f>
        <v>0</v>
      </c>
      <c r="BK101" s="109">
        <f>'7a.20YrDetails'!BK101</f>
        <v>0</v>
      </c>
      <c r="BL101" s="109">
        <f>'7a.20YrDetails'!BL101</f>
        <v>0</v>
      </c>
      <c r="BM101" s="109">
        <f>'7a.20YrDetails'!BM101</f>
        <v>0</v>
      </c>
      <c r="BN101" s="109">
        <f>'7a.20YrDetails'!BN101</f>
        <v>0</v>
      </c>
      <c r="BO101" s="109">
        <f>'7a.20YrDetails'!BO101</f>
        <v>0</v>
      </c>
    </row>
    <row r="102" spans="3:67" ht="12" customHeight="1">
      <c r="C102" s="17" t="str">
        <f>'7a.20YrDetails'!C102</f>
        <v>Hard Debt - Third Lender (Other HCD Program, or other 3rd Lender)</v>
      </c>
      <c r="D102" s="9"/>
      <c r="E102" s="9"/>
      <c r="F102" s="52"/>
      <c r="G102" s="46" t="str">
        <f>IF('7a.20YrDetails'!$G102="","",'7a.20YrDetails'!$G102)</f>
        <v xml:space="preserve">Enter comments re: annual increase, etc. </v>
      </c>
      <c r="H102" s="109">
        <f>'7a.20YrDetails'!H102</f>
        <v>0</v>
      </c>
      <c r="I102" s="109">
        <f>'7a.20YrDetails'!I102</f>
        <v>0</v>
      </c>
      <c r="J102" s="109">
        <f>'7a.20YrDetails'!J102</f>
        <v>0</v>
      </c>
      <c r="K102" s="109">
        <f>'7a.20YrDetails'!K102</f>
        <v>0</v>
      </c>
      <c r="L102" s="109">
        <f>'7a.20YrDetails'!L102</f>
        <v>0</v>
      </c>
      <c r="M102" s="109">
        <f>'7a.20YrDetails'!M102</f>
        <v>0</v>
      </c>
      <c r="N102" s="109">
        <f>'7a.20YrDetails'!N102</f>
        <v>0</v>
      </c>
      <c r="O102" s="109">
        <f>'7a.20YrDetails'!O102</f>
        <v>0</v>
      </c>
      <c r="P102" s="109">
        <f>'7a.20YrDetails'!P102</f>
        <v>0</v>
      </c>
      <c r="Q102" s="109">
        <f>'7a.20YrDetails'!Q102</f>
        <v>0</v>
      </c>
      <c r="R102" s="109">
        <f>'7a.20YrDetails'!R102</f>
        <v>0</v>
      </c>
      <c r="S102" s="109">
        <f>'7a.20YrDetails'!S102</f>
        <v>0</v>
      </c>
      <c r="T102" s="109">
        <f>'7a.20YrDetails'!T102</f>
        <v>0</v>
      </c>
      <c r="U102" s="109">
        <f>'7a.20YrDetails'!U102</f>
        <v>0</v>
      </c>
      <c r="V102" s="109">
        <f>'7a.20YrDetails'!V102</f>
        <v>0</v>
      </c>
      <c r="W102" s="109">
        <f>'7a.20YrDetails'!W102</f>
        <v>0</v>
      </c>
      <c r="X102" s="109">
        <f>'7a.20YrDetails'!X102</f>
        <v>0</v>
      </c>
      <c r="Y102" s="109">
        <f>'7a.20YrDetails'!Y102</f>
        <v>0</v>
      </c>
      <c r="Z102" s="109">
        <f>'7a.20YrDetails'!Z102</f>
        <v>0</v>
      </c>
      <c r="AA102" s="109">
        <f>'7a.20YrDetails'!AA102</f>
        <v>0</v>
      </c>
      <c r="AB102" s="109">
        <f>'7a.20YrDetails'!AB102</f>
        <v>0</v>
      </c>
      <c r="AC102" s="109">
        <f>'7a.20YrDetails'!AC102</f>
        <v>0</v>
      </c>
      <c r="AD102" s="109">
        <f>'7a.20YrDetails'!AD102</f>
        <v>0</v>
      </c>
      <c r="AE102" s="109">
        <f>'7a.20YrDetails'!AE102</f>
        <v>0</v>
      </c>
      <c r="AF102" s="109">
        <f>'7a.20YrDetails'!AF102</f>
        <v>0</v>
      </c>
      <c r="AG102" s="109">
        <f>'7a.20YrDetails'!AG102</f>
        <v>0</v>
      </c>
      <c r="AH102" s="109">
        <f>'7a.20YrDetails'!AH102</f>
        <v>0</v>
      </c>
      <c r="AI102" s="109">
        <f>'7a.20YrDetails'!AI102</f>
        <v>0</v>
      </c>
      <c r="AJ102" s="109">
        <f>'7a.20YrDetails'!AJ102</f>
        <v>0</v>
      </c>
      <c r="AK102" s="109">
        <f>'7a.20YrDetails'!AK102</f>
        <v>0</v>
      </c>
      <c r="AL102" s="109">
        <f>'7a.20YrDetails'!AL102</f>
        <v>0</v>
      </c>
      <c r="AM102" s="109">
        <f>'7a.20YrDetails'!AM102</f>
        <v>0</v>
      </c>
      <c r="AN102" s="109">
        <f>'7a.20YrDetails'!AN102</f>
        <v>0</v>
      </c>
      <c r="AO102" s="109">
        <f>'7a.20YrDetails'!AO102</f>
        <v>0</v>
      </c>
      <c r="AP102" s="109">
        <f>'7a.20YrDetails'!AP102</f>
        <v>0</v>
      </c>
      <c r="AQ102" s="109">
        <f>'7a.20YrDetails'!AQ102</f>
        <v>0</v>
      </c>
      <c r="AR102" s="109">
        <f>'7a.20YrDetails'!AR102</f>
        <v>0</v>
      </c>
      <c r="AS102" s="109">
        <f>'7a.20YrDetails'!AS102</f>
        <v>0</v>
      </c>
      <c r="AT102" s="109">
        <f>'7a.20YrDetails'!AT102</f>
        <v>0</v>
      </c>
      <c r="AU102" s="109">
        <f>'7a.20YrDetails'!AU102</f>
        <v>0</v>
      </c>
      <c r="AV102" s="109">
        <f>'7a.20YrDetails'!AV102</f>
        <v>0</v>
      </c>
      <c r="AW102" s="109">
        <f>'7a.20YrDetails'!AW102</f>
        <v>0</v>
      </c>
      <c r="AX102" s="109">
        <f>'7a.20YrDetails'!AX102</f>
        <v>0</v>
      </c>
      <c r="AY102" s="109">
        <f>'7a.20YrDetails'!AY102</f>
        <v>0</v>
      </c>
      <c r="AZ102" s="109">
        <f>'7a.20YrDetails'!AZ102</f>
        <v>0</v>
      </c>
      <c r="BA102" s="109">
        <f>'7a.20YrDetails'!BA102</f>
        <v>0</v>
      </c>
      <c r="BB102" s="109">
        <f>'7a.20YrDetails'!BB102</f>
        <v>0</v>
      </c>
      <c r="BC102" s="109">
        <f>'7a.20YrDetails'!BC102</f>
        <v>0</v>
      </c>
      <c r="BD102" s="109">
        <f>'7a.20YrDetails'!BD102</f>
        <v>0</v>
      </c>
      <c r="BE102" s="109">
        <f>'7a.20YrDetails'!BE102</f>
        <v>0</v>
      </c>
      <c r="BF102" s="109">
        <f>'7a.20YrDetails'!BF102</f>
        <v>0</v>
      </c>
      <c r="BG102" s="109">
        <f>'7a.20YrDetails'!BG102</f>
        <v>0</v>
      </c>
      <c r="BH102" s="109">
        <f>'7a.20YrDetails'!BH102</f>
        <v>0</v>
      </c>
      <c r="BI102" s="109">
        <f>'7a.20YrDetails'!BI102</f>
        <v>0</v>
      </c>
      <c r="BJ102" s="109">
        <f>'7a.20YrDetails'!BJ102</f>
        <v>0</v>
      </c>
      <c r="BK102" s="109">
        <f>'7a.20YrDetails'!BK102</f>
        <v>0</v>
      </c>
      <c r="BL102" s="109">
        <f>'7a.20YrDetails'!BL102</f>
        <v>0</v>
      </c>
      <c r="BM102" s="109">
        <f>'7a.20YrDetails'!BM102</f>
        <v>0</v>
      </c>
      <c r="BN102" s="109">
        <f>'7a.20YrDetails'!BN102</f>
        <v>0</v>
      </c>
      <c r="BO102" s="109">
        <f>'7a.20YrDetails'!BO102</f>
        <v>0</v>
      </c>
    </row>
    <row r="103" spans="3:67" ht="12" customHeight="1">
      <c r="C103" s="17" t="str">
        <f>'7a.20YrDetails'!C103</f>
        <v xml:space="preserve">Hard Debt - Fourth Lender </v>
      </c>
      <c r="D103" s="9"/>
      <c r="E103" s="9"/>
      <c r="F103" s="52"/>
      <c r="G103" s="46" t="str">
        <f>IF('7a.20YrDetails'!$G103="","",'7a.20YrDetails'!$G103)</f>
        <v xml:space="preserve">Enter comments re: annual increase, etc. </v>
      </c>
      <c r="H103" s="109">
        <f>'7a.20YrDetails'!H103</f>
        <v>0</v>
      </c>
      <c r="I103" s="109">
        <f>'7a.20YrDetails'!I103</f>
        <v>0</v>
      </c>
      <c r="J103" s="109">
        <f>'7a.20YrDetails'!J103</f>
        <v>0</v>
      </c>
      <c r="K103" s="109">
        <f>'7a.20YrDetails'!K103</f>
        <v>0</v>
      </c>
      <c r="L103" s="109">
        <f>'7a.20YrDetails'!L103</f>
        <v>0</v>
      </c>
      <c r="M103" s="109">
        <f>'7a.20YrDetails'!M103</f>
        <v>0</v>
      </c>
      <c r="N103" s="109">
        <f>'7a.20YrDetails'!N103</f>
        <v>0</v>
      </c>
      <c r="O103" s="109">
        <f>'7a.20YrDetails'!O103</f>
        <v>0</v>
      </c>
      <c r="P103" s="109">
        <f>'7a.20YrDetails'!P103</f>
        <v>0</v>
      </c>
      <c r="Q103" s="109">
        <f>'7a.20YrDetails'!Q103</f>
        <v>0</v>
      </c>
      <c r="R103" s="109">
        <f>'7a.20YrDetails'!R103</f>
        <v>0</v>
      </c>
      <c r="S103" s="109">
        <f>'7a.20YrDetails'!S103</f>
        <v>0</v>
      </c>
      <c r="T103" s="109">
        <f>'7a.20YrDetails'!T103</f>
        <v>0</v>
      </c>
      <c r="U103" s="109">
        <f>'7a.20YrDetails'!U103</f>
        <v>0</v>
      </c>
      <c r="V103" s="109">
        <f>'7a.20YrDetails'!V103</f>
        <v>0</v>
      </c>
      <c r="W103" s="109">
        <f>'7a.20YrDetails'!W103</f>
        <v>0</v>
      </c>
      <c r="X103" s="109">
        <f>'7a.20YrDetails'!X103</f>
        <v>0</v>
      </c>
      <c r="Y103" s="109">
        <f>'7a.20YrDetails'!Y103</f>
        <v>0</v>
      </c>
      <c r="Z103" s="109">
        <f>'7a.20YrDetails'!Z103</f>
        <v>0</v>
      </c>
      <c r="AA103" s="109">
        <f>'7a.20YrDetails'!AA103</f>
        <v>0</v>
      </c>
      <c r="AB103" s="109">
        <f>'7a.20YrDetails'!AB103</f>
        <v>0</v>
      </c>
      <c r="AC103" s="109">
        <f>'7a.20YrDetails'!AC103</f>
        <v>0</v>
      </c>
      <c r="AD103" s="109">
        <f>'7a.20YrDetails'!AD103</f>
        <v>0</v>
      </c>
      <c r="AE103" s="109">
        <f>'7a.20YrDetails'!AE103</f>
        <v>0</v>
      </c>
      <c r="AF103" s="109">
        <f>'7a.20YrDetails'!AF103</f>
        <v>0</v>
      </c>
      <c r="AG103" s="109">
        <f>'7a.20YrDetails'!AG103</f>
        <v>0</v>
      </c>
      <c r="AH103" s="109">
        <f>'7a.20YrDetails'!AH103</f>
        <v>0</v>
      </c>
      <c r="AI103" s="109">
        <f>'7a.20YrDetails'!AI103</f>
        <v>0</v>
      </c>
      <c r="AJ103" s="109">
        <f>'7a.20YrDetails'!AJ103</f>
        <v>0</v>
      </c>
      <c r="AK103" s="109">
        <f>'7a.20YrDetails'!AK103</f>
        <v>0</v>
      </c>
      <c r="AL103" s="109">
        <f>'7a.20YrDetails'!AL103</f>
        <v>0</v>
      </c>
      <c r="AM103" s="109">
        <f>'7a.20YrDetails'!AM103</f>
        <v>0</v>
      </c>
      <c r="AN103" s="109">
        <f>'7a.20YrDetails'!AN103</f>
        <v>0</v>
      </c>
      <c r="AO103" s="109">
        <f>'7a.20YrDetails'!AO103</f>
        <v>0</v>
      </c>
      <c r="AP103" s="109">
        <f>'7a.20YrDetails'!AP103</f>
        <v>0</v>
      </c>
      <c r="AQ103" s="109">
        <f>'7a.20YrDetails'!AQ103</f>
        <v>0</v>
      </c>
      <c r="AR103" s="109">
        <f>'7a.20YrDetails'!AR103</f>
        <v>0</v>
      </c>
      <c r="AS103" s="109">
        <f>'7a.20YrDetails'!AS103</f>
        <v>0</v>
      </c>
      <c r="AT103" s="109">
        <f>'7a.20YrDetails'!AT103</f>
        <v>0</v>
      </c>
      <c r="AU103" s="109">
        <f>'7a.20YrDetails'!AU103</f>
        <v>0</v>
      </c>
      <c r="AV103" s="109">
        <f>'7a.20YrDetails'!AV103</f>
        <v>0</v>
      </c>
      <c r="AW103" s="109">
        <f>'7a.20YrDetails'!AW103</f>
        <v>0</v>
      </c>
      <c r="AX103" s="109">
        <f>'7a.20YrDetails'!AX103</f>
        <v>0</v>
      </c>
      <c r="AY103" s="109">
        <f>'7a.20YrDetails'!AY103</f>
        <v>0</v>
      </c>
      <c r="AZ103" s="109">
        <f>'7a.20YrDetails'!AZ103</f>
        <v>0</v>
      </c>
      <c r="BA103" s="109">
        <f>'7a.20YrDetails'!BA103</f>
        <v>0</v>
      </c>
      <c r="BB103" s="109">
        <f>'7a.20YrDetails'!BB103</f>
        <v>0</v>
      </c>
      <c r="BC103" s="109">
        <f>'7a.20YrDetails'!BC103</f>
        <v>0</v>
      </c>
      <c r="BD103" s="109">
        <f>'7a.20YrDetails'!BD103</f>
        <v>0</v>
      </c>
      <c r="BE103" s="109">
        <f>'7a.20YrDetails'!BE103</f>
        <v>0</v>
      </c>
      <c r="BF103" s="109">
        <f>'7a.20YrDetails'!BF103</f>
        <v>0</v>
      </c>
      <c r="BG103" s="109">
        <f>'7a.20YrDetails'!BG103</f>
        <v>0</v>
      </c>
      <c r="BH103" s="109">
        <f>'7a.20YrDetails'!BH103</f>
        <v>0</v>
      </c>
      <c r="BI103" s="109">
        <f>'7a.20YrDetails'!BI103</f>
        <v>0</v>
      </c>
      <c r="BJ103" s="109">
        <f>'7a.20YrDetails'!BJ103</f>
        <v>0</v>
      </c>
      <c r="BK103" s="109">
        <f>'7a.20YrDetails'!BK103</f>
        <v>0</v>
      </c>
      <c r="BL103" s="109">
        <f>'7a.20YrDetails'!BL103</f>
        <v>0</v>
      </c>
      <c r="BM103" s="109">
        <f>'7a.20YrDetails'!BM103</f>
        <v>0</v>
      </c>
      <c r="BN103" s="109">
        <f>'7a.20YrDetails'!BN103</f>
        <v>0</v>
      </c>
      <c r="BO103" s="109">
        <f>'7a.20YrDetails'!BO103</f>
        <v>0</v>
      </c>
    </row>
    <row r="104" spans="3:67" ht="12" customHeight="1">
      <c r="C104" s="17" t="str">
        <f>'7a.20YrDetails'!C104</f>
        <v>Commercial Hard Debt Service</v>
      </c>
      <c r="D104" s="9"/>
      <c r="E104" s="9"/>
      <c r="F104" s="52"/>
      <c r="G104" s="46" t="str">
        <f>IF('7a.20YrDetails'!$G104="","",'7a.20YrDetails'!$G104)</f>
        <v>from 'Commercial Op. Budget' Worksheet; Commercial to Residential allocation: 100%</v>
      </c>
      <c r="H104" s="109">
        <f>'7a.20YrDetails'!H104</f>
        <v>0</v>
      </c>
      <c r="I104" s="109">
        <f>'7a.20YrDetails'!I104</f>
        <v>0</v>
      </c>
      <c r="J104" s="109">
        <f>'7a.20YrDetails'!J104</f>
        <v>0</v>
      </c>
      <c r="K104" s="109">
        <f>'7a.20YrDetails'!K104</f>
        <v>0</v>
      </c>
      <c r="L104" s="109">
        <f>'7a.20YrDetails'!L104</f>
        <v>0</v>
      </c>
      <c r="M104" s="109">
        <f>'7a.20YrDetails'!M104</f>
        <v>0</v>
      </c>
      <c r="N104" s="109">
        <f>'7a.20YrDetails'!N104</f>
        <v>0</v>
      </c>
      <c r="O104" s="109">
        <f>'7a.20YrDetails'!O104</f>
        <v>0</v>
      </c>
      <c r="P104" s="109">
        <f>'7a.20YrDetails'!P104</f>
        <v>0</v>
      </c>
      <c r="Q104" s="109">
        <f>'7a.20YrDetails'!Q104</f>
        <v>0</v>
      </c>
      <c r="R104" s="109">
        <f>'7a.20YrDetails'!R104</f>
        <v>0</v>
      </c>
      <c r="S104" s="109">
        <f>'7a.20YrDetails'!S104</f>
        <v>0</v>
      </c>
      <c r="T104" s="109">
        <f>'7a.20YrDetails'!T104</f>
        <v>0</v>
      </c>
      <c r="U104" s="109">
        <f>'7a.20YrDetails'!U104</f>
        <v>0</v>
      </c>
      <c r="V104" s="109">
        <f>'7a.20YrDetails'!V104</f>
        <v>0</v>
      </c>
      <c r="W104" s="109">
        <f>'7a.20YrDetails'!W104</f>
        <v>0</v>
      </c>
      <c r="X104" s="109">
        <f>'7a.20YrDetails'!X104</f>
        <v>0</v>
      </c>
      <c r="Y104" s="109">
        <f>'7a.20YrDetails'!Y104</f>
        <v>0</v>
      </c>
      <c r="Z104" s="109">
        <f>'7a.20YrDetails'!Z104</f>
        <v>0</v>
      </c>
      <c r="AA104" s="109">
        <f>'7a.20YrDetails'!AA104</f>
        <v>0</v>
      </c>
      <c r="AB104" s="109">
        <f>'7a.20YrDetails'!AB104</f>
        <v>0</v>
      </c>
      <c r="AC104" s="109">
        <f>'7a.20YrDetails'!AC104</f>
        <v>0</v>
      </c>
      <c r="AD104" s="109">
        <f>'7a.20YrDetails'!AD104</f>
        <v>0</v>
      </c>
      <c r="AE104" s="109">
        <f>'7a.20YrDetails'!AE104</f>
        <v>0</v>
      </c>
      <c r="AF104" s="109">
        <f>'7a.20YrDetails'!AF104</f>
        <v>0</v>
      </c>
      <c r="AG104" s="109">
        <f>'7a.20YrDetails'!AG104</f>
        <v>0</v>
      </c>
      <c r="AH104" s="109">
        <f>'7a.20YrDetails'!AH104</f>
        <v>0</v>
      </c>
      <c r="AI104" s="109">
        <f>'7a.20YrDetails'!AI104</f>
        <v>0</v>
      </c>
      <c r="AJ104" s="109">
        <f>'7a.20YrDetails'!AJ104</f>
        <v>0</v>
      </c>
      <c r="AK104" s="109">
        <f>'7a.20YrDetails'!AK104</f>
        <v>0</v>
      </c>
      <c r="AL104" s="109">
        <f>'7a.20YrDetails'!AL104</f>
        <v>0</v>
      </c>
      <c r="AM104" s="109">
        <f>'7a.20YrDetails'!AM104</f>
        <v>0</v>
      </c>
      <c r="AN104" s="109">
        <f>'7a.20YrDetails'!AN104</f>
        <v>0</v>
      </c>
      <c r="AO104" s="109">
        <f>'7a.20YrDetails'!AO104</f>
        <v>0</v>
      </c>
      <c r="AP104" s="109">
        <f>'7a.20YrDetails'!AP104</f>
        <v>0</v>
      </c>
      <c r="AQ104" s="109">
        <f>'7a.20YrDetails'!AQ104</f>
        <v>0</v>
      </c>
      <c r="AR104" s="109">
        <f>'7a.20YrDetails'!AR104</f>
        <v>0</v>
      </c>
      <c r="AS104" s="109">
        <f>'7a.20YrDetails'!AS104</f>
        <v>0</v>
      </c>
      <c r="AT104" s="109">
        <f>'7a.20YrDetails'!AT104</f>
        <v>0</v>
      </c>
      <c r="AU104" s="109">
        <f>'7a.20YrDetails'!AU104</f>
        <v>0</v>
      </c>
      <c r="AV104" s="109">
        <f>'7a.20YrDetails'!AV104</f>
        <v>0</v>
      </c>
      <c r="AW104" s="109">
        <f>'7a.20YrDetails'!AW104</f>
        <v>0</v>
      </c>
      <c r="AX104" s="109">
        <f>'7a.20YrDetails'!AX104</f>
        <v>0</v>
      </c>
      <c r="AY104" s="109">
        <f>'7a.20YrDetails'!AY104</f>
        <v>0</v>
      </c>
      <c r="AZ104" s="109">
        <f>'7a.20YrDetails'!AZ104</f>
        <v>0</v>
      </c>
      <c r="BA104" s="109">
        <f>'7a.20YrDetails'!BA104</f>
        <v>0</v>
      </c>
      <c r="BB104" s="109">
        <f>'7a.20YrDetails'!BB104</f>
        <v>0</v>
      </c>
      <c r="BC104" s="109">
        <f>'7a.20YrDetails'!BC104</f>
        <v>0</v>
      </c>
      <c r="BD104" s="109">
        <f>'7a.20YrDetails'!BD104</f>
        <v>0</v>
      </c>
      <c r="BE104" s="109">
        <f>'7a.20YrDetails'!BE104</f>
        <v>0</v>
      </c>
      <c r="BF104" s="109">
        <f>'7a.20YrDetails'!BF104</f>
        <v>0</v>
      </c>
      <c r="BG104" s="109">
        <f>'7a.20YrDetails'!BG104</f>
        <v>0</v>
      </c>
      <c r="BH104" s="109">
        <f>'7a.20YrDetails'!BH104</f>
        <v>0</v>
      </c>
      <c r="BI104" s="109">
        <f>'7a.20YrDetails'!BI104</f>
        <v>0</v>
      </c>
      <c r="BJ104" s="109">
        <f>'7a.20YrDetails'!BJ104</f>
        <v>0</v>
      </c>
      <c r="BK104" s="109">
        <f>'7a.20YrDetails'!BK104</f>
        <v>0</v>
      </c>
      <c r="BL104" s="109">
        <f>'7a.20YrDetails'!BL104</f>
        <v>0</v>
      </c>
      <c r="BM104" s="109">
        <f>'7a.20YrDetails'!BM104</f>
        <v>0</v>
      </c>
      <c r="BN104" s="109">
        <f>'7a.20YrDetails'!BN104</f>
        <v>0</v>
      </c>
      <c r="BO104" s="109">
        <f>'7a.20YrDetails'!BO104</f>
        <v>0</v>
      </c>
    </row>
    <row r="105" spans="3:67" ht="12" customHeight="1">
      <c r="C105" s="27" t="str">
        <f>'7a.20YrDetails'!C105</f>
        <v>TOTAL HARD DEBT SERVICE</v>
      </c>
      <c r="D105" s="9"/>
      <c r="E105" s="9"/>
      <c r="F105" s="52"/>
      <c r="G105" s="51"/>
      <c r="H105" s="28">
        <f>'7a.20YrDetails'!H105</f>
        <v>0</v>
      </c>
      <c r="I105" s="28">
        <f>'7a.20YrDetails'!I105</f>
        <v>0</v>
      </c>
      <c r="J105" s="28">
        <f>'7a.20YrDetails'!J105</f>
        <v>0</v>
      </c>
      <c r="K105" s="28">
        <f>'7a.20YrDetails'!K105</f>
        <v>0</v>
      </c>
      <c r="L105" s="28">
        <f>'7a.20YrDetails'!L105</f>
        <v>0</v>
      </c>
      <c r="M105" s="28">
        <f>'7a.20YrDetails'!M105</f>
        <v>0</v>
      </c>
      <c r="N105" s="28">
        <f>'7a.20YrDetails'!N105</f>
        <v>0</v>
      </c>
      <c r="O105" s="28">
        <f>'7a.20YrDetails'!O105</f>
        <v>0</v>
      </c>
      <c r="P105" s="28">
        <f>'7a.20YrDetails'!P105</f>
        <v>0</v>
      </c>
      <c r="Q105" s="28">
        <f>'7a.20YrDetails'!Q105</f>
        <v>0</v>
      </c>
      <c r="R105" s="28">
        <f>'7a.20YrDetails'!R105</f>
        <v>0</v>
      </c>
      <c r="S105" s="28">
        <f>'7a.20YrDetails'!S105</f>
        <v>0</v>
      </c>
      <c r="T105" s="28">
        <f>'7a.20YrDetails'!T105</f>
        <v>0</v>
      </c>
      <c r="U105" s="28">
        <f>'7a.20YrDetails'!U105</f>
        <v>0</v>
      </c>
      <c r="V105" s="28">
        <f>'7a.20YrDetails'!V105</f>
        <v>0</v>
      </c>
      <c r="W105" s="28">
        <f>'7a.20YrDetails'!W105</f>
        <v>0</v>
      </c>
      <c r="X105" s="28">
        <f>'7a.20YrDetails'!X105</f>
        <v>0</v>
      </c>
      <c r="Y105" s="28">
        <f>'7a.20YrDetails'!Y105</f>
        <v>0</v>
      </c>
      <c r="Z105" s="28">
        <f>'7a.20YrDetails'!Z105</f>
        <v>0</v>
      </c>
      <c r="AA105" s="28">
        <f>'7a.20YrDetails'!AA105</f>
        <v>0</v>
      </c>
      <c r="AB105" s="28">
        <f>'7a.20YrDetails'!AB105</f>
        <v>0</v>
      </c>
      <c r="AC105" s="28">
        <f>'7a.20YrDetails'!AC105</f>
        <v>0</v>
      </c>
      <c r="AD105" s="28">
        <f>'7a.20YrDetails'!AD105</f>
        <v>0</v>
      </c>
      <c r="AE105" s="28">
        <f>'7a.20YrDetails'!AE105</f>
        <v>0</v>
      </c>
      <c r="AF105" s="28">
        <f>'7a.20YrDetails'!AF105</f>
        <v>0</v>
      </c>
      <c r="AG105" s="28">
        <f>'7a.20YrDetails'!AG105</f>
        <v>0</v>
      </c>
      <c r="AH105" s="28">
        <f>'7a.20YrDetails'!AH105</f>
        <v>0</v>
      </c>
      <c r="AI105" s="28">
        <f>'7a.20YrDetails'!AI105</f>
        <v>0</v>
      </c>
      <c r="AJ105" s="28">
        <f>'7a.20YrDetails'!AJ105</f>
        <v>0</v>
      </c>
      <c r="AK105" s="28">
        <f>'7a.20YrDetails'!AK105</f>
        <v>0</v>
      </c>
      <c r="AL105" s="28">
        <f>'7a.20YrDetails'!AL105</f>
        <v>0</v>
      </c>
      <c r="AM105" s="28">
        <f>'7a.20YrDetails'!AM105</f>
        <v>0</v>
      </c>
      <c r="AN105" s="28">
        <f>'7a.20YrDetails'!AN105</f>
        <v>0</v>
      </c>
      <c r="AO105" s="28">
        <f>'7a.20YrDetails'!AO105</f>
        <v>0</v>
      </c>
      <c r="AP105" s="28">
        <f>'7a.20YrDetails'!AP105</f>
        <v>0</v>
      </c>
      <c r="AQ105" s="28">
        <f>'7a.20YrDetails'!AQ105</f>
        <v>0</v>
      </c>
      <c r="AR105" s="28">
        <f>'7a.20YrDetails'!AR105</f>
        <v>0</v>
      </c>
      <c r="AS105" s="28">
        <f>'7a.20YrDetails'!AS105</f>
        <v>0</v>
      </c>
      <c r="AT105" s="28">
        <f>'7a.20YrDetails'!AT105</f>
        <v>0</v>
      </c>
      <c r="AU105" s="28">
        <f>'7a.20YrDetails'!AU105</f>
        <v>0</v>
      </c>
      <c r="AV105" s="28">
        <f>'7a.20YrDetails'!AV105</f>
        <v>0</v>
      </c>
      <c r="AW105" s="28">
        <f>'7a.20YrDetails'!AW105</f>
        <v>0</v>
      </c>
      <c r="AX105" s="28">
        <f>'7a.20YrDetails'!AX105</f>
        <v>0</v>
      </c>
      <c r="AY105" s="28">
        <f>'7a.20YrDetails'!AY105</f>
        <v>0</v>
      </c>
      <c r="AZ105" s="28">
        <f>'7a.20YrDetails'!AZ105</f>
        <v>0</v>
      </c>
      <c r="BA105" s="28">
        <f>'7a.20YrDetails'!BA105</f>
        <v>0</v>
      </c>
      <c r="BB105" s="28">
        <f>'7a.20YrDetails'!BB105</f>
        <v>0</v>
      </c>
      <c r="BC105" s="28">
        <f>'7a.20YrDetails'!BC105</f>
        <v>0</v>
      </c>
      <c r="BD105" s="28">
        <f>'7a.20YrDetails'!BD105</f>
        <v>0</v>
      </c>
      <c r="BE105" s="28">
        <f>'7a.20YrDetails'!BE105</f>
        <v>0</v>
      </c>
      <c r="BF105" s="28">
        <f>'7a.20YrDetails'!BF105</f>
        <v>0</v>
      </c>
      <c r="BG105" s="28">
        <f>'7a.20YrDetails'!BG105</f>
        <v>0</v>
      </c>
      <c r="BH105" s="28">
        <f>'7a.20YrDetails'!BH105</f>
        <v>0</v>
      </c>
      <c r="BI105" s="28">
        <f>'7a.20YrDetails'!BI105</f>
        <v>0</v>
      </c>
      <c r="BJ105" s="28">
        <f>'7a.20YrDetails'!BJ105</f>
        <v>0</v>
      </c>
      <c r="BK105" s="28">
        <f>'7a.20YrDetails'!BK105</f>
        <v>0</v>
      </c>
      <c r="BL105" s="28">
        <f>'7a.20YrDetails'!BL105</f>
        <v>0</v>
      </c>
      <c r="BM105" s="28">
        <f>'7a.20YrDetails'!BM105</f>
        <v>0</v>
      </c>
      <c r="BN105" s="28">
        <f>'7a.20YrDetails'!BN105</f>
        <v>0</v>
      </c>
      <c r="BO105" s="28">
        <f>'7a.20YrDetails'!BO105</f>
        <v>0</v>
      </c>
    </row>
    <row r="106" spans="3:67" ht="5.25" customHeight="1">
      <c r="C106" s="11"/>
      <c r="D106" s="9"/>
      <c r="E106" s="9"/>
      <c r="F106" s="52"/>
      <c r="G106" s="49"/>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row>
    <row r="107" spans="3:67" ht="12" customHeight="1">
      <c r="C107" s="6" t="str">
        <f>'7a.20YrDetails'!C107</f>
        <v>CASH FLOW (NOI minus DEBT SERVICE)</v>
      </c>
      <c r="D107" s="8"/>
      <c r="E107" s="8"/>
      <c r="F107" s="50"/>
      <c r="G107" s="46" t="str">
        <f>IF('7a.20YrDetails'!$G107="","",'7a.20YrDetails'!$G107)</f>
        <v/>
      </c>
      <c r="H107" s="28">
        <f>'7a.20YrDetails'!H107</f>
        <v>0</v>
      </c>
      <c r="I107" s="28">
        <f>'7a.20YrDetails'!I107</f>
        <v>0</v>
      </c>
      <c r="J107" s="28">
        <f>'7a.20YrDetails'!J107</f>
        <v>0</v>
      </c>
      <c r="K107" s="28">
        <f>'7a.20YrDetails'!K107</f>
        <v>0</v>
      </c>
      <c r="L107" s="28">
        <f>'7a.20YrDetails'!L107</f>
        <v>0</v>
      </c>
      <c r="M107" s="28">
        <f>'7a.20YrDetails'!M107</f>
        <v>0</v>
      </c>
      <c r="N107" s="28">
        <f>'7a.20YrDetails'!N107</f>
        <v>0</v>
      </c>
      <c r="O107" s="28">
        <f>'7a.20YrDetails'!O107</f>
        <v>0</v>
      </c>
      <c r="P107" s="28">
        <f>'7a.20YrDetails'!P107</f>
        <v>0</v>
      </c>
      <c r="Q107" s="28">
        <f>'7a.20YrDetails'!Q107</f>
        <v>0</v>
      </c>
      <c r="R107" s="28">
        <f>'7a.20YrDetails'!R107</f>
        <v>0</v>
      </c>
      <c r="S107" s="28">
        <f>'7a.20YrDetails'!S107</f>
        <v>0</v>
      </c>
      <c r="T107" s="28">
        <f>'7a.20YrDetails'!T107</f>
        <v>0</v>
      </c>
      <c r="U107" s="28">
        <f>'7a.20YrDetails'!U107</f>
        <v>0</v>
      </c>
      <c r="V107" s="28">
        <f>'7a.20YrDetails'!V107</f>
        <v>0</v>
      </c>
      <c r="W107" s="28">
        <f>'7a.20YrDetails'!W107</f>
        <v>0</v>
      </c>
      <c r="X107" s="28">
        <f>'7a.20YrDetails'!X107</f>
        <v>0</v>
      </c>
      <c r="Y107" s="28">
        <f>'7a.20YrDetails'!Y107</f>
        <v>0</v>
      </c>
      <c r="Z107" s="28">
        <f>'7a.20YrDetails'!Z107</f>
        <v>0</v>
      </c>
      <c r="AA107" s="28">
        <f>'7a.20YrDetails'!AA107</f>
        <v>0</v>
      </c>
      <c r="AB107" s="28">
        <f>'7a.20YrDetails'!AB107</f>
        <v>0</v>
      </c>
      <c r="AC107" s="28">
        <f>'7a.20YrDetails'!AC107</f>
        <v>0</v>
      </c>
      <c r="AD107" s="28">
        <f>'7a.20YrDetails'!AD107</f>
        <v>0</v>
      </c>
      <c r="AE107" s="28">
        <f>'7a.20YrDetails'!AE107</f>
        <v>0</v>
      </c>
      <c r="AF107" s="28">
        <f>'7a.20YrDetails'!AF107</f>
        <v>0</v>
      </c>
      <c r="AG107" s="28">
        <f>'7a.20YrDetails'!AG107</f>
        <v>0</v>
      </c>
      <c r="AH107" s="28">
        <f>'7a.20YrDetails'!AH107</f>
        <v>0</v>
      </c>
      <c r="AI107" s="28">
        <f>'7a.20YrDetails'!AI107</f>
        <v>0</v>
      </c>
      <c r="AJ107" s="28">
        <f>'7a.20YrDetails'!AJ107</f>
        <v>0</v>
      </c>
      <c r="AK107" s="28">
        <f>'7a.20YrDetails'!AK107</f>
        <v>0</v>
      </c>
      <c r="AL107" s="28">
        <f>'7a.20YrDetails'!AL107</f>
        <v>0</v>
      </c>
      <c r="AM107" s="28">
        <f>'7a.20YrDetails'!AM107</f>
        <v>0</v>
      </c>
      <c r="AN107" s="28">
        <f>'7a.20YrDetails'!AN107</f>
        <v>0</v>
      </c>
      <c r="AO107" s="28">
        <f>'7a.20YrDetails'!AO107</f>
        <v>0</v>
      </c>
      <c r="AP107" s="28">
        <f>'7a.20YrDetails'!AP107</f>
        <v>0</v>
      </c>
      <c r="AQ107" s="28">
        <f>'7a.20YrDetails'!AQ107</f>
        <v>0</v>
      </c>
      <c r="AR107" s="28">
        <f>'7a.20YrDetails'!AR107</f>
        <v>0</v>
      </c>
      <c r="AS107" s="28">
        <f>'7a.20YrDetails'!AS107</f>
        <v>0</v>
      </c>
      <c r="AT107" s="28">
        <f>'7a.20YrDetails'!AT107</f>
        <v>0</v>
      </c>
      <c r="AU107" s="28">
        <f>'7a.20YrDetails'!AU107</f>
        <v>0</v>
      </c>
      <c r="AV107" s="28">
        <f>'7a.20YrDetails'!AV107</f>
        <v>0</v>
      </c>
      <c r="AW107" s="28">
        <f>'7a.20YrDetails'!AW107</f>
        <v>0</v>
      </c>
      <c r="AX107" s="28">
        <f>'7a.20YrDetails'!AX107</f>
        <v>0</v>
      </c>
      <c r="AY107" s="28">
        <f>'7a.20YrDetails'!AY107</f>
        <v>0</v>
      </c>
      <c r="AZ107" s="28">
        <f>'7a.20YrDetails'!AZ107</f>
        <v>0</v>
      </c>
      <c r="BA107" s="28">
        <f>'7a.20YrDetails'!BA107</f>
        <v>0</v>
      </c>
      <c r="BB107" s="28">
        <f>'7a.20YrDetails'!BB107</f>
        <v>0</v>
      </c>
      <c r="BC107" s="28">
        <f>'7a.20YrDetails'!BC107</f>
        <v>0</v>
      </c>
      <c r="BD107" s="28">
        <f>'7a.20YrDetails'!BD107</f>
        <v>0</v>
      </c>
      <c r="BE107" s="28">
        <f>'7a.20YrDetails'!BE107</f>
        <v>0</v>
      </c>
      <c r="BF107" s="28">
        <f>'7a.20YrDetails'!BF107</f>
        <v>0</v>
      </c>
      <c r="BG107" s="28">
        <f>'7a.20YrDetails'!BG107</f>
        <v>0</v>
      </c>
      <c r="BH107" s="28">
        <f>'7a.20YrDetails'!BH107</f>
        <v>0</v>
      </c>
      <c r="BI107" s="28">
        <f>'7a.20YrDetails'!BI107</f>
        <v>0</v>
      </c>
      <c r="BJ107" s="28">
        <f>'7a.20YrDetails'!BJ107</f>
        <v>0</v>
      </c>
      <c r="BK107" s="28">
        <f>'7a.20YrDetails'!BK107</f>
        <v>0</v>
      </c>
      <c r="BL107" s="28">
        <f>'7a.20YrDetails'!BL107</f>
        <v>0</v>
      </c>
      <c r="BM107" s="28">
        <f>'7a.20YrDetails'!BM107</f>
        <v>0</v>
      </c>
      <c r="BN107" s="28">
        <f>'7a.20YrDetails'!BN107</f>
        <v>0</v>
      </c>
      <c r="BO107" s="28">
        <f>'7a.20YrDetails'!BO107</f>
        <v>0</v>
      </c>
    </row>
    <row r="108" spans="3:67" ht="5.25" hidden="1" customHeight="1">
      <c r="C108" s="11"/>
      <c r="D108" s="8"/>
      <c r="E108" s="8"/>
      <c r="F108" s="50"/>
      <c r="G108" s="49"/>
      <c r="H108" s="49"/>
      <c r="I108" s="49"/>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row>
    <row r="109" spans="3:67" ht="12" hidden="1" customHeight="1">
      <c r="C109" s="78" t="str">
        <f>'7a.20YrDetails'!C109</f>
        <v>Commercial Only Cash Flow</v>
      </c>
      <c r="D109" s="8"/>
      <c r="E109" s="8"/>
      <c r="F109" s="50"/>
      <c r="G109" s="46" t="str">
        <f>IF('7a.20YrDetails'!$G109="","",'7a.20YrDetails'!$G109)</f>
        <v/>
      </c>
      <c r="H109" s="914"/>
      <c r="I109" s="914"/>
      <c r="J109" s="25">
        <f>'7a.20YrDetails'!J109</f>
        <v>0</v>
      </c>
      <c r="K109" s="914"/>
      <c r="L109" s="914"/>
      <c r="M109" s="25">
        <f>'7a.20YrDetails'!M$109</f>
        <v>0</v>
      </c>
      <c r="N109" s="914"/>
      <c r="O109" s="914"/>
      <c r="P109" s="25">
        <f>'7a.20YrDetails'!P$109</f>
        <v>0</v>
      </c>
      <c r="Q109" s="914"/>
      <c r="R109" s="914"/>
      <c r="S109" s="25">
        <f>'7a.20YrDetails'!S$109</f>
        <v>0</v>
      </c>
      <c r="T109" s="914"/>
      <c r="U109" s="914"/>
      <c r="V109" s="25">
        <f>'7a.20YrDetails'!V$109</f>
        <v>0</v>
      </c>
      <c r="W109" s="914"/>
      <c r="X109" s="914"/>
      <c r="Y109" s="25">
        <f>'7a.20YrDetails'!Y$109</f>
        <v>0</v>
      </c>
      <c r="Z109" s="914"/>
      <c r="AA109" s="914"/>
      <c r="AB109" s="25">
        <f>'7a.20YrDetails'!AB$109</f>
        <v>0</v>
      </c>
      <c r="AC109" s="914"/>
      <c r="AD109" s="914"/>
      <c r="AE109" s="25">
        <f>'7a.20YrDetails'!AE$109</f>
        <v>0</v>
      </c>
      <c r="AF109" s="914"/>
      <c r="AG109" s="914"/>
      <c r="AH109" s="25">
        <f>'7a.20YrDetails'!AH$109</f>
        <v>0</v>
      </c>
      <c r="AI109" s="914"/>
      <c r="AJ109" s="914"/>
      <c r="AK109" s="25">
        <f>'7a.20YrDetails'!AK$109</f>
        <v>0</v>
      </c>
      <c r="AL109" s="914"/>
      <c r="AM109" s="914"/>
      <c r="AN109" s="25">
        <f>'7a.20YrDetails'!AN$109</f>
        <v>0</v>
      </c>
      <c r="AO109" s="914"/>
      <c r="AP109" s="914"/>
      <c r="AQ109" s="25">
        <f>'7a.20YrDetails'!AQ$109</f>
        <v>0</v>
      </c>
      <c r="AR109" s="914"/>
      <c r="AS109" s="914"/>
      <c r="AT109" s="25">
        <f>'7a.20YrDetails'!AT$109</f>
        <v>0</v>
      </c>
      <c r="AU109" s="914"/>
      <c r="AV109" s="914"/>
      <c r="AW109" s="25">
        <f>'7a.20YrDetails'!AW$109</f>
        <v>0</v>
      </c>
      <c r="AX109" s="914"/>
      <c r="AY109" s="914"/>
      <c r="AZ109" s="25">
        <f>'7a.20YrDetails'!AZ$109</f>
        <v>0</v>
      </c>
      <c r="BA109" s="914"/>
      <c r="BB109" s="914"/>
      <c r="BC109" s="25">
        <f>'7a.20YrDetails'!BC$109</f>
        <v>0</v>
      </c>
      <c r="BD109" s="914"/>
      <c r="BE109" s="914"/>
      <c r="BF109" s="25">
        <f>'7a.20YrDetails'!BF$109</f>
        <v>0</v>
      </c>
      <c r="BG109" s="914"/>
      <c r="BH109" s="914"/>
      <c r="BI109" s="25">
        <f>'7a.20YrDetails'!BI$109</f>
        <v>0</v>
      </c>
      <c r="BJ109" s="914"/>
      <c r="BK109" s="914"/>
      <c r="BL109" s="25">
        <f>'7a.20YrDetails'!BL$109</f>
        <v>0</v>
      </c>
      <c r="BM109" s="914"/>
      <c r="BN109" s="914"/>
      <c r="BO109" s="25">
        <f>'7a.20YrDetails'!BO$109</f>
        <v>0</v>
      </c>
    </row>
    <row r="110" spans="3:67" ht="12" hidden="1" customHeight="1">
      <c r="C110" s="78"/>
      <c r="D110" s="8"/>
      <c r="E110" s="8"/>
      <c r="F110" s="50"/>
      <c r="G110" s="49"/>
      <c r="H110" s="49"/>
      <c r="I110" s="49"/>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row>
    <row r="111" spans="3:67" ht="12" hidden="1" customHeight="1">
      <c r="C111" s="78" t="str">
        <f>'7a.20YrDetails'!C111</f>
        <v>Allocation of Commercial Surplus to LOPS/non-LOSP (residual income)</v>
      </c>
      <c r="D111" s="8"/>
      <c r="E111" s="8"/>
      <c r="F111" s="50"/>
      <c r="G111" s="49"/>
      <c r="H111" s="109">
        <f>'7a.20YrDetails'!H111</f>
        <v>0</v>
      </c>
      <c r="I111" s="109">
        <f>'7a.20YrDetails'!I111</f>
        <v>0</v>
      </c>
      <c r="J111" s="109"/>
      <c r="K111" s="109">
        <f>'7a.20YrDetails'!K111</f>
        <v>0</v>
      </c>
      <c r="L111" s="109">
        <f>'7a.20YrDetails'!L111</f>
        <v>0</v>
      </c>
      <c r="M111" s="109"/>
      <c r="N111" s="109">
        <f>'7a.20YrDetails'!N111</f>
        <v>0</v>
      </c>
      <c r="O111" s="109">
        <f>'7a.20YrDetails'!O111</f>
        <v>0</v>
      </c>
      <c r="P111" s="109"/>
      <c r="Q111" s="109">
        <f>'7a.20YrDetails'!Q111</f>
        <v>0</v>
      </c>
      <c r="R111" s="109">
        <f>'7a.20YrDetails'!R111</f>
        <v>0</v>
      </c>
      <c r="S111" s="109"/>
      <c r="T111" s="109">
        <f>'7a.20YrDetails'!T111</f>
        <v>0</v>
      </c>
      <c r="U111" s="109">
        <f>'7a.20YrDetails'!U111</f>
        <v>0</v>
      </c>
      <c r="V111" s="109"/>
      <c r="W111" s="109">
        <f>'7a.20YrDetails'!W111</f>
        <v>0</v>
      </c>
      <c r="X111" s="109">
        <f>'7a.20YrDetails'!X111</f>
        <v>0</v>
      </c>
      <c r="Y111" s="109"/>
      <c r="Z111" s="109">
        <f>'7a.20YrDetails'!Z111</f>
        <v>0</v>
      </c>
      <c r="AA111" s="109">
        <f>'7a.20YrDetails'!AA111</f>
        <v>0</v>
      </c>
      <c r="AB111" s="109"/>
      <c r="AC111" s="109">
        <f>'7a.20YrDetails'!AC111</f>
        <v>0</v>
      </c>
      <c r="AD111" s="109">
        <f>'7a.20YrDetails'!AD111</f>
        <v>0</v>
      </c>
      <c r="AE111" s="109"/>
      <c r="AF111" s="109">
        <f>'7a.20YrDetails'!AF111</f>
        <v>0</v>
      </c>
      <c r="AG111" s="109">
        <f>'7a.20YrDetails'!AG111</f>
        <v>0</v>
      </c>
      <c r="AH111" s="109"/>
      <c r="AI111" s="109">
        <f>'7a.20YrDetails'!AI111</f>
        <v>0</v>
      </c>
      <c r="AJ111" s="109">
        <f>'7a.20YrDetails'!AJ111</f>
        <v>0</v>
      </c>
      <c r="AK111" s="109"/>
      <c r="AL111" s="109">
        <f>'7a.20YrDetails'!AL111</f>
        <v>0</v>
      </c>
      <c r="AM111" s="109">
        <f>'7a.20YrDetails'!AM111</f>
        <v>0</v>
      </c>
      <c r="AN111" s="109"/>
      <c r="AO111" s="109">
        <f>'7a.20YrDetails'!AO111</f>
        <v>0</v>
      </c>
      <c r="AP111" s="109">
        <f>'7a.20YrDetails'!AP111</f>
        <v>0</v>
      </c>
      <c r="AQ111" s="109"/>
      <c r="AR111" s="109">
        <f>'7a.20YrDetails'!AR111</f>
        <v>0</v>
      </c>
      <c r="AS111" s="109">
        <f>'7a.20YrDetails'!AS111</f>
        <v>0</v>
      </c>
      <c r="AT111" s="109"/>
      <c r="AU111" s="109">
        <f>'7a.20YrDetails'!AU111</f>
        <v>0</v>
      </c>
      <c r="AV111" s="109">
        <f>'7a.20YrDetails'!AV111</f>
        <v>0</v>
      </c>
      <c r="AW111" s="109"/>
      <c r="AX111" s="109">
        <f>'7a.20YrDetails'!AX111</f>
        <v>0</v>
      </c>
      <c r="AY111" s="109">
        <f>'7a.20YrDetails'!AY111</f>
        <v>0</v>
      </c>
      <c r="AZ111" s="109"/>
      <c r="BA111" s="109">
        <f>'7a.20YrDetails'!BA111</f>
        <v>0</v>
      </c>
      <c r="BB111" s="109">
        <f>'7a.20YrDetails'!BB111</f>
        <v>0</v>
      </c>
      <c r="BC111" s="109"/>
      <c r="BD111" s="109">
        <f>'7a.20YrDetails'!BD111</f>
        <v>0</v>
      </c>
      <c r="BE111" s="109">
        <f>'7a.20YrDetails'!BE111</f>
        <v>0</v>
      </c>
      <c r="BF111" s="109"/>
      <c r="BG111" s="109">
        <f>'7a.20YrDetails'!BG111</f>
        <v>0</v>
      </c>
      <c r="BH111" s="109">
        <f>'7a.20YrDetails'!BH111</f>
        <v>0</v>
      </c>
      <c r="BI111" s="109"/>
      <c r="BJ111" s="109">
        <f>'7a.20YrDetails'!BJ111</f>
        <v>0</v>
      </c>
      <c r="BK111" s="109">
        <f>'7a.20YrDetails'!BK111</f>
        <v>0</v>
      </c>
      <c r="BL111" s="109"/>
      <c r="BM111" s="109">
        <f>'7a.20YrDetails'!BM111</f>
        <v>0</v>
      </c>
      <c r="BN111" s="109">
        <f>'7a.20YrDetails'!BN111</f>
        <v>0</v>
      </c>
      <c r="BO111" s="109"/>
    </row>
    <row r="112" spans="3:67" ht="0.75" hidden="1" customHeight="1">
      <c r="C112" s="74" t="str">
        <f>'7a.20YrDetails'!C112</f>
        <v>AVAILABLE CASH FLOW</v>
      </c>
      <c r="D112" s="9"/>
      <c r="E112" s="9"/>
      <c r="F112" s="52"/>
      <c r="G112" s="77"/>
      <c r="H112" s="28">
        <f>'7a.20YrDetails'!H112</f>
        <v>0</v>
      </c>
      <c r="I112" s="28">
        <f>'7a.20YrDetails'!I112</f>
        <v>0</v>
      </c>
      <c r="J112" s="28">
        <f>'7a.20YrDetails'!J112</f>
        <v>0</v>
      </c>
      <c r="K112" s="28">
        <f>'7a.20YrDetails'!K112</f>
        <v>0</v>
      </c>
      <c r="L112" s="28">
        <f>'7a.20YrDetails'!L112</f>
        <v>0</v>
      </c>
      <c r="M112" s="28">
        <f>'7a.20YrDetails'!M112</f>
        <v>0</v>
      </c>
      <c r="N112" s="28">
        <f>'7a.20YrDetails'!N112</f>
        <v>0</v>
      </c>
      <c r="O112" s="28">
        <f>'7a.20YrDetails'!O112</f>
        <v>0</v>
      </c>
      <c r="P112" s="28">
        <f>'7a.20YrDetails'!P112</f>
        <v>0</v>
      </c>
      <c r="Q112" s="28">
        <f>'7a.20YrDetails'!Q112</f>
        <v>0</v>
      </c>
      <c r="R112" s="28">
        <f>'7a.20YrDetails'!R112</f>
        <v>0</v>
      </c>
      <c r="S112" s="28">
        <f>'7a.20YrDetails'!S112</f>
        <v>0</v>
      </c>
      <c r="T112" s="28">
        <f>'7a.20YrDetails'!T112</f>
        <v>0</v>
      </c>
      <c r="U112" s="28">
        <f>'7a.20YrDetails'!U112</f>
        <v>0</v>
      </c>
      <c r="V112" s="28">
        <f>'7a.20YrDetails'!V112</f>
        <v>0</v>
      </c>
      <c r="W112" s="28">
        <f>'7a.20YrDetails'!W112</f>
        <v>0</v>
      </c>
      <c r="X112" s="28">
        <f>'7a.20YrDetails'!X112</f>
        <v>0</v>
      </c>
      <c r="Y112" s="28">
        <f>'7a.20YrDetails'!Y112</f>
        <v>0</v>
      </c>
      <c r="Z112" s="28">
        <f>'7a.20YrDetails'!Z112</f>
        <v>0</v>
      </c>
      <c r="AA112" s="28">
        <f>'7a.20YrDetails'!AA112</f>
        <v>0</v>
      </c>
      <c r="AB112" s="28">
        <f>'7a.20YrDetails'!AB112</f>
        <v>0</v>
      </c>
      <c r="AC112" s="28">
        <f>'7a.20YrDetails'!AC112</f>
        <v>0</v>
      </c>
      <c r="AD112" s="28">
        <f>'7a.20YrDetails'!AD112</f>
        <v>0</v>
      </c>
      <c r="AE112" s="28">
        <f>'7a.20YrDetails'!AE112</f>
        <v>0</v>
      </c>
      <c r="AF112" s="28">
        <f>'7a.20YrDetails'!AF112</f>
        <v>0</v>
      </c>
      <c r="AG112" s="28">
        <f>'7a.20YrDetails'!AG112</f>
        <v>0</v>
      </c>
      <c r="AH112" s="28">
        <f>'7a.20YrDetails'!AH112</f>
        <v>0</v>
      </c>
      <c r="AI112" s="28">
        <f>'7a.20YrDetails'!AI112</f>
        <v>0</v>
      </c>
      <c r="AJ112" s="28">
        <f>'7a.20YrDetails'!AJ112</f>
        <v>0</v>
      </c>
      <c r="AK112" s="28">
        <f>'7a.20YrDetails'!AK112</f>
        <v>0</v>
      </c>
      <c r="AL112" s="28">
        <f>'7a.20YrDetails'!AL112</f>
        <v>0</v>
      </c>
      <c r="AM112" s="28">
        <f>'7a.20YrDetails'!AM112</f>
        <v>0</v>
      </c>
      <c r="AN112" s="28">
        <f>'7a.20YrDetails'!AN112</f>
        <v>0</v>
      </c>
      <c r="AO112" s="28">
        <f>'7a.20YrDetails'!AO112</f>
        <v>0</v>
      </c>
      <c r="AP112" s="28">
        <f>'7a.20YrDetails'!AP112</f>
        <v>0</v>
      </c>
      <c r="AQ112" s="28">
        <f>'7a.20YrDetails'!AQ112</f>
        <v>0</v>
      </c>
      <c r="AR112" s="28">
        <f>'7a.20YrDetails'!AR112</f>
        <v>0</v>
      </c>
      <c r="AS112" s="28">
        <f>'7a.20YrDetails'!AS112</f>
        <v>0</v>
      </c>
      <c r="AT112" s="28">
        <f>'7a.20YrDetails'!AT112</f>
        <v>0</v>
      </c>
      <c r="AU112" s="28">
        <f>'7a.20YrDetails'!AU112</f>
        <v>0</v>
      </c>
      <c r="AV112" s="28">
        <f>'7a.20YrDetails'!AV112</f>
        <v>0</v>
      </c>
      <c r="AW112" s="28">
        <f>'7a.20YrDetails'!AW112</f>
        <v>0</v>
      </c>
      <c r="AX112" s="28">
        <f>'7a.20YrDetails'!AX112</f>
        <v>0</v>
      </c>
      <c r="AY112" s="28">
        <f>'7a.20YrDetails'!AY112</f>
        <v>0</v>
      </c>
      <c r="AZ112" s="28">
        <f>'7a.20YrDetails'!AZ112</f>
        <v>0</v>
      </c>
      <c r="BA112" s="28">
        <f>'7a.20YrDetails'!BA112</f>
        <v>0</v>
      </c>
      <c r="BB112" s="28">
        <f>'7a.20YrDetails'!BB112</f>
        <v>0</v>
      </c>
      <c r="BC112" s="28">
        <f>'7a.20YrDetails'!BC112</f>
        <v>0</v>
      </c>
      <c r="BD112" s="28">
        <f>'7a.20YrDetails'!BD112</f>
        <v>0</v>
      </c>
      <c r="BE112" s="28">
        <f>'7a.20YrDetails'!BE112</f>
        <v>0</v>
      </c>
      <c r="BF112" s="28">
        <f>'7a.20YrDetails'!BF112</f>
        <v>0</v>
      </c>
      <c r="BG112" s="28">
        <f>'7a.20YrDetails'!BG112</f>
        <v>0</v>
      </c>
      <c r="BH112" s="28">
        <f>'7a.20YrDetails'!BH112</f>
        <v>0</v>
      </c>
      <c r="BI112" s="28">
        <f>'7a.20YrDetails'!BI112</f>
        <v>0</v>
      </c>
      <c r="BJ112" s="28">
        <f>'7a.20YrDetails'!BJ112</f>
        <v>0</v>
      </c>
      <c r="BK112" s="28">
        <f>'7a.20YrDetails'!BK112</f>
        <v>0</v>
      </c>
      <c r="BL112" s="28">
        <f>'7a.20YrDetails'!BL112</f>
        <v>0</v>
      </c>
      <c r="BM112" s="28">
        <f>'7a.20YrDetails'!BM112</f>
        <v>0</v>
      </c>
      <c r="BN112" s="28">
        <f>'7a.20YrDetails'!BN112</f>
        <v>0</v>
      </c>
      <c r="BO112" s="28">
        <f>'7a.20YrDetails'!BO112</f>
        <v>0</v>
      </c>
    </row>
    <row r="113" spans="3:67" ht="7.5" customHeight="1">
      <c r="C113" s="11"/>
      <c r="D113" s="8"/>
      <c r="E113" s="8"/>
      <c r="F113" s="50"/>
      <c r="G113" s="49"/>
      <c r="H113" s="49"/>
      <c r="I113" s="49"/>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row>
    <row r="114" spans="3:67" ht="12" customHeight="1">
      <c r="C114" s="6" t="str">
        <f>'7a.20YrDetails'!C114</f>
        <v xml:space="preserve">USES OF CASH FLOW BELOW  (This row also shows DSCR.)                       </v>
      </c>
      <c r="D114" s="8"/>
      <c r="E114" s="8"/>
      <c r="F114" s="1329" t="s">
        <v>301</v>
      </c>
      <c r="G114" s="49"/>
      <c r="H114" s="49"/>
      <c r="I114" s="49"/>
      <c r="J114" s="11" t="str">
        <f>'7a.20YrDetails'!J114</f>
        <v/>
      </c>
      <c r="K114" s="11"/>
      <c r="L114" s="11"/>
      <c r="M114" s="11" t="str">
        <f>'7a.20YrDetails'!M114</f>
        <v/>
      </c>
      <c r="N114" s="11"/>
      <c r="O114" s="11"/>
      <c r="P114" s="11" t="str">
        <f>'7a.20YrDetails'!P114</f>
        <v/>
      </c>
      <c r="Q114" s="11"/>
      <c r="R114" s="11"/>
      <c r="S114" s="11" t="str">
        <f>'7a.20YrDetails'!S114</f>
        <v/>
      </c>
      <c r="T114" s="11"/>
      <c r="U114" s="11"/>
      <c r="V114" s="11" t="str">
        <f>'7a.20YrDetails'!V114</f>
        <v/>
      </c>
      <c r="W114" s="11"/>
      <c r="X114" s="11"/>
      <c r="Y114" s="11" t="str">
        <f>'7a.20YrDetails'!Y114</f>
        <v/>
      </c>
      <c r="Z114" s="11"/>
      <c r="AA114" s="11"/>
      <c r="AB114" s="11" t="str">
        <f>'7a.20YrDetails'!AB114</f>
        <v/>
      </c>
      <c r="AC114" s="11"/>
      <c r="AD114" s="11"/>
      <c r="AE114" s="11" t="str">
        <f>'7a.20YrDetails'!AE114</f>
        <v/>
      </c>
      <c r="AF114" s="11"/>
      <c r="AG114" s="11"/>
      <c r="AH114" s="11" t="str">
        <f>'7a.20YrDetails'!AH114</f>
        <v/>
      </c>
      <c r="AI114" s="11"/>
      <c r="AJ114" s="11"/>
      <c r="AK114" s="11" t="str">
        <f>'7a.20YrDetails'!AK114</f>
        <v/>
      </c>
      <c r="AL114" s="11"/>
      <c r="AM114" s="11"/>
      <c r="AN114" s="11" t="str">
        <f>'7a.20YrDetails'!AN114</f>
        <v/>
      </c>
      <c r="AO114" s="11"/>
      <c r="AP114" s="11"/>
      <c r="AQ114" s="11" t="str">
        <f>'7a.20YrDetails'!AQ114</f>
        <v/>
      </c>
      <c r="AR114" s="11"/>
      <c r="AS114" s="11"/>
      <c r="AT114" s="11" t="str">
        <f>'7a.20YrDetails'!AT114</f>
        <v/>
      </c>
      <c r="AU114" s="11"/>
      <c r="AV114" s="11"/>
      <c r="AW114" s="11" t="str">
        <f>'7a.20YrDetails'!AW114</f>
        <v/>
      </c>
      <c r="AX114" s="11"/>
      <c r="AY114" s="11"/>
      <c r="AZ114" s="11" t="str">
        <f>'7a.20YrDetails'!AZ114</f>
        <v/>
      </c>
      <c r="BA114" s="11"/>
      <c r="BB114" s="11"/>
      <c r="BC114" s="11" t="str">
        <f>'7a.20YrDetails'!BC114</f>
        <v/>
      </c>
      <c r="BD114" s="11"/>
      <c r="BE114" s="11"/>
      <c r="BF114" s="11" t="str">
        <f>'7a.20YrDetails'!BF114</f>
        <v/>
      </c>
      <c r="BG114" s="11"/>
      <c r="BH114" s="11"/>
      <c r="BI114" s="11" t="str">
        <f>'7a.20YrDetails'!BI114</f>
        <v/>
      </c>
      <c r="BJ114" s="11"/>
      <c r="BK114" s="11"/>
      <c r="BL114" s="11" t="str">
        <f>'7a.20YrDetails'!BL114</f>
        <v/>
      </c>
      <c r="BM114" s="11"/>
      <c r="BN114" s="11"/>
      <c r="BO114" s="11" t="str">
        <f>'7a.20YrDetails'!BO114</f>
        <v/>
      </c>
    </row>
    <row r="115" spans="3:67" ht="12" customHeight="1">
      <c r="C115" s="1328" t="str">
        <f>'7a.20YrDetails'!C115</f>
        <v>USES THAT PRECEDE MOHCD DEBT SERVICE IN WATERFALL</v>
      </c>
      <c r="D115" s="8"/>
      <c r="E115" s="8"/>
      <c r="F115" s="50"/>
      <c r="G115" s="49"/>
      <c r="H115" s="49"/>
      <c r="I115" s="49"/>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row>
    <row r="116" spans="3:67" ht="12" customHeight="1">
      <c r="C116" s="10" t="str">
        <f>'7a.20YrDetails'!C122</f>
        <v>Deferred Developer Fee (Enter amt &lt;= Max Fee from row 131)</v>
      </c>
      <c r="D116" s="8"/>
      <c r="E116" s="8"/>
      <c r="F116" s="50"/>
      <c r="G116" s="59" t="str">
        <f>IF('7a.20YrDetails'!$G122="","",'7a.20YrDetails'!$G122)</f>
        <v/>
      </c>
      <c r="H116" s="109">
        <f>'7a.20YrDetails'!H122</f>
        <v>0</v>
      </c>
      <c r="I116" s="109">
        <f>'7a.20YrDetails'!I122</f>
        <v>0</v>
      </c>
      <c r="J116" s="109">
        <f>'7a.20YrDetails'!J122</f>
        <v>0</v>
      </c>
      <c r="K116" s="109">
        <f>'7a.20YrDetails'!K122</f>
        <v>0</v>
      </c>
      <c r="L116" s="109">
        <f>'7a.20YrDetails'!L122</f>
        <v>0</v>
      </c>
      <c r="M116" s="109">
        <f>'7a.20YrDetails'!M122</f>
        <v>0</v>
      </c>
      <c r="N116" s="109">
        <f>'7a.20YrDetails'!N122</f>
        <v>0</v>
      </c>
      <c r="O116" s="109">
        <f>'7a.20YrDetails'!O122</f>
        <v>0</v>
      </c>
      <c r="P116" s="109">
        <f>'7a.20YrDetails'!P122</f>
        <v>0</v>
      </c>
      <c r="Q116" s="109">
        <f>'7a.20YrDetails'!Q122</f>
        <v>0</v>
      </c>
      <c r="R116" s="109">
        <f>'7a.20YrDetails'!R122</f>
        <v>0</v>
      </c>
      <c r="S116" s="109">
        <f>'7a.20YrDetails'!S122</f>
        <v>0</v>
      </c>
      <c r="T116" s="109">
        <f>'7a.20YrDetails'!T122</f>
        <v>0</v>
      </c>
      <c r="U116" s="109">
        <f>'7a.20YrDetails'!U122</f>
        <v>0</v>
      </c>
      <c r="V116" s="109">
        <f>'7a.20YrDetails'!V122</f>
        <v>0</v>
      </c>
      <c r="W116" s="109">
        <f>'7a.20YrDetails'!W122</f>
        <v>0</v>
      </c>
      <c r="X116" s="109">
        <f>'7a.20YrDetails'!X122</f>
        <v>0</v>
      </c>
      <c r="Y116" s="109">
        <f>'7a.20YrDetails'!Y122</f>
        <v>0</v>
      </c>
      <c r="Z116" s="109">
        <f>'7a.20YrDetails'!Z122</f>
        <v>0</v>
      </c>
      <c r="AA116" s="109">
        <f>'7a.20YrDetails'!AA122</f>
        <v>0</v>
      </c>
      <c r="AB116" s="109">
        <f>'7a.20YrDetails'!AB122</f>
        <v>0</v>
      </c>
      <c r="AC116" s="109">
        <f>'7a.20YrDetails'!AC122</f>
        <v>0</v>
      </c>
      <c r="AD116" s="109">
        <f>'7a.20YrDetails'!AD122</f>
        <v>0</v>
      </c>
      <c r="AE116" s="109">
        <f>'7a.20YrDetails'!AE122</f>
        <v>0</v>
      </c>
      <c r="AF116" s="109">
        <f>'7a.20YrDetails'!AF122</f>
        <v>0</v>
      </c>
      <c r="AG116" s="109">
        <f>'7a.20YrDetails'!AG122</f>
        <v>0</v>
      </c>
      <c r="AH116" s="109">
        <f>'7a.20YrDetails'!AH122</f>
        <v>0</v>
      </c>
      <c r="AI116" s="109">
        <f>'7a.20YrDetails'!AI122</f>
        <v>0</v>
      </c>
      <c r="AJ116" s="109">
        <f>'7a.20YrDetails'!AJ122</f>
        <v>0</v>
      </c>
      <c r="AK116" s="109">
        <f>'7a.20YrDetails'!AK122</f>
        <v>0</v>
      </c>
      <c r="AL116" s="109">
        <f>'7a.20YrDetails'!AL122</f>
        <v>0</v>
      </c>
      <c r="AM116" s="109">
        <f>'7a.20YrDetails'!AM122</f>
        <v>0</v>
      </c>
      <c r="AN116" s="109">
        <f>'7a.20YrDetails'!AN122</f>
        <v>0</v>
      </c>
      <c r="AO116" s="109">
        <f>'7a.20YrDetails'!AO122</f>
        <v>0</v>
      </c>
      <c r="AP116" s="109">
        <f>'7a.20YrDetails'!AP122</f>
        <v>0</v>
      </c>
      <c r="AQ116" s="109">
        <f>'7a.20YrDetails'!AQ122</f>
        <v>0</v>
      </c>
      <c r="AR116" s="109">
        <f>'7a.20YrDetails'!AR122</f>
        <v>0</v>
      </c>
      <c r="AS116" s="109">
        <f>'7a.20YrDetails'!AS122</f>
        <v>0</v>
      </c>
      <c r="AT116" s="109">
        <f>'7a.20YrDetails'!AT122</f>
        <v>0</v>
      </c>
      <c r="AU116" s="109">
        <f>'7a.20YrDetails'!AU122</f>
        <v>0</v>
      </c>
      <c r="AV116" s="109">
        <f>'7a.20YrDetails'!AV122</f>
        <v>0</v>
      </c>
      <c r="AW116" s="109">
        <f>'7a.20YrDetails'!AW122</f>
        <v>0</v>
      </c>
      <c r="AX116" s="109">
        <f>'7a.20YrDetails'!AX122</f>
        <v>0</v>
      </c>
      <c r="AY116" s="109">
        <f>'7a.20YrDetails'!AY122</f>
        <v>0</v>
      </c>
      <c r="AZ116" s="109">
        <f>'7a.20YrDetails'!AZ122</f>
        <v>0</v>
      </c>
      <c r="BA116" s="109">
        <f>'7a.20YrDetails'!BA122</f>
        <v>0</v>
      </c>
      <c r="BB116" s="109">
        <f>'7a.20YrDetails'!BB122</f>
        <v>0</v>
      </c>
      <c r="BC116" s="109">
        <f>'7a.20YrDetails'!BC122</f>
        <v>0</v>
      </c>
      <c r="BD116" s="109">
        <f>'7a.20YrDetails'!BD122</f>
        <v>0</v>
      </c>
      <c r="BE116" s="109">
        <f>'7a.20YrDetails'!BE122</f>
        <v>0</v>
      </c>
      <c r="BF116" s="109">
        <f>'7a.20YrDetails'!BF122</f>
        <v>0</v>
      </c>
      <c r="BG116" s="109">
        <f>'7a.20YrDetails'!BG122</f>
        <v>0</v>
      </c>
      <c r="BH116" s="109">
        <f>'7a.20YrDetails'!BH122</f>
        <v>0</v>
      </c>
      <c r="BI116" s="109">
        <f>'7a.20YrDetails'!BI122</f>
        <v>0</v>
      </c>
      <c r="BJ116" s="109">
        <f>'7a.20YrDetails'!BJ122</f>
        <v>0</v>
      </c>
      <c r="BK116" s="109">
        <f>'7a.20YrDetails'!BK122</f>
        <v>0</v>
      </c>
      <c r="BL116" s="109">
        <f>'7a.20YrDetails'!BL122</f>
        <v>0</v>
      </c>
      <c r="BM116" s="109">
        <f>'7a.20YrDetails'!BM122</f>
        <v>0</v>
      </c>
      <c r="BN116" s="109">
        <f>'7a.20YrDetails'!BN122</f>
        <v>0</v>
      </c>
      <c r="BO116" s="109">
        <f>'7a.20YrDetails'!BO122</f>
        <v>0</v>
      </c>
    </row>
    <row r="117" spans="3:67" ht="12" customHeight="1">
      <c r="C117" s="10" t="str">
        <f>'7a.20YrDetails'!C116</f>
        <v>"Below-the-line" Asset Mgt fee (uncommon in new projects, see policy)</v>
      </c>
      <c r="D117" s="8"/>
      <c r="E117" s="20">
        <f>'7a.20YrDetails'!E116</f>
        <v>3.5000000000000003E-2</v>
      </c>
      <c r="F117" s="20">
        <f>'7a.20YrDetails'!F116</f>
        <v>3.5000000000000003E-2</v>
      </c>
      <c r="G117" s="46" t="str">
        <f>IF('7a.20YrDetails'!$G116="","",'7a.20YrDetails'!$G116)</f>
        <v>per MOHCD policy</v>
      </c>
      <c r="H117" s="109">
        <f>'7a.20YrDetails'!H116</f>
        <v>0</v>
      </c>
      <c r="I117" s="109">
        <f>'7a.20YrDetails'!I116</f>
        <v>0</v>
      </c>
      <c r="J117" s="109">
        <f>'7a.20YrDetails'!J116</f>
        <v>0</v>
      </c>
      <c r="K117" s="109">
        <f>'7a.20YrDetails'!K116</f>
        <v>0</v>
      </c>
      <c r="L117" s="109">
        <f>'7a.20YrDetails'!L116</f>
        <v>0</v>
      </c>
      <c r="M117" s="109">
        <f>'7a.20YrDetails'!M116</f>
        <v>0</v>
      </c>
      <c r="N117" s="109">
        <f>'7a.20YrDetails'!N116</f>
        <v>0</v>
      </c>
      <c r="O117" s="109">
        <f>'7a.20YrDetails'!O116</f>
        <v>0</v>
      </c>
      <c r="P117" s="109">
        <f>'7a.20YrDetails'!P116</f>
        <v>0</v>
      </c>
      <c r="Q117" s="109">
        <f>'7a.20YrDetails'!Q116</f>
        <v>0</v>
      </c>
      <c r="R117" s="109">
        <f>'7a.20YrDetails'!R116</f>
        <v>0</v>
      </c>
      <c r="S117" s="109">
        <f>'7a.20YrDetails'!S116</f>
        <v>0</v>
      </c>
      <c r="T117" s="109">
        <f>'7a.20YrDetails'!T116</f>
        <v>0</v>
      </c>
      <c r="U117" s="109">
        <f>'7a.20YrDetails'!U116</f>
        <v>0</v>
      </c>
      <c r="V117" s="109">
        <f>'7a.20YrDetails'!V116</f>
        <v>0</v>
      </c>
      <c r="W117" s="109">
        <f>'7a.20YrDetails'!W116</f>
        <v>0</v>
      </c>
      <c r="X117" s="109">
        <f>'7a.20YrDetails'!X116</f>
        <v>0</v>
      </c>
      <c r="Y117" s="109">
        <f>'7a.20YrDetails'!Y116</f>
        <v>0</v>
      </c>
      <c r="Z117" s="109">
        <f>'7a.20YrDetails'!Z116</f>
        <v>0</v>
      </c>
      <c r="AA117" s="109">
        <f>'7a.20YrDetails'!AA116</f>
        <v>0</v>
      </c>
      <c r="AB117" s="109">
        <f>'7a.20YrDetails'!AB116</f>
        <v>0</v>
      </c>
      <c r="AC117" s="109">
        <f>'7a.20YrDetails'!AC116</f>
        <v>0</v>
      </c>
      <c r="AD117" s="109">
        <f>'7a.20YrDetails'!AD116</f>
        <v>0</v>
      </c>
      <c r="AE117" s="109">
        <f>'7a.20YrDetails'!AE116</f>
        <v>0</v>
      </c>
      <c r="AF117" s="109">
        <f>'7a.20YrDetails'!AF116</f>
        <v>0</v>
      </c>
      <c r="AG117" s="109">
        <f>'7a.20YrDetails'!AG116</f>
        <v>0</v>
      </c>
      <c r="AH117" s="109">
        <f>'7a.20YrDetails'!AH116</f>
        <v>0</v>
      </c>
      <c r="AI117" s="109">
        <f>'7a.20YrDetails'!AI116</f>
        <v>0</v>
      </c>
      <c r="AJ117" s="109">
        <f>'7a.20YrDetails'!AJ116</f>
        <v>0</v>
      </c>
      <c r="AK117" s="109">
        <f>'7a.20YrDetails'!AK116</f>
        <v>0</v>
      </c>
      <c r="AL117" s="109">
        <f>'7a.20YrDetails'!AL116</f>
        <v>0</v>
      </c>
      <c r="AM117" s="109">
        <f>'7a.20YrDetails'!AM116</f>
        <v>0</v>
      </c>
      <c r="AN117" s="109">
        <f>'7a.20YrDetails'!AN116</f>
        <v>0</v>
      </c>
      <c r="AO117" s="109">
        <f>'7a.20YrDetails'!AO116</f>
        <v>0</v>
      </c>
      <c r="AP117" s="109">
        <f>'7a.20YrDetails'!AP116</f>
        <v>0</v>
      </c>
      <c r="AQ117" s="109">
        <f>'7a.20YrDetails'!AQ116</f>
        <v>0</v>
      </c>
      <c r="AR117" s="109">
        <f>'7a.20YrDetails'!AR116</f>
        <v>0</v>
      </c>
      <c r="AS117" s="109">
        <f>'7a.20YrDetails'!AS116</f>
        <v>0</v>
      </c>
      <c r="AT117" s="109">
        <f>'7a.20YrDetails'!AT116</f>
        <v>0</v>
      </c>
      <c r="AU117" s="109">
        <f>'7a.20YrDetails'!AU116</f>
        <v>0</v>
      </c>
      <c r="AV117" s="109">
        <f>'7a.20YrDetails'!AV116</f>
        <v>0</v>
      </c>
      <c r="AW117" s="109">
        <f>'7a.20YrDetails'!AW116</f>
        <v>0</v>
      </c>
      <c r="AX117" s="109">
        <f>'7a.20YrDetails'!AX116</f>
        <v>0</v>
      </c>
      <c r="AY117" s="109">
        <f>'7a.20YrDetails'!AY116</f>
        <v>0</v>
      </c>
      <c r="AZ117" s="109">
        <f>'7a.20YrDetails'!AZ116</f>
        <v>0</v>
      </c>
      <c r="BA117" s="109">
        <f>'7a.20YrDetails'!BA116</f>
        <v>0</v>
      </c>
      <c r="BB117" s="109">
        <f>'7a.20YrDetails'!BB116</f>
        <v>0</v>
      </c>
      <c r="BC117" s="109">
        <f>'7a.20YrDetails'!BC116</f>
        <v>0</v>
      </c>
      <c r="BD117" s="109">
        <f>'7a.20YrDetails'!BD116</f>
        <v>0</v>
      </c>
      <c r="BE117" s="109">
        <f>'7a.20YrDetails'!BE116</f>
        <v>0</v>
      </c>
      <c r="BF117" s="109">
        <f>'7a.20YrDetails'!BF116</f>
        <v>0</v>
      </c>
      <c r="BG117" s="109">
        <f>'7a.20YrDetails'!BG116</f>
        <v>0</v>
      </c>
      <c r="BH117" s="109">
        <f>'7a.20YrDetails'!BH116</f>
        <v>0</v>
      </c>
      <c r="BI117" s="109">
        <f>'7a.20YrDetails'!BI116</f>
        <v>0</v>
      </c>
      <c r="BJ117" s="109">
        <f>'7a.20YrDetails'!BJ116</f>
        <v>0</v>
      </c>
      <c r="BK117" s="109">
        <f>'7a.20YrDetails'!BK116</f>
        <v>0</v>
      </c>
      <c r="BL117" s="109">
        <f>'7a.20YrDetails'!BL116</f>
        <v>0</v>
      </c>
      <c r="BM117" s="109">
        <f>'7a.20YrDetails'!BM116</f>
        <v>0</v>
      </c>
      <c r="BN117" s="109">
        <f>'7a.20YrDetails'!BN116</f>
        <v>0</v>
      </c>
      <c r="BO117" s="109">
        <f>'7a.20YrDetails'!BO116</f>
        <v>0</v>
      </c>
    </row>
    <row r="118" spans="3:67" ht="12" customHeight="1">
      <c r="C118" s="10" t="str">
        <f>'7a.20YrDetails'!C117</f>
        <v>Partnership Management Fee (see policy for limits)</v>
      </c>
      <c r="D118" s="8"/>
      <c r="E118" s="20">
        <f>'7a.20YrDetails'!E117</f>
        <v>3.5000000000000003E-2</v>
      </c>
      <c r="F118" s="20">
        <f>'7a.20YrDetails'!F117</f>
        <v>3.5000000000000003E-2</v>
      </c>
      <c r="G118" s="59" t="str">
        <f>IF('7a.20YrDetails'!$G117="","",'7a.20YrDetails'!$G117)</f>
        <v>per MOHCD policy</v>
      </c>
      <c r="H118" s="109">
        <f>'7a.20YrDetails'!H117</f>
        <v>0</v>
      </c>
      <c r="I118" s="109">
        <f>'7a.20YrDetails'!I117</f>
        <v>0</v>
      </c>
      <c r="J118" s="109">
        <f>'7a.20YrDetails'!J117</f>
        <v>0</v>
      </c>
      <c r="K118" s="109">
        <f>'7a.20YrDetails'!K117</f>
        <v>0</v>
      </c>
      <c r="L118" s="109">
        <f>'7a.20YrDetails'!L117</f>
        <v>0</v>
      </c>
      <c r="M118" s="109">
        <f>'7a.20YrDetails'!M117</f>
        <v>0</v>
      </c>
      <c r="N118" s="109">
        <f>'7a.20YrDetails'!N117</f>
        <v>0</v>
      </c>
      <c r="O118" s="109">
        <f>'7a.20YrDetails'!O117</f>
        <v>0</v>
      </c>
      <c r="P118" s="109">
        <f>'7a.20YrDetails'!P117</f>
        <v>0</v>
      </c>
      <c r="Q118" s="109">
        <f>'7a.20YrDetails'!Q117</f>
        <v>0</v>
      </c>
      <c r="R118" s="109">
        <f>'7a.20YrDetails'!R117</f>
        <v>0</v>
      </c>
      <c r="S118" s="109">
        <f>'7a.20YrDetails'!S117</f>
        <v>0</v>
      </c>
      <c r="T118" s="109">
        <f>'7a.20YrDetails'!T117</f>
        <v>0</v>
      </c>
      <c r="U118" s="109">
        <f>'7a.20YrDetails'!U117</f>
        <v>0</v>
      </c>
      <c r="V118" s="109">
        <f>'7a.20YrDetails'!V117</f>
        <v>0</v>
      </c>
      <c r="W118" s="109">
        <f>'7a.20YrDetails'!W117</f>
        <v>0</v>
      </c>
      <c r="X118" s="109">
        <f>'7a.20YrDetails'!X117</f>
        <v>0</v>
      </c>
      <c r="Y118" s="109">
        <f>'7a.20YrDetails'!Y117</f>
        <v>0</v>
      </c>
      <c r="Z118" s="109">
        <f>'7a.20YrDetails'!Z117</f>
        <v>0</v>
      </c>
      <c r="AA118" s="109">
        <f>'7a.20YrDetails'!AA117</f>
        <v>0</v>
      </c>
      <c r="AB118" s="109">
        <f>'7a.20YrDetails'!AB117</f>
        <v>0</v>
      </c>
      <c r="AC118" s="109">
        <f>'7a.20YrDetails'!AC117</f>
        <v>0</v>
      </c>
      <c r="AD118" s="109">
        <f>'7a.20YrDetails'!AD117</f>
        <v>0</v>
      </c>
      <c r="AE118" s="109">
        <f>'7a.20YrDetails'!AE117</f>
        <v>0</v>
      </c>
      <c r="AF118" s="109">
        <f>'7a.20YrDetails'!AF117</f>
        <v>0</v>
      </c>
      <c r="AG118" s="109">
        <f>'7a.20YrDetails'!AG117</f>
        <v>0</v>
      </c>
      <c r="AH118" s="109">
        <f>'7a.20YrDetails'!AH117</f>
        <v>0</v>
      </c>
      <c r="AI118" s="109">
        <f>'7a.20YrDetails'!AI117</f>
        <v>0</v>
      </c>
      <c r="AJ118" s="109">
        <f>'7a.20YrDetails'!AJ117</f>
        <v>0</v>
      </c>
      <c r="AK118" s="109">
        <f>'7a.20YrDetails'!AK117</f>
        <v>0</v>
      </c>
      <c r="AL118" s="109">
        <f>'7a.20YrDetails'!AL117</f>
        <v>0</v>
      </c>
      <c r="AM118" s="109">
        <f>'7a.20YrDetails'!AM117</f>
        <v>0</v>
      </c>
      <c r="AN118" s="109">
        <f>'7a.20YrDetails'!AN117</f>
        <v>0</v>
      </c>
      <c r="AO118" s="109">
        <f>'7a.20YrDetails'!AO117</f>
        <v>0</v>
      </c>
      <c r="AP118" s="109">
        <f>'7a.20YrDetails'!AP117</f>
        <v>0</v>
      </c>
      <c r="AQ118" s="109">
        <f>'7a.20YrDetails'!AQ117</f>
        <v>0</v>
      </c>
      <c r="AR118" s="109">
        <f>'7a.20YrDetails'!AR117</f>
        <v>0</v>
      </c>
      <c r="AS118" s="109">
        <f>'7a.20YrDetails'!AS117</f>
        <v>0</v>
      </c>
      <c r="AT118" s="109">
        <f>'7a.20YrDetails'!AT117</f>
        <v>0</v>
      </c>
      <c r="AU118" s="109">
        <f>'7a.20YrDetails'!AU117</f>
        <v>0</v>
      </c>
      <c r="AV118" s="109">
        <f>'7a.20YrDetails'!AV117</f>
        <v>0</v>
      </c>
      <c r="AW118" s="109">
        <f>'7a.20YrDetails'!AW117</f>
        <v>0</v>
      </c>
      <c r="AX118" s="109">
        <f>'7a.20YrDetails'!AX117</f>
        <v>0</v>
      </c>
      <c r="AY118" s="109">
        <f>'7a.20YrDetails'!AY117</f>
        <v>0</v>
      </c>
      <c r="AZ118" s="109">
        <f>'7a.20YrDetails'!AZ117</f>
        <v>0</v>
      </c>
      <c r="BA118" s="109">
        <f>'7a.20YrDetails'!BA117</f>
        <v>0</v>
      </c>
      <c r="BB118" s="109">
        <f>'7a.20YrDetails'!BB117</f>
        <v>0</v>
      </c>
      <c r="BC118" s="109">
        <f>'7a.20YrDetails'!BC117</f>
        <v>0</v>
      </c>
      <c r="BD118" s="109">
        <f>'7a.20YrDetails'!BD117</f>
        <v>0</v>
      </c>
      <c r="BE118" s="109">
        <f>'7a.20YrDetails'!BE117</f>
        <v>0</v>
      </c>
      <c r="BF118" s="109">
        <f>'7a.20YrDetails'!BF117</f>
        <v>0</v>
      </c>
      <c r="BG118" s="109">
        <f>'7a.20YrDetails'!BG117</f>
        <v>0</v>
      </c>
      <c r="BH118" s="109">
        <f>'7a.20YrDetails'!BH117</f>
        <v>0</v>
      </c>
      <c r="BI118" s="109">
        <f>'7a.20YrDetails'!BI117</f>
        <v>0</v>
      </c>
      <c r="BJ118" s="109">
        <f>'7a.20YrDetails'!BJ117</f>
        <v>0</v>
      </c>
      <c r="BK118" s="109">
        <f>'7a.20YrDetails'!BK117</f>
        <v>0</v>
      </c>
      <c r="BL118" s="109">
        <f>'7a.20YrDetails'!BL117</f>
        <v>0</v>
      </c>
      <c r="BM118" s="109">
        <f>'7a.20YrDetails'!BM117</f>
        <v>0</v>
      </c>
      <c r="BN118" s="109">
        <f>'7a.20YrDetails'!BN117</f>
        <v>0</v>
      </c>
      <c r="BO118" s="109">
        <f>'7a.20YrDetails'!BO117</f>
        <v>0</v>
      </c>
    </row>
    <row r="119" spans="3:67" ht="12" customHeight="1">
      <c r="C119" s="13" t="str">
        <f>'7a.20YrDetails'!C118</f>
        <v>Investor Service Fee (aka "LP Asset Mgt Fee") (see policy for limits)</v>
      </c>
      <c r="D119" s="8"/>
      <c r="E119" s="8"/>
      <c r="F119" s="50"/>
      <c r="G119" s="46" t="str">
        <f>IF('7a.20YrDetails'!$G118="","",'7a.20YrDetails'!$G118)</f>
        <v>per MOHCD policy no annual increase</v>
      </c>
      <c r="H119" s="109">
        <f>'7a.20YrDetails'!H118</f>
        <v>0</v>
      </c>
      <c r="I119" s="109">
        <f>'7a.20YrDetails'!I118</f>
        <v>0</v>
      </c>
      <c r="J119" s="109">
        <f>'7a.20YrDetails'!J118</f>
        <v>0</v>
      </c>
      <c r="K119" s="109">
        <f>'7a.20YrDetails'!K118</f>
        <v>0</v>
      </c>
      <c r="L119" s="109">
        <f>'7a.20YrDetails'!L118</f>
        <v>0</v>
      </c>
      <c r="M119" s="109">
        <f>'7a.20YrDetails'!M118</f>
        <v>0</v>
      </c>
      <c r="N119" s="109">
        <f>'7a.20YrDetails'!N118</f>
        <v>0</v>
      </c>
      <c r="O119" s="109">
        <f>'7a.20YrDetails'!O118</f>
        <v>0</v>
      </c>
      <c r="P119" s="109">
        <f>'7a.20YrDetails'!P118</f>
        <v>0</v>
      </c>
      <c r="Q119" s="109">
        <f>'7a.20YrDetails'!Q118</f>
        <v>0</v>
      </c>
      <c r="R119" s="109">
        <f>'7a.20YrDetails'!R118</f>
        <v>0</v>
      </c>
      <c r="S119" s="109">
        <f>'7a.20YrDetails'!S118</f>
        <v>0</v>
      </c>
      <c r="T119" s="109">
        <f>'7a.20YrDetails'!T118</f>
        <v>0</v>
      </c>
      <c r="U119" s="109">
        <f>'7a.20YrDetails'!U118</f>
        <v>0</v>
      </c>
      <c r="V119" s="109">
        <f>'7a.20YrDetails'!V118</f>
        <v>0</v>
      </c>
      <c r="W119" s="109">
        <f>'7a.20YrDetails'!W118</f>
        <v>0</v>
      </c>
      <c r="X119" s="109">
        <f>'7a.20YrDetails'!X118</f>
        <v>0</v>
      </c>
      <c r="Y119" s="109">
        <f>'7a.20YrDetails'!Y118</f>
        <v>0</v>
      </c>
      <c r="Z119" s="109">
        <f>'7a.20YrDetails'!Z118</f>
        <v>0</v>
      </c>
      <c r="AA119" s="109">
        <f>'7a.20YrDetails'!AA118</f>
        <v>0</v>
      </c>
      <c r="AB119" s="109">
        <f>'7a.20YrDetails'!AB118</f>
        <v>0</v>
      </c>
      <c r="AC119" s="109">
        <f>'7a.20YrDetails'!AC118</f>
        <v>0</v>
      </c>
      <c r="AD119" s="109">
        <f>'7a.20YrDetails'!AD118</f>
        <v>0</v>
      </c>
      <c r="AE119" s="109">
        <f>'7a.20YrDetails'!AE118</f>
        <v>0</v>
      </c>
      <c r="AF119" s="109">
        <f>'7a.20YrDetails'!AF118</f>
        <v>0</v>
      </c>
      <c r="AG119" s="109">
        <f>'7a.20YrDetails'!AG118</f>
        <v>0</v>
      </c>
      <c r="AH119" s="109">
        <f>'7a.20YrDetails'!AH118</f>
        <v>0</v>
      </c>
      <c r="AI119" s="109">
        <f>'7a.20YrDetails'!AI118</f>
        <v>0</v>
      </c>
      <c r="AJ119" s="109">
        <f>'7a.20YrDetails'!AJ118</f>
        <v>0</v>
      </c>
      <c r="AK119" s="109">
        <f>'7a.20YrDetails'!AK118</f>
        <v>0</v>
      </c>
      <c r="AL119" s="109">
        <f>'7a.20YrDetails'!AL118</f>
        <v>0</v>
      </c>
      <c r="AM119" s="109">
        <f>'7a.20YrDetails'!AM118</f>
        <v>0</v>
      </c>
      <c r="AN119" s="109">
        <f>'7a.20YrDetails'!AN118</f>
        <v>0</v>
      </c>
      <c r="AO119" s="109">
        <f>'7a.20YrDetails'!AO118</f>
        <v>0</v>
      </c>
      <c r="AP119" s="109">
        <f>'7a.20YrDetails'!AP118</f>
        <v>0</v>
      </c>
      <c r="AQ119" s="109">
        <f>'7a.20YrDetails'!AQ118</f>
        <v>0</v>
      </c>
      <c r="AR119" s="109">
        <f>'7a.20YrDetails'!AR118</f>
        <v>0</v>
      </c>
      <c r="AS119" s="109">
        <f>'7a.20YrDetails'!AS118</f>
        <v>0</v>
      </c>
      <c r="AT119" s="109">
        <f>'7a.20YrDetails'!AT118</f>
        <v>0</v>
      </c>
      <c r="AU119" s="109">
        <f>'7a.20YrDetails'!AU118</f>
        <v>0</v>
      </c>
      <c r="AV119" s="109">
        <f>'7a.20YrDetails'!AV118</f>
        <v>0</v>
      </c>
      <c r="AW119" s="109">
        <f>'7a.20YrDetails'!AW118</f>
        <v>0</v>
      </c>
      <c r="AX119" s="109">
        <f>'7a.20YrDetails'!AX118</f>
        <v>0</v>
      </c>
      <c r="AY119" s="109">
        <f>'7a.20YrDetails'!AY118</f>
        <v>0</v>
      </c>
      <c r="AZ119" s="109">
        <f>'7a.20YrDetails'!AZ118</f>
        <v>0</v>
      </c>
      <c r="BA119" s="109">
        <f>'7a.20YrDetails'!BA118</f>
        <v>0</v>
      </c>
      <c r="BB119" s="109">
        <f>'7a.20YrDetails'!BB118</f>
        <v>0</v>
      </c>
      <c r="BC119" s="109">
        <f>'7a.20YrDetails'!BC118</f>
        <v>0</v>
      </c>
      <c r="BD119" s="109">
        <f>'7a.20YrDetails'!BD118</f>
        <v>0</v>
      </c>
      <c r="BE119" s="109">
        <f>'7a.20YrDetails'!BE118</f>
        <v>0</v>
      </c>
      <c r="BF119" s="109">
        <f>'7a.20YrDetails'!BF118</f>
        <v>0</v>
      </c>
      <c r="BG119" s="109">
        <f>'7a.20YrDetails'!BG118</f>
        <v>0</v>
      </c>
      <c r="BH119" s="109">
        <f>'7a.20YrDetails'!BH118</f>
        <v>0</v>
      </c>
      <c r="BI119" s="109">
        <f>'7a.20YrDetails'!BI118</f>
        <v>0</v>
      </c>
      <c r="BJ119" s="109">
        <f>'7a.20YrDetails'!BJ118</f>
        <v>0</v>
      </c>
      <c r="BK119" s="109">
        <f>'7a.20YrDetails'!BK118</f>
        <v>0</v>
      </c>
      <c r="BL119" s="109">
        <f>'7a.20YrDetails'!BL118</f>
        <v>0</v>
      </c>
      <c r="BM119" s="109">
        <f>'7a.20YrDetails'!BM118</f>
        <v>0</v>
      </c>
      <c r="BN119" s="109">
        <f>'7a.20YrDetails'!BN118</f>
        <v>0</v>
      </c>
      <c r="BO119" s="109">
        <f>'7a.20YrDetails'!BO118</f>
        <v>0</v>
      </c>
    </row>
    <row r="120" spans="3:67" ht="12" customHeight="1">
      <c r="C120" s="10" t="str">
        <f>'7a.20YrDetails'!C119</f>
        <v>Other Payments</v>
      </c>
      <c r="D120" s="8"/>
      <c r="E120" s="8"/>
      <c r="F120" s="50"/>
      <c r="G120" s="46" t="str">
        <f>IF('7a.20YrDetails'!$G119="","",'7a.20YrDetails'!$G119)</f>
        <v/>
      </c>
      <c r="H120" s="109">
        <f>'7a.20YrDetails'!H119</f>
        <v>0</v>
      </c>
      <c r="I120" s="109">
        <f>'7a.20YrDetails'!I119</f>
        <v>0</v>
      </c>
      <c r="J120" s="109">
        <f>'7a.20YrDetails'!J119</f>
        <v>0</v>
      </c>
      <c r="K120" s="109">
        <f>'7a.20YrDetails'!K119</f>
        <v>0</v>
      </c>
      <c r="L120" s="109">
        <f>'7a.20YrDetails'!L119</f>
        <v>0</v>
      </c>
      <c r="M120" s="109">
        <f>'7a.20YrDetails'!M119</f>
        <v>0</v>
      </c>
      <c r="N120" s="109">
        <f>'7a.20YrDetails'!N119</f>
        <v>0</v>
      </c>
      <c r="O120" s="109">
        <f>'7a.20YrDetails'!O119</f>
        <v>0</v>
      </c>
      <c r="P120" s="109">
        <f>'7a.20YrDetails'!P119</f>
        <v>0</v>
      </c>
      <c r="Q120" s="109">
        <f>'7a.20YrDetails'!Q119</f>
        <v>0</v>
      </c>
      <c r="R120" s="109">
        <f>'7a.20YrDetails'!R119</f>
        <v>0</v>
      </c>
      <c r="S120" s="109">
        <f>'7a.20YrDetails'!S119</f>
        <v>0</v>
      </c>
      <c r="T120" s="109">
        <f>'7a.20YrDetails'!T119</f>
        <v>0</v>
      </c>
      <c r="U120" s="109">
        <f>'7a.20YrDetails'!U119</f>
        <v>0</v>
      </c>
      <c r="V120" s="109">
        <f>'7a.20YrDetails'!V119</f>
        <v>0</v>
      </c>
      <c r="W120" s="109">
        <f>'7a.20YrDetails'!W119</f>
        <v>0</v>
      </c>
      <c r="X120" s="109">
        <f>'7a.20YrDetails'!X119</f>
        <v>0</v>
      </c>
      <c r="Y120" s="109">
        <f>'7a.20YrDetails'!Y119</f>
        <v>0</v>
      </c>
      <c r="Z120" s="109">
        <f>'7a.20YrDetails'!Z119</f>
        <v>0</v>
      </c>
      <c r="AA120" s="109">
        <f>'7a.20YrDetails'!AA119</f>
        <v>0</v>
      </c>
      <c r="AB120" s="109">
        <f>'7a.20YrDetails'!AB119</f>
        <v>0</v>
      </c>
      <c r="AC120" s="109">
        <f>'7a.20YrDetails'!AC119</f>
        <v>0</v>
      </c>
      <c r="AD120" s="109">
        <f>'7a.20YrDetails'!AD119</f>
        <v>0</v>
      </c>
      <c r="AE120" s="109">
        <f>'7a.20YrDetails'!AE119</f>
        <v>0</v>
      </c>
      <c r="AF120" s="109">
        <f>'7a.20YrDetails'!AF119</f>
        <v>0</v>
      </c>
      <c r="AG120" s="109">
        <f>'7a.20YrDetails'!AG119</f>
        <v>0</v>
      </c>
      <c r="AH120" s="109">
        <f>'7a.20YrDetails'!AH119</f>
        <v>0</v>
      </c>
      <c r="AI120" s="109">
        <f>'7a.20YrDetails'!AI119</f>
        <v>0</v>
      </c>
      <c r="AJ120" s="109">
        <f>'7a.20YrDetails'!AJ119</f>
        <v>0</v>
      </c>
      <c r="AK120" s="109">
        <f>'7a.20YrDetails'!AK119</f>
        <v>0</v>
      </c>
      <c r="AL120" s="109">
        <f>'7a.20YrDetails'!AL119</f>
        <v>0</v>
      </c>
      <c r="AM120" s="109">
        <f>'7a.20YrDetails'!AM119</f>
        <v>0</v>
      </c>
      <c r="AN120" s="109">
        <f>'7a.20YrDetails'!AN119</f>
        <v>0</v>
      </c>
      <c r="AO120" s="109">
        <f>'7a.20YrDetails'!AO119</f>
        <v>0</v>
      </c>
      <c r="AP120" s="109">
        <f>'7a.20YrDetails'!AP119</f>
        <v>0</v>
      </c>
      <c r="AQ120" s="109">
        <f>'7a.20YrDetails'!AQ119</f>
        <v>0</v>
      </c>
      <c r="AR120" s="109">
        <f>'7a.20YrDetails'!AR119</f>
        <v>0</v>
      </c>
      <c r="AS120" s="109">
        <f>'7a.20YrDetails'!AS119</f>
        <v>0</v>
      </c>
      <c r="AT120" s="109">
        <f>'7a.20YrDetails'!AT119</f>
        <v>0</v>
      </c>
      <c r="AU120" s="109">
        <f>'7a.20YrDetails'!AU119</f>
        <v>0</v>
      </c>
      <c r="AV120" s="109">
        <f>'7a.20YrDetails'!AV119</f>
        <v>0</v>
      </c>
      <c r="AW120" s="109">
        <f>'7a.20YrDetails'!AW119</f>
        <v>0</v>
      </c>
      <c r="AX120" s="109">
        <f>'7a.20YrDetails'!AX119</f>
        <v>0</v>
      </c>
      <c r="AY120" s="109">
        <f>'7a.20YrDetails'!AY119</f>
        <v>0</v>
      </c>
      <c r="AZ120" s="109">
        <f>'7a.20YrDetails'!AZ119</f>
        <v>0</v>
      </c>
      <c r="BA120" s="109">
        <f>'7a.20YrDetails'!BA119</f>
        <v>0</v>
      </c>
      <c r="BB120" s="109">
        <f>'7a.20YrDetails'!BB119</f>
        <v>0</v>
      </c>
      <c r="BC120" s="109">
        <f>'7a.20YrDetails'!BC119</f>
        <v>0</v>
      </c>
      <c r="BD120" s="109">
        <f>'7a.20YrDetails'!BD119</f>
        <v>0</v>
      </c>
      <c r="BE120" s="109">
        <f>'7a.20YrDetails'!BE119</f>
        <v>0</v>
      </c>
      <c r="BF120" s="109">
        <f>'7a.20YrDetails'!BF119</f>
        <v>0</v>
      </c>
      <c r="BG120" s="109">
        <f>'7a.20YrDetails'!BG119</f>
        <v>0</v>
      </c>
      <c r="BH120" s="109">
        <f>'7a.20YrDetails'!BH119</f>
        <v>0</v>
      </c>
      <c r="BI120" s="109">
        <f>'7a.20YrDetails'!BI119</f>
        <v>0</v>
      </c>
      <c r="BJ120" s="109">
        <f>'7a.20YrDetails'!BJ119</f>
        <v>0</v>
      </c>
      <c r="BK120" s="109">
        <f>'7a.20YrDetails'!BK119</f>
        <v>0</v>
      </c>
      <c r="BL120" s="109">
        <f>'7a.20YrDetails'!BL119</f>
        <v>0</v>
      </c>
      <c r="BM120" s="109">
        <f>'7a.20YrDetails'!BM119</f>
        <v>0</v>
      </c>
      <c r="BN120" s="109">
        <f>'7a.20YrDetails'!BN119</f>
        <v>0</v>
      </c>
      <c r="BO120" s="109">
        <f>'7a.20YrDetails'!BO119</f>
        <v>0</v>
      </c>
    </row>
    <row r="121" spans="3:67" ht="12" customHeight="1">
      <c r="C121" s="10" t="str">
        <f>'7a.20YrDetails'!C120</f>
        <v>Non-amortizing Loan Pmnt - Lender 1</v>
      </c>
      <c r="D121" s="8"/>
      <c r="E121" s="8"/>
      <c r="F121" s="50"/>
      <c r="G121" s="46" t="str">
        <f>IF('7a.20YrDetails'!$G120="","",'7a.20YrDetails'!$G120)</f>
        <v xml:space="preserve">Enter comments re: annual increase, etc. </v>
      </c>
      <c r="H121" s="109">
        <f>'7a.20YrDetails'!H120</f>
        <v>0</v>
      </c>
      <c r="I121" s="109">
        <f>'7a.20YrDetails'!I120</f>
        <v>0</v>
      </c>
      <c r="J121" s="109">
        <f>'7a.20YrDetails'!J120</f>
        <v>0</v>
      </c>
      <c r="K121" s="109">
        <f>'7a.20YrDetails'!K120</f>
        <v>0</v>
      </c>
      <c r="L121" s="109">
        <f>'7a.20YrDetails'!L120</f>
        <v>0</v>
      </c>
      <c r="M121" s="109">
        <f>'7a.20YrDetails'!M120</f>
        <v>0</v>
      </c>
      <c r="N121" s="109">
        <f>'7a.20YrDetails'!N120</f>
        <v>0</v>
      </c>
      <c r="O121" s="109">
        <f>'7a.20YrDetails'!O120</f>
        <v>0</v>
      </c>
      <c r="P121" s="109">
        <f>'7a.20YrDetails'!P120</f>
        <v>0</v>
      </c>
      <c r="Q121" s="109">
        <f>'7a.20YrDetails'!Q120</f>
        <v>0</v>
      </c>
      <c r="R121" s="109">
        <f>'7a.20YrDetails'!R120</f>
        <v>0</v>
      </c>
      <c r="S121" s="109">
        <f>'7a.20YrDetails'!S120</f>
        <v>0</v>
      </c>
      <c r="T121" s="109">
        <f>'7a.20YrDetails'!T120</f>
        <v>0</v>
      </c>
      <c r="U121" s="109">
        <f>'7a.20YrDetails'!U120</f>
        <v>0</v>
      </c>
      <c r="V121" s="109">
        <f>'7a.20YrDetails'!V120</f>
        <v>0</v>
      </c>
      <c r="W121" s="109">
        <f>'7a.20YrDetails'!W120</f>
        <v>0</v>
      </c>
      <c r="X121" s="109">
        <f>'7a.20YrDetails'!X120</f>
        <v>0</v>
      </c>
      <c r="Y121" s="109">
        <f>'7a.20YrDetails'!Y120</f>
        <v>0</v>
      </c>
      <c r="Z121" s="109">
        <f>'7a.20YrDetails'!Z120</f>
        <v>0</v>
      </c>
      <c r="AA121" s="109">
        <f>'7a.20YrDetails'!AA120</f>
        <v>0</v>
      </c>
      <c r="AB121" s="109">
        <f>'7a.20YrDetails'!AB120</f>
        <v>0</v>
      </c>
      <c r="AC121" s="109">
        <f>'7a.20YrDetails'!AC120</f>
        <v>0</v>
      </c>
      <c r="AD121" s="109">
        <f>'7a.20YrDetails'!AD120</f>
        <v>0</v>
      </c>
      <c r="AE121" s="109">
        <f>'7a.20YrDetails'!AE120</f>
        <v>0</v>
      </c>
      <c r="AF121" s="109">
        <f>'7a.20YrDetails'!AF120</f>
        <v>0</v>
      </c>
      <c r="AG121" s="109">
        <f>'7a.20YrDetails'!AG120</f>
        <v>0</v>
      </c>
      <c r="AH121" s="109">
        <f>'7a.20YrDetails'!AH120</f>
        <v>0</v>
      </c>
      <c r="AI121" s="109">
        <f>'7a.20YrDetails'!AI120</f>
        <v>0</v>
      </c>
      <c r="AJ121" s="109">
        <f>'7a.20YrDetails'!AJ120</f>
        <v>0</v>
      </c>
      <c r="AK121" s="109">
        <f>'7a.20YrDetails'!AK120</f>
        <v>0</v>
      </c>
      <c r="AL121" s="109">
        <f>'7a.20YrDetails'!AL120</f>
        <v>0</v>
      </c>
      <c r="AM121" s="109">
        <f>'7a.20YrDetails'!AM120</f>
        <v>0</v>
      </c>
      <c r="AN121" s="109">
        <f>'7a.20YrDetails'!AN120</f>
        <v>0</v>
      </c>
      <c r="AO121" s="109">
        <f>'7a.20YrDetails'!AO120</f>
        <v>0</v>
      </c>
      <c r="AP121" s="109">
        <f>'7a.20YrDetails'!AP120</f>
        <v>0</v>
      </c>
      <c r="AQ121" s="109">
        <f>'7a.20YrDetails'!AQ120</f>
        <v>0</v>
      </c>
      <c r="AR121" s="109">
        <f>'7a.20YrDetails'!AR120</f>
        <v>0</v>
      </c>
      <c r="AS121" s="109">
        <f>'7a.20YrDetails'!AS120</f>
        <v>0</v>
      </c>
      <c r="AT121" s="109">
        <f>'7a.20YrDetails'!AT120</f>
        <v>0</v>
      </c>
      <c r="AU121" s="109">
        <f>'7a.20YrDetails'!AU120</f>
        <v>0</v>
      </c>
      <c r="AV121" s="109">
        <f>'7a.20YrDetails'!AV120</f>
        <v>0</v>
      </c>
      <c r="AW121" s="109">
        <f>'7a.20YrDetails'!AW120</f>
        <v>0</v>
      </c>
      <c r="AX121" s="109">
        <f>'7a.20YrDetails'!AX120</f>
        <v>0</v>
      </c>
      <c r="AY121" s="109">
        <f>'7a.20YrDetails'!AY120</f>
        <v>0</v>
      </c>
      <c r="AZ121" s="109">
        <f>'7a.20YrDetails'!AZ120</f>
        <v>0</v>
      </c>
      <c r="BA121" s="109">
        <f>'7a.20YrDetails'!BA120</f>
        <v>0</v>
      </c>
      <c r="BB121" s="109">
        <f>'7a.20YrDetails'!BB120</f>
        <v>0</v>
      </c>
      <c r="BC121" s="109">
        <f>'7a.20YrDetails'!BC120</f>
        <v>0</v>
      </c>
      <c r="BD121" s="109">
        <f>'7a.20YrDetails'!BD120</f>
        <v>0</v>
      </c>
      <c r="BE121" s="109">
        <f>'7a.20YrDetails'!BE120</f>
        <v>0</v>
      </c>
      <c r="BF121" s="109">
        <f>'7a.20YrDetails'!BF120</f>
        <v>0</v>
      </c>
      <c r="BG121" s="109">
        <f>'7a.20YrDetails'!BG120</f>
        <v>0</v>
      </c>
      <c r="BH121" s="109">
        <f>'7a.20YrDetails'!BH120</f>
        <v>0</v>
      </c>
      <c r="BI121" s="109">
        <f>'7a.20YrDetails'!BI120</f>
        <v>0</v>
      </c>
      <c r="BJ121" s="109">
        <f>'7a.20YrDetails'!BJ120</f>
        <v>0</v>
      </c>
      <c r="BK121" s="109">
        <f>'7a.20YrDetails'!BK120</f>
        <v>0</v>
      </c>
      <c r="BL121" s="109">
        <f>'7a.20YrDetails'!BL120</f>
        <v>0</v>
      </c>
      <c r="BM121" s="109">
        <f>'7a.20YrDetails'!BM120</f>
        <v>0</v>
      </c>
      <c r="BN121" s="109">
        <f>'7a.20YrDetails'!BN120</f>
        <v>0</v>
      </c>
      <c r="BO121" s="109">
        <f>'7a.20YrDetails'!BO120</f>
        <v>0</v>
      </c>
    </row>
    <row r="122" spans="3:67" ht="12" customHeight="1">
      <c r="C122" s="10" t="str">
        <f>'7a.20YrDetails'!C121</f>
        <v xml:space="preserve">Non-amortizing Loan Pmnt - Lender 2 </v>
      </c>
      <c r="D122" s="8"/>
      <c r="E122" s="8"/>
      <c r="F122" s="50"/>
      <c r="G122" s="46" t="str">
        <f>IF('7a.20YrDetails'!$G121="","",'7a.20YrDetails'!$G121)</f>
        <v xml:space="preserve">Enter comments re: annual increase, etc. </v>
      </c>
      <c r="H122" s="109">
        <f>'7a.20YrDetails'!H121</f>
        <v>0</v>
      </c>
      <c r="I122" s="109">
        <f>'7a.20YrDetails'!I121</f>
        <v>0</v>
      </c>
      <c r="J122" s="109">
        <f>'7a.20YrDetails'!J121</f>
        <v>0</v>
      </c>
      <c r="K122" s="109">
        <f>'7a.20YrDetails'!K121</f>
        <v>0</v>
      </c>
      <c r="L122" s="109">
        <f>'7a.20YrDetails'!L121</f>
        <v>0</v>
      </c>
      <c r="M122" s="109">
        <f>'7a.20YrDetails'!M121</f>
        <v>0</v>
      </c>
      <c r="N122" s="109">
        <f>'7a.20YrDetails'!N121</f>
        <v>0</v>
      </c>
      <c r="O122" s="109">
        <f>'7a.20YrDetails'!O121</f>
        <v>0</v>
      </c>
      <c r="P122" s="109">
        <f>'7a.20YrDetails'!P121</f>
        <v>0</v>
      </c>
      <c r="Q122" s="109">
        <f>'7a.20YrDetails'!Q121</f>
        <v>0</v>
      </c>
      <c r="R122" s="109">
        <f>'7a.20YrDetails'!R121</f>
        <v>0</v>
      </c>
      <c r="S122" s="109">
        <f>'7a.20YrDetails'!S121</f>
        <v>0</v>
      </c>
      <c r="T122" s="109">
        <f>'7a.20YrDetails'!T121</f>
        <v>0</v>
      </c>
      <c r="U122" s="109">
        <f>'7a.20YrDetails'!U121</f>
        <v>0</v>
      </c>
      <c r="V122" s="109">
        <f>'7a.20YrDetails'!V121</f>
        <v>0</v>
      </c>
      <c r="W122" s="109">
        <f>'7a.20YrDetails'!W121</f>
        <v>0</v>
      </c>
      <c r="X122" s="109">
        <f>'7a.20YrDetails'!X121</f>
        <v>0</v>
      </c>
      <c r="Y122" s="109">
        <f>'7a.20YrDetails'!Y121</f>
        <v>0</v>
      </c>
      <c r="Z122" s="109">
        <f>'7a.20YrDetails'!Z121</f>
        <v>0</v>
      </c>
      <c r="AA122" s="109">
        <f>'7a.20YrDetails'!AA121</f>
        <v>0</v>
      </c>
      <c r="AB122" s="109">
        <f>'7a.20YrDetails'!AB121</f>
        <v>0</v>
      </c>
      <c r="AC122" s="109">
        <f>'7a.20YrDetails'!AC121</f>
        <v>0</v>
      </c>
      <c r="AD122" s="109">
        <f>'7a.20YrDetails'!AD121</f>
        <v>0</v>
      </c>
      <c r="AE122" s="109">
        <f>'7a.20YrDetails'!AE121</f>
        <v>0</v>
      </c>
      <c r="AF122" s="109">
        <f>'7a.20YrDetails'!AF121</f>
        <v>0</v>
      </c>
      <c r="AG122" s="109">
        <f>'7a.20YrDetails'!AG121</f>
        <v>0</v>
      </c>
      <c r="AH122" s="109">
        <f>'7a.20YrDetails'!AH121</f>
        <v>0</v>
      </c>
      <c r="AI122" s="109">
        <f>'7a.20YrDetails'!AI121</f>
        <v>0</v>
      </c>
      <c r="AJ122" s="109">
        <f>'7a.20YrDetails'!AJ121</f>
        <v>0</v>
      </c>
      <c r="AK122" s="109">
        <f>'7a.20YrDetails'!AK121</f>
        <v>0</v>
      </c>
      <c r="AL122" s="109">
        <f>'7a.20YrDetails'!AL121</f>
        <v>0</v>
      </c>
      <c r="AM122" s="109">
        <f>'7a.20YrDetails'!AM121</f>
        <v>0</v>
      </c>
      <c r="AN122" s="109">
        <f>'7a.20YrDetails'!AN121</f>
        <v>0</v>
      </c>
      <c r="AO122" s="109">
        <f>'7a.20YrDetails'!AO121</f>
        <v>0</v>
      </c>
      <c r="AP122" s="109">
        <f>'7a.20YrDetails'!AP121</f>
        <v>0</v>
      </c>
      <c r="AQ122" s="109">
        <f>'7a.20YrDetails'!AQ121</f>
        <v>0</v>
      </c>
      <c r="AR122" s="109">
        <f>'7a.20YrDetails'!AR121</f>
        <v>0</v>
      </c>
      <c r="AS122" s="109">
        <f>'7a.20YrDetails'!AS121</f>
        <v>0</v>
      </c>
      <c r="AT122" s="109">
        <f>'7a.20YrDetails'!AT121</f>
        <v>0</v>
      </c>
      <c r="AU122" s="109">
        <f>'7a.20YrDetails'!AU121</f>
        <v>0</v>
      </c>
      <c r="AV122" s="109">
        <f>'7a.20YrDetails'!AV121</f>
        <v>0</v>
      </c>
      <c r="AW122" s="109">
        <f>'7a.20YrDetails'!AW121</f>
        <v>0</v>
      </c>
      <c r="AX122" s="109">
        <f>'7a.20YrDetails'!AX121</f>
        <v>0</v>
      </c>
      <c r="AY122" s="109">
        <f>'7a.20YrDetails'!AY121</f>
        <v>0</v>
      </c>
      <c r="AZ122" s="109">
        <f>'7a.20YrDetails'!AZ121</f>
        <v>0</v>
      </c>
      <c r="BA122" s="109">
        <f>'7a.20YrDetails'!BA121</f>
        <v>0</v>
      </c>
      <c r="BB122" s="109">
        <f>'7a.20YrDetails'!BB121</f>
        <v>0</v>
      </c>
      <c r="BC122" s="109">
        <f>'7a.20YrDetails'!BC121</f>
        <v>0</v>
      </c>
      <c r="BD122" s="109">
        <f>'7a.20YrDetails'!BD121</f>
        <v>0</v>
      </c>
      <c r="BE122" s="109">
        <f>'7a.20YrDetails'!BE121</f>
        <v>0</v>
      </c>
      <c r="BF122" s="109">
        <f>'7a.20YrDetails'!BF121</f>
        <v>0</v>
      </c>
      <c r="BG122" s="109">
        <f>'7a.20YrDetails'!BG121</f>
        <v>0</v>
      </c>
      <c r="BH122" s="109">
        <f>'7a.20YrDetails'!BH121</f>
        <v>0</v>
      </c>
      <c r="BI122" s="109">
        <f>'7a.20YrDetails'!BI121</f>
        <v>0</v>
      </c>
      <c r="BJ122" s="109">
        <f>'7a.20YrDetails'!BJ121</f>
        <v>0</v>
      </c>
      <c r="BK122" s="109">
        <f>'7a.20YrDetails'!BK121</f>
        <v>0</v>
      </c>
      <c r="BL122" s="109">
        <f>'7a.20YrDetails'!BL121</f>
        <v>0</v>
      </c>
      <c r="BM122" s="109">
        <f>'7a.20YrDetails'!BM121</f>
        <v>0</v>
      </c>
      <c r="BN122" s="109">
        <f>'7a.20YrDetails'!BN121</f>
        <v>0</v>
      </c>
      <c r="BO122" s="109">
        <f>'7a.20YrDetails'!BO121</f>
        <v>0</v>
      </c>
    </row>
    <row r="123" spans="3:67" ht="16.8">
      <c r="C123" s="11" t="str">
        <f>'7a.20YrDetails'!C124</f>
        <v>TOTAL PAYMENTS PRECEDING MOHCD</v>
      </c>
      <c r="D123" s="8"/>
      <c r="E123" s="8"/>
      <c r="F123" s="50"/>
      <c r="G123" s="49"/>
      <c r="H123" s="110">
        <f>'7a.20YrDetails'!H124</f>
        <v>0</v>
      </c>
      <c r="I123" s="110">
        <f>'7a.20YrDetails'!I124</f>
        <v>0</v>
      </c>
      <c r="J123" s="110">
        <f>'7a.20YrDetails'!J124</f>
        <v>0</v>
      </c>
      <c r="K123" s="110">
        <f>'7a.20YrDetails'!K124</f>
        <v>0</v>
      </c>
      <c r="L123" s="110">
        <f>'7a.20YrDetails'!L124</f>
        <v>0</v>
      </c>
      <c r="M123" s="110">
        <f>'7a.20YrDetails'!M124</f>
        <v>0</v>
      </c>
      <c r="N123" s="110">
        <f>'7a.20YrDetails'!N124</f>
        <v>0</v>
      </c>
      <c r="O123" s="110">
        <f>'7a.20YrDetails'!O124</f>
        <v>0</v>
      </c>
      <c r="P123" s="110">
        <f>'7a.20YrDetails'!P124</f>
        <v>0</v>
      </c>
      <c r="Q123" s="110">
        <f>'7a.20YrDetails'!Q124</f>
        <v>0</v>
      </c>
      <c r="R123" s="110">
        <f>'7a.20YrDetails'!R124</f>
        <v>0</v>
      </c>
      <c r="S123" s="110">
        <f>'7a.20YrDetails'!S124</f>
        <v>0</v>
      </c>
      <c r="T123" s="110">
        <f>'7a.20YrDetails'!T124</f>
        <v>0</v>
      </c>
      <c r="U123" s="110">
        <f>'7a.20YrDetails'!U124</f>
        <v>0</v>
      </c>
      <c r="V123" s="110">
        <f>'7a.20YrDetails'!V124</f>
        <v>0</v>
      </c>
      <c r="W123" s="110">
        <f>'7a.20YrDetails'!W124</f>
        <v>0</v>
      </c>
      <c r="X123" s="110">
        <f>'7a.20YrDetails'!X124</f>
        <v>0</v>
      </c>
      <c r="Y123" s="110">
        <f>'7a.20YrDetails'!Y124</f>
        <v>0</v>
      </c>
      <c r="Z123" s="110">
        <f>'7a.20YrDetails'!Z124</f>
        <v>0</v>
      </c>
      <c r="AA123" s="110">
        <f>'7a.20YrDetails'!AA124</f>
        <v>0</v>
      </c>
      <c r="AB123" s="110">
        <f>'7a.20YrDetails'!AB124</f>
        <v>0</v>
      </c>
      <c r="AC123" s="110">
        <f>'7a.20YrDetails'!AC124</f>
        <v>0</v>
      </c>
      <c r="AD123" s="110">
        <f>'7a.20YrDetails'!AD124</f>
        <v>0</v>
      </c>
      <c r="AE123" s="110">
        <f>'7a.20YrDetails'!AE124</f>
        <v>0</v>
      </c>
      <c r="AF123" s="110">
        <f>'7a.20YrDetails'!AF124</f>
        <v>0</v>
      </c>
      <c r="AG123" s="110">
        <f>'7a.20YrDetails'!AG124</f>
        <v>0</v>
      </c>
      <c r="AH123" s="110">
        <f>'7a.20YrDetails'!AH124</f>
        <v>0</v>
      </c>
      <c r="AI123" s="110">
        <f>'7a.20YrDetails'!AI124</f>
        <v>0</v>
      </c>
      <c r="AJ123" s="110">
        <f>'7a.20YrDetails'!AJ124</f>
        <v>0</v>
      </c>
      <c r="AK123" s="110">
        <f>'7a.20YrDetails'!AK124</f>
        <v>0</v>
      </c>
      <c r="AL123" s="110">
        <f>'7a.20YrDetails'!AL124</f>
        <v>0</v>
      </c>
      <c r="AM123" s="110">
        <f>'7a.20YrDetails'!AM124</f>
        <v>0</v>
      </c>
      <c r="AN123" s="110">
        <f>'7a.20YrDetails'!AN124</f>
        <v>0</v>
      </c>
      <c r="AO123" s="110">
        <f>'7a.20YrDetails'!AO124</f>
        <v>0</v>
      </c>
      <c r="AP123" s="110">
        <f>'7a.20YrDetails'!AP124</f>
        <v>0</v>
      </c>
      <c r="AQ123" s="110">
        <f>'7a.20YrDetails'!AQ124</f>
        <v>0</v>
      </c>
      <c r="AR123" s="110">
        <f>'7a.20YrDetails'!AR124</f>
        <v>0</v>
      </c>
      <c r="AS123" s="110">
        <f>'7a.20YrDetails'!AS124</f>
        <v>0</v>
      </c>
      <c r="AT123" s="110">
        <f>'7a.20YrDetails'!AT124</f>
        <v>0</v>
      </c>
      <c r="AU123" s="110">
        <f>'7a.20YrDetails'!AU124</f>
        <v>0</v>
      </c>
      <c r="AV123" s="110">
        <f>'7a.20YrDetails'!AV124</f>
        <v>0</v>
      </c>
      <c r="AW123" s="110">
        <f>'7a.20YrDetails'!AW124</f>
        <v>0</v>
      </c>
      <c r="AX123" s="110">
        <f>'7a.20YrDetails'!AX124</f>
        <v>0</v>
      </c>
      <c r="AY123" s="110">
        <f>'7a.20YrDetails'!AY124</f>
        <v>0</v>
      </c>
      <c r="AZ123" s="110">
        <f>'7a.20YrDetails'!AZ124</f>
        <v>0</v>
      </c>
      <c r="BA123" s="110">
        <f>'7a.20YrDetails'!BA124</f>
        <v>0</v>
      </c>
      <c r="BB123" s="110">
        <f>'7a.20YrDetails'!BB124</f>
        <v>0</v>
      </c>
      <c r="BC123" s="110">
        <f>'7a.20YrDetails'!BC124</f>
        <v>0</v>
      </c>
      <c r="BD123" s="110">
        <f>'7a.20YrDetails'!BD124</f>
        <v>0</v>
      </c>
      <c r="BE123" s="110">
        <f>'7a.20YrDetails'!BE124</f>
        <v>0</v>
      </c>
      <c r="BF123" s="110">
        <f>'7a.20YrDetails'!BF124</f>
        <v>0</v>
      </c>
      <c r="BG123" s="110">
        <f>'7a.20YrDetails'!BG124</f>
        <v>0</v>
      </c>
      <c r="BH123" s="110">
        <f>'7a.20YrDetails'!BH124</f>
        <v>0</v>
      </c>
      <c r="BI123" s="110">
        <f>'7a.20YrDetails'!BI124</f>
        <v>0</v>
      </c>
      <c r="BJ123" s="110">
        <f>'7a.20YrDetails'!BJ124</f>
        <v>0</v>
      </c>
      <c r="BK123" s="110">
        <f>'7a.20YrDetails'!BK124</f>
        <v>0</v>
      </c>
      <c r="BL123" s="110">
        <f>'7a.20YrDetails'!BL124</f>
        <v>0</v>
      </c>
      <c r="BM123" s="110">
        <f>'7a.20YrDetails'!BM124</f>
        <v>0</v>
      </c>
      <c r="BN123" s="110">
        <f>'7a.20YrDetails'!BN124</f>
        <v>0</v>
      </c>
      <c r="BO123" s="110">
        <f>'7a.20YrDetails'!BO124</f>
        <v>0</v>
      </c>
    </row>
    <row r="124" spans="3:67" ht="12" customHeight="1">
      <c r="C124" s="11"/>
      <c r="D124" s="8"/>
      <c r="E124" s="8"/>
      <c r="F124" s="50"/>
      <c r="G124" s="49"/>
      <c r="H124" s="110"/>
      <c r="I124" s="110"/>
      <c r="J124" s="110"/>
      <c r="K124" s="110"/>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row>
    <row r="125" spans="3:67" ht="12" customHeight="1">
      <c r="C125" s="6" t="str">
        <f>'7a.20YrDetails'!C126</f>
        <v>RESIDUAL RECEIPTS (CASH FLOW minus PAYMENTS PRECEDING MOHCD)</v>
      </c>
      <c r="D125" s="8"/>
      <c r="E125" s="8"/>
      <c r="F125" s="50"/>
      <c r="G125" s="49"/>
      <c r="H125" s="28">
        <f>'7a.20YrDetails'!H126</f>
        <v>0</v>
      </c>
      <c r="I125" s="28">
        <f>'7a.20YrDetails'!I126</f>
        <v>0</v>
      </c>
      <c r="J125" s="28">
        <f>'7a.20YrDetails'!J126</f>
        <v>0</v>
      </c>
      <c r="K125" s="28">
        <f>'7a.20YrDetails'!K126</f>
        <v>0</v>
      </c>
      <c r="L125" s="28">
        <f>'7a.20YrDetails'!L126</f>
        <v>0</v>
      </c>
      <c r="M125" s="28">
        <f>'7a.20YrDetails'!M126</f>
        <v>0</v>
      </c>
      <c r="N125" s="28">
        <f>'7a.20YrDetails'!N126</f>
        <v>0</v>
      </c>
      <c r="O125" s="28">
        <f>'7a.20YrDetails'!O126</f>
        <v>0</v>
      </c>
      <c r="P125" s="28">
        <f>'7a.20YrDetails'!P126</f>
        <v>0</v>
      </c>
      <c r="Q125" s="28">
        <f>'7a.20YrDetails'!Q126</f>
        <v>0</v>
      </c>
      <c r="R125" s="28">
        <f>'7a.20YrDetails'!R126</f>
        <v>0</v>
      </c>
      <c r="S125" s="28">
        <f>'7a.20YrDetails'!S126</f>
        <v>0</v>
      </c>
      <c r="T125" s="28">
        <f>'7a.20YrDetails'!T126</f>
        <v>0</v>
      </c>
      <c r="U125" s="28">
        <f>'7a.20YrDetails'!U126</f>
        <v>0</v>
      </c>
      <c r="V125" s="28">
        <f>'7a.20YrDetails'!V126</f>
        <v>0</v>
      </c>
      <c r="W125" s="28">
        <f>'7a.20YrDetails'!W126</f>
        <v>0</v>
      </c>
      <c r="X125" s="28">
        <f>'7a.20YrDetails'!X126</f>
        <v>0</v>
      </c>
      <c r="Y125" s="28">
        <f>'7a.20YrDetails'!Y126</f>
        <v>0</v>
      </c>
      <c r="Z125" s="28">
        <f>'7a.20YrDetails'!Z126</f>
        <v>0</v>
      </c>
      <c r="AA125" s="28">
        <f>'7a.20YrDetails'!AA126</f>
        <v>0</v>
      </c>
      <c r="AB125" s="28">
        <f>'7a.20YrDetails'!AB126</f>
        <v>0</v>
      </c>
      <c r="AC125" s="28">
        <f>'7a.20YrDetails'!AC126</f>
        <v>0</v>
      </c>
      <c r="AD125" s="28">
        <f>'7a.20YrDetails'!AD126</f>
        <v>0</v>
      </c>
      <c r="AE125" s="28">
        <f>'7a.20YrDetails'!AE126</f>
        <v>0</v>
      </c>
      <c r="AF125" s="28">
        <f>'7a.20YrDetails'!AF126</f>
        <v>0</v>
      </c>
      <c r="AG125" s="28">
        <f>'7a.20YrDetails'!AG126</f>
        <v>0</v>
      </c>
      <c r="AH125" s="28">
        <f>'7a.20YrDetails'!AH126</f>
        <v>0</v>
      </c>
      <c r="AI125" s="28">
        <f>'7a.20YrDetails'!AI126</f>
        <v>0</v>
      </c>
      <c r="AJ125" s="28">
        <f>'7a.20YrDetails'!AJ126</f>
        <v>0</v>
      </c>
      <c r="AK125" s="28">
        <f>'7a.20YrDetails'!AK126</f>
        <v>0</v>
      </c>
      <c r="AL125" s="28">
        <f>'7a.20YrDetails'!AL126</f>
        <v>0</v>
      </c>
      <c r="AM125" s="28">
        <f>'7a.20YrDetails'!AM126</f>
        <v>0</v>
      </c>
      <c r="AN125" s="28">
        <f>'7a.20YrDetails'!AN126</f>
        <v>0</v>
      </c>
      <c r="AO125" s="28">
        <f>'7a.20YrDetails'!AO126</f>
        <v>0</v>
      </c>
      <c r="AP125" s="28">
        <f>'7a.20YrDetails'!AP126</f>
        <v>0</v>
      </c>
      <c r="AQ125" s="28">
        <f>'7a.20YrDetails'!AQ126</f>
        <v>0</v>
      </c>
      <c r="AR125" s="28">
        <f>'7a.20YrDetails'!AR126</f>
        <v>0</v>
      </c>
      <c r="AS125" s="28">
        <f>'7a.20YrDetails'!AS126</f>
        <v>0</v>
      </c>
      <c r="AT125" s="28">
        <f>'7a.20YrDetails'!AT126</f>
        <v>0</v>
      </c>
      <c r="AU125" s="28">
        <f>'7a.20YrDetails'!AU126</f>
        <v>0</v>
      </c>
      <c r="AV125" s="28">
        <f>'7a.20YrDetails'!AV126</f>
        <v>0</v>
      </c>
      <c r="AW125" s="28">
        <f>'7a.20YrDetails'!AW126</f>
        <v>0</v>
      </c>
      <c r="AX125" s="28">
        <f>'7a.20YrDetails'!AX126</f>
        <v>0</v>
      </c>
      <c r="AY125" s="28">
        <f>'7a.20YrDetails'!AY126</f>
        <v>0</v>
      </c>
      <c r="AZ125" s="28">
        <f>'7a.20YrDetails'!AZ126</f>
        <v>0</v>
      </c>
      <c r="BA125" s="28">
        <f>'7a.20YrDetails'!BA126</f>
        <v>0</v>
      </c>
      <c r="BB125" s="28">
        <f>'7a.20YrDetails'!BB126</f>
        <v>0</v>
      </c>
      <c r="BC125" s="28">
        <f>'7a.20YrDetails'!BC126</f>
        <v>0</v>
      </c>
      <c r="BD125" s="28">
        <f>'7a.20YrDetails'!BD126</f>
        <v>0</v>
      </c>
      <c r="BE125" s="28">
        <f>'7a.20YrDetails'!BE126</f>
        <v>0</v>
      </c>
      <c r="BF125" s="28">
        <f>'7a.20YrDetails'!BF126</f>
        <v>0</v>
      </c>
      <c r="BG125" s="28">
        <f>'7a.20YrDetails'!BG126</f>
        <v>0</v>
      </c>
      <c r="BH125" s="28">
        <f>'7a.20YrDetails'!BH126</f>
        <v>0</v>
      </c>
      <c r="BI125" s="28">
        <f>'7a.20YrDetails'!BI126</f>
        <v>0</v>
      </c>
      <c r="BJ125" s="28">
        <f>'7a.20YrDetails'!BJ126</f>
        <v>0</v>
      </c>
      <c r="BK125" s="28">
        <f>'7a.20YrDetails'!BK126</f>
        <v>0</v>
      </c>
      <c r="BL125" s="28">
        <f>'7a.20YrDetails'!BL126</f>
        <v>0</v>
      </c>
      <c r="BM125" s="28">
        <f>'7a.20YrDetails'!BM126</f>
        <v>0</v>
      </c>
      <c r="BN125" s="28">
        <f>'7a.20YrDetails'!BN126</f>
        <v>0</v>
      </c>
      <c r="BO125" s="28">
        <f>'7a.20YrDetails'!BO126</f>
        <v>0</v>
      </c>
    </row>
    <row r="126" spans="3:67" ht="12" hidden="1" customHeight="1">
      <c r="C126" s="6"/>
      <c r="D126" s="8"/>
      <c r="E126" s="8"/>
      <c r="F126" s="50"/>
      <c r="G126" s="49"/>
      <c r="H126" s="49"/>
      <c r="I126" s="49"/>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row>
    <row r="127" spans="3:67" ht="12" customHeight="1">
      <c r="C127" s="6"/>
      <c r="D127" s="8"/>
      <c r="E127" s="8"/>
      <c r="F127" s="50"/>
      <c r="G127" s="49"/>
      <c r="H127" s="49"/>
      <c r="I127" s="49"/>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row>
    <row r="128" spans="3:67" ht="12" customHeight="1">
      <c r="C128" s="5" t="str">
        <f>'7a.20YrDetails'!C129</f>
        <v>Does Project have a MOHCD Residual Receipt Obligation?</v>
      </c>
      <c r="D128" s="8"/>
      <c r="E128" s="8"/>
      <c r="F128" s="27">
        <f>'7a.20YrDetails'!F129</f>
        <v>0</v>
      </c>
      <c r="G128" s="49"/>
      <c r="H128" s="49"/>
      <c r="I128" s="49"/>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row>
    <row r="129" spans="3:67" ht="12" customHeight="1">
      <c r="C129" s="5" t="str">
        <f>'7a.20YrDetails'!C130</f>
        <v xml:space="preserve">Will Project Defer Developer Fee? </v>
      </c>
      <c r="D129" s="8"/>
      <c r="E129" s="8"/>
      <c r="F129" s="27" t="str">
        <f>'7a.20YrDetails'!F130</f>
        <v>TBD</v>
      </c>
      <c r="G129" s="49"/>
      <c r="H129" s="49"/>
      <c r="I129" s="49"/>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row>
    <row r="130" spans="3:67" ht="12" customHeight="1" thickBot="1">
      <c r="C130" s="5" t="str">
        <f>'7a.20YrDetails'!C131</f>
        <v>Residual Receipts split for all years. - Lender/Owner</v>
      </c>
      <c r="D130" s="8"/>
      <c r="E130" s="8"/>
      <c r="F130" s="27" t="str">
        <f>'7a.20YrDetails'!F131</f>
        <v>0% / 100%</v>
      </c>
      <c r="G130" s="49"/>
      <c r="H130" s="49"/>
      <c r="I130" s="49"/>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row>
    <row r="131" spans="3:67" ht="12" hidden="1" customHeight="1">
      <c r="C131" s="5" t="str">
        <f>'7a.20YrDetails'!C132</f>
        <v/>
      </c>
      <c r="F131" s="27" t="str">
        <f>'7a.20YrDetails'!F132</f>
        <v/>
      </c>
      <c r="G131" s="49"/>
      <c r="H131" s="49"/>
      <c r="I131" s="49"/>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row>
    <row r="132" spans="3:67" ht="12" hidden="1" customHeight="1" thickBot="1">
      <c r="C132" s="5" t="str">
        <f>'7a.20YrDetails'!C132</f>
        <v/>
      </c>
      <c r="D132" s="8"/>
      <c r="E132" s="8"/>
      <c r="F132" s="27" t="str">
        <f>'7a.20YrDetails'!F132</f>
        <v/>
      </c>
      <c r="G132" s="49"/>
      <c r="H132" s="49"/>
      <c r="I132" s="49"/>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row>
    <row r="133" spans="3:67" ht="12" hidden="1" customHeight="1" thickBot="1">
      <c r="C133" s="82"/>
      <c r="D133" s="8"/>
      <c r="E133" s="8"/>
      <c r="F133" s="50"/>
      <c r="G133" s="49"/>
      <c r="H133" s="49"/>
      <c r="I133" s="49"/>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row>
    <row r="134" spans="3:67" ht="12" hidden="1" customHeight="1">
      <c r="C134" s="82"/>
      <c r="D134" s="8"/>
      <c r="E134" s="8"/>
      <c r="F134" s="50"/>
      <c r="G134" s="49"/>
      <c r="H134" s="49"/>
      <c r="I134" s="49"/>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row>
    <row r="135" spans="3:67" ht="12" hidden="1" customHeight="1">
      <c r="C135" s="82"/>
      <c r="D135" s="8"/>
      <c r="E135" s="8"/>
      <c r="F135" s="50"/>
      <c r="G135" s="49"/>
      <c r="H135" s="49"/>
      <c r="I135" s="49"/>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row>
    <row r="136" spans="3:67" ht="12" hidden="1" customHeight="1" thickBot="1">
      <c r="C136" s="82"/>
      <c r="D136" s="8"/>
      <c r="E136" s="8"/>
      <c r="F136" s="50"/>
      <c r="G136" s="49"/>
      <c r="H136" s="49"/>
      <c r="I136" s="49"/>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row>
    <row r="137" spans="3:67" ht="12" customHeight="1">
      <c r="C137" s="5"/>
      <c r="D137" s="8"/>
      <c r="E137" s="8"/>
      <c r="F137" s="99" t="str">
        <f>'7a.20YrDetails'!F140</f>
        <v>Dist. Soft</v>
      </c>
      <c r="G137" s="49"/>
      <c r="H137" s="49"/>
      <c r="I137" s="49"/>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row>
    <row r="138" spans="3:67" ht="12" hidden="1" customHeight="1">
      <c r="C138" s="5"/>
      <c r="D138" s="8"/>
      <c r="E138" s="8"/>
      <c r="F138" s="100"/>
      <c r="G138" s="49"/>
      <c r="H138" s="49"/>
      <c r="I138" s="49"/>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row>
    <row r="139" spans="3:67" ht="12" hidden="1" customHeight="1">
      <c r="C139" s="5"/>
      <c r="D139" s="8"/>
      <c r="E139" s="8"/>
      <c r="F139" s="100"/>
      <c r="G139" s="49"/>
      <c r="H139" s="49"/>
      <c r="I139" s="49"/>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row>
    <row r="140" spans="3:67" ht="12" hidden="1" customHeight="1">
      <c r="C140" s="5"/>
      <c r="D140" s="8"/>
      <c r="E140" s="8"/>
      <c r="F140" s="100"/>
      <c r="G140" s="49"/>
      <c r="H140" s="49"/>
      <c r="I140" s="49"/>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row>
    <row r="141" spans="3:67" ht="12" customHeight="1">
      <c r="C141" s="1330" t="str">
        <f>'7a.20YrDetails'!C141</f>
        <v>MOHCD RESIDUAL RECEIPTS DEBT SERVICE</v>
      </c>
      <c r="D141" s="8"/>
      <c r="E141" s="8"/>
      <c r="F141" s="100" t="str">
        <f>'7a.20YrDetails'!F141</f>
        <v>Debt Loans</v>
      </c>
      <c r="G141" s="49"/>
      <c r="H141" s="49"/>
      <c r="I141" s="49"/>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row>
    <row r="142" spans="3:67" ht="12" hidden="1" customHeight="1">
      <c r="C142" s="10" t="str">
        <f>'7a.20YrDetails'!C142</f>
        <v>MOHCD Residual Receipts Amount Due</v>
      </c>
      <c r="D142" s="8"/>
      <c r="E142" s="8"/>
      <c r="F142" s="100">
        <f>'7a.20YrDetails'!F142</f>
        <v>1</v>
      </c>
      <c r="G142" s="49"/>
      <c r="H142" s="109"/>
      <c r="I142" s="109"/>
      <c r="J142" s="109">
        <f>'7a.20YrDetails'!J142</f>
        <v>0</v>
      </c>
      <c r="K142" s="109"/>
      <c r="L142" s="109"/>
      <c r="M142" s="109">
        <f>'7a.20YrDetails'!M142</f>
        <v>0</v>
      </c>
      <c r="N142" s="109"/>
      <c r="O142" s="109"/>
      <c r="P142" s="109">
        <f>'7a.20YrDetails'!P142</f>
        <v>0</v>
      </c>
      <c r="Q142" s="109"/>
      <c r="R142" s="109"/>
      <c r="S142" s="109">
        <f>'7a.20YrDetails'!S142</f>
        <v>0</v>
      </c>
      <c r="T142" s="109"/>
      <c r="U142" s="109"/>
      <c r="V142" s="109">
        <f>'7a.20YrDetails'!V142</f>
        <v>0</v>
      </c>
      <c r="W142" s="109"/>
      <c r="X142" s="109"/>
      <c r="Y142" s="109">
        <f>'7a.20YrDetails'!Y142</f>
        <v>0</v>
      </c>
      <c r="Z142" s="109"/>
      <c r="AA142" s="109"/>
      <c r="AB142" s="109">
        <f>'7a.20YrDetails'!AB142</f>
        <v>0</v>
      </c>
      <c r="AC142" s="109"/>
      <c r="AD142" s="109"/>
      <c r="AE142" s="109">
        <f>'7a.20YrDetails'!AE142</f>
        <v>0</v>
      </c>
      <c r="AF142" s="109"/>
      <c r="AG142" s="109"/>
      <c r="AH142" s="109">
        <f>'7a.20YrDetails'!AH142</f>
        <v>0</v>
      </c>
      <c r="AI142" s="109"/>
      <c r="AJ142" s="109"/>
      <c r="AK142" s="109">
        <f>'7a.20YrDetails'!AK142</f>
        <v>0</v>
      </c>
      <c r="AL142" s="109"/>
      <c r="AM142" s="109"/>
      <c r="AN142" s="109">
        <f>'7a.20YrDetails'!AN142</f>
        <v>0</v>
      </c>
      <c r="AO142" s="109"/>
      <c r="AP142" s="109"/>
      <c r="AQ142" s="109">
        <f>'7a.20YrDetails'!AQ142</f>
        <v>0</v>
      </c>
      <c r="AR142" s="109"/>
      <c r="AS142" s="109"/>
      <c r="AT142" s="109">
        <f>'7a.20YrDetails'!AT142</f>
        <v>0</v>
      </c>
      <c r="AU142" s="109"/>
      <c r="AV142" s="109"/>
      <c r="AW142" s="109">
        <f>'7a.20YrDetails'!AW142</f>
        <v>0</v>
      </c>
      <c r="AX142" s="109"/>
      <c r="AY142" s="109"/>
      <c r="AZ142" s="109">
        <f>'7a.20YrDetails'!AZ142</f>
        <v>0</v>
      </c>
      <c r="BA142" s="109"/>
      <c r="BB142" s="109"/>
      <c r="BC142" s="109">
        <f>'7a.20YrDetails'!BC142</f>
        <v>0</v>
      </c>
      <c r="BD142" s="109"/>
      <c r="BE142" s="109"/>
      <c r="BF142" s="109">
        <f>'7a.20YrDetails'!BF142</f>
        <v>0</v>
      </c>
      <c r="BG142" s="109"/>
      <c r="BH142" s="109"/>
      <c r="BI142" s="109">
        <f>'7a.20YrDetails'!BI142</f>
        <v>0</v>
      </c>
      <c r="BJ142" s="109"/>
      <c r="BK142" s="109"/>
      <c r="BL142" s="109">
        <f>'7a.20YrDetails'!BL142</f>
        <v>0</v>
      </c>
      <c r="BM142" s="109"/>
      <c r="BN142" s="109"/>
      <c r="BO142" s="109">
        <f>'7a.20YrDetails'!BO142</f>
        <v>0</v>
      </c>
    </row>
    <row r="143" spans="3:67" ht="12" hidden="1" customHeight="1">
      <c r="C143" s="104" t="str">
        <f>'7a.20YrDetails'!C143</f>
        <v>Proposed MOHCD Residual Receipts Amount to Loan Repayment</v>
      </c>
      <c r="D143" s="8"/>
      <c r="E143" s="8"/>
      <c r="F143" s="100"/>
      <c r="G143" s="49"/>
      <c r="H143" s="109"/>
      <c r="I143" s="109"/>
      <c r="J143" s="109">
        <f>'7a.20YrDetails'!J143</f>
        <v>0</v>
      </c>
      <c r="K143" s="109"/>
      <c r="L143" s="109"/>
      <c r="M143" s="109">
        <f>'7a.20YrDetails'!M143</f>
        <v>0</v>
      </c>
      <c r="N143" s="109"/>
      <c r="O143" s="109"/>
      <c r="P143" s="109">
        <f>'7a.20YrDetails'!P143</f>
        <v>0</v>
      </c>
      <c r="Q143" s="109"/>
      <c r="R143" s="109"/>
      <c r="S143" s="109">
        <f>'7a.20YrDetails'!S143</f>
        <v>0</v>
      </c>
      <c r="T143" s="109"/>
      <c r="U143" s="109"/>
      <c r="V143" s="109">
        <f>'7a.20YrDetails'!V143</f>
        <v>0</v>
      </c>
      <c r="W143" s="109"/>
      <c r="X143" s="109"/>
      <c r="Y143" s="109">
        <f>'7a.20YrDetails'!Y143</f>
        <v>0</v>
      </c>
      <c r="Z143" s="109"/>
      <c r="AA143" s="109"/>
      <c r="AB143" s="109">
        <f>'7a.20YrDetails'!AB143</f>
        <v>0</v>
      </c>
      <c r="AC143" s="109"/>
      <c r="AD143" s="109"/>
      <c r="AE143" s="109">
        <f>'7a.20YrDetails'!AE143</f>
        <v>0</v>
      </c>
      <c r="AF143" s="109"/>
      <c r="AG143" s="109"/>
      <c r="AH143" s="109">
        <f>'7a.20YrDetails'!AH143</f>
        <v>0</v>
      </c>
      <c r="AI143" s="109"/>
      <c r="AJ143" s="109"/>
      <c r="AK143" s="109">
        <f>'7a.20YrDetails'!AK143</f>
        <v>0</v>
      </c>
      <c r="AL143" s="109"/>
      <c r="AM143" s="109"/>
      <c r="AN143" s="109">
        <f>'7a.20YrDetails'!AN143</f>
        <v>0</v>
      </c>
      <c r="AO143" s="109"/>
      <c r="AP143" s="109"/>
      <c r="AQ143" s="109">
        <f>'7a.20YrDetails'!AQ143</f>
        <v>0</v>
      </c>
      <c r="AR143" s="109"/>
      <c r="AS143" s="109"/>
      <c r="AT143" s="109">
        <f>'7a.20YrDetails'!AT143</f>
        <v>0</v>
      </c>
      <c r="AU143" s="109"/>
      <c r="AV143" s="109"/>
      <c r="AW143" s="109">
        <f>'7a.20YrDetails'!AW143</f>
        <v>0</v>
      </c>
      <c r="AX143" s="109"/>
      <c r="AY143" s="109"/>
      <c r="AZ143" s="109">
        <f>'7a.20YrDetails'!AZ143</f>
        <v>0</v>
      </c>
      <c r="BA143" s="109"/>
      <c r="BB143" s="109"/>
      <c r="BC143" s="109">
        <f>'7a.20YrDetails'!BC143</f>
        <v>0</v>
      </c>
      <c r="BD143" s="109"/>
      <c r="BE143" s="109"/>
      <c r="BF143" s="109">
        <f>'7a.20YrDetails'!BF143</f>
        <v>0</v>
      </c>
      <c r="BG143" s="109"/>
      <c r="BH143" s="109"/>
      <c r="BI143" s="109">
        <f>'7a.20YrDetails'!BI143</f>
        <v>0</v>
      </c>
      <c r="BJ143" s="109"/>
      <c r="BK143" s="109"/>
      <c r="BL143" s="109">
        <f>'7a.20YrDetails'!BL143</f>
        <v>0</v>
      </c>
      <c r="BM143" s="109"/>
      <c r="BN143" s="109"/>
      <c r="BO143" s="109">
        <f>'7a.20YrDetails'!BO143</f>
        <v>0</v>
      </c>
    </row>
    <row r="144" spans="3:67" ht="12" customHeight="1">
      <c r="C144" s="104" t="str">
        <f>'7a.20YrDetails'!C144</f>
        <v>Proposed MOHCD Residual Receipts Amount to Residual Ground Lease</v>
      </c>
      <c r="D144" s="8"/>
      <c r="E144" s="8"/>
      <c r="F144" s="101"/>
      <c r="G144" s="97" t="str">
        <f>IF('7a.20YrDetails'!$G144="","",'7a.20YrDetails'!$G144)</f>
        <v>Proposed Total MOHCD Amt Due less Loan Repayment</v>
      </c>
      <c r="H144" s="109"/>
      <c r="I144" s="109"/>
      <c r="J144" s="109">
        <f>'7a.20YrDetails'!J144</f>
        <v>0</v>
      </c>
      <c r="K144" s="109"/>
      <c r="L144" s="109"/>
      <c r="M144" s="109">
        <f>'7a.20YrDetails'!M144</f>
        <v>0</v>
      </c>
      <c r="N144" s="109"/>
      <c r="O144" s="109"/>
      <c r="P144" s="109">
        <f>'7a.20YrDetails'!P144</f>
        <v>0</v>
      </c>
      <c r="Q144" s="109"/>
      <c r="R144" s="109"/>
      <c r="S144" s="109">
        <f>'7a.20YrDetails'!S144</f>
        <v>0</v>
      </c>
      <c r="T144" s="109"/>
      <c r="U144" s="109"/>
      <c r="V144" s="109">
        <f>'7a.20YrDetails'!V144</f>
        <v>0</v>
      </c>
      <c r="W144" s="109"/>
      <c r="X144" s="109"/>
      <c r="Y144" s="109">
        <f>'7a.20YrDetails'!Y144</f>
        <v>0</v>
      </c>
      <c r="Z144" s="109"/>
      <c r="AA144" s="109"/>
      <c r="AB144" s="109">
        <f>'7a.20YrDetails'!AB144</f>
        <v>0</v>
      </c>
      <c r="AC144" s="109"/>
      <c r="AD144" s="109"/>
      <c r="AE144" s="109">
        <f>'7a.20YrDetails'!AE144</f>
        <v>0</v>
      </c>
      <c r="AF144" s="109"/>
      <c r="AG144" s="109"/>
      <c r="AH144" s="109">
        <f>'7a.20YrDetails'!AH144</f>
        <v>0</v>
      </c>
      <c r="AI144" s="109"/>
      <c r="AJ144" s="109"/>
      <c r="AK144" s="109">
        <f>'7a.20YrDetails'!AK144</f>
        <v>0</v>
      </c>
      <c r="AL144" s="109"/>
      <c r="AM144" s="109"/>
      <c r="AN144" s="109">
        <f>'7a.20YrDetails'!AN144</f>
        <v>0</v>
      </c>
      <c r="AO144" s="109"/>
      <c r="AP144" s="109"/>
      <c r="AQ144" s="109">
        <f>'7a.20YrDetails'!AQ144</f>
        <v>0</v>
      </c>
      <c r="AR144" s="109"/>
      <c r="AS144" s="109"/>
      <c r="AT144" s="109">
        <f>'7a.20YrDetails'!AT144</f>
        <v>0</v>
      </c>
      <c r="AU144" s="109"/>
      <c r="AV144" s="109"/>
      <c r="AW144" s="109">
        <f>'7a.20YrDetails'!AW144</f>
        <v>0</v>
      </c>
      <c r="AX144" s="109"/>
      <c r="AY144" s="109"/>
      <c r="AZ144" s="109">
        <f>'7a.20YrDetails'!AZ144</f>
        <v>0</v>
      </c>
      <c r="BA144" s="109"/>
      <c r="BB144" s="109"/>
      <c r="BC144" s="109">
        <f>'7a.20YrDetails'!BC144</f>
        <v>0</v>
      </c>
      <c r="BD144" s="109"/>
      <c r="BE144" s="109"/>
      <c r="BF144" s="109">
        <f>'7a.20YrDetails'!BF144</f>
        <v>0</v>
      </c>
      <c r="BG144" s="109"/>
      <c r="BH144" s="109"/>
      <c r="BI144" s="109">
        <f>'7a.20YrDetails'!BI144</f>
        <v>0</v>
      </c>
      <c r="BJ144" s="109"/>
      <c r="BK144" s="109"/>
      <c r="BL144" s="109">
        <f>'7a.20YrDetails'!BL144</f>
        <v>0</v>
      </c>
      <c r="BM144" s="109"/>
      <c r="BN144" s="109"/>
      <c r="BO144" s="109">
        <f>'7a.20YrDetails'!BO144</f>
        <v>0</v>
      </c>
    </row>
    <row r="145" spans="3:67" ht="12" customHeight="1">
      <c r="C145" s="104" t="str">
        <f>'7a.20YrDetails'!C145</f>
        <v>Proposed MOHCD Residual Receipts Amount to Replacement Reserve</v>
      </c>
      <c r="D145" s="8"/>
      <c r="E145" s="8"/>
      <c r="F145" s="101"/>
      <c r="G145" s="97"/>
      <c r="H145" s="109"/>
      <c r="I145" s="109"/>
      <c r="J145" s="109">
        <f>'7a.20YrDetails'!J145</f>
        <v>0</v>
      </c>
      <c r="K145" s="109"/>
      <c r="L145" s="109"/>
      <c r="M145" s="109">
        <f>'7a.20YrDetails'!M145</f>
        <v>0</v>
      </c>
      <c r="N145" s="109"/>
      <c r="O145" s="109"/>
      <c r="P145" s="109">
        <f>'7a.20YrDetails'!P145</f>
        <v>0</v>
      </c>
      <c r="Q145" s="109"/>
      <c r="R145" s="109"/>
      <c r="S145" s="109">
        <f>'7a.20YrDetails'!S145</f>
        <v>0</v>
      </c>
      <c r="T145" s="109"/>
      <c r="U145" s="109"/>
      <c r="V145" s="109">
        <f>'7a.20YrDetails'!V145</f>
        <v>0</v>
      </c>
      <c r="W145" s="109"/>
      <c r="X145" s="109"/>
      <c r="Y145" s="109">
        <f>'7a.20YrDetails'!Y145</f>
        <v>0</v>
      </c>
      <c r="Z145" s="109"/>
      <c r="AA145" s="109"/>
      <c r="AB145" s="109">
        <f>'7a.20YrDetails'!AB145</f>
        <v>0</v>
      </c>
      <c r="AC145" s="109"/>
      <c r="AD145" s="109"/>
      <c r="AE145" s="109">
        <f>'7a.20YrDetails'!AE145</f>
        <v>0</v>
      </c>
      <c r="AF145" s="109"/>
      <c r="AG145" s="109"/>
      <c r="AH145" s="109">
        <f>'7a.20YrDetails'!AH145</f>
        <v>0</v>
      </c>
      <c r="AI145" s="109"/>
      <c r="AJ145" s="109"/>
      <c r="AK145" s="109">
        <f>'7a.20YrDetails'!AK145</f>
        <v>0</v>
      </c>
      <c r="AL145" s="109"/>
      <c r="AM145" s="109"/>
      <c r="AN145" s="109">
        <f>'7a.20YrDetails'!AN145</f>
        <v>0</v>
      </c>
      <c r="AO145" s="109"/>
      <c r="AP145" s="109"/>
      <c r="AQ145" s="109">
        <f>'7a.20YrDetails'!AQ145</f>
        <v>0</v>
      </c>
      <c r="AR145" s="109"/>
      <c r="AS145" s="109"/>
      <c r="AT145" s="109">
        <f>'7a.20YrDetails'!AT145</f>
        <v>0</v>
      </c>
      <c r="AU145" s="109"/>
      <c r="AV145" s="109"/>
      <c r="AW145" s="109">
        <f>'7a.20YrDetails'!AW145</f>
        <v>0</v>
      </c>
      <c r="AX145" s="109"/>
      <c r="AY145" s="109"/>
      <c r="AZ145" s="109">
        <f>'7a.20YrDetails'!AZ145</f>
        <v>0</v>
      </c>
      <c r="BA145" s="109"/>
      <c r="BB145" s="109"/>
      <c r="BC145" s="109">
        <f>'7a.20YrDetails'!BC145</f>
        <v>0</v>
      </c>
      <c r="BD145" s="109"/>
      <c r="BE145" s="109"/>
      <c r="BF145" s="109">
        <f>'7a.20YrDetails'!BF145</f>
        <v>0</v>
      </c>
      <c r="BG145" s="109"/>
      <c r="BH145" s="109"/>
      <c r="BI145" s="109">
        <f>'7a.20YrDetails'!BI145</f>
        <v>0</v>
      </c>
      <c r="BJ145" s="109"/>
      <c r="BK145" s="109"/>
      <c r="BL145" s="109">
        <f>'7a.20YrDetails'!BL145</f>
        <v>0</v>
      </c>
      <c r="BM145" s="109"/>
      <c r="BN145" s="109"/>
      <c r="BO145" s="109">
        <f>'7a.20YrDetails'!BO145</f>
        <v>0</v>
      </c>
    </row>
    <row r="146" spans="3:67" ht="12" customHeight="1">
      <c r="C146" s="245" t="str">
        <f>'7a.20YrDetails'!C146</f>
        <v>REMAINING BALANCE AFTER MOHCD RESIDUAL RECEIPTS DEBT SERVICE</v>
      </c>
      <c r="D146" s="9"/>
      <c r="E146" s="9"/>
      <c r="F146" s="102"/>
      <c r="G146" s="98" t="str">
        <f>IF('7a.20YrDetails'!$G146="","",'7a.20YrDetails'!$G146)</f>
        <v/>
      </c>
      <c r="H146" s="49"/>
      <c r="I146" s="49"/>
      <c r="J146" s="108">
        <f>'7a.20YrDetails'!J146</f>
        <v>0</v>
      </c>
      <c r="K146" s="108"/>
      <c r="L146" s="108"/>
      <c r="M146" s="108">
        <f>'7a.20YrDetails'!M146</f>
        <v>0</v>
      </c>
      <c r="N146" s="108"/>
      <c r="O146" s="108"/>
      <c r="P146" s="108">
        <f>'7a.20YrDetails'!P146</f>
        <v>0</v>
      </c>
      <c r="Q146" s="108"/>
      <c r="R146" s="108"/>
      <c r="S146" s="108">
        <f>'7a.20YrDetails'!S146</f>
        <v>0</v>
      </c>
      <c r="T146" s="108"/>
      <c r="U146" s="108"/>
      <c r="V146" s="108">
        <f>'7a.20YrDetails'!V146</f>
        <v>0</v>
      </c>
      <c r="W146" s="108"/>
      <c r="X146" s="108"/>
      <c r="Y146" s="108">
        <f>'7a.20YrDetails'!Y146</f>
        <v>0</v>
      </c>
      <c r="Z146" s="108"/>
      <c r="AA146" s="108"/>
      <c r="AB146" s="108">
        <f>'7a.20YrDetails'!AB146</f>
        <v>0</v>
      </c>
      <c r="AC146" s="108"/>
      <c r="AD146" s="108"/>
      <c r="AE146" s="108">
        <f>'7a.20YrDetails'!AE146</f>
        <v>0</v>
      </c>
      <c r="AF146" s="108"/>
      <c r="AG146" s="108"/>
      <c r="AH146" s="108">
        <f>'7a.20YrDetails'!AH146</f>
        <v>0</v>
      </c>
      <c r="AI146" s="108"/>
      <c r="AJ146" s="108"/>
      <c r="AK146" s="108">
        <f>'7a.20YrDetails'!AK146</f>
        <v>0</v>
      </c>
      <c r="AL146" s="108"/>
      <c r="AM146" s="108"/>
      <c r="AN146" s="108">
        <f>'7a.20YrDetails'!AN146</f>
        <v>0</v>
      </c>
      <c r="AO146" s="108"/>
      <c r="AP146" s="108"/>
      <c r="AQ146" s="108">
        <f>'7a.20YrDetails'!AQ146</f>
        <v>0</v>
      </c>
      <c r="AR146" s="108"/>
      <c r="AS146" s="108"/>
      <c r="AT146" s="108">
        <f>'7a.20YrDetails'!AT146</f>
        <v>0</v>
      </c>
      <c r="AU146" s="108"/>
      <c r="AV146" s="108"/>
      <c r="AW146" s="108">
        <f>'7a.20YrDetails'!AW146</f>
        <v>0</v>
      </c>
      <c r="AX146" s="108"/>
      <c r="AY146" s="108"/>
      <c r="AZ146" s="108">
        <f>'7a.20YrDetails'!AZ146</f>
        <v>0</v>
      </c>
      <c r="BA146" s="108"/>
      <c r="BB146" s="108"/>
      <c r="BC146" s="108">
        <f>'7a.20YrDetails'!BC146</f>
        <v>0</v>
      </c>
      <c r="BD146" s="108"/>
      <c r="BE146" s="108"/>
      <c r="BF146" s="108">
        <f>'7a.20YrDetails'!BF146</f>
        <v>0</v>
      </c>
      <c r="BG146" s="108"/>
      <c r="BH146" s="108"/>
      <c r="BI146" s="108">
        <f>'7a.20YrDetails'!BI146</f>
        <v>0</v>
      </c>
      <c r="BJ146" s="108"/>
      <c r="BK146" s="108"/>
      <c r="BL146" s="108">
        <f>'7a.20YrDetails'!BL146</f>
        <v>0</v>
      </c>
      <c r="BM146" s="108"/>
      <c r="BN146" s="108"/>
      <c r="BO146" s="108">
        <f>'7a.20YrDetails'!BO146</f>
        <v>0</v>
      </c>
    </row>
    <row r="147" spans="3:67" ht="12" customHeight="1">
      <c r="C147" s="6"/>
      <c r="D147" s="8"/>
      <c r="E147" s="8"/>
      <c r="F147" s="101"/>
      <c r="G147" s="49"/>
      <c r="H147" s="49"/>
      <c r="I147" s="49"/>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row>
    <row r="148" spans="3:67" ht="12" customHeight="1">
      <c r="C148" s="1330" t="str">
        <f>'7a.20YrDetails'!C148</f>
        <v>NON-MOHCD RESIDUAL RECEIPTS DEBT SERVICE</v>
      </c>
      <c r="D148" s="8"/>
      <c r="E148" s="8"/>
      <c r="F148" s="101"/>
      <c r="G148" s="49"/>
      <c r="H148" s="49"/>
      <c r="I148" s="49"/>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row>
    <row r="149" spans="3:67" ht="12" customHeight="1">
      <c r="C149" s="333" t="str">
        <f>'7a.20YrDetails'!C149</f>
        <v>HCD Residual Receipts Amount Due</v>
      </c>
      <c r="D149" s="8"/>
      <c r="E149" s="8"/>
      <c r="F149" s="100">
        <f>'7a.20YrDetails'!F149</f>
        <v>0</v>
      </c>
      <c r="G149" s="49"/>
      <c r="H149" s="109"/>
      <c r="I149" s="109"/>
      <c r="J149" s="109">
        <f>'7a.20YrDetails'!J149</f>
        <v>0</v>
      </c>
      <c r="K149" s="109"/>
      <c r="L149" s="109"/>
      <c r="M149" s="109">
        <f>'7a.20YrDetails'!M149</f>
        <v>0</v>
      </c>
      <c r="N149" s="109"/>
      <c r="O149" s="109"/>
      <c r="P149" s="109">
        <f>'7a.20YrDetails'!P149</f>
        <v>0</v>
      </c>
      <c r="Q149" s="109"/>
      <c r="R149" s="109"/>
      <c r="S149" s="109">
        <f>'7a.20YrDetails'!S149</f>
        <v>0</v>
      </c>
      <c r="T149" s="109"/>
      <c r="U149" s="109"/>
      <c r="V149" s="109">
        <f>'7a.20YrDetails'!V149</f>
        <v>0</v>
      </c>
      <c r="W149" s="109"/>
      <c r="X149" s="109"/>
      <c r="Y149" s="109">
        <f>'7a.20YrDetails'!Y149</f>
        <v>0</v>
      </c>
      <c r="Z149" s="109"/>
      <c r="AA149" s="109"/>
      <c r="AB149" s="109">
        <f>'7a.20YrDetails'!AB149</f>
        <v>0</v>
      </c>
      <c r="AC149" s="109"/>
      <c r="AD149" s="109"/>
      <c r="AE149" s="109">
        <f>'7a.20YrDetails'!AE149</f>
        <v>0</v>
      </c>
      <c r="AF149" s="109"/>
      <c r="AG149" s="109"/>
      <c r="AH149" s="109">
        <f>'7a.20YrDetails'!AH149</f>
        <v>0</v>
      </c>
      <c r="AI149" s="109"/>
      <c r="AJ149" s="109"/>
      <c r="AK149" s="109">
        <f>'7a.20YrDetails'!AK149</f>
        <v>0</v>
      </c>
      <c r="AL149" s="109"/>
      <c r="AM149" s="109"/>
      <c r="AN149" s="109">
        <f>'7a.20YrDetails'!AN149</f>
        <v>0</v>
      </c>
      <c r="AO149" s="109"/>
      <c r="AP149" s="109"/>
      <c r="AQ149" s="109">
        <f>'7a.20YrDetails'!AQ149</f>
        <v>0</v>
      </c>
      <c r="AR149" s="109"/>
      <c r="AS149" s="109"/>
      <c r="AT149" s="109">
        <f>'7a.20YrDetails'!AT149</f>
        <v>0</v>
      </c>
      <c r="AU149" s="109"/>
      <c r="AV149" s="109"/>
      <c r="AW149" s="109">
        <f>'7a.20YrDetails'!AW149</f>
        <v>0</v>
      </c>
      <c r="AX149" s="109"/>
      <c r="AY149" s="109"/>
      <c r="AZ149" s="109">
        <f>'7a.20YrDetails'!AZ149</f>
        <v>0</v>
      </c>
      <c r="BA149" s="109"/>
      <c r="BB149" s="109"/>
      <c r="BC149" s="109">
        <f>'7a.20YrDetails'!BC149</f>
        <v>0</v>
      </c>
      <c r="BD149" s="109"/>
      <c r="BE149" s="109"/>
      <c r="BF149" s="109">
        <f>'7a.20YrDetails'!BF149</f>
        <v>0</v>
      </c>
      <c r="BG149" s="109"/>
      <c r="BH149" s="109"/>
      <c r="BI149" s="109">
        <f>'7a.20YrDetails'!BI149</f>
        <v>0</v>
      </c>
      <c r="BJ149" s="109"/>
      <c r="BK149" s="109"/>
      <c r="BL149" s="109">
        <f>'7a.20YrDetails'!BL149</f>
        <v>0</v>
      </c>
      <c r="BM149" s="109"/>
      <c r="BN149" s="109"/>
      <c r="BO149" s="109">
        <f>'7a.20YrDetails'!BO149</f>
        <v>0</v>
      </c>
    </row>
    <row r="150" spans="3:67" ht="12" customHeight="1">
      <c r="C150" s="333" t="str">
        <f>'7a.20YrDetails'!C150</f>
        <v>Lender 4 Residual Receipts Due</v>
      </c>
      <c r="D150" s="8"/>
      <c r="E150" s="8"/>
      <c r="F150" s="100">
        <f>'7a.20YrDetails'!F150</f>
        <v>0</v>
      </c>
      <c r="G150" s="49"/>
      <c r="H150" s="109"/>
      <c r="I150" s="109"/>
      <c r="J150" s="109">
        <f>'7a.20YrDetails'!J150</f>
        <v>0</v>
      </c>
      <c r="K150" s="109"/>
      <c r="L150" s="109"/>
      <c r="M150" s="109">
        <f>'7a.20YrDetails'!M150</f>
        <v>0</v>
      </c>
      <c r="N150" s="109"/>
      <c r="O150" s="109"/>
      <c r="P150" s="109">
        <f>'7a.20YrDetails'!P150</f>
        <v>0</v>
      </c>
      <c r="Q150" s="109"/>
      <c r="R150" s="109"/>
      <c r="S150" s="109">
        <f>'7a.20YrDetails'!S150</f>
        <v>0</v>
      </c>
      <c r="T150" s="109"/>
      <c r="U150" s="109"/>
      <c r="V150" s="109">
        <f>'7a.20YrDetails'!V150</f>
        <v>0</v>
      </c>
      <c r="W150" s="109"/>
      <c r="X150" s="109"/>
      <c r="Y150" s="109">
        <f>'7a.20YrDetails'!Y150</f>
        <v>0</v>
      </c>
      <c r="Z150" s="109"/>
      <c r="AA150" s="109"/>
      <c r="AB150" s="109">
        <f>'7a.20YrDetails'!AB150</f>
        <v>0</v>
      </c>
      <c r="AC150" s="109"/>
      <c r="AD150" s="109"/>
      <c r="AE150" s="109">
        <f>'7a.20YrDetails'!AE150</f>
        <v>0</v>
      </c>
      <c r="AF150" s="109"/>
      <c r="AG150" s="109"/>
      <c r="AH150" s="109">
        <f>'7a.20YrDetails'!AH150</f>
        <v>0</v>
      </c>
      <c r="AI150" s="109"/>
      <c r="AJ150" s="109"/>
      <c r="AK150" s="109">
        <f>'7a.20YrDetails'!AK150</f>
        <v>0</v>
      </c>
      <c r="AL150" s="109"/>
      <c r="AM150" s="109"/>
      <c r="AN150" s="109">
        <f>'7a.20YrDetails'!AN150</f>
        <v>0</v>
      </c>
      <c r="AO150" s="109"/>
      <c r="AP150" s="109"/>
      <c r="AQ150" s="109">
        <f>'7a.20YrDetails'!AQ150</f>
        <v>0</v>
      </c>
      <c r="AR150" s="109"/>
      <c r="AS150" s="109"/>
      <c r="AT150" s="109">
        <f>'7a.20YrDetails'!AT150</f>
        <v>0</v>
      </c>
      <c r="AU150" s="109"/>
      <c r="AV150" s="109"/>
      <c r="AW150" s="109">
        <f>'7a.20YrDetails'!AW150</f>
        <v>0</v>
      </c>
      <c r="AX150" s="109"/>
      <c r="AY150" s="109"/>
      <c r="AZ150" s="109">
        <f>'7a.20YrDetails'!AZ150</f>
        <v>0</v>
      </c>
      <c r="BA150" s="109"/>
      <c r="BB150" s="109"/>
      <c r="BC150" s="109">
        <f>'7a.20YrDetails'!BC150</f>
        <v>0</v>
      </c>
      <c r="BD150" s="109"/>
      <c r="BE150" s="109"/>
      <c r="BF150" s="109">
        <f>'7a.20YrDetails'!BF150</f>
        <v>0</v>
      </c>
      <c r="BG150" s="109"/>
      <c r="BH150" s="109"/>
      <c r="BI150" s="109">
        <f>'7a.20YrDetails'!BI150</f>
        <v>0</v>
      </c>
      <c r="BJ150" s="109"/>
      <c r="BK150" s="109"/>
      <c r="BL150" s="109">
        <f>'7a.20YrDetails'!BL150</f>
        <v>0</v>
      </c>
      <c r="BM150" s="109"/>
      <c r="BN150" s="109"/>
      <c r="BO150" s="109">
        <f>'7a.20YrDetails'!BO150</f>
        <v>0</v>
      </c>
    </row>
    <row r="151" spans="3:67" ht="12" customHeight="1" thickBot="1">
      <c r="C151" s="333" t="str">
        <f>'7a.20YrDetails'!C151</f>
        <v>Lender 5 Residual Receipts Due</v>
      </c>
      <c r="D151" s="8"/>
      <c r="E151" s="8"/>
      <c r="F151" s="103">
        <f>'7a.20YrDetails'!F151</f>
        <v>0</v>
      </c>
      <c r="G151" s="49"/>
      <c r="H151" s="109"/>
      <c r="I151" s="109"/>
      <c r="J151" s="109">
        <f>'7a.20YrDetails'!J151</f>
        <v>0</v>
      </c>
      <c r="K151" s="109"/>
      <c r="L151" s="109"/>
      <c r="M151" s="109">
        <f>'7a.20YrDetails'!M151</f>
        <v>0</v>
      </c>
      <c r="N151" s="109"/>
      <c r="O151" s="109"/>
      <c r="P151" s="109">
        <f>'7a.20YrDetails'!P151</f>
        <v>0</v>
      </c>
      <c r="Q151" s="109"/>
      <c r="R151" s="109"/>
      <c r="S151" s="109">
        <f>'7a.20YrDetails'!S151</f>
        <v>0</v>
      </c>
      <c r="T151" s="109"/>
      <c r="U151" s="109"/>
      <c r="V151" s="109">
        <f>'7a.20YrDetails'!V151</f>
        <v>0</v>
      </c>
      <c r="W151" s="109"/>
      <c r="X151" s="109"/>
      <c r="Y151" s="109">
        <f>'7a.20YrDetails'!Y151</f>
        <v>0</v>
      </c>
      <c r="Z151" s="109"/>
      <c r="AA151" s="109"/>
      <c r="AB151" s="109">
        <f>'7a.20YrDetails'!AB151</f>
        <v>0</v>
      </c>
      <c r="AC151" s="109"/>
      <c r="AD151" s="109"/>
      <c r="AE151" s="109">
        <f>'7a.20YrDetails'!AE151</f>
        <v>0</v>
      </c>
      <c r="AF151" s="109"/>
      <c r="AG151" s="109"/>
      <c r="AH151" s="109">
        <f>'7a.20YrDetails'!AH151</f>
        <v>0</v>
      </c>
      <c r="AI151" s="109"/>
      <c r="AJ151" s="109"/>
      <c r="AK151" s="109">
        <f>'7a.20YrDetails'!AK151</f>
        <v>0</v>
      </c>
      <c r="AL151" s="109"/>
      <c r="AM151" s="109"/>
      <c r="AN151" s="109">
        <f>'7a.20YrDetails'!AN151</f>
        <v>0</v>
      </c>
      <c r="AO151" s="109"/>
      <c r="AP151" s="109"/>
      <c r="AQ151" s="109">
        <f>'7a.20YrDetails'!AQ151</f>
        <v>0</v>
      </c>
      <c r="AR151" s="109"/>
      <c r="AS151" s="109"/>
      <c r="AT151" s="109">
        <f>'7a.20YrDetails'!AT151</f>
        <v>0</v>
      </c>
      <c r="AU151" s="109"/>
      <c r="AV151" s="109"/>
      <c r="AW151" s="109">
        <f>'7a.20YrDetails'!AW151</f>
        <v>0</v>
      </c>
      <c r="AX151" s="109"/>
      <c r="AY151" s="109"/>
      <c r="AZ151" s="109">
        <f>'7a.20YrDetails'!AZ151</f>
        <v>0</v>
      </c>
      <c r="BA151" s="109"/>
      <c r="BB151" s="109"/>
      <c r="BC151" s="109">
        <f>'7a.20YrDetails'!BC151</f>
        <v>0</v>
      </c>
      <c r="BD151" s="109"/>
      <c r="BE151" s="109"/>
      <c r="BF151" s="109">
        <f>'7a.20YrDetails'!BF151</f>
        <v>0</v>
      </c>
      <c r="BG151" s="109"/>
      <c r="BH151" s="109"/>
      <c r="BI151" s="109">
        <f>'7a.20YrDetails'!BI151</f>
        <v>0</v>
      </c>
      <c r="BJ151" s="109"/>
      <c r="BK151" s="109"/>
      <c r="BL151" s="109">
        <f>'7a.20YrDetails'!BL151</f>
        <v>0</v>
      </c>
      <c r="BM151" s="109"/>
      <c r="BN151" s="109"/>
      <c r="BO151" s="109">
        <f>'7a.20YrDetails'!BO151</f>
        <v>0</v>
      </c>
    </row>
    <row r="152" spans="3:67" ht="12" customHeight="1">
      <c r="C152" s="6" t="str">
        <f>'7a.20YrDetails'!C152</f>
        <v>Total Non-MOHCD Residual Receipts Debt Service</v>
      </c>
      <c r="D152" s="8"/>
      <c r="E152" s="8"/>
      <c r="F152" s="50"/>
      <c r="G152" s="49"/>
      <c r="H152" s="49"/>
      <c r="I152" s="49"/>
      <c r="J152" s="28">
        <f>'7a.20YrDetails'!J152</f>
        <v>0</v>
      </c>
      <c r="K152" s="28"/>
      <c r="L152" s="28"/>
      <c r="M152" s="28">
        <f>'7a.20YrDetails'!M152</f>
        <v>0</v>
      </c>
      <c r="N152" s="28"/>
      <c r="O152" s="28"/>
      <c r="P152" s="28">
        <f>'7a.20YrDetails'!P152</f>
        <v>0</v>
      </c>
      <c r="Q152" s="28"/>
      <c r="R152" s="28"/>
      <c r="S152" s="28">
        <f>'7a.20YrDetails'!S152</f>
        <v>0</v>
      </c>
      <c r="T152" s="28"/>
      <c r="U152" s="28"/>
      <c r="V152" s="28">
        <f>'7a.20YrDetails'!V152</f>
        <v>0</v>
      </c>
      <c r="W152" s="28"/>
      <c r="X152" s="28"/>
      <c r="Y152" s="28">
        <f>'7a.20YrDetails'!Y152</f>
        <v>0</v>
      </c>
      <c r="Z152" s="28"/>
      <c r="AA152" s="28"/>
      <c r="AB152" s="28">
        <f>'7a.20YrDetails'!AB152</f>
        <v>0</v>
      </c>
      <c r="AC152" s="28"/>
      <c r="AD152" s="28"/>
      <c r="AE152" s="28">
        <f>'7a.20YrDetails'!AE152</f>
        <v>0</v>
      </c>
      <c r="AF152" s="28"/>
      <c r="AG152" s="28"/>
      <c r="AH152" s="28">
        <f>'7a.20YrDetails'!AH152</f>
        <v>0</v>
      </c>
      <c r="AI152" s="28"/>
      <c r="AJ152" s="28"/>
      <c r="AK152" s="28">
        <f>'7a.20YrDetails'!AK152</f>
        <v>0</v>
      </c>
      <c r="AL152" s="28"/>
      <c r="AM152" s="28"/>
      <c r="AN152" s="28">
        <f>'7a.20YrDetails'!AN152</f>
        <v>0</v>
      </c>
      <c r="AO152" s="28"/>
      <c r="AP152" s="28"/>
      <c r="AQ152" s="28">
        <f>'7a.20YrDetails'!AQ152</f>
        <v>0</v>
      </c>
      <c r="AR152" s="28"/>
      <c r="AS152" s="28"/>
      <c r="AT152" s="28">
        <f>'7a.20YrDetails'!AT152</f>
        <v>0</v>
      </c>
      <c r="AU152" s="28"/>
      <c r="AV152" s="28"/>
      <c r="AW152" s="28">
        <f>'7a.20YrDetails'!AW152</f>
        <v>0</v>
      </c>
      <c r="AX152" s="28"/>
      <c r="AY152" s="28"/>
      <c r="AZ152" s="28">
        <f>'7a.20YrDetails'!AZ152</f>
        <v>0</v>
      </c>
      <c r="BA152" s="28"/>
      <c r="BB152" s="28"/>
      <c r="BC152" s="28">
        <f>'7a.20YrDetails'!BC152</f>
        <v>0</v>
      </c>
      <c r="BD152" s="28"/>
      <c r="BE152" s="28"/>
      <c r="BF152" s="28">
        <f>'7a.20YrDetails'!BF152</f>
        <v>0</v>
      </c>
      <c r="BG152" s="28"/>
      <c r="BH152" s="28"/>
      <c r="BI152" s="28">
        <f>'7a.20YrDetails'!BI152</f>
        <v>0</v>
      </c>
      <c r="BJ152" s="28"/>
      <c r="BK152" s="28"/>
      <c r="BL152" s="28">
        <f>'7a.20YrDetails'!BL152</f>
        <v>0</v>
      </c>
      <c r="BM152" s="28"/>
      <c r="BN152" s="28"/>
      <c r="BO152" s="28">
        <f>'7a.20YrDetails'!BO152</f>
        <v>0</v>
      </c>
    </row>
    <row r="153" spans="3:67" ht="12" customHeight="1">
      <c r="C153" s="6"/>
      <c r="D153" s="8"/>
      <c r="E153" s="8"/>
      <c r="F153" s="50"/>
      <c r="G153" s="49"/>
      <c r="H153" s="49"/>
      <c r="I153" s="49"/>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row>
    <row r="154" spans="3:67" ht="12" customHeight="1">
      <c r="C154" s="6" t="str">
        <f>'7a.20YrDetails'!C154</f>
        <v>REMAINDER (Should be zero unless there are distributions below)</v>
      </c>
      <c r="D154" s="5"/>
      <c r="E154" s="5"/>
      <c r="F154" s="53"/>
      <c r="G154" s="49"/>
      <c r="H154" s="49"/>
      <c r="I154" s="49"/>
      <c r="J154" s="28">
        <f>'7a.20YrDetails'!J154</f>
        <v>0</v>
      </c>
      <c r="K154" s="28"/>
      <c r="L154" s="28"/>
      <c r="M154" s="28">
        <f>'7a.20YrDetails'!M154</f>
        <v>0</v>
      </c>
      <c r="N154" s="28"/>
      <c r="O154" s="28"/>
      <c r="P154" s="28">
        <f>'7a.20YrDetails'!P154</f>
        <v>0</v>
      </c>
      <c r="Q154" s="28"/>
      <c r="R154" s="28"/>
      <c r="S154" s="28">
        <f>'7a.20YrDetails'!S154</f>
        <v>0</v>
      </c>
      <c r="T154" s="28"/>
      <c r="U154" s="28"/>
      <c r="V154" s="28">
        <f>'7a.20YrDetails'!V154</f>
        <v>0</v>
      </c>
      <c r="W154" s="28"/>
      <c r="X154" s="28"/>
      <c r="Y154" s="28">
        <f>'7a.20YrDetails'!Y154</f>
        <v>0</v>
      </c>
      <c r="Z154" s="28"/>
      <c r="AA154" s="28"/>
      <c r="AB154" s="28">
        <f>'7a.20YrDetails'!AB154</f>
        <v>0</v>
      </c>
      <c r="AC154" s="28"/>
      <c r="AD154" s="28"/>
      <c r="AE154" s="28">
        <f>'7a.20YrDetails'!AE154</f>
        <v>0</v>
      </c>
      <c r="AF154" s="28"/>
      <c r="AG154" s="28"/>
      <c r="AH154" s="28">
        <f>'7a.20YrDetails'!AH154</f>
        <v>0</v>
      </c>
      <c r="AI154" s="28"/>
      <c r="AJ154" s="28"/>
      <c r="AK154" s="28">
        <f>'7a.20YrDetails'!AK154</f>
        <v>0</v>
      </c>
      <c r="AL154" s="28"/>
      <c r="AM154" s="28"/>
      <c r="AN154" s="28">
        <f>'7a.20YrDetails'!AN154</f>
        <v>0</v>
      </c>
      <c r="AO154" s="28"/>
      <c r="AP154" s="28"/>
      <c r="AQ154" s="28">
        <f>'7a.20YrDetails'!AQ154</f>
        <v>0</v>
      </c>
      <c r="AR154" s="28"/>
      <c r="AS154" s="28"/>
      <c r="AT154" s="28">
        <f>'7a.20YrDetails'!AT154</f>
        <v>0</v>
      </c>
      <c r="AU154" s="28"/>
      <c r="AV154" s="28"/>
      <c r="AW154" s="28">
        <f>'7a.20YrDetails'!AW154</f>
        <v>0</v>
      </c>
      <c r="AX154" s="28"/>
      <c r="AY154" s="28"/>
      <c r="AZ154" s="28">
        <f>'7a.20YrDetails'!AZ154</f>
        <v>0</v>
      </c>
      <c r="BA154" s="28"/>
      <c r="BB154" s="28"/>
      <c r="BC154" s="28">
        <f>'7a.20YrDetails'!BC154</f>
        <v>0</v>
      </c>
      <c r="BD154" s="28"/>
      <c r="BE154" s="28"/>
      <c r="BF154" s="28">
        <f>'7a.20YrDetails'!BF154</f>
        <v>0</v>
      </c>
      <c r="BG154" s="28"/>
      <c r="BH154" s="28"/>
      <c r="BI154" s="28">
        <f>'7a.20YrDetails'!BI154</f>
        <v>0</v>
      </c>
      <c r="BJ154" s="28"/>
      <c r="BK154" s="28"/>
      <c r="BL154" s="28">
        <f>'7a.20YrDetails'!BL154</f>
        <v>0</v>
      </c>
      <c r="BM154" s="28"/>
      <c r="BN154" s="28"/>
      <c r="BO154" s="28">
        <f>'7a.20YrDetails'!BO154</f>
        <v>0</v>
      </c>
    </row>
    <row r="155" spans="3:67" ht="12" customHeight="1">
      <c r="C155" s="10" t="str">
        <f>'7a.20YrDetails'!C155</f>
        <v>Owner Distributions/Incentive Management Fee</v>
      </c>
      <c r="D155" s="5"/>
      <c r="E155" s="5"/>
      <c r="F155" s="107"/>
      <c r="G155" s="46" t="str">
        <f>IF('7a.20YrDetails'!$G155="","",'7a.20YrDetails'!$G155)</f>
        <v/>
      </c>
      <c r="H155" s="109"/>
      <c r="I155" s="109"/>
      <c r="J155" s="109">
        <f>'7a.20YrDetails'!J155</f>
        <v>0</v>
      </c>
      <c r="K155" s="109"/>
      <c r="L155" s="109"/>
      <c r="M155" s="109">
        <f>'7a.20YrDetails'!M155</f>
        <v>0</v>
      </c>
      <c r="N155" s="109"/>
      <c r="O155" s="109"/>
      <c r="P155" s="109">
        <f>'7a.20YrDetails'!P155</f>
        <v>0</v>
      </c>
      <c r="Q155" s="109"/>
      <c r="R155" s="109"/>
      <c r="S155" s="109">
        <f>'7a.20YrDetails'!S155</f>
        <v>0</v>
      </c>
      <c r="T155" s="109"/>
      <c r="U155" s="109"/>
      <c r="V155" s="109">
        <f>'7a.20YrDetails'!V155</f>
        <v>0</v>
      </c>
      <c r="W155" s="109"/>
      <c r="X155" s="109"/>
      <c r="Y155" s="109">
        <f>'7a.20YrDetails'!Y155</f>
        <v>0</v>
      </c>
      <c r="Z155" s="109"/>
      <c r="AA155" s="109"/>
      <c r="AB155" s="109">
        <f>'7a.20YrDetails'!AB155</f>
        <v>0</v>
      </c>
      <c r="AC155" s="109"/>
      <c r="AD155" s="109"/>
      <c r="AE155" s="109">
        <f>'7a.20YrDetails'!AE155</f>
        <v>0</v>
      </c>
      <c r="AF155" s="109"/>
      <c r="AG155" s="109"/>
      <c r="AH155" s="109">
        <f>'7a.20YrDetails'!AH155</f>
        <v>0</v>
      </c>
      <c r="AI155" s="109"/>
      <c r="AJ155" s="109"/>
      <c r="AK155" s="109">
        <f>'7a.20YrDetails'!AK155</f>
        <v>0</v>
      </c>
      <c r="AL155" s="109"/>
      <c r="AM155" s="109"/>
      <c r="AN155" s="109">
        <f>'7a.20YrDetails'!AN155</f>
        <v>0</v>
      </c>
      <c r="AO155" s="109"/>
      <c r="AP155" s="109"/>
      <c r="AQ155" s="109">
        <f>'7a.20YrDetails'!AQ155</f>
        <v>0</v>
      </c>
      <c r="AR155" s="109"/>
      <c r="AS155" s="109"/>
      <c r="AT155" s="109">
        <f>'7a.20YrDetails'!AT155</f>
        <v>0</v>
      </c>
      <c r="AU155" s="109"/>
      <c r="AV155" s="109"/>
      <c r="AW155" s="109">
        <f>'7a.20YrDetails'!AW155</f>
        <v>0</v>
      </c>
      <c r="AX155" s="109"/>
      <c r="AY155" s="109"/>
      <c r="AZ155" s="109">
        <f>'7a.20YrDetails'!AZ155</f>
        <v>0</v>
      </c>
      <c r="BA155" s="109"/>
      <c r="BB155" s="109"/>
      <c r="BC155" s="109">
        <f>'7a.20YrDetails'!BC155</f>
        <v>0</v>
      </c>
      <c r="BD155" s="109"/>
      <c r="BE155" s="109"/>
      <c r="BF155" s="109">
        <f>'7a.20YrDetails'!BF155</f>
        <v>0</v>
      </c>
      <c r="BG155" s="109"/>
      <c r="BH155" s="109"/>
      <c r="BI155" s="109">
        <f>'7a.20YrDetails'!BI155</f>
        <v>0</v>
      </c>
      <c r="BJ155" s="109"/>
      <c r="BK155" s="109"/>
      <c r="BL155" s="109">
        <f>'7a.20YrDetails'!BL155</f>
        <v>0</v>
      </c>
      <c r="BM155" s="109"/>
      <c r="BN155" s="109"/>
      <c r="BO155" s="109">
        <f>'7a.20YrDetails'!BO155</f>
        <v>0</v>
      </c>
    </row>
    <row r="156" spans="3:67" ht="12" customHeight="1">
      <c r="C156" s="10" t="str">
        <f>'7a.20YrDetails'!C156</f>
        <v>Other Distributions/Uses</v>
      </c>
      <c r="D156" s="5"/>
      <c r="E156" s="5"/>
      <c r="F156" s="53"/>
      <c r="G156" s="46" t="str">
        <f>IF('7a.20YrDetails'!$G156="","",'7a.20YrDetails'!$G156)</f>
        <v/>
      </c>
      <c r="H156" s="109"/>
      <c r="I156" s="109"/>
      <c r="J156" s="109">
        <f>'7a.20YrDetails'!J156</f>
        <v>0</v>
      </c>
      <c r="K156" s="109"/>
      <c r="L156" s="109"/>
      <c r="M156" s="109">
        <f>'7a.20YrDetails'!M156</f>
        <v>0</v>
      </c>
      <c r="N156" s="109"/>
      <c r="O156" s="109"/>
      <c r="P156" s="109">
        <f>'7a.20YrDetails'!P156</f>
        <v>0</v>
      </c>
      <c r="Q156" s="109"/>
      <c r="R156" s="109"/>
      <c r="S156" s="109">
        <f>'7a.20YrDetails'!S156</f>
        <v>0</v>
      </c>
      <c r="T156" s="109"/>
      <c r="U156" s="109"/>
      <c r="V156" s="109">
        <f>'7a.20YrDetails'!V156</f>
        <v>0</v>
      </c>
      <c r="W156" s="109"/>
      <c r="X156" s="109"/>
      <c r="Y156" s="109">
        <f>'7a.20YrDetails'!Y156</f>
        <v>0</v>
      </c>
      <c r="Z156" s="109"/>
      <c r="AA156" s="109"/>
      <c r="AB156" s="109">
        <f>'7a.20YrDetails'!AB156</f>
        <v>0</v>
      </c>
      <c r="AC156" s="109"/>
      <c r="AD156" s="109"/>
      <c r="AE156" s="109">
        <f>'7a.20YrDetails'!AE156</f>
        <v>0</v>
      </c>
      <c r="AF156" s="109"/>
      <c r="AG156" s="109"/>
      <c r="AH156" s="109">
        <f>'7a.20YrDetails'!AH156</f>
        <v>0</v>
      </c>
      <c r="AI156" s="109"/>
      <c r="AJ156" s="109"/>
      <c r="AK156" s="109">
        <f>'7a.20YrDetails'!AK156</f>
        <v>0</v>
      </c>
      <c r="AL156" s="109"/>
      <c r="AM156" s="109"/>
      <c r="AN156" s="109">
        <f>'7a.20YrDetails'!AN156</f>
        <v>0</v>
      </c>
      <c r="AO156" s="109"/>
      <c r="AP156" s="109"/>
      <c r="AQ156" s="109">
        <f>'7a.20YrDetails'!AQ156</f>
        <v>0</v>
      </c>
      <c r="AR156" s="109"/>
      <c r="AS156" s="109"/>
      <c r="AT156" s="109">
        <f>'7a.20YrDetails'!AT156</f>
        <v>0</v>
      </c>
      <c r="AU156" s="109"/>
      <c r="AV156" s="109"/>
      <c r="AW156" s="109">
        <f>'7a.20YrDetails'!AW156</f>
        <v>0</v>
      </c>
      <c r="AX156" s="109"/>
      <c r="AY156" s="109"/>
      <c r="AZ156" s="109">
        <f>'7a.20YrDetails'!AZ156</f>
        <v>0</v>
      </c>
      <c r="BA156" s="109"/>
      <c r="BB156" s="109"/>
      <c r="BC156" s="109">
        <f>'7a.20YrDetails'!BC156</f>
        <v>0</v>
      </c>
      <c r="BD156" s="109"/>
      <c r="BE156" s="109"/>
      <c r="BF156" s="109">
        <f>'7a.20YrDetails'!BF156</f>
        <v>0</v>
      </c>
      <c r="BG156" s="109"/>
      <c r="BH156" s="109"/>
      <c r="BI156" s="109">
        <f>'7a.20YrDetails'!BI156</f>
        <v>0</v>
      </c>
      <c r="BJ156" s="109"/>
      <c r="BK156" s="109"/>
      <c r="BL156" s="109">
        <f>'7a.20YrDetails'!BL156</f>
        <v>0</v>
      </c>
      <c r="BM156" s="109"/>
      <c r="BN156" s="109"/>
      <c r="BO156" s="109">
        <f>'7a.20YrDetails'!BO156</f>
        <v>0</v>
      </c>
    </row>
    <row r="157" spans="3:67" ht="12" customHeight="1">
      <c r="C157" s="6" t="str">
        <f>'7a.20YrDetails'!C157</f>
        <v>Final Balance (should be zero)</v>
      </c>
      <c r="D157" s="5"/>
      <c r="E157" s="5"/>
      <c r="F157" s="53"/>
      <c r="G157" s="49"/>
      <c r="H157" s="49"/>
      <c r="I157" s="49"/>
      <c r="J157" s="19">
        <f>'7a.20YrDetails'!J157</f>
        <v>0</v>
      </c>
      <c r="K157" s="19"/>
      <c r="L157" s="19"/>
      <c r="M157" s="19">
        <f>'7a.20YrDetails'!M157</f>
        <v>0</v>
      </c>
      <c r="N157" s="19"/>
      <c r="O157" s="19"/>
      <c r="P157" s="19">
        <f>'7a.20YrDetails'!P157</f>
        <v>0</v>
      </c>
      <c r="Q157" s="19"/>
      <c r="R157" s="19"/>
      <c r="S157" s="19">
        <f>'7a.20YrDetails'!S157</f>
        <v>0</v>
      </c>
      <c r="T157" s="19"/>
      <c r="U157" s="19"/>
      <c r="V157" s="19">
        <f>'7a.20YrDetails'!V157</f>
        <v>0</v>
      </c>
      <c r="W157" s="19"/>
      <c r="X157" s="19"/>
      <c r="Y157" s="19">
        <f>'7a.20YrDetails'!Y157</f>
        <v>0</v>
      </c>
      <c r="Z157" s="19"/>
      <c r="AA157" s="19"/>
      <c r="AB157" s="19">
        <f>'7a.20YrDetails'!AB157</f>
        <v>0</v>
      </c>
      <c r="AC157" s="19"/>
      <c r="AD157" s="19"/>
      <c r="AE157" s="19">
        <f>'7a.20YrDetails'!AE157</f>
        <v>0</v>
      </c>
      <c r="AF157" s="19"/>
      <c r="AG157" s="19"/>
      <c r="AH157" s="19">
        <f>'7a.20YrDetails'!AH157</f>
        <v>0</v>
      </c>
      <c r="AI157" s="19"/>
      <c r="AJ157" s="19"/>
      <c r="AK157" s="19">
        <f>'7a.20YrDetails'!AK157</f>
        <v>0</v>
      </c>
      <c r="AL157" s="19"/>
      <c r="AM157" s="19"/>
      <c r="AN157" s="19">
        <f>'7a.20YrDetails'!AN157</f>
        <v>0</v>
      </c>
      <c r="AO157" s="19"/>
      <c r="AP157" s="19"/>
      <c r="AQ157" s="19">
        <f>'7a.20YrDetails'!AQ157</f>
        <v>0</v>
      </c>
      <c r="AR157" s="19"/>
      <c r="AS157" s="19"/>
      <c r="AT157" s="19">
        <f>'7a.20YrDetails'!AT157</f>
        <v>0</v>
      </c>
      <c r="AU157" s="19"/>
      <c r="AV157" s="19"/>
      <c r="AW157" s="19">
        <f>'7a.20YrDetails'!AW157</f>
        <v>0</v>
      </c>
      <c r="AX157" s="19"/>
      <c r="AY157" s="19"/>
      <c r="AZ157" s="19">
        <f>'7a.20YrDetails'!AZ157</f>
        <v>0</v>
      </c>
      <c r="BA157" s="19"/>
      <c r="BB157" s="19"/>
      <c r="BC157" s="19">
        <f>'7a.20YrDetails'!BC157</f>
        <v>0</v>
      </c>
      <c r="BD157" s="19"/>
      <c r="BE157" s="19"/>
      <c r="BF157" s="19">
        <f>'7a.20YrDetails'!BF157</f>
        <v>0</v>
      </c>
      <c r="BG157" s="19"/>
      <c r="BH157" s="19"/>
      <c r="BI157" s="19">
        <f>'7a.20YrDetails'!BI157</f>
        <v>0</v>
      </c>
      <c r="BJ157" s="19"/>
      <c r="BK157" s="19"/>
      <c r="BL157" s="19">
        <f>'7a.20YrDetails'!BL157</f>
        <v>0</v>
      </c>
      <c r="BM157" s="19"/>
      <c r="BN157" s="19"/>
      <c r="BO157" s="19">
        <f>'7a.20YrDetails'!BO157</f>
        <v>0</v>
      </c>
    </row>
    <row r="158" spans="3:67" ht="12" customHeight="1">
      <c r="C158" s="6"/>
      <c r="D158" s="5"/>
      <c r="E158" s="5"/>
      <c r="F158" s="53"/>
      <c r="G158" s="49"/>
      <c r="H158" s="49"/>
      <c r="I158" s="4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row>
    <row r="159" spans="3:67" ht="12" hidden="1" customHeight="1" outlineLevel="1" thickBot="1">
      <c r="C159" s="6" t="str">
        <f>'7a.20YrDetails'!C159</f>
        <v>REPLACEMENT RESERVE - RUNNING BALANCE</v>
      </c>
      <c r="D159" s="5"/>
      <c r="E159" s="5"/>
      <c r="F159" s="53"/>
      <c r="G159" s="49"/>
      <c r="H159" s="49"/>
      <c r="I159" s="4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row>
    <row r="160" spans="3:67" ht="12" hidden="1" customHeight="1" outlineLevel="1" thickBot="1">
      <c r="C160" s="10" t="str">
        <f>'7a.20YrDetails'!C160</f>
        <v>Replacement Reserve Starting Balance</v>
      </c>
      <c r="D160" s="5"/>
      <c r="E160" s="5"/>
      <c r="F160" s="53"/>
      <c r="G160" s="47" t="str">
        <f>IF('7a.20YrDetails'!$G160="","",'7a.20YrDetails'!$G160)</f>
        <v/>
      </c>
      <c r="H160" s="49"/>
      <c r="I160" s="49"/>
      <c r="J160" s="23">
        <f>'7a.20YrDetails'!J160</f>
        <v>0</v>
      </c>
      <c r="K160" s="23"/>
      <c r="L160" s="23"/>
      <c r="M160" s="23">
        <f>'7a.20YrDetails'!M160</f>
        <v>0</v>
      </c>
      <c r="N160" s="23"/>
      <c r="O160" s="23"/>
      <c r="P160" s="23">
        <f>'7a.20YrDetails'!P160</f>
        <v>0</v>
      </c>
      <c r="Q160" s="23"/>
      <c r="R160" s="23"/>
      <c r="S160" s="23">
        <f>'7a.20YrDetails'!S160</f>
        <v>0</v>
      </c>
      <c r="T160" s="23"/>
      <c r="U160" s="23"/>
      <c r="V160" s="23">
        <f>'7a.20YrDetails'!V160</f>
        <v>0</v>
      </c>
      <c r="W160" s="23"/>
      <c r="X160" s="23"/>
      <c r="Y160" s="23">
        <f>'7a.20YrDetails'!Y160</f>
        <v>0</v>
      </c>
      <c r="Z160" s="23"/>
      <c r="AA160" s="23"/>
      <c r="AB160" s="23">
        <f>'7a.20YrDetails'!AB160</f>
        <v>0</v>
      </c>
      <c r="AC160" s="23"/>
      <c r="AD160" s="23"/>
      <c r="AE160" s="23">
        <f>'7a.20YrDetails'!AE160</f>
        <v>0</v>
      </c>
      <c r="AF160" s="23"/>
      <c r="AG160" s="23"/>
      <c r="AH160" s="23">
        <f>'7a.20YrDetails'!AH160</f>
        <v>0</v>
      </c>
      <c r="AI160" s="23"/>
      <c r="AJ160" s="23"/>
      <c r="AK160" s="23">
        <f>'7a.20YrDetails'!AK160</f>
        <v>0</v>
      </c>
      <c r="AL160" s="23"/>
      <c r="AM160" s="23"/>
      <c r="AN160" s="23">
        <f>'7a.20YrDetails'!AN160</f>
        <v>0</v>
      </c>
      <c r="AO160" s="23"/>
      <c r="AP160" s="23"/>
      <c r="AQ160" s="23">
        <f>'7a.20YrDetails'!AQ160</f>
        <v>0</v>
      </c>
      <c r="AR160" s="23"/>
      <c r="AS160" s="23"/>
      <c r="AT160" s="23">
        <f>'7a.20YrDetails'!AT160</f>
        <v>0</v>
      </c>
      <c r="AU160" s="23"/>
      <c r="AV160" s="23"/>
      <c r="AW160" s="23">
        <f>'7a.20YrDetails'!AW160</f>
        <v>0</v>
      </c>
      <c r="AX160" s="23"/>
      <c r="AY160" s="23"/>
      <c r="AZ160" s="23">
        <f>'7a.20YrDetails'!AZ160</f>
        <v>0</v>
      </c>
      <c r="BA160" s="23"/>
      <c r="BB160" s="23"/>
      <c r="BC160" s="23">
        <f>'7a.20YrDetails'!BC160</f>
        <v>0</v>
      </c>
      <c r="BD160" s="23"/>
      <c r="BE160" s="23"/>
      <c r="BF160" s="23">
        <f>'7a.20YrDetails'!BF160</f>
        <v>0</v>
      </c>
      <c r="BG160" s="23"/>
      <c r="BH160" s="23"/>
      <c r="BI160" s="23">
        <f>'7a.20YrDetails'!BI160</f>
        <v>0</v>
      </c>
      <c r="BJ160" s="23"/>
      <c r="BK160" s="23"/>
      <c r="BL160" s="23">
        <f>'7a.20YrDetails'!BL160</f>
        <v>0</v>
      </c>
      <c r="BM160" s="655"/>
      <c r="BN160" s="655"/>
      <c r="BO160" s="23">
        <f>'7a.20YrDetails'!BO160</f>
        <v>0</v>
      </c>
    </row>
    <row r="161" spans="3:67" ht="12" hidden="1" customHeight="1" outlineLevel="1" thickBot="1">
      <c r="C161" s="10" t="str">
        <f>'7a.20YrDetails'!C161</f>
        <v>Replacement Reserve Deposits</v>
      </c>
      <c r="D161" s="5"/>
      <c r="E161" s="5"/>
      <c r="F161" s="53"/>
      <c r="G161" s="47" t="str">
        <f>IF('7a.20YrDetails'!$G161="","",'7a.20YrDetails'!$G161)</f>
        <v/>
      </c>
      <c r="H161" s="49"/>
      <c r="I161" s="49"/>
      <c r="J161" s="23">
        <f>'7a.20YrDetails'!J161</f>
        <v>0</v>
      </c>
      <c r="K161" s="23"/>
      <c r="L161" s="23"/>
      <c r="M161" s="23">
        <f>'7a.20YrDetails'!M161</f>
        <v>0</v>
      </c>
      <c r="N161" s="23"/>
      <c r="O161" s="23"/>
      <c r="P161" s="23">
        <f>'7a.20YrDetails'!P161</f>
        <v>0</v>
      </c>
      <c r="Q161" s="23"/>
      <c r="R161" s="23"/>
      <c r="S161" s="23">
        <f>'7a.20YrDetails'!S161</f>
        <v>0</v>
      </c>
      <c r="T161" s="23"/>
      <c r="U161" s="23"/>
      <c r="V161" s="23">
        <f>'7a.20YrDetails'!V161</f>
        <v>0</v>
      </c>
      <c r="W161" s="23"/>
      <c r="X161" s="23"/>
      <c r="Y161" s="23">
        <f>'7a.20YrDetails'!Y161</f>
        <v>0</v>
      </c>
      <c r="Z161" s="23"/>
      <c r="AA161" s="23"/>
      <c r="AB161" s="23">
        <f>'7a.20YrDetails'!AB161</f>
        <v>0</v>
      </c>
      <c r="AC161" s="23"/>
      <c r="AD161" s="23"/>
      <c r="AE161" s="23">
        <f>'7a.20YrDetails'!AE161</f>
        <v>0</v>
      </c>
      <c r="AF161" s="23"/>
      <c r="AG161" s="23"/>
      <c r="AH161" s="23">
        <f>'7a.20YrDetails'!AH161</f>
        <v>0</v>
      </c>
      <c r="AI161" s="23"/>
      <c r="AJ161" s="23"/>
      <c r="AK161" s="23">
        <f>'7a.20YrDetails'!AK161</f>
        <v>0</v>
      </c>
      <c r="AL161" s="23"/>
      <c r="AM161" s="23"/>
      <c r="AN161" s="23">
        <f>'7a.20YrDetails'!AN161</f>
        <v>0</v>
      </c>
      <c r="AO161" s="23"/>
      <c r="AP161" s="23"/>
      <c r="AQ161" s="23">
        <f>'7a.20YrDetails'!AQ161</f>
        <v>0</v>
      </c>
      <c r="AR161" s="23"/>
      <c r="AS161" s="23"/>
      <c r="AT161" s="23">
        <f>'7a.20YrDetails'!AT161</f>
        <v>0</v>
      </c>
      <c r="AU161" s="23"/>
      <c r="AV161" s="23"/>
      <c r="AW161" s="23">
        <f>'7a.20YrDetails'!AW161</f>
        <v>0</v>
      </c>
      <c r="AX161" s="23"/>
      <c r="AY161" s="23"/>
      <c r="AZ161" s="23">
        <f>'7a.20YrDetails'!AZ161</f>
        <v>0</v>
      </c>
      <c r="BA161" s="23"/>
      <c r="BB161" s="23"/>
      <c r="BC161" s="23">
        <f>'7a.20YrDetails'!BC161</f>
        <v>0</v>
      </c>
      <c r="BD161" s="23"/>
      <c r="BE161" s="23"/>
      <c r="BF161" s="23">
        <f>'7a.20YrDetails'!BF161</f>
        <v>0</v>
      </c>
      <c r="BG161" s="23"/>
      <c r="BH161" s="23"/>
      <c r="BI161" s="23">
        <f>'7a.20YrDetails'!BI161</f>
        <v>0</v>
      </c>
      <c r="BJ161" s="23"/>
      <c r="BK161" s="23"/>
      <c r="BL161" s="23">
        <f>'7a.20YrDetails'!BL161</f>
        <v>0</v>
      </c>
      <c r="BM161" s="655"/>
      <c r="BN161" s="655"/>
      <c r="BO161" s="23">
        <f>'7a.20YrDetails'!BO161</f>
        <v>0</v>
      </c>
    </row>
    <row r="162" spans="3:67" ht="12" hidden="1" customHeight="1" outlineLevel="1" thickBot="1">
      <c r="C162" s="10" t="str">
        <f>'7a.20YrDetails'!C162</f>
        <v>City Share Replacement Reserve Deposit (Small Sites Only)</v>
      </c>
      <c r="D162" s="5"/>
      <c r="E162" s="5"/>
      <c r="F162" s="53"/>
      <c r="G162" s="47"/>
      <c r="H162" s="49"/>
      <c r="I162" s="49"/>
      <c r="J162" s="23">
        <f>'7a.20YrDetails'!J162</f>
        <v>0</v>
      </c>
      <c r="K162" s="23"/>
      <c r="L162" s="23"/>
      <c r="M162" s="23">
        <f>'7a.20YrDetails'!M162</f>
        <v>0</v>
      </c>
      <c r="N162" s="23"/>
      <c r="O162" s="23"/>
      <c r="P162" s="23">
        <f>'7a.20YrDetails'!P162</f>
        <v>0</v>
      </c>
      <c r="Q162" s="23"/>
      <c r="R162" s="23"/>
      <c r="S162" s="23">
        <f>'7a.20YrDetails'!S162</f>
        <v>0</v>
      </c>
      <c r="T162" s="23"/>
      <c r="U162" s="23"/>
      <c r="V162" s="23">
        <f>'7a.20YrDetails'!V162</f>
        <v>0</v>
      </c>
      <c r="W162" s="23"/>
      <c r="X162" s="23"/>
      <c r="Y162" s="23">
        <f>'7a.20YrDetails'!Y162</f>
        <v>0</v>
      </c>
      <c r="Z162" s="23"/>
      <c r="AA162" s="23"/>
      <c r="AB162" s="23">
        <f>'7a.20YrDetails'!AB162</f>
        <v>0</v>
      </c>
      <c r="AC162" s="23"/>
      <c r="AD162" s="23"/>
      <c r="AE162" s="23">
        <f>'7a.20YrDetails'!AE162</f>
        <v>0</v>
      </c>
      <c r="AF162" s="23"/>
      <c r="AG162" s="23"/>
      <c r="AH162" s="23">
        <f>'7a.20YrDetails'!AH162</f>
        <v>0</v>
      </c>
      <c r="AI162" s="23"/>
      <c r="AJ162" s="23"/>
      <c r="AK162" s="23">
        <f>'7a.20YrDetails'!AK162</f>
        <v>0</v>
      </c>
      <c r="AL162" s="23"/>
      <c r="AM162" s="23"/>
      <c r="AN162" s="23">
        <f>'7a.20YrDetails'!AN162</f>
        <v>0</v>
      </c>
      <c r="AO162" s="23"/>
      <c r="AP162" s="23"/>
      <c r="AQ162" s="23">
        <f>'7a.20YrDetails'!AQ162</f>
        <v>0</v>
      </c>
      <c r="AR162" s="23"/>
      <c r="AS162" s="23"/>
      <c r="AT162" s="23">
        <f>'7a.20YrDetails'!AT162</f>
        <v>0</v>
      </c>
      <c r="AU162" s="23"/>
      <c r="AV162" s="23"/>
      <c r="AW162" s="23">
        <f>'7a.20YrDetails'!AW162</f>
        <v>0</v>
      </c>
      <c r="AX162" s="23"/>
      <c r="AY162" s="23"/>
      <c r="AZ162" s="23">
        <f>'7a.20YrDetails'!AZ162</f>
        <v>0</v>
      </c>
      <c r="BA162" s="23"/>
      <c r="BB162" s="23"/>
      <c r="BC162" s="23">
        <f>'7a.20YrDetails'!BC162</f>
        <v>0</v>
      </c>
      <c r="BD162" s="23"/>
      <c r="BE162" s="23"/>
      <c r="BF162" s="23">
        <f>'7a.20YrDetails'!BF162</f>
        <v>0</v>
      </c>
      <c r="BG162" s="23"/>
      <c r="BH162" s="23"/>
      <c r="BI162" s="23">
        <f>'7a.20YrDetails'!BI162</f>
        <v>0</v>
      </c>
      <c r="BJ162" s="23"/>
      <c r="BK162" s="23"/>
      <c r="BL162" s="23">
        <f>'7a.20YrDetails'!BL162</f>
        <v>0</v>
      </c>
      <c r="BM162" s="655"/>
      <c r="BN162" s="655"/>
      <c r="BO162" s="23">
        <f>'7a.20YrDetails'!BO162</f>
        <v>0</v>
      </c>
    </row>
    <row r="163" spans="3:67" ht="12" hidden="1" customHeight="1" outlineLevel="1" thickBot="1">
      <c r="C163" s="10" t="str">
        <f>'7a.20YrDetails'!C163</f>
        <v>Repayment of City Loan from Cash Out (Small Sites Only)</v>
      </c>
      <c r="D163" s="5"/>
      <c r="E163" s="5"/>
      <c r="F163" s="53"/>
      <c r="G163" s="47"/>
      <c r="H163" s="49"/>
      <c r="I163" s="49"/>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655"/>
      <c r="BN163" s="655"/>
      <c r="BO163" s="23"/>
    </row>
    <row r="164" spans="3:67" ht="12" hidden="1" customHeight="1" outlineLevel="1" thickBot="1">
      <c r="C164" s="10" t="str">
        <f>'7a.20YrDetails'!C164</f>
        <v xml:space="preserve">Replacement Reserve Deposits (Non-Operating Account) </v>
      </c>
      <c r="D164" s="5"/>
      <c r="E164" s="5"/>
      <c r="F164" s="53"/>
      <c r="G164" s="47"/>
      <c r="H164" s="49"/>
      <c r="I164" s="49"/>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655"/>
      <c r="BN164" s="655"/>
      <c r="BO164" s="23"/>
    </row>
    <row r="165" spans="3:67" ht="12" hidden="1" customHeight="1" outlineLevel="1" thickBot="1">
      <c r="C165" s="10" t="str">
        <f>'7a.20YrDetails'!C165</f>
        <v>Replacement Reserve Withdrawals (ideally tied to CNA)</v>
      </c>
      <c r="D165" s="5"/>
      <c r="E165" s="5"/>
      <c r="F165" s="53"/>
      <c r="G165" s="47" t="str">
        <f>IF('7a.20YrDetails'!$G165="","",'7a.20YrDetails'!$G165)</f>
        <v/>
      </c>
      <c r="H165" s="49"/>
      <c r="I165" s="49"/>
      <c r="J165" s="23">
        <f>'7a.20YrDetails'!J165</f>
        <v>0</v>
      </c>
      <c r="K165" s="23"/>
      <c r="L165" s="23"/>
      <c r="M165" s="23">
        <f>'7a.20YrDetails'!M165</f>
        <v>0</v>
      </c>
      <c r="N165" s="23"/>
      <c r="O165" s="23"/>
      <c r="P165" s="23">
        <f>'7a.20YrDetails'!P165</f>
        <v>0</v>
      </c>
      <c r="Q165" s="23"/>
      <c r="R165" s="23"/>
      <c r="S165" s="23">
        <f>'7a.20YrDetails'!S165</f>
        <v>0</v>
      </c>
      <c r="T165" s="23"/>
      <c r="U165" s="23"/>
      <c r="V165" s="23">
        <f>'7a.20YrDetails'!V165</f>
        <v>0</v>
      </c>
      <c r="W165" s="23"/>
      <c r="X165" s="23"/>
      <c r="Y165" s="23">
        <f>'7a.20YrDetails'!Y165</f>
        <v>0</v>
      </c>
      <c r="Z165" s="23"/>
      <c r="AA165" s="23"/>
      <c r="AB165" s="23">
        <f>'7a.20YrDetails'!AB165</f>
        <v>0</v>
      </c>
      <c r="AC165" s="23"/>
      <c r="AD165" s="23"/>
      <c r="AE165" s="23">
        <f>'7a.20YrDetails'!AE165</f>
        <v>0</v>
      </c>
      <c r="AF165" s="23"/>
      <c r="AG165" s="23"/>
      <c r="AH165" s="23">
        <f>'7a.20YrDetails'!AH165</f>
        <v>0</v>
      </c>
      <c r="AI165" s="23"/>
      <c r="AJ165" s="23"/>
      <c r="AK165" s="23">
        <f>'7a.20YrDetails'!AK165</f>
        <v>0</v>
      </c>
      <c r="AL165" s="23"/>
      <c r="AM165" s="23"/>
      <c r="AN165" s="23">
        <f>'7a.20YrDetails'!AN165</f>
        <v>0</v>
      </c>
      <c r="AO165" s="23"/>
      <c r="AP165" s="23"/>
      <c r="AQ165" s="23">
        <f>'7a.20YrDetails'!AQ165</f>
        <v>0</v>
      </c>
      <c r="AR165" s="23"/>
      <c r="AS165" s="23"/>
      <c r="AT165" s="23">
        <f>'7a.20YrDetails'!AT165</f>
        <v>0</v>
      </c>
      <c r="AU165" s="23"/>
      <c r="AV165" s="23"/>
      <c r="AW165" s="23">
        <f>'7a.20YrDetails'!AW165</f>
        <v>0</v>
      </c>
      <c r="AX165" s="23"/>
      <c r="AY165" s="23"/>
      <c r="AZ165" s="23">
        <f>'7a.20YrDetails'!AZ165</f>
        <v>0</v>
      </c>
      <c r="BA165" s="23"/>
      <c r="BB165" s="23"/>
      <c r="BC165" s="23">
        <f>'7a.20YrDetails'!BC165</f>
        <v>0</v>
      </c>
      <c r="BD165" s="23"/>
      <c r="BE165" s="23"/>
      <c r="BF165" s="23">
        <f>'7a.20YrDetails'!BF165</f>
        <v>0</v>
      </c>
      <c r="BG165" s="23"/>
      <c r="BH165" s="23"/>
      <c r="BI165" s="23">
        <f>'7a.20YrDetails'!BI165</f>
        <v>0</v>
      </c>
      <c r="BJ165" s="23"/>
      <c r="BK165" s="23"/>
      <c r="BL165" s="23">
        <f>'7a.20YrDetails'!BL165</f>
        <v>0</v>
      </c>
      <c r="BM165" s="655"/>
      <c r="BN165" s="655"/>
      <c r="BO165" s="23">
        <f>'7a.20YrDetails'!BO165</f>
        <v>0</v>
      </c>
    </row>
    <row r="166" spans="3:67" ht="12" hidden="1" customHeight="1" outlineLevel="1" thickBot="1">
      <c r="C166" s="10" t="str">
        <f>'7a.20YrDetails'!C166</f>
        <v>Replacement Reserve Interest</v>
      </c>
      <c r="D166" s="5"/>
      <c r="E166" s="5"/>
      <c r="F166" s="53"/>
      <c r="G166" s="47" t="str">
        <f>IF('7a.20YrDetails'!$G166="","",'7a.20YrDetails'!$G166)</f>
        <v/>
      </c>
      <c r="H166" s="49"/>
      <c r="I166" s="49"/>
      <c r="J166" s="23">
        <f>'7a.20YrDetails'!J166</f>
        <v>0</v>
      </c>
      <c r="K166" s="23"/>
      <c r="L166" s="23"/>
      <c r="M166" s="23">
        <f>'7a.20YrDetails'!M166</f>
        <v>0</v>
      </c>
      <c r="N166" s="23"/>
      <c r="O166" s="23"/>
      <c r="P166" s="23">
        <f>'7a.20YrDetails'!P166</f>
        <v>0</v>
      </c>
      <c r="Q166" s="23"/>
      <c r="R166" s="23"/>
      <c r="S166" s="23">
        <f>'7a.20YrDetails'!S166</f>
        <v>0</v>
      </c>
      <c r="T166" s="23"/>
      <c r="U166" s="23"/>
      <c r="V166" s="23">
        <f>'7a.20YrDetails'!V166</f>
        <v>0</v>
      </c>
      <c r="W166" s="23"/>
      <c r="X166" s="23"/>
      <c r="Y166" s="23">
        <f>'7a.20YrDetails'!Y166</f>
        <v>0</v>
      </c>
      <c r="Z166" s="23"/>
      <c r="AA166" s="23"/>
      <c r="AB166" s="23">
        <f>'7a.20YrDetails'!AB166</f>
        <v>0</v>
      </c>
      <c r="AC166" s="23"/>
      <c r="AD166" s="23"/>
      <c r="AE166" s="23">
        <f>'7a.20YrDetails'!AE166</f>
        <v>0</v>
      </c>
      <c r="AF166" s="23"/>
      <c r="AG166" s="23"/>
      <c r="AH166" s="23">
        <f>'7a.20YrDetails'!AH166</f>
        <v>0</v>
      </c>
      <c r="AI166" s="23"/>
      <c r="AJ166" s="23"/>
      <c r="AK166" s="23">
        <f>'7a.20YrDetails'!AK166</f>
        <v>0</v>
      </c>
      <c r="AL166" s="23"/>
      <c r="AM166" s="23"/>
      <c r="AN166" s="23">
        <f>'7a.20YrDetails'!AN166</f>
        <v>0</v>
      </c>
      <c r="AO166" s="23"/>
      <c r="AP166" s="23"/>
      <c r="AQ166" s="23">
        <f>'7a.20YrDetails'!AQ166</f>
        <v>0</v>
      </c>
      <c r="AR166" s="23"/>
      <c r="AS166" s="23"/>
      <c r="AT166" s="23">
        <f>'7a.20YrDetails'!AT166</f>
        <v>0</v>
      </c>
      <c r="AU166" s="23"/>
      <c r="AV166" s="23"/>
      <c r="AW166" s="23">
        <f>'7a.20YrDetails'!AW166</f>
        <v>0</v>
      </c>
      <c r="AX166" s="23"/>
      <c r="AY166" s="23"/>
      <c r="AZ166" s="23">
        <f>'7a.20YrDetails'!AZ166</f>
        <v>0</v>
      </c>
      <c r="BA166" s="23"/>
      <c r="BB166" s="23"/>
      <c r="BC166" s="23">
        <f>'7a.20YrDetails'!BC166</f>
        <v>0</v>
      </c>
      <c r="BD166" s="23"/>
      <c r="BE166" s="23"/>
      <c r="BF166" s="23">
        <f>'7a.20YrDetails'!BF166</f>
        <v>0</v>
      </c>
      <c r="BG166" s="23"/>
      <c r="BH166" s="23"/>
      <c r="BI166" s="23">
        <f>'7a.20YrDetails'!BI166</f>
        <v>0</v>
      </c>
      <c r="BJ166" s="23"/>
      <c r="BK166" s="23"/>
      <c r="BL166" s="23">
        <f>'7a.20YrDetails'!BL166</f>
        <v>0</v>
      </c>
      <c r="BM166" s="655"/>
      <c r="BN166" s="655"/>
      <c r="BO166" s="23">
        <f>'7a.20YrDetails'!BO166</f>
        <v>0</v>
      </c>
    </row>
    <row r="167" spans="3:67" ht="12" customHeight="1" collapsed="1">
      <c r="C167" s="27" t="str">
        <f>'7a.20YrDetails'!C167</f>
        <v>RR Running Balance</v>
      </c>
      <c r="D167" s="5"/>
      <c r="E167" s="5"/>
      <c r="F167" s="53"/>
      <c r="G167" s="51"/>
      <c r="H167" s="49"/>
      <c r="I167" s="49"/>
      <c r="J167" s="19">
        <f>'7a.20YrDetails'!J167</f>
        <v>0</v>
      </c>
      <c r="K167" s="19"/>
      <c r="L167" s="19"/>
      <c r="M167" s="19">
        <f>'7a.20YrDetails'!M167</f>
        <v>0</v>
      </c>
      <c r="N167" s="19"/>
      <c r="O167" s="19"/>
      <c r="P167" s="19">
        <f>'7a.20YrDetails'!P167</f>
        <v>0</v>
      </c>
      <c r="Q167" s="19"/>
      <c r="R167" s="19"/>
      <c r="S167" s="19">
        <f>'7a.20YrDetails'!S167</f>
        <v>0</v>
      </c>
      <c r="T167" s="19"/>
      <c r="U167" s="19"/>
      <c r="V167" s="19">
        <f>'7a.20YrDetails'!V167</f>
        <v>0</v>
      </c>
      <c r="W167" s="19"/>
      <c r="X167" s="19"/>
      <c r="Y167" s="19">
        <f>'7a.20YrDetails'!Y167</f>
        <v>0</v>
      </c>
      <c r="Z167" s="19"/>
      <c r="AA167" s="19"/>
      <c r="AB167" s="19">
        <f>'7a.20YrDetails'!AB167</f>
        <v>0</v>
      </c>
      <c r="AC167" s="19"/>
      <c r="AD167" s="19"/>
      <c r="AE167" s="19">
        <f>'7a.20YrDetails'!AE167</f>
        <v>0</v>
      </c>
      <c r="AF167" s="19"/>
      <c r="AG167" s="19"/>
      <c r="AH167" s="19">
        <f>'7a.20YrDetails'!AH167</f>
        <v>0</v>
      </c>
      <c r="AI167" s="19"/>
      <c r="AJ167" s="19"/>
      <c r="AK167" s="19">
        <f>'7a.20YrDetails'!AK167</f>
        <v>0</v>
      </c>
      <c r="AL167" s="19"/>
      <c r="AM167" s="19"/>
      <c r="AN167" s="19">
        <f>'7a.20YrDetails'!AN167</f>
        <v>0</v>
      </c>
      <c r="AO167" s="19"/>
      <c r="AP167" s="19"/>
      <c r="AQ167" s="19">
        <f>'7a.20YrDetails'!AQ167</f>
        <v>0</v>
      </c>
      <c r="AR167" s="19"/>
      <c r="AS167" s="19"/>
      <c r="AT167" s="19">
        <f>'7a.20YrDetails'!AT167</f>
        <v>0</v>
      </c>
      <c r="AU167" s="19"/>
      <c r="AV167" s="19"/>
      <c r="AW167" s="19">
        <f>'7a.20YrDetails'!AW167</f>
        <v>0</v>
      </c>
      <c r="AX167" s="19"/>
      <c r="AY167" s="19"/>
      <c r="AZ167" s="19">
        <f>'7a.20YrDetails'!AZ167</f>
        <v>0</v>
      </c>
      <c r="BA167" s="19"/>
      <c r="BB167" s="19"/>
      <c r="BC167" s="19">
        <f>'7a.20YrDetails'!BC167</f>
        <v>0</v>
      </c>
      <c r="BD167" s="19"/>
      <c r="BE167" s="19"/>
      <c r="BF167" s="19">
        <f>'7a.20YrDetails'!BF167</f>
        <v>0</v>
      </c>
      <c r="BG167" s="19"/>
      <c r="BH167" s="19"/>
      <c r="BI167" s="19">
        <f>'7a.20YrDetails'!BI167</f>
        <v>0</v>
      </c>
      <c r="BJ167" s="19"/>
      <c r="BK167" s="19"/>
      <c r="BL167" s="19">
        <f>'7a.20YrDetails'!BL167</f>
        <v>0</v>
      </c>
      <c r="BM167" s="19"/>
      <c r="BN167" s="19"/>
      <c r="BO167" s="19">
        <f>'7a.20YrDetails'!BO167</f>
        <v>0</v>
      </c>
    </row>
    <row r="168" spans="3:67" ht="12" hidden="1" customHeight="1" outlineLevel="1">
      <c r="C168" s="11"/>
      <c r="D168" s="5"/>
      <c r="E168" s="5"/>
      <c r="F168" s="53"/>
      <c r="G168" s="49"/>
      <c r="H168" s="49"/>
      <c r="I168" s="4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row>
    <row r="169" spans="3:67" ht="12" hidden="1" customHeight="1" outlineLevel="1" thickBot="1">
      <c r="C169" s="6" t="str">
        <f>'7a.20YrDetails'!C169</f>
        <v>OPERATING RESERVE - RUNNING BALANCE</v>
      </c>
      <c r="D169" s="5"/>
      <c r="E169" s="5"/>
      <c r="F169" s="53"/>
      <c r="G169" s="49"/>
      <c r="H169" s="49"/>
      <c r="I169" s="4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row>
    <row r="170" spans="3:67" ht="12" hidden="1" customHeight="1" outlineLevel="1" thickBot="1">
      <c r="C170" s="10" t="str">
        <f>'7a.20YrDetails'!C170</f>
        <v>Operating Reserve Starting Balance</v>
      </c>
      <c r="D170" s="5"/>
      <c r="E170" s="5"/>
      <c r="F170" s="53"/>
      <c r="G170" s="47" t="str">
        <f>IF('7a.20YrDetails'!$G170="","",'7a.20YrDetails'!$G170)</f>
        <v/>
      </c>
      <c r="H170" s="49"/>
      <c r="I170" s="49"/>
      <c r="J170" s="23">
        <f>'7a.20YrDetails'!J170</f>
        <v>0</v>
      </c>
      <c r="K170" s="23"/>
      <c r="L170" s="23"/>
      <c r="M170" s="23">
        <f>'7a.20YrDetails'!M170</f>
        <v>0</v>
      </c>
      <c r="N170" s="23"/>
      <c r="O170" s="23"/>
      <c r="P170" s="23">
        <f>'7a.20YrDetails'!P170</f>
        <v>0</v>
      </c>
      <c r="Q170" s="23"/>
      <c r="R170" s="23"/>
      <c r="S170" s="23">
        <f>'7a.20YrDetails'!S170</f>
        <v>0</v>
      </c>
      <c r="T170" s="23"/>
      <c r="U170" s="23"/>
      <c r="V170" s="23">
        <f>'7a.20YrDetails'!V170</f>
        <v>0</v>
      </c>
      <c r="W170" s="23"/>
      <c r="X170" s="23"/>
      <c r="Y170" s="23">
        <f>'7a.20YrDetails'!Y170</f>
        <v>0</v>
      </c>
      <c r="Z170" s="23"/>
      <c r="AA170" s="23"/>
      <c r="AB170" s="23">
        <f>'7a.20YrDetails'!AB170</f>
        <v>0</v>
      </c>
      <c r="AC170" s="23"/>
      <c r="AD170" s="23"/>
      <c r="AE170" s="23">
        <f>'7a.20YrDetails'!AE170</f>
        <v>0</v>
      </c>
      <c r="AF170" s="23"/>
      <c r="AG170" s="23"/>
      <c r="AH170" s="23">
        <f>'7a.20YrDetails'!AH170</f>
        <v>0</v>
      </c>
      <c r="AI170" s="23"/>
      <c r="AJ170" s="23"/>
      <c r="AK170" s="23">
        <f>'7a.20YrDetails'!AK170</f>
        <v>0</v>
      </c>
      <c r="AL170" s="23"/>
      <c r="AM170" s="23"/>
      <c r="AN170" s="23">
        <f>'7a.20YrDetails'!AN170</f>
        <v>0</v>
      </c>
      <c r="AO170" s="23"/>
      <c r="AP170" s="23"/>
      <c r="AQ170" s="23">
        <f>'7a.20YrDetails'!AQ170</f>
        <v>0</v>
      </c>
      <c r="AR170" s="23"/>
      <c r="AS170" s="23"/>
      <c r="AT170" s="23">
        <f>'7a.20YrDetails'!AT170</f>
        <v>0</v>
      </c>
      <c r="AU170" s="23"/>
      <c r="AV170" s="23"/>
      <c r="AW170" s="23">
        <f>'7a.20YrDetails'!AW170</f>
        <v>0</v>
      </c>
      <c r="AX170" s="23"/>
      <c r="AY170" s="23"/>
      <c r="AZ170" s="23">
        <f>'7a.20YrDetails'!AZ170</f>
        <v>0</v>
      </c>
      <c r="BA170" s="23"/>
      <c r="BB170" s="23"/>
      <c r="BC170" s="23">
        <f>'7a.20YrDetails'!BC170</f>
        <v>0</v>
      </c>
      <c r="BD170" s="23"/>
      <c r="BE170" s="23"/>
      <c r="BF170" s="23">
        <f>'7a.20YrDetails'!BF170</f>
        <v>0</v>
      </c>
      <c r="BG170" s="23"/>
      <c r="BH170" s="23"/>
      <c r="BI170" s="23">
        <f>'7a.20YrDetails'!BI170</f>
        <v>0</v>
      </c>
      <c r="BJ170" s="23"/>
      <c r="BK170" s="23"/>
      <c r="BL170" s="23">
        <f>'7a.20YrDetails'!BL170</f>
        <v>0</v>
      </c>
      <c r="BM170" s="655"/>
      <c r="BN170" s="655"/>
      <c r="BO170" s="23">
        <f>'7a.20YrDetails'!BO170</f>
        <v>0</v>
      </c>
    </row>
    <row r="171" spans="3:67" ht="12" hidden="1" customHeight="1" outlineLevel="1" thickBot="1">
      <c r="C171" s="10" t="str">
        <f>'7a.20YrDetails'!C171</f>
        <v>Operating Reserve Deposits</v>
      </c>
      <c r="D171" s="5"/>
      <c r="E171" s="5"/>
      <c r="F171" s="53"/>
      <c r="G171" s="47" t="str">
        <f>IF('7a.20YrDetails'!$G171="","",'7a.20YrDetails'!$G171)</f>
        <v/>
      </c>
      <c r="H171" s="49"/>
      <c r="I171" s="49"/>
      <c r="J171" s="23">
        <f>'7a.20YrDetails'!J171</f>
        <v>0</v>
      </c>
      <c r="K171" s="23"/>
      <c r="L171" s="23"/>
      <c r="M171" s="23">
        <f>'7a.20YrDetails'!M171</f>
        <v>0</v>
      </c>
      <c r="N171" s="23"/>
      <c r="O171" s="23"/>
      <c r="P171" s="23">
        <f>'7a.20YrDetails'!P171</f>
        <v>0</v>
      </c>
      <c r="Q171" s="23"/>
      <c r="R171" s="23"/>
      <c r="S171" s="23">
        <f>'7a.20YrDetails'!S171</f>
        <v>0</v>
      </c>
      <c r="T171" s="23"/>
      <c r="U171" s="23"/>
      <c r="V171" s="23">
        <f>'7a.20YrDetails'!V171</f>
        <v>0</v>
      </c>
      <c r="W171" s="23"/>
      <c r="X171" s="23"/>
      <c r="Y171" s="23">
        <f>'7a.20YrDetails'!Y171</f>
        <v>0</v>
      </c>
      <c r="Z171" s="23"/>
      <c r="AA171" s="23"/>
      <c r="AB171" s="23">
        <f>'7a.20YrDetails'!AB171</f>
        <v>0</v>
      </c>
      <c r="AC171" s="23"/>
      <c r="AD171" s="23"/>
      <c r="AE171" s="23">
        <f>'7a.20YrDetails'!AE171</f>
        <v>0</v>
      </c>
      <c r="AF171" s="23"/>
      <c r="AG171" s="23"/>
      <c r="AH171" s="23">
        <f>'7a.20YrDetails'!AH171</f>
        <v>0</v>
      </c>
      <c r="AI171" s="23"/>
      <c r="AJ171" s="23"/>
      <c r="AK171" s="23">
        <f>'7a.20YrDetails'!AK171</f>
        <v>0</v>
      </c>
      <c r="AL171" s="23"/>
      <c r="AM171" s="23"/>
      <c r="AN171" s="23">
        <f>'7a.20YrDetails'!AN171</f>
        <v>0</v>
      </c>
      <c r="AO171" s="23"/>
      <c r="AP171" s="23"/>
      <c r="AQ171" s="23">
        <f>'7a.20YrDetails'!AQ171</f>
        <v>0</v>
      </c>
      <c r="AR171" s="23"/>
      <c r="AS171" s="23"/>
      <c r="AT171" s="23">
        <f>'7a.20YrDetails'!AT171</f>
        <v>0</v>
      </c>
      <c r="AU171" s="23"/>
      <c r="AV171" s="23"/>
      <c r="AW171" s="23">
        <f>'7a.20YrDetails'!AW171</f>
        <v>0</v>
      </c>
      <c r="AX171" s="23"/>
      <c r="AY171" s="23"/>
      <c r="AZ171" s="23">
        <f>'7a.20YrDetails'!AZ171</f>
        <v>0</v>
      </c>
      <c r="BA171" s="23"/>
      <c r="BB171" s="23"/>
      <c r="BC171" s="23">
        <f>'7a.20YrDetails'!BC171</f>
        <v>0</v>
      </c>
      <c r="BD171" s="23"/>
      <c r="BE171" s="23"/>
      <c r="BF171" s="23">
        <f>'7a.20YrDetails'!BF171</f>
        <v>0</v>
      </c>
      <c r="BG171" s="23"/>
      <c r="BH171" s="23"/>
      <c r="BI171" s="23">
        <f>'7a.20YrDetails'!BI171</f>
        <v>0</v>
      </c>
      <c r="BJ171" s="23"/>
      <c r="BK171" s="23"/>
      <c r="BL171" s="23">
        <f>'7a.20YrDetails'!BL171</f>
        <v>0</v>
      </c>
      <c r="BM171" s="655"/>
      <c r="BN171" s="655"/>
      <c r="BO171" s="23">
        <f>'7a.20YrDetails'!BO171</f>
        <v>0</v>
      </c>
    </row>
    <row r="172" spans="3:67" ht="12" hidden="1" customHeight="1" outlineLevel="1" thickBot="1">
      <c r="C172" s="10" t="str">
        <f>'7a.20YrDetails'!C172</f>
        <v>Operating Reserve Withdrawals</v>
      </c>
      <c r="D172" s="5"/>
      <c r="E172" s="5"/>
      <c r="F172" s="53"/>
      <c r="G172" s="47" t="str">
        <f>IF('7a.20YrDetails'!$G172="","",'7a.20YrDetails'!$G172)</f>
        <v/>
      </c>
      <c r="H172" s="49"/>
      <c r="I172" s="49"/>
      <c r="J172" s="23">
        <f>'7a.20YrDetails'!J172</f>
        <v>0</v>
      </c>
      <c r="K172" s="23"/>
      <c r="L172" s="23"/>
      <c r="M172" s="23">
        <f>'7a.20YrDetails'!M172</f>
        <v>0</v>
      </c>
      <c r="N172" s="23"/>
      <c r="O172" s="23"/>
      <c r="P172" s="23">
        <f>'7a.20YrDetails'!P172</f>
        <v>0</v>
      </c>
      <c r="Q172" s="23"/>
      <c r="R172" s="23"/>
      <c r="S172" s="23">
        <f>'7a.20YrDetails'!S172</f>
        <v>0</v>
      </c>
      <c r="T172" s="23"/>
      <c r="U172" s="23"/>
      <c r="V172" s="23">
        <f>'7a.20YrDetails'!V172</f>
        <v>0</v>
      </c>
      <c r="W172" s="23"/>
      <c r="X172" s="23"/>
      <c r="Y172" s="23">
        <f>'7a.20YrDetails'!Y172</f>
        <v>0</v>
      </c>
      <c r="Z172" s="23"/>
      <c r="AA172" s="23"/>
      <c r="AB172" s="23">
        <f>'7a.20YrDetails'!AB172</f>
        <v>0</v>
      </c>
      <c r="AC172" s="23"/>
      <c r="AD172" s="23"/>
      <c r="AE172" s="23">
        <f>'7a.20YrDetails'!AE172</f>
        <v>0</v>
      </c>
      <c r="AF172" s="23"/>
      <c r="AG172" s="23"/>
      <c r="AH172" s="23">
        <f>'7a.20YrDetails'!AH172</f>
        <v>0</v>
      </c>
      <c r="AI172" s="23"/>
      <c r="AJ172" s="23"/>
      <c r="AK172" s="23">
        <f>'7a.20YrDetails'!AK172</f>
        <v>0</v>
      </c>
      <c r="AL172" s="23"/>
      <c r="AM172" s="23"/>
      <c r="AN172" s="23">
        <f>'7a.20YrDetails'!AN172</f>
        <v>0</v>
      </c>
      <c r="AO172" s="23"/>
      <c r="AP172" s="23"/>
      <c r="AQ172" s="23">
        <f>'7a.20YrDetails'!AQ172</f>
        <v>0</v>
      </c>
      <c r="AR172" s="23"/>
      <c r="AS172" s="23"/>
      <c r="AT172" s="23">
        <f>'7a.20YrDetails'!AT172</f>
        <v>0</v>
      </c>
      <c r="AU172" s="23"/>
      <c r="AV172" s="23"/>
      <c r="AW172" s="23">
        <f>'7a.20YrDetails'!AW172</f>
        <v>0</v>
      </c>
      <c r="AX172" s="23"/>
      <c r="AY172" s="23"/>
      <c r="AZ172" s="23">
        <f>'7a.20YrDetails'!AZ172</f>
        <v>0</v>
      </c>
      <c r="BA172" s="23"/>
      <c r="BB172" s="23"/>
      <c r="BC172" s="23">
        <f>'7a.20YrDetails'!BC172</f>
        <v>0</v>
      </c>
      <c r="BD172" s="23"/>
      <c r="BE172" s="23"/>
      <c r="BF172" s="23">
        <f>'7a.20YrDetails'!BF172</f>
        <v>0</v>
      </c>
      <c r="BG172" s="23"/>
      <c r="BH172" s="23"/>
      <c r="BI172" s="23">
        <f>'7a.20YrDetails'!BI172</f>
        <v>0</v>
      </c>
      <c r="BJ172" s="23"/>
      <c r="BK172" s="23"/>
      <c r="BL172" s="23">
        <f>'7a.20YrDetails'!BL172</f>
        <v>0</v>
      </c>
      <c r="BM172" s="655"/>
      <c r="BN172" s="655"/>
      <c r="BO172" s="23">
        <f>'7a.20YrDetails'!BO172</f>
        <v>0</v>
      </c>
    </row>
    <row r="173" spans="3:67" ht="12" hidden="1" customHeight="1" outlineLevel="1" thickBot="1">
      <c r="C173" s="10" t="str">
        <f>'7a.20YrDetails'!C173</f>
        <v>Operating Reserve Interest</v>
      </c>
      <c r="D173" s="5"/>
      <c r="E173" s="5"/>
      <c r="F173" s="53"/>
      <c r="G173" s="47" t="str">
        <f>IF('7a.20YrDetails'!$G173="","",'7a.20YrDetails'!$G173)</f>
        <v/>
      </c>
      <c r="H173" s="49"/>
      <c r="I173" s="49"/>
      <c r="J173" s="23">
        <f>'7a.20YrDetails'!J173</f>
        <v>0</v>
      </c>
      <c r="K173" s="23"/>
      <c r="L173" s="23"/>
      <c r="M173" s="23">
        <f>'7a.20YrDetails'!M173</f>
        <v>0</v>
      </c>
      <c r="N173" s="23"/>
      <c r="O173" s="23"/>
      <c r="P173" s="23">
        <f>'7a.20YrDetails'!P173</f>
        <v>0</v>
      </c>
      <c r="Q173" s="23"/>
      <c r="R173" s="23"/>
      <c r="S173" s="23">
        <f>'7a.20YrDetails'!S173</f>
        <v>0</v>
      </c>
      <c r="T173" s="23"/>
      <c r="U173" s="23"/>
      <c r="V173" s="23">
        <f>'7a.20YrDetails'!V173</f>
        <v>0</v>
      </c>
      <c r="W173" s="23"/>
      <c r="X173" s="23"/>
      <c r="Y173" s="23">
        <f>'7a.20YrDetails'!Y173</f>
        <v>0</v>
      </c>
      <c r="Z173" s="23"/>
      <c r="AA173" s="23"/>
      <c r="AB173" s="23">
        <f>'7a.20YrDetails'!AB173</f>
        <v>0</v>
      </c>
      <c r="AC173" s="23"/>
      <c r="AD173" s="23"/>
      <c r="AE173" s="23">
        <f>'7a.20YrDetails'!AE173</f>
        <v>0</v>
      </c>
      <c r="AF173" s="23"/>
      <c r="AG173" s="23"/>
      <c r="AH173" s="23">
        <f>'7a.20YrDetails'!AH173</f>
        <v>0</v>
      </c>
      <c r="AI173" s="23"/>
      <c r="AJ173" s="23"/>
      <c r="AK173" s="23">
        <f>'7a.20YrDetails'!AK173</f>
        <v>0</v>
      </c>
      <c r="AL173" s="23"/>
      <c r="AM173" s="23"/>
      <c r="AN173" s="23">
        <f>'7a.20YrDetails'!AN173</f>
        <v>0</v>
      </c>
      <c r="AO173" s="23"/>
      <c r="AP173" s="23"/>
      <c r="AQ173" s="23">
        <f>'7a.20YrDetails'!AQ173</f>
        <v>0</v>
      </c>
      <c r="AR173" s="23"/>
      <c r="AS173" s="23"/>
      <c r="AT173" s="23">
        <f>'7a.20YrDetails'!AT173</f>
        <v>0</v>
      </c>
      <c r="AU173" s="23"/>
      <c r="AV173" s="23"/>
      <c r="AW173" s="23">
        <f>'7a.20YrDetails'!AW173</f>
        <v>0</v>
      </c>
      <c r="AX173" s="23"/>
      <c r="AY173" s="23"/>
      <c r="AZ173" s="23">
        <f>'7a.20YrDetails'!AZ173</f>
        <v>0</v>
      </c>
      <c r="BA173" s="23"/>
      <c r="BB173" s="23"/>
      <c r="BC173" s="23">
        <f>'7a.20YrDetails'!BC173</f>
        <v>0</v>
      </c>
      <c r="BD173" s="23"/>
      <c r="BE173" s="23"/>
      <c r="BF173" s="23">
        <f>'7a.20YrDetails'!BF173</f>
        <v>0</v>
      </c>
      <c r="BG173" s="23"/>
      <c r="BH173" s="23"/>
      <c r="BI173" s="23">
        <f>'7a.20YrDetails'!BI173</f>
        <v>0</v>
      </c>
      <c r="BJ173" s="23"/>
      <c r="BK173" s="23"/>
      <c r="BL173" s="23">
        <f>'7a.20YrDetails'!BL173</f>
        <v>0</v>
      </c>
      <c r="BM173" s="655"/>
      <c r="BN173" s="655"/>
      <c r="BO173" s="23">
        <f>'7a.20YrDetails'!BO173</f>
        <v>0</v>
      </c>
    </row>
    <row r="174" spans="3:67" ht="12" customHeight="1" collapsed="1">
      <c r="C174" s="27" t="str">
        <f>'7a.20YrDetails'!C174</f>
        <v>OR Running Balance</v>
      </c>
      <c r="D174" s="5"/>
      <c r="E174" s="5"/>
      <c r="F174" s="53"/>
      <c r="G174" s="51"/>
      <c r="H174" s="49"/>
      <c r="I174" s="49"/>
      <c r="J174" s="19">
        <f>'7a.20YrDetails'!J174</f>
        <v>0</v>
      </c>
      <c r="K174" s="19"/>
      <c r="L174" s="19"/>
      <c r="M174" s="19">
        <f>'7a.20YrDetails'!M174</f>
        <v>0</v>
      </c>
      <c r="N174" s="19"/>
      <c r="O174" s="19"/>
      <c r="P174" s="19">
        <f>'7a.20YrDetails'!P174</f>
        <v>0</v>
      </c>
      <c r="Q174" s="19"/>
      <c r="R174" s="19"/>
      <c r="S174" s="19">
        <f>'7a.20YrDetails'!S174</f>
        <v>0</v>
      </c>
      <c r="T174" s="19"/>
      <c r="U174" s="19"/>
      <c r="V174" s="19">
        <f>'7a.20YrDetails'!V174</f>
        <v>0</v>
      </c>
      <c r="W174" s="19"/>
      <c r="X174" s="19"/>
      <c r="Y174" s="19">
        <f>'7a.20YrDetails'!Y174</f>
        <v>0</v>
      </c>
      <c r="Z174" s="19"/>
      <c r="AA174" s="19"/>
      <c r="AB174" s="19">
        <f>'7a.20YrDetails'!AB174</f>
        <v>0</v>
      </c>
      <c r="AC174" s="19"/>
      <c r="AD174" s="19"/>
      <c r="AE174" s="19">
        <f>'7a.20YrDetails'!AE174</f>
        <v>0</v>
      </c>
      <c r="AF174" s="19"/>
      <c r="AG174" s="19"/>
      <c r="AH174" s="19">
        <f>'7a.20YrDetails'!AH174</f>
        <v>0</v>
      </c>
      <c r="AI174" s="19"/>
      <c r="AJ174" s="19"/>
      <c r="AK174" s="19">
        <f>'7a.20YrDetails'!AK174</f>
        <v>0</v>
      </c>
      <c r="AL174" s="19"/>
      <c r="AM174" s="19"/>
      <c r="AN174" s="19">
        <f>'7a.20YrDetails'!AN174</f>
        <v>0</v>
      </c>
      <c r="AO174" s="19"/>
      <c r="AP174" s="19"/>
      <c r="AQ174" s="19">
        <f>'7a.20YrDetails'!AQ174</f>
        <v>0</v>
      </c>
      <c r="AR174" s="19"/>
      <c r="AS174" s="19"/>
      <c r="AT174" s="19">
        <f>'7a.20YrDetails'!AT174</f>
        <v>0</v>
      </c>
      <c r="AU174" s="19"/>
      <c r="AV174" s="19"/>
      <c r="AW174" s="19">
        <f>'7a.20YrDetails'!AW174</f>
        <v>0</v>
      </c>
      <c r="AX174" s="19"/>
      <c r="AY174" s="19"/>
      <c r="AZ174" s="19">
        <f>'7a.20YrDetails'!AZ174</f>
        <v>0</v>
      </c>
      <c r="BA174" s="19"/>
      <c r="BB174" s="19"/>
      <c r="BC174" s="19">
        <f>'7a.20YrDetails'!BC174</f>
        <v>0</v>
      </c>
      <c r="BD174" s="19"/>
      <c r="BE174" s="19"/>
      <c r="BF174" s="19">
        <f>'7a.20YrDetails'!BF174</f>
        <v>0</v>
      </c>
      <c r="BG174" s="19"/>
      <c r="BH174" s="19"/>
      <c r="BI174" s="19">
        <f>'7a.20YrDetails'!BI174</f>
        <v>0</v>
      </c>
      <c r="BJ174" s="19"/>
      <c r="BK174" s="19"/>
      <c r="BL174" s="19">
        <f>'7a.20YrDetails'!BL174</f>
        <v>0</v>
      </c>
      <c r="BM174" s="19"/>
      <c r="BN174" s="19"/>
      <c r="BO174" s="19">
        <f>'7a.20YrDetails'!BO174</f>
        <v>0</v>
      </c>
    </row>
    <row r="175" spans="3:67" ht="12" hidden="1" customHeight="1" outlineLevel="1">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row>
    <row r="176" spans="3:67" ht="12" hidden="1" customHeight="1" outlineLevel="1" thickBot="1">
      <c r="C176" s="6" t="str">
        <f>'7a.20YrDetails'!C176</f>
        <v>OTHER REQUIRED RESERVE 1 - RUNNING BALANCE</v>
      </c>
      <c r="D176" s="5"/>
      <c r="E176" s="5"/>
      <c r="F176" s="53"/>
      <c r="G176" s="49"/>
      <c r="H176" s="49"/>
      <c r="I176" s="4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row>
    <row r="177" spans="3:67" ht="12" hidden="1" customHeight="1" outlineLevel="1" thickBot="1">
      <c r="C177" s="10" t="str">
        <f>'7a.20YrDetails'!C177</f>
        <v>Other Reserve 1 Starting Balance</v>
      </c>
      <c r="D177" s="5"/>
      <c r="E177" s="5"/>
      <c r="F177" s="53"/>
      <c r="G177" s="47" t="str">
        <f>IF('7a.20YrDetails'!$G177="","",'7a.20YrDetails'!$G177)</f>
        <v/>
      </c>
      <c r="H177" s="49"/>
      <c r="I177" s="49"/>
      <c r="J177" s="23">
        <f>'7a.20YrDetails'!J177</f>
        <v>0</v>
      </c>
      <c r="K177" s="23"/>
      <c r="L177" s="23"/>
      <c r="M177" s="23">
        <f>'7a.20YrDetails'!M177</f>
        <v>0</v>
      </c>
      <c r="N177" s="23"/>
      <c r="O177" s="23"/>
      <c r="P177" s="23">
        <f>'7a.20YrDetails'!P177</f>
        <v>0</v>
      </c>
      <c r="Q177" s="23"/>
      <c r="R177" s="23"/>
      <c r="S177" s="23">
        <f>'7a.20YrDetails'!S177</f>
        <v>0</v>
      </c>
      <c r="T177" s="23"/>
      <c r="U177" s="23"/>
      <c r="V177" s="23">
        <f>'7a.20YrDetails'!V177</f>
        <v>0</v>
      </c>
      <c r="W177" s="23"/>
      <c r="X177" s="23"/>
      <c r="Y177" s="23">
        <f>'7a.20YrDetails'!Y177</f>
        <v>0</v>
      </c>
      <c r="Z177" s="23"/>
      <c r="AA177" s="23"/>
      <c r="AB177" s="23">
        <f>'7a.20YrDetails'!AB177</f>
        <v>0</v>
      </c>
      <c r="AC177" s="23"/>
      <c r="AD177" s="23"/>
      <c r="AE177" s="23">
        <f>'7a.20YrDetails'!AE177</f>
        <v>0</v>
      </c>
      <c r="AF177" s="23"/>
      <c r="AG177" s="23"/>
      <c r="AH177" s="23">
        <f>'7a.20YrDetails'!AH177</f>
        <v>0</v>
      </c>
      <c r="AI177" s="23"/>
      <c r="AJ177" s="23"/>
      <c r="AK177" s="23">
        <f>'7a.20YrDetails'!AK177</f>
        <v>0</v>
      </c>
      <c r="AL177" s="23"/>
      <c r="AM177" s="23"/>
      <c r="AN177" s="23">
        <f>'7a.20YrDetails'!AN177</f>
        <v>0</v>
      </c>
      <c r="AO177" s="23"/>
      <c r="AP177" s="23"/>
      <c r="AQ177" s="23">
        <f>'7a.20YrDetails'!AQ177</f>
        <v>0</v>
      </c>
      <c r="AR177" s="23"/>
      <c r="AS177" s="23"/>
      <c r="AT177" s="23">
        <f>'7a.20YrDetails'!AT177</f>
        <v>0</v>
      </c>
      <c r="AU177" s="23"/>
      <c r="AV177" s="23"/>
      <c r="AW177" s="23">
        <f>'7a.20YrDetails'!AW177</f>
        <v>0</v>
      </c>
      <c r="AX177" s="23"/>
      <c r="AY177" s="23"/>
      <c r="AZ177" s="23">
        <f>'7a.20YrDetails'!AZ177</f>
        <v>0</v>
      </c>
      <c r="BA177" s="23"/>
      <c r="BB177" s="23"/>
      <c r="BC177" s="23">
        <f>'7a.20YrDetails'!BC177</f>
        <v>0</v>
      </c>
      <c r="BD177" s="23"/>
      <c r="BE177" s="23"/>
      <c r="BF177" s="23">
        <f>'7a.20YrDetails'!BF177</f>
        <v>0</v>
      </c>
      <c r="BG177" s="23"/>
      <c r="BH177" s="23"/>
      <c r="BI177" s="23">
        <f>'7a.20YrDetails'!BI177</f>
        <v>0</v>
      </c>
      <c r="BJ177" s="23"/>
      <c r="BK177" s="23"/>
      <c r="BL177" s="23">
        <f>'7a.20YrDetails'!BL177</f>
        <v>0</v>
      </c>
      <c r="BM177" s="655"/>
      <c r="BN177" s="655"/>
      <c r="BO177" s="23">
        <f>'7a.20YrDetails'!BO177</f>
        <v>0</v>
      </c>
    </row>
    <row r="178" spans="3:67" ht="12" hidden="1" customHeight="1" outlineLevel="1" thickBot="1">
      <c r="C178" s="10" t="str">
        <f>'7a.20YrDetails'!C178</f>
        <v>Other Reserve 1  Deposits</v>
      </c>
      <c r="D178" s="5"/>
      <c r="E178" s="5"/>
      <c r="F178" s="53"/>
      <c r="G178" s="47" t="str">
        <f>IF('7a.20YrDetails'!$G178="","",'7a.20YrDetails'!$G178)</f>
        <v/>
      </c>
      <c r="H178" s="49"/>
      <c r="I178" s="49"/>
      <c r="J178" s="23">
        <f>'7a.20YrDetails'!J178</f>
        <v>0</v>
      </c>
      <c r="K178" s="23"/>
      <c r="L178" s="23"/>
      <c r="M178" s="23">
        <f>'7a.20YrDetails'!M178</f>
        <v>0</v>
      </c>
      <c r="N178" s="23"/>
      <c r="O178" s="23"/>
      <c r="P178" s="23">
        <f>'7a.20YrDetails'!P178</f>
        <v>0</v>
      </c>
      <c r="Q178" s="23"/>
      <c r="R178" s="23"/>
      <c r="S178" s="23">
        <f>'7a.20YrDetails'!S178</f>
        <v>0</v>
      </c>
      <c r="T178" s="23"/>
      <c r="U178" s="23"/>
      <c r="V178" s="23">
        <f>'7a.20YrDetails'!V178</f>
        <v>0</v>
      </c>
      <c r="W178" s="23"/>
      <c r="X178" s="23"/>
      <c r="Y178" s="23">
        <f>'7a.20YrDetails'!Y178</f>
        <v>0</v>
      </c>
      <c r="Z178" s="23"/>
      <c r="AA178" s="23"/>
      <c r="AB178" s="23">
        <f>'7a.20YrDetails'!AB178</f>
        <v>0</v>
      </c>
      <c r="AC178" s="23"/>
      <c r="AD178" s="23"/>
      <c r="AE178" s="23">
        <f>'7a.20YrDetails'!AE178</f>
        <v>0</v>
      </c>
      <c r="AF178" s="23"/>
      <c r="AG178" s="23"/>
      <c r="AH178" s="23">
        <f>'7a.20YrDetails'!AH178</f>
        <v>0</v>
      </c>
      <c r="AI178" s="23"/>
      <c r="AJ178" s="23"/>
      <c r="AK178" s="23">
        <f>'7a.20YrDetails'!AK178</f>
        <v>0</v>
      </c>
      <c r="AL178" s="23"/>
      <c r="AM178" s="23"/>
      <c r="AN178" s="23">
        <f>'7a.20YrDetails'!AN178</f>
        <v>0</v>
      </c>
      <c r="AO178" s="23"/>
      <c r="AP178" s="23"/>
      <c r="AQ178" s="23">
        <f>'7a.20YrDetails'!AQ178</f>
        <v>0</v>
      </c>
      <c r="AR178" s="23"/>
      <c r="AS178" s="23"/>
      <c r="AT178" s="23">
        <f>'7a.20YrDetails'!AT178</f>
        <v>0</v>
      </c>
      <c r="AU178" s="23"/>
      <c r="AV178" s="23"/>
      <c r="AW178" s="23">
        <f>'7a.20YrDetails'!AW178</f>
        <v>0</v>
      </c>
      <c r="AX178" s="23"/>
      <c r="AY178" s="23"/>
      <c r="AZ178" s="23">
        <f>'7a.20YrDetails'!AZ178</f>
        <v>0</v>
      </c>
      <c r="BA178" s="23"/>
      <c r="BB178" s="23"/>
      <c r="BC178" s="23">
        <f>'7a.20YrDetails'!BC178</f>
        <v>0</v>
      </c>
      <c r="BD178" s="23"/>
      <c r="BE178" s="23"/>
      <c r="BF178" s="23">
        <f>'7a.20YrDetails'!BF178</f>
        <v>0</v>
      </c>
      <c r="BG178" s="23"/>
      <c r="BH178" s="23"/>
      <c r="BI178" s="23">
        <f>'7a.20YrDetails'!BI178</f>
        <v>0</v>
      </c>
      <c r="BJ178" s="23"/>
      <c r="BK178" s="23"/>
      <c r="BL178" s="23">
        <f>'7a.20YrDetails'!BL178</f>
        <v>0</v>
      </c>
      <c r="BM178" s="655"/>
      <c r="BN178" s="655"/>
      <c r="BO178" s="23">
        <f>'7a.20YrDetails'!BO178</f>
        <v>0</v>
      </c>
    </row>
    <row r="179" spans="3:67" ht="12" hidden="1" customHeight="1" outlineLevel="1" thickBot="1">
      <c r="C179" s="10" t="str">
        <f>'7a.20YrDetails'!C179</f>
        <v xml:space="preserve">Other Reserve 1 Withdrawals </v>
      </c>
      <c r="D179" s="5"/>
      <c r="E179" s="5"/>
      <c r="F179" s="53"/>
      <c r="G179" s="47" t="str">
        <f>IF('7a.20YrDetails'!$G179="","",'7a.20YrDetails'!$G179)</f>
        <v/>
      </c>
      <c r="H179" s="49"/>
      <c r="I179" s="49"/>
      <c r="J179" s="23">
        <f>'7a.20YrDetails'!J179</f>
        <v>0</v>
      </c>
      <c r="K179" s="23"/>
      <c r="L179" s="23"/>
      <c r="M179" s="23">
        <f>'7a.20YrDetails'!M179</f>
        <v>0</v>
      </c>
      <c r="N179" s="23"/>
      <c r="O179" s="23"/>
      <c r="P179" s="23">
        <f>'7a.20YrDetails'!P179</f>
        <v>0</v>
      </c>
      <c r="Q179" s="23"/>
      <c r="R179" s="23"/>
      <c r="S179" s="23">
        <f>'7a.20YrDetails'!S179</f>
        <v>0</v>
      </c>
      <c r="T179" s="23"/>
      <c r="U179" s="23"/>
      <c r="V179" s="23">
        <f>'7a.20YrDetails'!V179</f>
        <v>0</v>
      </c>
      <c r="W179" s="23"/>
      <c r="X179" s="23"/>
      <c r="Y179" s="23">
        <f>'7a.20YrDetails'!Y179</f>
        <v>0</v>
      </c>
      <c r="Z179" s="23"/>
      <c r="AA179" s="23"/>
      <c r="AB179" s="23">
        <f>'7a.20YrDetails'!AB179</f>
        <v>0</v>
      </c>
      <c r="AC179" s="23"/>
      <c r="AD179" s="23"/>
      <c r="AE179" s="23">
        <f>'7a.20YrDetails'!AE179</f>
        <v>0</v>
      </c>
      <c r="AF179" s="23"/>
      <c r="AG179" s="23"/>
      <c r="AH179" s="23">
        <f>'7a.20YrDetails'!AH179</f>
        <v>0</v>
      </c>
      <c r="AI179" s="23"/>
      <c r="AJ179" s="23"/>
      <c r="AK179" s="23">
        <f>'7a.20YrDetails'!AK179</f>
        <v>0</v>
      </c>
      <c r="AL179" s="23"/>
      <c r="AM179" s="23"/>
      <c r="AN179" s="23">
        <f>'7a.20YrDetails'!AN179</f>
        <v>0</v>
      </c>
      <c r="AO179" s="23"/>
      <c r="AP179" s="23"/>
      <c r="AQ179" s="23">
        <f>'7a.20YrDetails'!AQ179</f>
        <v>0</v>
      </c>
      <c r="AR179" s="23"/>
      <c r="AS179" s="23"/>
      <c r="AT179" s="23">
        <f>'7a.20YrDetails'!AT179</f>
        <v>0</v>
      </c>
      <c r="AU179" s="23"/>
      <c r="AV179" s="23"/>
      <c r="AW179" s="23">
        <f>'7a.20YrDetails'!AW179</f>
        <v>0</v>
      </c>
      <c r="AX179" s="23"/>
      <c r="AY179" s="23"/>
      <c r="AZ179" s="23">
        <f>'7a.20YrDetails'!AZ179</f>
        <v>0</v>
      </c>
      <c r="BA179" s="23"/>
      <c r="BB179" s="23"/>
      <c r="BC179" s="23">
        <f>'7a.20YrDetails'!BC179</f>
        <v>0</v>
      </c>
      <c r="BD179" s="23"/>
      <c r="BE179" s="23"/>
      <c r="BF179" s="23">
        <f>'7a.20YrDetails'!BF179</f>
        <v>0</v>
      </c>
      <c r="BG179" s="23"/>
      <c r="BH179" s="23"/>
      <c r="BI179" s="23">
        <f>'7a.20YrDetails'!BI179</f>
        <v>0</v>
      </c>
      <c r="BJ179" s="23"/>
      <c r="BK179" s="23"/>
      <c r="BL179" s="23">
        <f>'7a.20YrDetails'!BL179</f>
        <v>0</v>
      </c>
      <c r="BM179" s="655"/>
      <c r="BN179" s="655"/>
      <c r="BO179" s="23">
        <f>'7a.20YrDetails'!BO179</f>
        <v>0</v>
      </c>
    </row>
    <row r="180" spans="3:67" ht="12" hidden="1" customHeight="1" outlineLevel="1" thickBot="1">
      <c r="C180" s="10" t="str">
        <f>'7a.20YrDetails'!C180</f>
        <v>Other Reserve 1  Interest</v>
      </c>
      <c r="D180" s="5"/>
      <c r="E180" s="5"/>
      <c r="F180" s="53"/>
      <c r="G180" s="47" t="str">
        <f>IF('7a.20YrDetails'!$G180="","",'7a.20YrDetails'!$G180)</f>
        <v/>
      </c>
      <c r="H180" s="49"/>
      <c r="I180" s="49"/>
      <c r="J180" s="23">
        <f>'7a.20YrDetails'!J180</f>
        <v>0</v>
      </c>
      <c r="K180" s="23"/>
      <c r="L180" s="23"/>
      <c r="M180" s="23">
        <f>'7a.20YrDetails'!M180</f>
        <v>0</v>
      </c>
      <c r="N180" s="23"/>
      <c r="O180" s="23"/>
      <c r="P180" s="23">
        <f>'7a.20YrDetails'!P180</f>
        <v>0</v>
      </c>
      <c r="Q180" s="23"/>
      <c r="R180" s="23"/>
      <c r="S180" s="23">
        <f>'7a.20YrDetails'!S180</f>
        <v>0</v>
      </c>
      <c r="T180" s="23"/>
      <c r="U180" s="23"/>
      <c r="V180" s="23">
        <f>'7a.20YrDetails'!V180</f>
        <v>0</v>
      </c>
      <c r="W180" s="23"/>
      <c r="X180" s="23"/>
      <c r="Y180" s="23">
        <f>'7a.20YrDetails'!Y180</f>
        <v>0</v>
      </c>
      <c r="Z180" s="23"/>
      <c r="AA180" s="23"/>
      <c r="AB180" s="23">
        <f>'7a.20YrDetails'!AB180</f>
        <v>0</v>
      </c>
      <c r="AC180" s="23"/>
      <c r="AD180" s="23"/>
      <c r="AE180" s="23">
        <f>'7a.20YrDetails'!AE180</f>
        <v>0</v>
      </c>
      <c r="AF180" s="23"/>
      <c r="AG180" s="23"/>
      <c r="AH180" s="23">
        <f>'7a.20YrDetails'!AH180</f>
        <v>0</v>
      </c>
      <c r="AI180" s="23"/>
      <c r="AJ180" s="23"/>
      <c r="AK180" s="23">
        <f>'7a.20YrDetails'!AK180</f>
        <v>0</v>
      </c>
      <c r="AL180" s="23"/>
      <c r="AM180" s="23"/>
      <c r="AN180" s="23">
        <f>'7a.20YrDetails'!AN180</f>
        <v>0</v>
      </c>
      <c r="AO180" s="23"/>
      <c r="AP180" s="23"/>
      <c r="AQ180" s="23">
        <f>'7a.20YrDetails'!AQ180</f>
        <v>0</v>
      </c>
      <c r="AR180" s="23"/>
      <c r="AS180" s="23"/>
      <c r="AT180" s="23">
        <f>'7a.20YrDetails'!AT180</f>
        <v>0</v>
      </c>
      <c r="AU180" s="23"/>
      <c r="AV180" s="23"/>
      <c r="AW180" s="23">
        <f>'7a.20YrDetails'!AW180</f>
        <v>0</v>
      </c>
      <c r="AX180" s="23"/>
      <c r="AY180" s="23"/>
      <c r="AZ180" s="23">
        <f>'7a.20YrDetails'!AZ180</f>
        <v>0</v>
      </c>
      <c r="BA180" s="23"/>
      <c r="BB180" s="23"/>
      <c r="BC180" s="23">
        <f>'7a.20YrDetails'!BC180</f>
        <v>0</v>
      </c>
      <c r="BD180" s="23"/>
      <c r="BE180" s="23"/>
      <c r="BF180" s="23">
        <f>'7a.20YrDetails'!BF180</f>
        <v>0</v>
      </c>
      <c r="BG180" s="23"/>
      <c r="BH180" s="23"/>
      <c r="BI180" s="23">
        <f>'7a.20YrDetails'!BI180</f>
        <v>0</v>
      </c>
      <c r="BJ180" s="23"/>
      <c r="BK180" s="23"/>
      <c r="BL180" s="23">
        <f>'7a.20YrDetails'!BL180</f>
        <v>0</v>
      </c>
      <c r="BM180" s="655"/>
      <c r="BN180" s="655"/>
      <c r="BO180" s="23">
        <f>'7a.20YrDetails'!BO180</f>
        <v>0</v>
      </c>
    </row>
    <row r="181" spans="3:67" ht="12" customHeight="1" collapsed="1">
      <c r="C181" s="27" t="str">
        <f>'7a.20YrDetails'!C181</f>
        <v>Other Required Reserve 1 Running Balance</v>
      </c>
      <c r="D181" s="5"/>
      <c r="E181" s="5"/>
      <c r="F181" s="53"/>
      <c r="G181" s="51"/>
      <c r="H181" s="49"/>
      <c r="I181" s="49"/>
      <c r="J181" s="19">
        <f>'7a.20YrDetails'!J181</f>
        <v>0</v>
      </c>
      <c r="K181" s="19"/>
      <c r="L181" s="19"/>
      <c r="M181" s="19">
        <f>'7a.20YrDetails'!M181</f>
        <v>0</v>
      </c>
      <c r="N181" s="19"/>
      <c r="O181" s="19"/>
      <c r="P181" s="19">
        <f>'7a.20YrDetails'!P181</f>
        <v>0</v>
      </c>
      <c r="Q181" s="19"/>
      <c r="R181" s="19"/>
      <c r="S181" s="19">
        <f>'7a.20YrDetails'!S181</f>
        <v>0</v>
      </c>
      <c r="T181" s="19"/>
      <c r="U181" s="19"/>
      <c r="V181" s="19">
        <f>'7a.20YrDetails'!V181</f>
        <v>0</v>
      </c>
      <c r="W181" s="19"/>
      <c r="X181" s="19"/>
      <c r="Y181" s="19">
        <f>'7a.20YrDetails'!Y181</f>
        <v>0</v>
      </c>
      <c r="Z181" s="19"/>
      <c r="AA181" s="19"/>
      <c r="AB181" s="19">
        <f>'7a.20YrDetails'!AB181</f>
        <v>0</v>
      </c>
      <c r="AC181" s="19"/>
      <c r="AD181" s="19"/>
      <c r="AE181" s="19">
        <f>'7a.20YrDetails'!AE181</f>
        <v>0</v>
      </c>
      <c r="AF181" s="19"/>
      <c r="AG181" s="19"/>
      <c r="AH181" s="19">
        <f>'7a.20YrDetails'!AH181</f>
        <v>0</v>
      </c>
      <c r="AI181" s="19"/>
      <c r="AJ181" s="19"/>
      <c r="AK181" s="19">
        <f>'7a.20YrDetails'!AK181</f>
        <v>0</v>
      </c>
      <c r="AL181" s="19"/>
      <c r="AM181" s="19"/>
      <c r="AN181" s="19">
        <f>'7a.20YrDetails'!AN181</f>
        <v>0</v>
      </c>
      <c r="AO181" s="19"/>
      <c r="AP181" s="19"/>
      <c r="AQ181" s="19">
        <f>'7a.20YrDetails'!AQ181</f>
        <v>0</v>
      </c>
      <c r="AR181" s="19"/>
      <c r="AS181" s="19"/>
      <c r="AT181" s="19">
        <f>'7a.20YrDetails'!AT181</f>
        <v>0</v>
      </c>
      <c r="AU181" s="19"/>
      <c r="AV181" s="19"/>
      <c r="AW181" s="19">
        <f>'7a.20YrDetails'!AW181</f>
        <v>0</v>
      </c>
      <c r="AX181" s="19"/>
      <c r="AY181" s="19"/>
      <c r="AZ181" s="19">
        <f>'7a.20YrDetails'!AZ181</f>
        <v>0</v>
      </c>
      <c r="BA181" s="19"/>
      <c r="BB181" s="19"/>
      <c r="BC181" s="19">
        <f>'7a.20YrDetails'!BC181</f>
        <v>0</v>
      </c>
      <c r="BD181" s="19"/>
      <c r="BE181" s="19"/>
      <c r="BF181" s="19">
        <f>'7a.20YrDetails'!BF181</f>
        <v>0</v>
      </c>
      <c r="BG181" s="19"/>
      <c r="BH181" s="19"/>
      <c r="BI181" s="19">
        <f>'7a.20YrDetails'!BI181</f>
        <v>0</v>
      </c>
      <c r="BJ181" s="19"/>
      <c r="BK181" s="19"/>
      <c r="BL181" s="19">
        <f>'7a.20YrDetails'!BL181</f>
        <v>0</v>
      </c>
      <c r="BM181" s="19"/>
      <c r="BN181" s="19"/>
      <c r="BO181" s="19">
        <f>'7a.20YrDetails'!BO181</f>
        <v>0</v>
      </c>
    </row>
    <row r="182" spans="3:67" ht="12" hidden="1" customHeight="1" outlineLevel="1">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row>
    <row r="183" spans="3:67" ht="12" hidden="1" customHeight="1" outlineLevel="1" thickBot="1">
      <c r="C183" s="6" t="str">
        <f>'7a.20YrDetails'!C183</f>
        <v>OTHER RESERVE 2 - RUNNING BALANCE</v>
      </c>
      <c r="D183" s="5"/>
      <c r="E183" s="5"/>
      <c r="F183" s="53"/>
      <c r="G183" s="49"/>
      <c r="H183" s="49"/>
      <c r="I183" s="4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c r="BO183" s="19"/>
    </row>
    <row r="184" spans="3:67" ht="12" hidden="1" customHeight="1" outlineLevel="1" thickBot="1">
      <c r="C184" s="10" t="str">
        <f>'7a.20YrDetails'!C184</f>
        <v>Other Reserve 2 Starting Balance</v>
      </c>
      <c r="D184" s="5"/>
      <c r="E184" s="5"/>
      <c r="F184" s="53"/>
      <c r="G184" s="47" t="str">
        <f>IF('7a.20YrDetails'!$G184="","",'7a.20YrDetails'!$G184)</f>
        <v/>
      </c>
      <c r="H184" s="49"/>
      <c r="I184" s="49"/>
      <c r="J184" s="23">
        <f>'7a.20YrDetails'!J184</f>
        <v>0</v>
      </c>
      <c r="K184" s="23"/>
      <c r="L184" s="23"/>
      <c r="M184" s="23">
        <f>'7a.20YrDetails'!M184</f>
        <v>0</v>
      </c>
      <c r="N184" s="23"/>
      <c r="O184" s="23"/>
      <c r="P184" s="23">
        <f>'7a.20YrDetails'!P184</f>
        <v>0</v>
      </c>
      <c r="Q184" s="23"/>
      <c r="R184" s="23"/>
      <c r="S184" s="23">
        <f>'7a.20YrDetails'!S184</f>
        <v>0</v>
      </c>
      <c r="T184" s="23"/>
      <c r="U184" s="23"/>
      <c r="V184" s="23">
        <f>'7a.20YrDetails'!V184</f>
        <v>0</v>
      </c>
      <c r="W184" s="23"/>
      <c r="X184" s="23"/>
      <c r="Y184" s="23">
        <f>'7a.20YrDetails'!Y184</f>
        <v>0</v>
      </c>
      <c r="Z184" s="23"/>
      <c r="AA184" s="23"/>
      <c r="AB184" s="23">
        <f>'7a.20YrDetails'!AB184</f>
        <v>0</v>
      </c>
      <c r="AC184" s="23"/>
      <c r="AD184" s="23"/>
      <c r="AE184" s="23">
        <f>'7a.20YrDetails'!AE184</f>
        <v>0</v>
      </c>
      <c r="AF184" s="23"/>
      <c r="AG184" s="23"/>
      <c r="AH184" s="23">
        <f>'7a.20YrDetails'!AH184</f>
        <v>0</v>
      </c>
      <c r="AI184" s="23"/>
      <c r="AJ184" s="23"/>
      <c r="AK184" s="23">
        <f>'7a.20YrDetails'!AK184</f>
        <v>0</v>
      </c>
      <c r="AL184" s="23"/>
      <c r="AM184" s="23"/>
      <c r="AN184" s="23">
        <f>'7a.20YrDetails'!AN184</f>
        <v>0</v>
      </c>
      <c r="AO184" s="23"/>
      <c r="AP184" s="23"/>
      <c r="AQ184" s="23">
        <f>'7a.20YrDetails'!AQ184</f>
        <v>0</v>
      </c>
      <c r="AR184" s="23"/>
      <c r="AS184" s="23"/>
      <c r="AT184" s="23">
        <f>'7a.20YrDetails'!AT184</f>
        <v>0</v>
      </c>
      <c r="AU184" s="23"/>
      <c r="AV184" s="23"/>
      <c r="AW184" s="23">
        <f>'7a.20YrDetails'!AW184</f>
        <v>0</v>
      </c>
      <c r="AX184" s="23"/>
      <c r="AY184" s="23"/>
      <c r="AZ184" s="23">
        <f>'7a.20YrDetails'!AZ184</f>
        <v>0</v>
      </c>
      <c r="BA184" s="23"/>
      <c r="BB184" s="23"/>
      <c r="BC184" s="23">
        <f>'7a.20YrDetails'!BC184</f>
        <v>0</v>
      </c>
      <c r="BD184" s="23"/>
      <c r="BE184" s="23"/>
      <c r="BF184" s="23">
        <f>'7a.20YrDetails'!BF184</f>
        <v>0</v>
      </c>
      <c r="BG184" s="23"/>
      <c r="BH184" s="23"/>
      <c r="BI184" s="23">
        <f>'7a.20YrDetails'!BI184</f>
        <v>0</v>
      </c>
      <c r="BJ184" s="23"/>
      <c r="BK184" s="23"/>
      <c r="BL184" s="23">
        <f>'7a.20YrDetails'!BL184</f>
        <v>0</v>
      </c>
      <c r="BM184" s="655"/>
      <c r="BN184" s="655"/>
      <c r="BO184" s="23">
        <f>'7a.20YrDetails'!BO184</f>
        <v>0</v>
      </c>
    </row>
    <row r="185" spans="3:67" ht="12" hidden="1" customHeight="1" outlineLevel="1" thickBot="1">
      <c r="C185" s="10" t="str">
        <f>'7a.20YrDetails'!C185</f>
        <v>Other Reserve 2  Deposits</v>
      </c>
      <c r="D185" s="5"/>
      <c r="E185" s="5"/>
      <c r="F185" s="53"/>
      <c r="G185" s="47" t="str">
        <f>IF('7a.20YrDetails'!$G185="","",'7a.20YrDetails'!$G185)</f>
        <v/>
      </c>
      <c r="H185" s="49"/>
      <c r="I185" s="49"/>
      <c r="J185" s="23">
        <f>'7a.20YrDetails'!J185</f>
        <v>0</v>
      </c>
      <c r="K185" s="23"/>
      <c r="L185" s="23"/>
      <c r="M185" s="23">
        <f>'7a.20YrDetails'!M185</f>
        <v>0</v>
      </c>
      <c r="N185" s="23"/>
      <c r="O185" s="23"/>
      <c r="P185" s="23">
        <f>'7a.20YrDetails'!P185</f>
        <v>0</v>
      </c>
      <c r="Q185" s="23"/>
      <c r="R185" s="23"/>
      <c r="S185" s="23">
        <f>'7a.20YrDetails'!S185</f>
        <v>0</v>
      </c>
      <c r="T185" s="23"/>
      <c r="U185" s="23"/>
      <c r="V185" s="23">
        <f>'7a.20YrDetails'!V185</f>
        <v>0</v>
      </c>
      <c r="W185" s="23"/>
      <c r="X185" s="23"/>
      <c r="Y185" s="23">
        <f>'7a.20YrDetails'!Y185</f>
        <v>0</v>
      </c>
      <c r="Z185" s="23"/>
      <c r="AA185" s="23"/>
      <c r="AB185" s="23">
        <f>'7a.20YrDetails'!AB185</f>
        <v>0</v>
      </c>
      <c r="AC185" s="23"/>
      <c r="AD185" s="23"/>
      <c r="AE185" s="23">
        <f>'7a.20YrDetails'!AE185</f>
        <v>0</v>
      </c>
      <c r="AF185" s="23"/>
      <c r="AG185" s="23"/>
      <c r="AH185" s="23">
        <f>'7a.20YrDetails'!AH185</f>
        <v>0</v>
      </c>
      <c r="AI185" s="23"/>
      <c r="AJ185" s="23"/>
      <c r="AK185" s="23">
        <f>'7a.20YrDetails'!AK185</f>
        <v>0</v>
      </c>
      <c r="AL185" s="23"/>
      <c r="AM185" s="23"/>
      <c r="AN185" s="23">
        <f>'7a.20YrDetails'!AN185</f>
        <v>0</v>
      </c>
      <c r="AO185" s="23"/>
      <c r="AP185" s="23"/>
      <c r="AQ185" s="23">
        <f>'7a.20YrDetails'!AQ185</f>
        <v>0</v>
      </c>
      <c r="AR185" s="23"/>
      <c r="AS185" s="23"/>
      <c r="AT185" s="23">
        <f>'7a.20YrDetails'!AT185</f>
        <v>0</v>
      </c>
      <c r="AU185" s="23"/>
      <c r="AV185" s="23"/>
      <c r="AW185" s="23">
        <f>'7a.20YrDetails'!AW185</f>
        <v>0</v>
      </c>
      <c r="AX185" s="23"/>
      <c r="AY185" s="23"/>
      <c r="AZ185" s="23">
        <f>'7a.20YrDetails'!AZ185</f>
        <v>0</v>
      </c>
      <c r="BA185" s="23"/>
      <c r="BB185" s="23"/>
      <c r="BC185" s="23">
        <f>'7a.20YrDetails'!BC185</f>
        <v>0</v>
      </c>
      <c r="BD185" s="23"/>
      <c r="BE185" s="23"/>
      <c r="BF185" s="23">
        <f>'7a.20YrDetails'!BF185</f>
        <v>0</v>
      </c>
      <c r="BG185" s="23"/>
      <c r="BH185" s="23"/>
      <c r="BI185" s="23">
        <f>'7a.20YrDetails'!BI185</f>
        <v>0</v>
      </c>
      <c r="BJ185" s="23"/>
      <c r="BK185" s="23"/>
      <c r="BL185" s="23">
        <f>'7a.20YrDetails'!BL185</f>
        <v>0</v>
      </c>
      <c r="BM185" s="655"/>
      <c r="BN185" s="655"/>
      <c r="BO185" s="23">
        <f>'7a.20YrDetails'!BO185</f>
        <v>0</v>
      </c>
    </row>
    <row r="186" spans="3:67" ht="12" hidden="1" customHeight="1" outlineLevel="1" thickBot="1">
      <c r="C186" s="10" t="str">
        <f>'7a.20YrDetails'!C186</f>
        <v xml:space="preserve">Other Reserve 2 Withdrawals </v>
      </c>
      <c r="D186" s="5"/>
      <c r="E186" s="5"/>
      <c r="F186" s="53"/>
      <c r="G186" s="47" t="str">
        <f>IF('7a.20YrDetails'!$G186="","",'7a.20YrDetails'!$G186)</f>
        <v/>
      </c>
      <c r="H186" s="49"/>
      <c r="I186" s="49"/>
      <c r="J186" s="23">
        <f>'7a.20YrDetails'!J186</f>
        <v>0</v>
      </c>
      <c r="K186" s="23"/>
      <c r="L186" s="23"/>
      <c r="M186" s="23">
        <f>'7a.20YrDetails'!M186</f>
        <v>0</v>
      </c>
      <c r="N186" s="23"/>
      <c r="O186" s="23"/>
      <c r="P186" s="23">
        <f>'7a.20YrDetails'!P186</f>
        <v>0</v>
      </c>
      <c r="Q186" s="23"/>
      <c r="R186" s="23"/>
      <c r="S186" s="23">
        <f>'7a.20YrDetails'!S186</f>
        <v>0</v>
      </c>
      <c r="T186" s="23"/>
      <c r="U186" s="23"/>
      <c r="V186" s="23">
        <f>'7a.20YrDetails'!V186</f>
        <v>0</v>
      </c>
      <c r="W186" s="23"/>
      <c r="X186" s="23"/>
      <c r="Y186" s="23">
        <f>'7a.20YrDetails'!Y186</f>
        <v>0</v>
      </c>
      <c r="Z186" s="23"/>
      <c r="AA186" s="23"/>
      <c r="AB186" s="23">
        <f>'7a.20YrDetails'!AB186</f>
        <v>0</v>
      </c>
      <c r="AC186" s="23"/>
      <c r="AD186" s="23"/>
      <c r="AE186" s="23">
        <f>'7a.20YrDetails'!AE186</f>
        <v>0</v>
      </c>
      <c r="AF186" s="23"/>
      <c r="AG186" s="23"/>
      <c r="AH186" s="23">
        <f>'7a.20YrDetails'!AH186</f>
        <v>0</v>
      </c>
      <c r="AI186" s="23"/>
      <c r="AJ186" s="23"/>
      <c r="AK186" s="23">
        <f>'7a.20YrDetails'!AK186</f>
        <v>0</v>
      </c>
      <c r="AL186" s="23"/>
      <c r="AM186" s="23"/>
      <c r="AN186" s="23">
        <f>'7a.20YrDetails'!AN186</f>
        <v>0</v>
      </c>
      <c r="AO186" s="23"/>
      <c r="AP186" s="23"/>
      <c r="AQ186" s="23">
        <f>'7a.20YrDetails'!AQ186</f>
        <v>0</v>
      </c>
      <c r="AR186" s="23"/>
      <c r="AS186" s="23"/>
      <c r="AT186" s="23">
        <f>'7a.20YrDetails'!AT186</f>
        <v>0</v>
      </c>
      <c r="AU186" s="23"/>
      <c r="AV186" s="23"/>
      <c r="AW186" s="23">
        <f>'7a.20YrDetails'!AW186</f>
        <v>0</v>
      </c>
      <c r="AX186" s="23"/>
      <c r="AY186" s="23"/>
      <c r="AZ186" s="23">
        <f>'7a.20YrDetails'!AZ186</f>
        <v>0</v>
      </c>
      <c r="BA186" s="23"/>
      <c r="BB186" s="23"/>
      <c r="BC186" s="23">
        <f>'7a.20YrDetails'!BC186</f>
        <v>0</v>
      </c>
      <c r="BD186" s="23"/>
      <c r="BE186" s="23"/>
      <c r="BF186" s="23">
        <f>'7a.20YrDetails'!BF186</f>
        <v>0</v>
      </c>
      <c r="BG186" s="23"/>
      <c r="BH186" s="23"/>
      <c r="BI186" s="23">
        <f>'7a.20YrDetails'!BI186</f>
        <v>0</v>
      </c>
      <c r="BJ186" s="23"/>
      <c r="BK186" s="23"/>
      <c r="BL186" s="23">
        <f>'7a.20YrDetails'!BL186</f>
        <v>0</v>
      </c>
      <c r="BM186" s="655"/>
      <c r="BN186" s="655"/>
      <c r="BO186" s="23">
        <f>'7a.20YrDetails'!BO186</f>
        <v>0</v>
      </c>
    </row>
    <row r="187" spans="3:67" ht="12" hidden="1" customHeight="1" outlineLevel="1">
      <c r="C187" s="10" t="str">
        <f>'7a.20YrDetails'!C187</f>
        <v>Other Reserve 2  Interest</v>
      </c>
      <c r="D187" s="5"/>
      <c r="E187" s="5"/>
      <c r="F187" s="53"/>
      <c r="G187" s="47" t="str">
        <f>IF('7a.20YrDetails'!$G187="","",'7a.20YrDetails'!$G187)</f>
        <v/>
      </c>
      <c r="H187" s="49"/>
      <c r="I187" s="49"/>
      <c r="J187" s="827">
        <f>'7a.20YrDetails'!J187</f>
        <v>0</v>
      </c>
      <c r="K187" s="827"/>
      <c r="L187" s="827"/>
      <c r="M187" s="827">
        <f>'7a.20YrDetails'!M187</f>
        <v>0</v>
      </c>
      <c r="N187" s="827"/>
      <c r="O187" s="827"/>
      <c r="P187" s="827">
        <f>'7a.20YrDetails'!P187</f>
        <v>0</v>
      </c>
      <c r="Q187" s="827"/>
      <c r="R187" s="827"/>
      <c r="S187" s="827">
        <f>'7a.20YrDetails'!S187</f>
        <v>0</v>
      </c>
      <c r="T187" s="827"/>
      <c r="U187" s="827"/>
      <c r="V187" s="827">
        <f>'7a.20YrDetails'!V187</f>
        <v>0</v>
      </c>
      <c r="W187" s="827"/>
      <c r="X187" s="827"/>
      <c r="Y187" s="827">
        <f>'7a.20YrDetails'!Y187</f>
        <v>0</v>
      </c>
      <c r="Z187" s="827"/>
      <c r="AA187" s="827"/>
      <c r="AB187" s="827">
        <f>'7a.20YrDetails'!AB187</f>
        <v>0</v>
      </c>
      <c r="AC187" s="827"/>
      <c r="AD187" s="827"/>
      <c r="AE187" s="827">
        <f>'7a.20YrDetails'!AE187</f>
        <v>0</v>
      </c>
      <c r="AF187" s="827"/>
      <c r="AG187" s="827"/>
      <c r="AH187" s="827">
        <f>'7a.20YrDetails'!AH187</f>
        <v>0</v>
      </c>
      <c r="AI187" s="827"/>
      <c r="AJ187" s="827"/>
      <c r="AK187" s="827">
        <f>'7a.20YrDetails'!AK187</f>
        <v>0</v>
      </c>
      <c r="AL187" s="827"/>
      <c r="AM187" s="827"/>
      <c r="AN187" s="827">
        <f>'7a.20YrDetails'!AN187</f>
        <v>0</v>
      </c>
      <c r="AO187" s="827"/>
      <c r="AP187" s="827"/>
      <c r="AQ187" s="827">
        <f>'7a.20YrDetails'!AQ187</f>
        <v>0</v>
      </c>
      <c r="AR187" s="827"/>
      <c r="AS187" s="827"/>
      <c r="AT187" s="827">
        <f>'7a.20YrDetails'!AT187</f>
        <v>0</v>
      </c>
      <c r="AU187" s="827"/>
      <c r="AV187" s="827"/>
      <c r="AW187" s="827">
        <f>'7a.20YrDetails'!AW187</f>
        <v>0</v>
      </c>
      <c r="AX187" s="827"/>
      <c r="AY187" s="827"/>
      <c r="AZ187" s="827">
        <f>'7a.20YrDetails'!AZ187</f>
        <v>0</v>
      </c>
      <c r="BA187" s="827"/>
      <c r="BB187" s="827"/>
      <c r="BC187" s="827">
        <f>'7a.20YrDetails'!BC187</f>
        <v>0</v>
      </c>
      <c r="BD187" s="827"/>
      <c r="BE187" s="827"/>
      <c r="BF187" s="827">
        <f>'7a.20YrDetails'!BF187</f>
        <v>0</v>
      </c>
      <c r="BG187" s="827"/>
      <c r="BH187" s="827"/>
      <c r="BI187" s="827">
        <f>'7a.20YrDetails'!BI187</f>
        <v>0</v>
      </c>
      <c r="BJ187" s="827"/>
      <c r="BK187" s="827"/>
      <c r="BL187" s="827">
        <f>'7a.20YrDetails'!BL187</f>
        <v>0</v>
      </c>
      <c r="BM187" s="828"/>
      <c r="BN187" s="828"/>
      <c r="BO187" s="827">
        <f>'7a.20YrDetails'!BO187</f>
        <v>0</v>
      </c>
    </row>
    <row r="188" spans="3:67" ht="12" customHeight="1" collapsed="1">
      <c r="C188" s="27" t="str">
        <f>'7a.20YrDetails'!C188</f>
        <v>Other Required Reserve 2 Running Balance</v>
      </c>
      <c r="D188" s="5"/>
      <c r="E188" s="5"/>
      <c r="F188" s="53"/>
      <c r="G188" s="51"/>
      <c r="H188" s="49"/>
      <c r="I188" s="49"/>
      <c r="J188" s="28">
        <f>'7a.20YrDetails'!J188</f>
        <v>0</v>
      </c>
      <c r="K188" s="28"/>
      <c r="L188" s="28"/>
      <c r="M188" s="28">
        <f>'7a.20YrDetails'!M188</f>
        <v>0</v>
      </c>
      <c r="N188" s="28"/>
      <c r="O188" s="28"/>
      <c r="P188" s="28">
        <f>'7a.20YrDetails'!P188</f>
        <v>0</v>
      </c>
      <c r="Q188" s="28"/>
      <c r="R188" s="28"/>
      <c r="S188" s="28">
        <f>'7a.20YrDetails'!S188</f>
        <v>0</v>
      </c>
      <c r="T188" s="28"/>
      <c r="U188" s="28"/>
      <c r="V188" s="28">
        <f>'7a.20YrDetails'!V188</f>
        <v>0</v>
      </c>
      <c r="W188" s="28"/>
      <c r="X188" s="28"/>
      <c r="Y188" s="28">
        <f>'7a.20YrDetails'!Y188</f>
        <v>0</v>
      </c>
      <c r="Z188" s="28"/>
      <c r="AA188" s="28"/>
      <c r="AB188" s="28">
        <f>'7a.20YrDetails'!AB188</f>
        <v>0</v>
      </c>
      <c r="AC188" s="28"/>
      <c r="AD188" s="28"/>
      <c r="AE188" s="28">
        <f>'7a.20YrDetails'!AE188</f>
        <v>0</v>
      </c>
      <c r="AF188" s="28"/>
      <c r="AG188" s="28"/>
      <c r="AH188" s="28">
        <f>'7a.20YrDetails'!AH188</f>
        <v>0</v>
      </c>
      <c r="AI188" s="28"/>
      <c r="AJ188" s="28"/>
      <c r="AK188" s="28">
        <f>'7a.20YrDetails'!AK188</f>
        <v>0</v>
      </c>
      <c r="AL188" s="28"/>
      <c r="AM188" s="28"/>
      <c r="AN188" s="28">
        <f>'7a.20YrDetails'!AN188</f>
        <v>0</v>
      </c>
      <c r="AO188" s="28"/>
      <c r="AP188" s="28"/>
      <c r="AQ188" s="28">
        <f>'7a.20YrDetails'!AQ188</f>
        <v>0</v>
      </c>
      <c r="AR188" s="28"/>
      <c r="AS188" s="28"/>
      <c r="AT188" s="28">
        <f>'7a.20YrDetails'!AT188</f>
        <v>0</v>
      </c>
      <c r="AU188" s="28"/>
      <c r="AV188" s="28"/>
      <c r="AW188" s="28">
        <f>'7a.20YrDetails'!AW188</f>
        <v>0</v>
      </c>
      <c r="AX188" s="28"/>
      <c r="AY188" s="28"/>
      <c r="AZ188" s="28">
        <f>'7a.20YrDetails'!AZ188</f>
        <v>0</v>
      </c>
      <c r="BA188" s="28"/>
      <c r="BB188" s="28"/>
      <c r="BC188" s="28">
        <f>'7a.20YrDetails'!BC188</f>
        <v>0</v>
      </c>
      <c r="BD188" s="28"/>
      <c r="BE188" s="28"/>
      <c r="BF188" s="28">
        <f>'7a.20YrDetails'!BF188</f>
        <v>0</v>
      </c>
      <c r="BG188" s="28"/>
      <c r="BH188" s="28"/>
      <c r="BI188" s="28">
        <f>'7a.20YrDetails'!BI188</f>
        <v>0</v>
      </c>
      <c r="BJ188" s="28"/>
      <c r="BK188" s="28"/>
      <c r="BL188" s="28">
        <f>'7a.20YrDetails'!BL188</f>
        <v>0</v>
      </c>
      <c r="BM188" s="28"/>
      <c r="BN188" s="28"/>
      <c r="BO188" s="28">
        <f>'7a.20YrDetails'!BO188</f>
        <v>0</v>
      </c>
    </row>
    <row r="189" spans="3:67" ht="12" customHeight="1"/>
    <row r="190" spans="3:67" ht="12" customHeight="1">
      <c r="C190" s="6" t="str">
        <f>'7a.20YrDetails'!C190</f>
        <v>DEFERRED DEVELOPER FEE - RUNNING BALANCE</v>
      </c>
      <c r="D190" s="5"/>
      <c r="E190" s="5"/>
      <c r="F190" s="53"/>
      <c r="G190" s="49"/>
      <c r="H190" s="49"/>
      <c r="I190" s="4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c r="BO190" s="19"/>
    </row>
    <row r="191" spans="3:67" ht="12" customHeight="1">
      <c r="C191" s="10" t="str">
        <f>'7a.20YrDetails'!C191</f>
        <v>Developer Fee Starting Balance</v>
      </c>
      <c r="D191" s="5"/>
      <c r="E191" s="5"/>
      <c r="F191" s="53"/>
      <c r="G191" s="49"/>
      <c r="H191" s="109"/>
      <c r="I191" s="109"/>
      <c r="J191" s="109">
        <f>'7a.20YrDetails'!J191</f>
        <v>0</v>
      </c>
      <c r="K191" s="109"/>
      <c r="L191" s="109"/>
      <c r="M191" s="109">
        <f>'7a.20YrDetails'!M191</f>
        <v>0</v>
      </c>
      <c r="N191" s="109"/>
      <c r="O191" s="109"/>
      <c r="P191" s="109">
        <f>'7a.20YrDetails'!P191</f>
        <v>0</v>
      </c>
      <c r="Q191" s="109"/>
      <c r="R191" s="109"/>
      <c r="S191" s="109">
        <f>'7a.20YrDetails'!S191</f>
        <v>0</v>
      </c>
      <c r="T191" s="109"/>
      <c r="U191" s="109"/>
      <c r="V191" s="109">
        <f>'7a.20YrDetails'!V191</f>
        <v>0</v>
      </c>
      <c r="W191" s="109"/>
      <c r="X191" s="109"/>
      <c r="Y191" s="109">
        <f>'7a.20YrDetails'!Y191</f>
        <v>0</v>
      </c>
      <c r="Z191" s="109"/>
      <c r="AA191" s="109"/>
      <c r="AB191" s="109">
        <f>'7a.20YrDetails'!AB191</f>
        <v>0</v>
      </c>
      <c r="AC191" s="109"/>
      <c r="AD191" s="109"/>
      <c r="AE191" s="109">
        <f>'7a.20YrDetails'!AE191</f>
        <v>0</v>
      </c>
      <c r="AF191" s="109"/>
      <c r="AG191" s="109"/>
      <c r="AH191" s="109">
        <f>'7a.20YrDetails'!AH191</f>
        <v>0</v>
      </c>
      <c r="AI191" s="109"/>
      <c r="AJ191" s="109"/>
      <c r="AK191" s="109">
        <f>'7a.20YrDetails'!AK191</f>
        <v>0</v>
      </c>
      <c r="AL191" s="109"/>
      <c r="AM191" s="109"/>
      <c r="AN191" s="109">
        <f>'7a.20YrDetails'!AN191</f>
        <v>0</v>
      </c>
      <c r="AO191" s="109"/>
      <c r="AP191" s="109"/>
      <c r="AQ191" s="109">
        <f>'7a.20YrDetails'!AQ191</f>
        <v>0</v>
      </c>
      <c r="AR191" s="109"/>
      <c r="AS191" s="109"/>
      <c r="AT191" s="109">
        <f>'7a.20YrDetails'!AT191</f>
        <v>0</v>
      </c>
      <c r="AU191" s="109"/>
      <c r="AV191" s="109"/>
      <c r="AW191" s="109">
        <f>'7a.20YrDetails'!AW191</f>
        <v>0</v>
      </c>
      <c r="AX191" s="109"/>
      <c r="AY191" s="109"/>
      <c r="AZ191" s="109">
        <f>'7a.20YrDetails'!AZ191</f>
        <v>0</v>
      </c>
      <c r="BA191" s="109"/>
      <c r="BB191" s="109"/>
      <c r="BC191" s="109">
        <f>'7a.20YrDetails'!BC191</f>
        <v>0</v>
      </c>
      <c r="BD191" s="109"/>
      <c r="BE191" s="109"/>
      <c r="BF191" s="109">
        <f>'7a.20YrDetails'!BF191</f>
        <v>0</v>
      </c>
      <c r="BG191" s="109"/>
      <c r="BH191" s="109"/>
      <c r="BI191" s="109">
        <f>'7a.20YrDetails'!BI191</f>
        <v>0</v>
      </c>
      <c r="BJ191" s="109"/>
      <c r="BK191" s="109"/>
      <c r="BL191" s="109">
        <f>'7a.20YrDetails'!BL191</f>
        <v>0</v>
      </c>
      <c r="BM191" s="109"/>
      <c r="BN191" s="109"/>
      <c r="BO191" s="109">
        <f>'7a.20YrDetails'!BO191</f>
        <v>0</v>
      </c>
    </row>
    <row r="192" spans="3:67" ht="12" customHeight="1">
      <c r="C192" s="10" t="str">
        <f>'7a.20YrDetails'!C192</f>
        <v>Deferred Developer Fee Earned in Year</v>
      </c>
      <c r="D192" s="5"/>
      <c r="E192" s="5"/>
      <c r="F192" s="53"/>
      <c r="G192" s="49"/>
      <c r="H192" s="109"/>
      <c r="I192" s="109"/>
      <c r="J192" s="109">
        <f>'7a.20YrDetails'!J192</f>
        <v>0</v>
      </c>
      <c r="K192" s="109"/>
      <c r="L192" s="109"/>
      <c r="M192" s="109">
        <f>'7a.20YrDetails'!M192</f>
        <v>0</v>
      </c>
      <c r="N192" s="109"/>
      <c r="O192" s="109"/>
      <c r="P192" s="109">
        <f>'7a.20YrDetails'!P192</f>
        <v>0</v>
      </c>
      <c r="Q192" s="109"/>
      <c r="R192" s="109"/>
      <c r="S192" s="109">
        <f>'7a.20YrDetails'!S192</f>
        <v>0</v>
      </c>
      <c r="T192" s="109"/>
      <c r="U192" s="109"/>
      <c r="V192" s="109">
        <f>'7a.20YrDetails'!V192</f>
        <v>0</v>
      </c>
      <c r="W192" s="109"/>
      <c r="X192" s="109"/>
      <c r="Y192" s="109">
        <f>'7a.20YrDetails'!Y192</f>
        <v>0</v>
      </c>
      <c r="Z192" s="109"/>
      <c r="AA192" s="109"/>
      <c r="AB192" s="109">
        <f>'7a.20YrDetails'!AB192</f>
        <v>0</v>
      </c>
      <c r="AC192" s="109"/>
      <c r="AD192" s="109"/>
      <c r="AE192" s="109">
        <f>'7a.20YrDetails'!AE192</f>
        <v>0</v>
      </c>
      <c r="AF192" s="109"/>
      <c r="AG192" s="109"/>
      <c r="AH192" s="109">
        <f>'7a.20YrDetails'!AH192</f>
        <v>0</v>
      </c>
      <c r="AI192" s="109"/>
      <c r="AJ192" s="109"/>
      <c r="AK192" s="109">
        <f>'7a.20YrDetails'!AK192</f>
        <v>0</v>
      </c>
      <c r="AL192" s="109"/>
      <c r="AM192" s="109"/>
      <c r="AN192" s="109">
        <f>'7a.20YrDetails'!AN192</f>
        <v>0</v>
      </c>
      <c r="AO192" s="109"/>
      <c r="AP192" s="109"/>
      <c r="AQ192" s="109">
        <f>'7a.20YrDetails'!AQ192</f>
        <v>0</v>
      </c>
      <c r="AR192" s="109"/>
      <c r="AS192" s="109"/>
      <c r="AT192" s="109">
        <f>'7a.20YrDetails'!AT192</f>
        <v>0</v>
      </c>
      <c r="AU192" s="109"/>
      <c r="AV192" s="109"/>
      <c r="AW192" s="109">
        <f>'7a.20YrDetails'!AW192</f>
        <v>0</v>
      </c>
      <c r="AX192" s="109"/>
      <c r="AY192" s="109"/>
      <c r="AZ192" s="109">
        <f>'7a.20YrDetails'!AZ192</f>
        <v>0</v>
      </c>
      <c r="BA192" s="109"/>
      <c r="BB192" s="109"/>
      <c r="BC192" s="109">
        <f>'7a.20YrDetails'!BC192</f>
        <v>0</v>
      </c>
      <c r="BD192" s="109"/>
      <c r="BE192" s="109"/>
      <c r="BF192" s="109">
        <f>'7a.20YrDetails'!BF192</f>
        <v>0</v>
      </c>
      <c r="BG192" s="109"/>
      <c r="BH192" s="109"/>
      <c r="BI192" s="109">
        <f>'7a.20YrDetails'!BI192</f>
        <v>0</v>
      </c>
      <c r="BJ192" s="109"/>
      <c r="BK192" s="109"/>
      <c r="BL192" s="109">
        <f>'7a.20YrDetails'!BL192</f>
        <v>0</v>
      </c>
      <c r="BM192" s="109"/>
      <c r="BN192" s="109"/>
      <c r="BO192" s="109">
        <f>'7a.20YrDetails'!BO192</f>
        <v>0</v>
      </c>
    </row>
    <row r="193" spans="3:67" ht="12" customHeight="1">
      <c r="C193" s="27" t="str">
        <f>'7a.20YrDetails'!C193</f>
        <v>Developer Fee Remaining Balance</v>
      </c>
      <c r="D193" s="5"/>
      <c r="E193" s="5"/>
      <c r="F193" s="53"/>
      <c r="G193" s="49"/>
      <c r="H193" s="49"/>
      <c r="I193" s="49"/>
      <c r="J193" s="19">
        <f>'7a.20YrDetails'!J193</f>
        <v>0</v>
      </c>
      <c r="K193" s="19"/>
      <c r="L193" s="19"/>
      <c r="M193" s="19">
        <f>'7a.20YrDetails'!M193</f>
        <v>0</v>
      </c>
      <c r="N193" s="19"/>
      <c r="O193" s="19"/>
      <c r="P193" s="19">
        <f>'7a.20YrDetails'!P193</f>
        <v>0</v>
      </c>
      <c r="Q193" s="19"/>
      <c r="R193" s="19"/>
      <c r="S193" s="19">
        <f>'7a.20YrDetails'!S193</f>
        <v>0</v>
      </c>
      <c r="T193" s="19"/>
      <c r="U193" s="19"/>
      <c r="V193" s="19">
        <f>'7a.20YrDetails'!V193</f>
        <v>0</v>
      </c>
      <c r="W193" s="19"/>
      <c r="X193" s="19"/>
      <c r="Y193" s="19">
        <f>'7a.20YrDetails'!Y193</f>
        <v>0</v>
      </c>
      <c r="Z193" s="19"/>
      <c r="AA193" s="19"/>
      <c r="AB193" s="19">
        <f>'7a.20YrDetails'!AB193</f>
        <v>0</v>
      </c>
      <c r="AC193" s="19"/>
      <c r="AD193" s="19"/>
      <c r="AE193" s="19">
        <f>'7a.20YrDetails'!AE193</f>
        <v>0</v>
      </c>
      <c r="AF193" s="19"/>
      <c r="AG193" s="19"/>
      <c r="AH193" s="19">
        <f>'7a.20YrDetails'!AH193</f>
        <v>0</v>
      </c>
      <c r="AI193" s="19"/>
      <c r="AJ193" s="19"/>
      <c r="AK193" s="19">
        <f>'7a.20YrDetails'!AK193</f>
        <v>0</v>
      </c>
      <c r="AL193" s="19"/>
      <c r="AM193" s="19"/>
      <c r="AN193" s="19">
        <f>'7a.20YrDetails'!AN193</f>
        <v>0</v>
      </c>
      <c r="AO193" s="19"/>
      <c r="AP193" s="19"/>
      <c r="AQ193" s="19">
        <f>'7a.20YrDetails'!AQ193</f>
        <v>0</v>
      </c>
      <c r="AR193" s="19"/>
      <c r="AS193" s="19"/>
      <c r="AT193" s="19">
        <f>'7a.20YrDetails'!AT193</f>
        <v>0</v>
      </c>
      <c r="AU193" s="19"/>
      <c r="AV193" s="19"/>
      <c r="AW193" s="19">
        <f>'7a.20YrDetails'!AW193</f>
        <v>0</v>
      </c>
      <c r="AX193" s="19"/>
      <c r="AY193" s="19"/>
      <c r="AZ193" s="19">
        <f>'7a.20YrDetails'!AZ193</f>
        <v>0</v>
      </c>
      <c r="BA193" s="19"/>
      <c r="BB193" s="19"/>
      <c r="BC193" s="19">
        <f>'7a.20YrDetails'!BC193</f>
        <v>0</v>
      </c>
      <c r="BD193" s="19"/>
      <c r="BE193" s="19"/>
      <c r="BF193" s="19">
        <f>'7a.20YrDetails'!BF193</f>
        <v>0</v>
      </c>
      <c r="BG193" s="19"/>
      <c r="BH193" s="19"/>
      <c r="BI193" s="19">
        <f>'7a.20YrDetails'!BI193</f>
        <v>0</v>
      </c>
      <c r="BJ193" s="19"/>
      <c r="BK193" s="19"/>
      <c r="BL193" s="19">
        <f>'7a.20YrDetails'!BL193</f>
        <v>0</v>
      </c>
      <c r="BM193" s="19"/>
      <c r="BN193" s="19"/>
      <c r="BO193" s="19">
        <f>'7a.20YrDetails'!BO193</f>
        <v>0</v>
      </c>
    </row>
    <row r="194" spans="3:67" ht="12" hidden="1" customHeight="1">
      <c r="C194" s="54"/>
      <c r="D194" s="5"/>
      <c r="E194" s="5"/>
      <c r="F194" s="53"/>
      <c r="G194" s="49"/>
      <c r="H194" s="49"/>
      <c r="I194" s="49"/>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row>
    <row r="195" spans="3:67" ht="12" customHeight="1"/>
  </sheetData>
  <sheetProtection algorithmName="SHA-512" hashValue="Md8YGgptR01fCgcu3eF+DVn0L2b1HD9wbqQ8e7yqfIRdT2SsO7khmesZ27s3JYDXgVKeJNnNQDcy0EPJbt2xKg==" saltValue="2xQDrUEeq6LKJxQ2ZeJ5gw==" spinCount="100000" sheet="1" objects="1" scenarios="1"/>
  <customSheetViews>
    <customSheetView guid="{332023D0-60C3-4A29-9DCC-CDA10E0C090D}" hiddenRows="1" hiddenColumns="1" topLeftCell="A2">
      <selection activeCell="J14" sqref="J14"/>
      <pageMargins left="0.7" right="0.7" top="0.75" bottom="0.75" header="0.3" footer="0.3"/>
    </customSheetView>
    <customSheetView guid="{B92ED4D4-4566-4043-8B76-FD708F820076}" showGridLines="0" fitToPage="1" hiddenRows="1" hiddenColumns="1" topLeftCell="A2">
      <selection activeCell="A2" sqref="A2"/>
      <pageMargins left="0.6" right="0.6" top="0.75" bottom="0.75" header="0.3" footer="0.3"/>
      <pageSetup scale="44" orientation="landscape" r:id="rId1"/>
    </customSheetView>
  </customSheetViews>
  <mergeCells count="43">
    <mergeCell ref="G25:G27"/>
    <mergeCell ref="Z7:AB7"/>
    <mergeCell ref="AC7:AE7"/>
    <mergeCell ref="F4:F5"/>
    <mergeCell ref="E4:E5"/>
    <mergeCell ref="H6:J6"/>
    <mergeCell ref="K6:M6"/>
    <mergeCell ref="N6:P6"/>
    <mergeCell ref="Q6:S6"/>
    <mergeCell ref="T6:V6"/>
    <mergeCell ref="W6:Y6"/>
    <mergeCell ref="Z6:AB6"/>
    <mergeCell ref="K7:M7"/>
    <mergeCell ref="N7:P7"/>
    <mergeCell ref="Q7:S7"/>
    <mergeCell ref="AF7:AH7"/>
    <mergeCell ref="AI7:AK7"/>
    <mergeCell ref="H7:J7"/>
    <mergeCell ref="AC6:AE6"/>
    <mergeCell ref="AF6:AH6"/>
    <mergeCell ref="AI6:AK6"/>
    <mergeCell ref="T7:V7"/>
    <mergeCell ref="W7:Y7"/>
    <mergeCell ref="AL6:AN6"/>
    <mergeCell ref="AO6:AQ6"/>
    <mergeCell ref="BA7:BC7"/>
    <mergeCell ref="AR6:AT6"/>
    <mergeCell ref="AU6:AW6"/>
    <mergeCell ref="AX6:AZ6"/>
    <mergeCell ref="BA6:BC6"/>
    <mergeCell ref="AX7:AZ7"/>
    <mergeCell ref="AO7:AQ7"/>
    <mergeCell ref="AR7:AT7"/>
    <mergeCell ref="AU7:AW7"/>
    <mergeCell ref="AL7:AN7"/>
    <mergeCell ref="BD7:BF7"/>
    <mergeCell ref="BG7:BI7"/>
    <mergeCell ref="BJ7:BL7"/>
    <mergeCell ref="BM7:BO7"/>
    <mergeCell ref="BM6:BO6"/>
    <mergeCell ref="BG6:BI6"/>
    <mergeCell ref="BJ6:BL6"/>
    <mergeCell ref="BD6:BF6"/>
  </mergeCells>
  <conditionalFormatting sqref="J97:BO97">
    <cfRule type="cellIs" dxfId="21" priority="54" operator="lessThan">
      <formula>0</formula>
    </cfRule>
  </conditionalFormatting>
  <conditionalFormatting sqref="J114 M114">
    <cfRule type="cellIs" dxfId="20" priority="53" operator="lessThan">
      <formula>1.1</formula>
    </cfRule>
  </conditionalFormatting>
  <conditionalFormatting sqref="H97:I97">
    <cfRule type="cellIs" dxfId="19" priority="10" operator="lessThan">
      <formula>0</formula>
    </cfRule>
  </conditionalFormatting>
  <conditionalFormatting sqref="P114">
    <cfRule type="cellIs" dxfId="18" priority="9" operator="lessThan">
      <formula>1.1</formula>
    </cfRule>
  </conditionalFormatting>
  <conditionalFormatting sqref="S114 V114 Y114 AB114 AE114 AH114 AK114 AN114 AQ114 AT114 AW114 AZ114 BC114 BF114 BI114 BL114 BO114">
    <cfRule type="cellIs" dxfId="17" priority="8" operator="lessThan">
      <formula>1.1</formula>
    </cfRule>
  </conditionalFormatting>
  <pageMargins left="0.6" right="0.6" top="0.75" bottom="0.75" header="0.3" footer="0.3"/>
  <pageSetup scale="43" orientation="landscape" r:id="rId2"/>
  <headerFooter>
    <oddHeader>&amp;CMOHCD Proforma - 20 Year Cash Flow Summary</oddHeader>
    <oddFooter>&amp;R&amp;P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AFE3D-FBA9-4E75-B916-C8597EDB1C7A}">
  <sheetPr codeName="Sheet6">
    <tabColor rgb="FF69C392"/>
    <pageSetUpPr fitToPage="1"/>
  </sheetPr>
  <dimension ref="A1:Q60"/>
  <sheetViews>
    <sheetView zoomScale="80" zoomScaleNormal="80" workbookViewId="0">
      <selection activeCell="B17" sqref="B17"/>
    </sheetView>
  </sheetViews>
  <sheetFormatPr defaultColWidth="8.88671875" defaultRowHeight="13.8"/>
  <cols>
    <col min="1" max="1" width="2.88671875" style="128" customWidth="1"/>
    <col min="2" max="2" width="94.44140625" style="128" customWidth="1"/>
    <col min="3" max="3" width="17.5546875" style="1547" customWidth="1"/>
    <col min="4" max="4" width="17.109375" style="1548" customWidth="1"/>
    <col min="5" max="5" width="71.5546875" style="128" customWidth="1"/>
    <col min="6" max="17" width="13.6640625" style="128" customWidth="1"/>
    <col min="18" max="16384" width="8.88671875" style="128"/>
  </cols>
  <sheetData>
    <row r="1" spans="1:15" ht="14.4" thickBot="1">
      <c r="A1" s="1527"/>
      <c r="B1" s="2352" t="s">
        <v>1282</v>
      </c>
      <c r="C1" s="2353"/>
      <c r="D1" s="2353"/>
      <c r="E1" s="2354"/>
    </row>
    <row r="2" spans="1:15" ht="14.4" thickBot="1">
      <c r="A2" s="2355" t="s">
        <v>1283</v>
      </c>
      <c r="B2" s="2356"/>
      <c r="C2" s="1528" t="s">
        <v>1284</v>
      </c>
      <c r="D2" s="1529" t="s">
        <v>633</v>
      </c>
      <c r="E2" s="1530" t="s">
        <v>0</v>
      </c>
    </row>
    <row r="3" spans="1:15" s="1531" customFormat="1" ht="14.25" customHeight="1">
      <c r="B3" s="1641" t="s">
        <v>1285</v>
      </c>
      <c r="C3" s="1642" t="str">
        <f>IFERROR(D3/$D$8, "")</f>
        <v/>
      </c>
      <c r="D3" s="1532"/>
      <c r="E3" s="1533"/>
    </row>
    <row r="4" spans="1:15" s="1531" customFormat="1" ht="14.25" customHeight="1">
      <c r="B4" s="1641" t="s">
        <v>1286</v>
      </c>
      <c r="C4" s="1642" t="str">
        <f t="shared" ref="C4:C7" si="0">IFERROR(D4/$D$8, "")</f>
        <v/>
      </c>
      <c r="D4" s="1534"/>
      <c r="E4" s="1535"/>
    </row>
    <row r="5" spans="1:15" s="1531" customFormat="1" ht="42.75" customHeight="1">
      <c r="B5" s="1643" t="s">
        <v>1287</v>
      </c>
      <c r="C5" s="1642" t="str">
        <f t="shared" si="0"/>
        <v/>
      </c>
      <c r="D5" s="1534"/>
      <c r="E5" s="1536" t="s">
        <v>1288</v>
      </c>
    </row>
    <row r="6" spans="1:15" s="1531" customFormat="1">
      <c r="B6" s="1644" t="s">
        <v>1289</v>
      </c>
      <c r="C6" s="1642" t="str">
        <f t="shared" si="0"/>
        <v/>
      </c>
      <c r="D6" s="1534"/>
      <c r="E6" s="1535" t="s">
        <v>1290</v>
      </c>
    </row>
    <row r="7" spans="1:15" s="1531" customFormat="1" ht="28.5" customHeight="1">
      <c r="B7" s="1641" t="s">
        <v>1291</v>
      </c>
      <c r="C7" s="1642" t="str">
        <f t="shared" si="0"/>
        <v/>
      </c>
      <c r="D7" s="1534"/>
      <c r="E7" s="1535" t="s">
        <v>1292</v>
      </c>
      <c r="O7" s="1537"/>
    </row>
    <row r="8" spans="1:15">
      <c r="A8" s="2357" t="s">
        <v>1293</v>
      </c>
      <c r="B8" s="2358"/>
      <c r="C8" s="1645">
        <f>SUM(C3:C7)</f>
        <v>0</v>
      </c>
      <c r="D8" s="1538">
        <f>SUM(D3:D7)</f>
        <v>0</v>
      </c>
      <c r="E8" s="1539"/>
    </row>
    <row r="9" spans="1:15" s="1531" customFormat="1">
      <c r="A9" s="2357" t="s">
        <v>1294</v>
      </c>
      <c r="B9" s="2358"/>
      <c r="C9" s="1646"/>
      <c r="D9" s="1534"/>
      <c r="E9" s="1540"/>
      <c r="F9" s="1531" t="s">
        <v>1295</v>
      </c>
    </row>
    <row r="10" spans="1:15" ht="36.75" customHeight="1" thickBot="1">
      <c r="A10" s="1541"/>
      <c r="B10" s="1542" t="s">
        <v>1296</v>
      </c>
      <c r="C10" s="1543"/>
      <c r="D10" s="1544">
        <f>D8+D9</f>
        <v>0</v>
      </c>
      <c r="E10" s="1545"/>
      <c r="F10" s="2359" t="s">
        <v>1297</v>
      </c>
      <c r="G10" s="2359"/>
      <c r="H10" s="2359"/>
      <c r="I10" s="1546" t="str">
        <f>IF((SUM('4b.PermS&amp;U'!J117:J121))=D10,"YES","NO")</f>
        <v>YES</v>
      </c>
    </row>
    <row r="11" spans="1:15" ht="14.4" thickBot="1"/>
    <row r="12" spans="1:15" ht="14.4" thickBot="1">
      <c r="A12" s="1527"/>
      <c r="B12" s="2352" t="s">
        <v>1298</v>
      </c>
      <c r="C12" s="2353"/>
      <c r="D12" s="2353"/>
      <c r="E12" s="2354"/>
    </row>
    <row r="13" spans="1:15" ht="28.2" thickBot="1">
      <c r="A13" s="2384" t="s">
        <v>1299</v>
      </c>
      <c r="B13" s="2385"/>
      <c r="C13" s="1549" t="s">
        <v>1284</v>
      </c>
      <c r="D13" s="1550" t="s">
        <v>1300</v>
      </c>
      <c r="E13" s="1551" t="s">
        <v>0</v>
      </c>
    </row>
    <row r="14" spans="1:15" ht="21" customHeight="1" thickBot="1">
      <c r="A14" s="1552" t="s">
        <v>1358</v>
      </c>
      <c r="B14" s="1553"/>
      <c r="C14" s="1554">
        <v>0.15</v>
      </c>
      <c r="D14" s="1652">
        <f>C14*$D$3</f>
        <v>0</v>
      </c>
      <c r="E14" s="1659" t="s">
        <v>1363</v>
      </c>
      <c r="F14" s="1556"/>
    </row>
    <row r="15" spans="1:15" ht="33.75" customHeight="1">
      <c r="A15" s="2361" t="s">
        <v>1366</v>
      </c>
      <c r="B15" s="2362"/>
      <c r="C15" s="1558">
        <f>SUM(C16:C18)</f>
        <v>0.35</v>
      </c>
      <c r="D15" s="1652"/>
      <c r="E15" s="1555" t="s">
        <v>1363</v>
      </c>
      <c r="F15" s="1556"/>
    </row>
    <row r="16" spans="1:15" ht="36.75" customHeight="1">
      <c r="A16" s="1557"/>
      <c r="B16" s="1657" t="s">
        <v>1757</v>
      </c>
      <c r="C16" s="1653">
        <v>0.15</v>
      </c>
      <c r="D16" s="1652">
        <f>C16*$D$3</f>
        <v>0</v>
      </c>
      <c r="E16" s="1658" t="s">
        <v>1301</v>
      </c>
      <c r="F16" s="1556"/>
      <c r="O16" s="319"/>
    </row>
    <row r="17" spans="1:15" ht="36.75" customHeight="1">
      <c r="A17" s="1557"/>
      <c r="B17" s="1657" t="s">
        <v>1364</v>
      </c>
      <c r="C17" s="1653">
        <v>0.1</v>
      </c>
      <c r="D17" s="1652">
        <f t="shared" ref="D17:D18" si="1">C17*$D$3</f>
        <v>0</v>
      </c>
      <c r="E17" s="1658" t="s">
        <v>1301</v>
      </c>
    </row>
    <row r="18" spans="1:15" ht="36.75" customHeight="1">
      <c r="A18" s="1557"/>
      <c r="B18" s="1657" t="s">
        <v>1365</v>
      </c>
      <c r="C18" s="1653">
        <v>0.1</v>
      </c>
      <c r="D18" s="1652">
        <f t="shared" si="1"/>
        <v>0</v>
      </c>
      <c r="E18" s="1658" t="s">
        <v>1301</v>
      </c>
      <c r="F18" s="2360" t="s">
        <v>1302</v>
      </c>
      <c r="G18" s="2359"/>
      <c r="H18" s="2359"/>
      <c r="I18" s="1546" t="str">
        <f>IF((SUM(D14+D16+D17+D18))=550000,"YES","NO")</f>
        <v>NO</v>
      </c>
    </row>
    <row r="19" spans="1:15" ht="32.25" customHeight="1">
      <c r="A19" s="2361" t="s">
        <v>1303</v>
      </c>
      <c r="B19" s="2362"/>
      <c r="C19" s="1558">
        <v>0.2</v>
      </c>
      <c r="D19" s="1635">
        <f t="shared" ref="D19:D21" si="2">$D$3*C19</f>
        <v>0</v>
      </c>
      <c r="E19" s="1559" t="s">
        <v>1304</v>
      </c>
    </row>
    <row r="20" spans="1:15" ht="33.75" customHeight="1">
      <c r="A20" s="2363" t="s">
        <v>1305</v>
      </c>
      <c r="B20" s="2364"/>
      <c r="C20" s="1558">
        <v>0.2</v>
      </c>
      <c r="D20" s="1635">
        <f t="shared" si="2"/>
        <v>0</v>
      </c>
      <c r="E20" s="1560" t="s">
        <v>1306</v>
      </c>
    </row>
    <row r="21" spans="1:15" s="1531" customFormat="1" ht="48.75" customHeight="1" thickBot="1">
      <c r="A21" s="2365" t="s">
        <v>1307</v>
      </c>
      <c r="B21" s="2366"/>
      <c r="C21" s="1636">
        <v>0.1</v>
      </c>
      <c r="D21" s="1637">
        <f t="shared" si="2"/>
        <v>0</v>
      </c>
      <c r="E21" s="1561" t="s">
        <v>1306</v>
      </c>
    </row>
    <row r="22" spans="1:15" s="1531" customFormat="1" ht="14.4" thickBot="1">
      <c r="A22" s="1562"/>
      <c r="B22" s="1563" t="s">
        <v>1308</v>
      </c>
      <c r="C22" s="1576">
        <f>C14+C15+C19+C20+C21</f>
        <v>0.99999999999999989</v>
      </c>
      <c r="D22" s="1577">
        <f>SUM(D14:D21)</f>
        <v>0</v>
      </c>
      <c r="E22" s="1564"/>
    </row>
    <row r="23" spans="1:15">
      <c r="A23" s="2367" t="s">
        <v>1309</v>
      </c>
      <c r="B23" s="2368"/>
      <c r="C23" s="1632">
        <v>0.2</v>
      </c>
      <c r="D23" s="1638">
        <f>C23*($D$4+$D$5)</f>
        <v>0</v>
      </c>
      <c r="E23" s="2369" t="s">
        <v>1310</v>
      </c>
    </row>
    <row r="24" spans="1:15" ht="14.25" customHeight="1">
      <c r="A24" s="2367" t="s">
        <v>1311</v>
      </c>
      <c r="B24" s="2368"/>
      <c r="C24" s="1633">
        <v>0.5</v>
      </c>
      <c r="D24" s="1639">
        <f>C24*($D$4+$D$5)</f>
        <v>0</v>
      </c>
      <c r="E24" s="2369"/>
    </row>
    <row r="25" spans="1:15" ht="14.25" customHeight="1" thickBot="1">
      <c r="A25" s="2367" t="s">
        <v>1312</v>
      </c>
      <c r="B25" s="2368"/>
      <c r="C25" s="1634">
        <v>0.3</v>
      </c>
      <c r="D25" s="1640">
        <f>C25*($D$4+$D$5)</f>
        <v>0</v>
      </c>
      <c r="E25" s="2369"/>
    </row>
    <row r="26" spans="1:15" s="1531" customFormat="1" ht="14.4" thickBot="1">
      <c r="A26" s="1562"/>
      <c r="B26" s="1563" t="s">
        <v>1313</v>
      </c>
      <c r="C26" s="1576">
        <f>SUM(C23:C25)</f>
        <v>1</v>
      </c>
      <c r="D26" s="1577">
        <f>SUM(D23:D25)</f>
        <v>0</v>
      </c>
      <c r="E26" s="1565"/>
    </row>
    <row r="27" spans="1:15" ht="14.25" customHeight="1" thickBot="1">
      <c r="A27" s="1566"/>
      <c r="C27" s="1567"/>
      <c r="D27" s="1568"/>
      <c r="E27" s="1569"/>
    </row>
    <row r="28" spans="1:15" s="1531" customFormat="1" ht="28.2" thickBot="1">
      <c r="A28" s="2384" t="s">
        <v>1314</v>
      </c>
      <c r="B28" s="2385"/>
      <c r="C28" s="1570" t="s">
        <v>1284</v>
      </c>
      <c r="D28" s="1571" t="s">
        <v>1300</v>
      </c>
      <c r="E28" s="1551" t="s">
        <v>0</v>
      </c>
    </row>
    <row r="29" spans="1:15" ht="14.25" customHeight="1">
      <c r="A29" s="2376" t="s">
        <v>1315</v>
      </c>
      <c r="B29" s="2377"/>
      <c r="C29" s="1572">
        <v>0.25</v>
      </c>
      <c r="D29" s="1573">
        <f>$D$9*C29</f>
        <v>0</v>
      </c>
      <c r="E29" s="1588"/>
      <c r="O29" s="319"/>
    </row>
    <row r="30" spans="1:15" ht="14.25" customHeight="1">
      <c r="A30" s="2376" t="s">
        <v>1316</v>
      </c>
      <c r="B30" s="2377"/>
      <c r="C30" s="1572">
        <v>0.25</v>
      </c>
      <c r="D30" s="1573">
        <f>$D$9*C30</f>
        <v>0</v>
      </c>
      <c r="E30" s="1588"/>
    </row>
    <row r="31" spans="1:15" ht="14.25" customHeight="1">
      <c r="A31" s="2376" t="s">
        <v>1317</v>
      </c>
      <c r="B31" s="2377"/>
      <c r="C31" s="1572">
        <v>0.25</v>
      </c>
      <c r="D31" s="1573">
        <f>$D$9*C31</f>
        <v>0</v>
      </c>
      <c r="E31" s="1588" t="s">
        <v>1318</v>
      </c>
    </row>
    <row r="32" spans="1:15" ht="14.25" customHeight="1" thickBot="1">
      <c r="A32" s="2378" t="s">
        <v>1319</v>
      </c>
      <c r="B32" s="2379"/>
      <c r="C32" s="1574">
        <v>0.25</v>
      </c>
      <c r="D32" s="1575">
        <f>$D$9*C32</f>
        <v>0</v>
      </c>
      <c r="E32" s="1588"/>
    </row>
    <row r="33" spans="1:17" s="1531" customFormat="1" ht="28.2" thickBot="1">
      <c r="A33" s="1562"/>
      <c r="B33" s="1563" t="s">
        <v>1294</v>
      </c>
      <c r="C33" s="1576">
        <f>SUM(C29:C32)</f>
        <v>1</v>
      </c>
      <c r="D33" s="1577">
        <f>SUM(D29:D32)</f>
        <v>0</v>
      </c>
      <c r="E33" s="1578" t="s">
        <v>1320</v>
      </c>
    </row>
    <row r="34" spans="1:17" ht="14.25" customHeight="1">
      <c r="A34" s="1566"/>
      <c r="E34" s="1569"/>
    </row>
    <row r="35" spans="1:17" s="1531" customFormat="1" ht="14.4" thickBot="1">
      <c r="A35" s="1579"/>
      <c r="B35" s="1580" t="s">
        <v>1321</v>
      </c>
      <c r="C35" s="1581"/>
      <c r="D35" s="1582">
        <f>D22+D26+D33</f>
        <v>0</v>
      </c>
      <c r="E35" s="1583"/>
    </row>
    <row r="36" spans="1:17" ht="12" customHeight="1" thickBot="1"/>
    <row r="37" spans="1:17" ht="15" customHeight="1" thickBot="1">
      <c r="A37" s="2380" t="s">
        <v>1322</v>
      </c>
      <c r="B37" s="2381"/>
      <c r="C37" s="2381"/>
      <c r="D37" s="2381"/>
      <c r="E37" s="2382"/>
    </row>
    <row r="38" spans="1:17" ht="14.4" thickBot="1">
      <c r="A38" s="2355" t="s">
        <v>1283</v>
      </c>
      <c r="B38" s="2383"/>
      <c r="C38" s="1529"/>
      <c r="D38" s="1529" t="s">
        <v>633</v>
      </c>
      <c r="E38" s="1584" t="s">
        <v>0</v>
      </c>
    </row>
    <row r="39" spans="1:17" ht="28.5" customHeight="1">
      <c r="A39" s="1566"/>
      <c r="B39" s="1585" t="str">
        <f>B5</f>
        <v>Additional Project Management Fee that is available at risk (the "At Risk Fee") to large projects over 100 units:</v>
      </c>
      <c r="C39" s="1586"/>
      <c r="D39" s="1587">
        <f>IF(G39&gt;100,(G39-100)*10000,0)</f>
        <v>0</v>
      </c>
      <c r="E39" s="1588"/>
      <c r="F39" s="1589" t="s">
        <v>1323</v>
      </c>
      <c r="G39" s="1650">
        <f>'1.GeneralProjectInfo'!$C$36</f>
        <v>0</v>
      </c>
    </row>
    <row r="40" spans="1:17" ht="14.25" customHeight="1">
      <c r="A40" s="1566"/>
      <c r="B40" s="1590" t="str">
        <f>B6</f>
        <v>General Partner Equity</v>
      </c>
      <c r="C40" s="1591"/>
      <c r="D40" s="1592">
        <f>D6</f>
        <v>0</v>
      </c>
      <c r="E40" s="1588"/>
    </row>
    <row r="41" spans="1:17" ht="15" customHeight="1" thickBot="1">
      <c r="A41" s="1566"/>
      <c r="B41" s="1593" t="str">
        <f>B7</f>
        <v>Deferred Developer Fee</v>
      </c>
      <c r="C41" s="1594"/>
      <c r="D41" s="1595">
        <f>D7</f>
        <v>0</v>
      </c>
      <c r="E41" s="1588"/>
    </row>
    <row r="42" spans="1:17" ht="14.4" thickBot="1">
      <c r="A42" s="1596"/>
      <c r="B42" s="1597"/>
      <c r="C42" s="1598"/>
      <c r="D42" s="1599">
        <f>SUM(D39:D41)</f>
        <v>0</v>
      </c>
      <c r="E42" s="1600" t="s">
        <v>1324</v>
      </c>
    </row>
    <row r="43" spans="1:17" ht="14.25" customHeight="1">
      <c r="A43" s="1566"/>
      <c r="B43" s="1601" t="s">
        <v>1325</v>
      </c>
      <c r="C43" s="1602"/>
      <c r="D43" s="1826">
        <v>0.04</v>
      </c>
      <c r="E43" s="1588"/>
    </row>
    <row r="44" spans="1:17" ht="14.25" customHeight="1">
      <c r="A44" s="1566"/>
      <c r="B44" s="144" t="s">
        <v>1326</v>
      </c>
      <c r="C44" s="1603"/>
      <c r="D44" s="1656">
        <f>'4b.PermS&amp;U'!$D$138</f>
        <v>0</v>
      </c>
      <c r="E44" s="1588"/>
      <c r="N44" s="1604"/>
      <c r="O44" s="1605"/>
    </row>
    <row r="45" spans="1:17" ht="14.25" customHeight="1">
      <c r="A45" s="1566"/>
      <c r="B45" s="144" t="s">
        <v>1327</v>
      </c>
      <c r="C45" s="350"/>
      <c r="D45" s="1606">
        <f>IF(C45="Yes",130%,100%)</f>
        <v>1</v>
      </c>
      <c r="E45" s="1588"/>
      <c r="O45" s="1605"/>
    </row>
    <row r="46" spans="1:17" ht="15" customHeight="1">
      <c r="A46" s="1566"/>
      <c r="B46" s="1607" t="s">
        <v>1328</v>
      </c>
      <c r="C46" s="1608"/>
      <c r="D46" s="1609">
        <f>D42*D45*D43*D44</f>
        <v>0</v>
      </c>
      <c r="E46" s="1588"/>
      <c r="L46" s="1610"/>
    </row>
    <row r="47" spans="1:17" ht="15" customHeight="1" thickBot="1">
      <c r="A47" s="1566"/>
      <c r="B47" s="1611" t="s">
        <v>1329</v>
      </c>
      <c r="C47" s="1612"/>
      <c r="D47" s="1613">
        <v>10</v>
      </c>
      <c r="E47" s="1588"/>
      <c r="L47" s="1610"/>
    </row>
    <row r="48" spans="1:17" ht="14.4" thickBot="1">
      <c r="A48" s="2372"/>
      <c r="B48" s="2373"/>
      <c r="C48" s="2374"/>
      <c r="D48" s="1614">
        <f>D46*10</f>
        <v>0</v>
      </c>
      <c r="E48" s="1600" t="s">
        <v>1330</v>
      </c>
      <c r="Q48" s="1615"/>
    </row>
    <row r="49" spans="1:17" ht="14.4" thickBot="1">
      <c r="A49" s="1566"/>
      <c r="C49" s="128"/>
      <c r="E49" s="1569"/>
      <c r="F49" s="1616" t="s">
        <v>1331</v>
      </c>
      <c r="G49" s="148" t="s">
        <v>1332</v>
      </c>
      <c r="H49" s="148" t="s">
        <v>1333</v>
      </c>
      <c r="I49" s="148" t="s">
        <v>1334</v>
      </c>
      <c r="J49" s="148" t="s">
        <v>1335</v>
      </c>
      <c r="K49" s="148" t="s">
        <v>1336</v>
      </c>
      <c r="L49" s="148" t="s">
        <v>1337</v>
      </c>
      <c r="M49" s="148" t="s">
        <v>1338</v>
      </c>
      <c r="N49" s="148" t="s">
        <v>1339</v>
      </c>
      <c r="O49" s="148" t="s">
        <v>1340</v>
      </c>
      <c r="P49" s="148" t="s">
        <v>1341</v>
      </c>
    </row>
    <row r="50" spans="1:17" ht="14.4" thickBot="1">
      <c r="A50" s="2371" t="s">
        <v>1342</v>
      </c>
      <c r="B50" s="2356"/>
      <c r="C50" s="1617"/>
      <c r="D50" s="1617" t="s">
        <v>633</v>
      </c>
      <c r="E50" s="1551" t="s">
        <v>0</v>
      </c>
      <c r="F50" s="1651">
        <f>'1.GeneralProjectInfo'!D4</f>
        <v>0</v>
      </c>
      <c r="G50" s="136" t="str">
        <f>IF(F50&gt;2000, F50+1, "")</f>
        <v/>
      </c>
      <c r="H50" s="136" t="str">
        <f>IF($F50&gt;2000, G50+1, "")</f>
        <v/>
      </c>
      <c r="I50" s="136" t="str">
        <f t="shared" ref="I50:P50" si="3">IF($F50&gt;2000, H50+1, "")</f>
        <v/>
      </c>
      <c r="J50" s="136" t="str">
        <f t="shared" si="3"/>
        <v/>
      </c>
      <c r="K50" s="136" t="str">
        <f t="shared" si="3"/>
        <v/>
      </c>
      <c r="L50" s="136" t="str">
        <f t="shared" si="3"/>
        <v/>
      </c>
      <c r="M50" s="136" t="str">
        <f t="shared" si="3"/>
        <v/>
      </c>
      <c r="N50" s="136" t="str">
        <f t="shared" si="3"/>
        <v/>
      </c>
      <c r="O50" s="136" t="str">
        <f t="shared" si="3"/>
        <v/>
      </c>
      <c r="P50" s="136" t="str">
        <f t="shared" si="3"/>
        <v/>
      </c>
      <c r="Q50"/>
    </row>
    <row r="51" spans="1:17">
      <c r="A51" s="1566"/>
      <c r="B51" s="1618" t="s">
        <v>1343</v>
      </c>
      <c r="C51" s="144"/>
      <c r="D51" s="1592">
        <f>Q51</f>
        <v>0</v>
      </c>
      <c r="E51" s="1588"/>
      <c r="F51" s="1619">
        <f>'7a.20YrDetails'!J124</f>
        <v>0</v>
      </c>
      <c r="G51" s="1620">
        <f>'7a.20YrDetails'!M124</f>
        <v>0</v>
      </c>
      <c r="H51" s="1620">
        <f>'7a.20YrDetails'!P124</f>
        <v>0</v>
      </c>
      <c r="I51" s="1620">
        <f>'7a.20YrDetails'!S124</f>
        <v>0</v>
      </c>
      <c r="J51" s="1620">
        <f>'7a.20YrDetails'!V124</f>
        <v>0</v>
      </c>
      <c r="K51" s="1620">
        <f>'7a.20YrDetails'!Y124</f>
        <v>0</v>
      </c>
      <c r="L51" s="1620">
        <f>'7a.20YrDetails'!AB124</f>
        <v>0</v>
      </c>
      <c r="M51" s="1620">
        <f>'7a.20YrDetails'!AE124</f>
        <v>0</v>
      </c>
      <c r="N51" s="1620">
        <f>'7a.20YrDetails'!AH124</f>
        <v>0</v>
      </c>
      <c r="O51" s="1620">
        <f>'7a.20YrDetails'!AK124</f>
        <v>0</v>
      </c>
      <c r="P51" s="1620">
        <f>'7a.20YrDetails'!AN124</f>
        <v>0</v>
      </c>
      <c r="Q51" s="1620">
        <f>SUM(F51:P51)</f>
        <v>0</v>
      </c>
    </row>
    <row r="52" spans="1:17">
      <c r="A52" s="1566"/>
      <c r="B52" s="1618" t="s">
        <v>1344</v>
      </c>
      <c r="C52" s="144"/>
      <c r="D52" s="1592">
        <f t="shared" ref="D52:D54" si="4">Q52</f>
        <v>0</v>
      </c>
      <c r="E52" s="1588"/>
      <c r="F52" s="1619">
        <f>'7a.20YrDetails'!J122</f>
        <v>0</v>
      </c>
      <c r="G52" s="1620">
        <f>'7a.20YrDetails'!M122</f>
        <v>0</v>
      </c>
      <c r="H52" s="1620">
        <f>'7a.20YrDetails'!P122</f>
        <v>0</v>
      </c>
      <c r="I52" s="1620">
        <f>'7a.20YrDetails'!S122</f>
        <v>0</v>
      </c>
      <c r="J52" s="1620">
        <f>'7a.20YrDetails'!V122</f>
        <v>0</v>
      </c>
      <c r="K52" s="1620">
        <f>'7a.20YrDetails'!Y122</f>
        <v>0</v>
      </c>
      <c r="L52" s="1620">
        <f>'7a.20YrDetails'!AB122</f>
        <v>0</v>
      </c>
      <c r="M52" s="1620">
        <f>'7a.20YrDetails'!AE122</f>
        <v>0</v>
      </c>
      <c r="N52" s="1620">
        <f>'7a.20YrDetails'!AH122</f>
        <v>0</v>
      </c>
      <c r="O52" s="1620">
        <f>'7a.20YrDetails'!AK122</f>
        <v>0</v>
      </c>
      <c r="P52" s="1620">
        <f>'7a.20YrDetails'!AN122</f>
        <v>0</v>
      </c>
      <c r="Q52" s="1620">
        <f t="shared" ref="Q52:Q55" si="5">SUM(F52:P52)</f>
        <v>0</v>
      </c>
    </row>
    <row r="53" spans="1:17">
      <c r="A53" s="1566"/>
      <c r="B53" s="144" t="s">
        <v>1345</v>
      </c>
      <c r="C53" s="390">
        <v>0.66</v>
      </c>
      <c r="D53" s="1592">
        <f t="shared" si="4"/>
        <v>0</v>
      </c>
      <c r="E53" s="1588"/>
      <c r="F53" s="1621">
        <f>F51*$C$53</f>
        <v>0</v>
      </c>
      <c r="G53" s="1622">
        <f t="shared" ref="G53:P53" si="6">G51*$C$53</f>
        <v>0</v>
      </c>
      <c r="H53" s="1622">
        <f t="shared" si="6"/>
        <v>0</v>
      </c>
      <c r="I53" s="1622">
        <f t="shared" si="6"/>
        <v>0</v>
      </c>
      <c r="J53" s="1622">
        <f t="shared" si="6"/>
        <v>0</v>
      </c>
      <c r="K53" s="1622">
        <f t="shared" si="6"/>
        <v>0</v>
      </c>
      <c r="L53" s="1622">
        <f t="shared" si="6"/>
        <v>0</v>
      </c>
      <c r="M53" s="1622">
        <f t="shared" si="6"/>
        <v>0</v>
      </c>
      <c r="N53" s="1622">
        <f t="shared" si="6"/>
        <v>0</v>
      </c>
      <c r="O53" s="1622">
        <f t="shared" si="6"/>
        <v>0</v>
      </c>
      <c r="P53" s="1622">
        <f t="shared" si="6"/>
        <v>0</v>
      </c>
      <c r="Q53" s="1620">
        <f t="shared" si="5"/>
        <v>0</v>
      </c>
    </row>
    <row r="54" spans="1:17">
      <c r="A54" s="1566"/>
      <c r="B54" s="144" t="s">
        <v>1346</v>
      </c>
      <c r="C54" s="390">
        <v>0.5</v>
      </c>
      <c r="D54" s="1592">
        <f t="shared" si="4"/>
        <v>0</v>
      </c>
      <c r="E54" s="1588"/>
      <c r="F54" s="1619">
        <f>F51*$C$54</f>
        <v>0</v>
      </c>
      <c r="G54" s="1620">
        <f t="shared" ref="G54:P54" si="7">G51*$C$54</f>
        <v>0</v>
      </c>
      <c r="H54" s="1620">
        <f t="shared" si="7"/>
        <v>0</v>
      </c>
      <c r="I54" s="1620">
        <f t="shared" si="7"/>
        <v>0</v>
      </c>
      <c r="J54" s="1620">
        <f t="shared" si="7"/>
        <v>0</v>
      </c>
      <c r="K54" s="1620">
        <f t="shared" si="7"/>
        <v>0</v>
      </c>
      <c r="L54" s="1620">
        <f t="shared" si="7"/>
        <v>0</v>
      </c>
      <c r="M54" s="1620">
        <f t="shared" si="7"/>
        <v>0</v>
      </c>
      <c r="N54" s="1620">
        <f t="shared" si="7"/>
        <v>0</v>
      </c>
      <c r="O54" s="1620">
        <f t="shared" si="7"/>
        <v>0</v>
      </c>
      <c r="P54" s="1620">
        <f t="shared" si="7"/>
        <v>0</v>
      </c>
      <c r="Q54" s="1620">
        <f t="shared" si="5"/>
        <v>0</v>
      </c>
    </row>
    <row r="55" spans="1:17" ht="14.4" thickBot="1">
      <c r="A55" s="1566"/>
      <c r="B55" s="1623" t="s">
        <v>1356</v>
      </c>
      <c r="C55" s="1624"/>
      <c r="D55" s="1595">
        <f>D53-D54</f>
        <v>0</v>
      </c>
      <c r="E55" s="1588"/>
      <c r="F55" s="1619">
        <f t="shared" ref="F55:P55" si="8">F53-F54</f>
        <v>0</v>
      </c>
      <c r="G55" s="1620">
        <f t="shared" si="8"/>
        <v>0</v>
      </c>
      <c r="H55" s="1620">
        <f t="shared" si="8"/>
        <v>0</v>
      </c>
      <c r="I55" s="1620">
        <f t="shared" si="8"/>
        <v>0</v>
      </c>
      <c r="J55" s="1620">
        <f t="shared" si="8"/>
        <v>0</v>
      </c>
      <c r="K55" s="1620">
        <f t="shared" si="8"/>
        <v>0</v>
      </c>
      <c r="L55" s="1620">
        <f t="shared" si="8"/>
        <v>0</v>
      </c>
      <c r="M55" s="1620">
        <f t="shared" si="8"/>
        <v>0</v>
      </c>
      <c r="N55" s="1620">
        <f t="shared" si="8"/>
        <v>0</v>
      </c>
      <c r="O55" s="1620">
        <f t="shared" si="8"/>
        <v>0</v>
      </c>
      <c r="P55" s="1620">
        <f t="shared" si="8"/>
        <v>0</v>
      </c>
      <c r="Q55" s="1620">
        <f t="shared" si="5"/>
        <v>0</v>
      </c>
    </row>
    <row r="56" spans="1:17" ht="14.4" thickBot="1">
      <c r="A56" s="2372"/>
      <c r="B56" s="2373"/>
      <c r="C56" s="2374"/>
      <c r="D56" s="1614" t="e">
        <f>XNPV(3%,F55:P55,F50:P50)</f>
        <v>#NUM!</v>
      </c>
      <c r="E56" s="1600" t="s">
        <v>1342</v>
      </c>
      <c r="F56" s="1625"/>
      <c r="G56" s="1626"/>
    </row>
    <row r="57" spans="1:17" ht="14.4" thickBot="1">
      <c r="A57" s="1566"/>
      <c r="C57" s="128"/>
      <c r="D57" s="128"/>
      <c r="E57" s="1569"/>
    </row>
    <row r="58" spans="1:17" ht="14.4" thickBot="1">
      <c r="A58" s="1627"/>
      <c r="B58" s="2375" t="s">
        <v>1347</v>
      </c>
      <c r="C58" s="2375"/>
      <c r="D58" s="1628" t="e">
        <f>D48-D39-D56</f>
        <v>#NUM!</v>
      </c>
      <c r="E58" s="1629"/>
    </row>
    <row r="60" spans="1:17">
      <c r="A60" s="1630"/>
      <c r="B60" s="2370" t="s">
        <v>1348</v>
      </c>
      <c r="C60" s="2370"/>
      <c r="D60" s="1631" t="e">
        <f>IF(D58&gt;D56,"NO","YES")</f>
        <v>#NUM!</v>
      </c>
      <c r="E60" s="1630"/>
    </row>
  </sheetData>
  <sheetProtection algorithmName="SHA-512" hashValue="zt7KZ65BWG7HQqbmo3k0dzU1WH6dv5ruZHCxLzKF35nRmMQEpX+03Px8iavYYFsYamAASsXHTHRgJQ0ZrIVdAA==" saltValue="RnNRCj5GbGyHFrhuf69LEQ==" spinCount="100000" sheet="1" objects="1" scenarios="1" selectLockedCells="1"/>
  <mergeCells count="28">
    <mergeCell ref="B60:C60"/>
    <mergeCell ref="B12:E12"/>
    <mergeCell ref="A50:B50"/>
    <mergeCell ref="A56:C56"/>
    <mergeCell ref="B58:C58"/>
    <mergeCell ref="A30:B30"/>
    <mergeCell ref="A31:B31"/>
    <mergeCell ref="A32:B32"/>
    <mergeCell ref="A37:E37"/>
    <mergeCell ref="A38:B38"/>
    <mergeCell ref="A48:C48"/>
    <mergeCell ref="A29:B29"/>
    <mergeCell ref="A13:B13"/>
    <mergeCell ref="A15:B15"/>
    <mergeCell ref="A28:B28"/>
    <mergeCell ref="F18:H18"/>
    <mergeCell ref="A19:B19"/>
    <mergeCell ref="A20:B20"/>
    <mergeCell ref="A21:B21"/>
    <mergeCell ref="A23:B23"/>
    <mergeCell ref="E23:E25"/>
    <mergeCell ref="A24:B24"/>
    <mergeCell ref="A25:B25"/>
    <mergeCell ref="B1:E1"/>
    <mergeCell ref="A2:B2"/>
    <mergeCell ref="A8:B8"/>
    <mergeCell ref="A9:B9"/>
    <mergeCell ref="F10:H10"/>
  </mergeCells>
  <dataValidations disablePrompts="1" count="1">
    <dataValidation type="list" allowBlank="1" showInputMessage="1" showErrorMessage="1" sqref="C45" xr:uid="{B8D58D3F-F352-485F-B7B1-68D2DDBF1FC8}">
      <formula1>YesNo</formula1>
    </dataValidation>
  </dataValidations>
  <pageMargins left="0.7" right="0.7" top="0.75" bottom="0.75" header="0.3" footer="0.3"/>
  <pageSetup scale="45" orientation="portrait" horizontalDpi="4294967292" verticalDpi="4294967292"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
    <tabColor theme="6" tint="0.59999389629810485"/>
    <pageSetUpPr fitToPage="1"/>
  </sheetPr>
  <dimension ref="A1:AP55"/>
  <sheetViews>
    <sheetView zoomScale="85" zoomScaleNormal="85" workbookViewId="0">
      <selection activeCell="Q3" sqref="Q3"/>
    </sheetView>
  </sheetViews>
  <sheetFormatPr defaultColWidth="0" defaultRowHeight="13.2" zeroHeight="1"/>
  <cols>
    <col min="1" max="1" width="9.109375" style="837" customWidth="1"/>
    <col min="2" max="2" width="9.6640625" style="837" customWidth="1"/>
    <col min="3" max="3" width="9.109375" style="837" customWidth="1"/>
    <col min="4" max="4" width="10.5546875" style="837" customWidth="1"/>
    <col min="5" max="5" width="11" style="837" customWidth="1"/>
    <col min="6" max="7" width="9.109375" style="837" customWidth="1"/>
    <col min="8" max="8" width="13.5546875" style="837" bestFit="1" customWidth="1"/>
    <col min="9" max="9" width="17.6640625" style="837" customWidth="1"/>
    <col min="10" max="10" width="17.33203125" style="837" customWidth="1"/>
    <col min="11" max="12" width="9.109375" style="837" customWidth="1"/>
    <col min="13" max="13" width="9.44140625" style="837" customWidth="1"/>
    <col min="14" max="14" width="7" style="837" customWidth="1"/>
    <col min="15" max="15" width="5.33203125" style="837" customWidth="1"/>
    <col min="16" max="16" width="15.33203125" style="837" customWidth="1"/>
    <col min="17" max="17" width="9.109375" style="837" customWidth="1"/>
    <col min="18" max="18" width="13.44140625" style="837" bestFit="1" customWidth="1"/>
    <col min="19" max="19" width="13.6640625" style="837" customWidth="1"/>
    <col min="20" max="20" width="3.6640625" style="837" customWidth="1"/>
    <col min="21" max="21" width="16.109375" style="837" customWidth="1"/>
    <col min="22" max="22" width="4.33203125" style="837" hidden="1" customWidth="1"/>
    <col min="23" max="24" width="9.109375" style="837" hidden="1" customWidth="1"/>
    <col min="25" max="25" width="22.44140625" style="837" hidden="1" customWidth="1"/>
    <col min="26" max="26" width="24.88671875" style="837" hidden="1" customWidth="1"/>
    <col min="27" max="27" width="19.109375" style="837" hidden="1" customWidth="1"/>
    <col min="28" max="28" width="33.44140625" style="837" hidden="1" customWidth="1"/>
    <col min="29" max="29" width="32" style="837" hidden="1" customWidth="1"/>
    <col min="30" max="30" width="9.109375" style="837" hidden="1" customWidth="1"/>
    <col min="31" max="31" width="24.88671875" style="837" hidden="1" customWidth="1"/>
    <col min="32" max="32" width="19.109375" style="837" hidden="1" customWidth="1"/>
    <col min="33" max="33" width="33.44140625" style="837" hidden="1" customWidth="1"/>
    <col min="34" max="34" width="32" style="837" hidden="1" customWidth="1"/>
    <col min="35" max="35" width="19.33203125" style="837" hidden="1" customWidth="1"/>
    <col min="36" max="16384" width="9.109375" style="837" hidden="1"/>
  </cols>
  <sheetData>
    <row r="1" spans="1:35" s="916" customFormat="1" ht="14.4">
      <c r="A1" s="2386" t="s">
        <v>1119</v>
      </c>
      <c r="B1" s="2387"/>
      <c r="C1" s="2387"/>
      <c r="D1" s="2387"/>
      <c r="E1" s="2387"/>
      <c r="F1" s="2387"/>
      <c r="G1" s="2387"/>
      <c r="H1" s="2387"/>
      <c r="I1" s="2387"/>
      <c r="J1" s="2387"/>
      <c r="K1" s="2387"/>
      <c r="L1" s="2387"/>
      <c r="M1" s="2387"/>
      <c r="N1" s="2387"/>
      <c r="O1" s="2387"/>
      <c r="P1" s="2387"/>
      <c r="Q1" s="2387"/>
      <c r="R1" s="2387"/>
      <c r="S1" s="2387"/>
      <c r="T1" s="1261"/>
      <c r="W1" s="916" t="s">
        <v>764</v>
      </c>
    </row>
    <row r="2" spans="1:35" ht="14.4">
      <c r="A2" s="2393" t="s">
        <v>765</v>
      </c>
      <c r="B2" s="2394"/>
      <c r="C2" s="2394"/>
      <c r="D2" s="2394"/>
      <c r="E2" s="2394"/>
      <c r="F2" s="2394"/>
      <c r="G2" s="2394"/>
      <c r="H2" s="2394"/>
      <c r="I2" s="2394"/>
      <c r="J2" s="2394"/>
      <c r="K2" s="2395"/>
      <c r="N2" s="1345" t="str">
        <f>A2</f>
        <v>LOSP FUNDING SCHEDULE</v>
      </c>
      <c r="O2" s="1346"/>
      <c r="P2" s="1346"/>
      <c r="Q2" s="1346"/>
      <c r="R2" s="1346"/>
      <c r="S2" s="1347"/>
      <c r="T2" s="1347"/>
      <c r="U2" s="1348"/>
      <c r="W2" s="1262" t="e">
        <f>G4-1</f>
        <v>#NUM!</v>
      </c>
      <c r="X2" s="838"/>
    </row>
    <row r="3" spans="1:35" ht="14.4">
      <c r="E3" s="839"/>
      <c r="F3" s="840" t="s">
        <v>766</v>
      </c>
      <c r="G3" s="2396" t="str">
        <f>IF('1.GeneralProjectInfo'!$A$13="","",'1.GeneralProjectInfo'!$A$13)</f>
        <v/>
      </c>
      <c r="H3" s="2397"/>
      <c r="I3" s="2397"/>
      <c r="J3" s="2398"/>
      <c r="O3" s="2388" t="s">
        <v>766</v>
      </c>
      <c r="P3" s="2389"/>
      <c r="Q3" s="1247" t="str">
        <f>G3</f>
        <v/>
      </c>
      <c r="R3" s="1248"/>
      <c r="S3" s="1249"/>
      <c r="W3" s="1263" t="e">
        <f>MONTH(W2)</f>
        <v>#NUM!</v>
      </c>
      <c r="X3" s="841" t="e">
        <f>W3&amp;"/"&amp;W4</f>
        <v>#NUM!</v>
      </c>
      <c r="Z3" s="2403" t="s">
        <v>1244</v>
      </c>
      <c r="AA3" s="2404"/>
      <c r="AB3" s="2404"/>
      <c r="AC3" s="2404"/>
      <c r="AE3" s="2403" t="s">
        <v>1245</v>
      </c>
      <c r="AF3" s="2404"/>
      <c r="AG3" s="2404"/>
      <c r="AH3" s="2404"/>
    </row>
    <row r="4" spans="1:35" ht="14.4">
      <c r="A4" s="2399" t="s">
        <v>1118</v>
      </c>
      <c r="B4" s="2399"/>
      <c r="C4" s="2399"/>
      <c r="D4" s="2399"/>
      <c r="E4" s="2399"/>
      <c r="F4" s="2400"/>
      <c r="G4" s="2401" t="e">
        <f>DATE('1.GeneralProjectInfo'!$D$4,'1.GeneralProjectInfo'!$D$5,1)</f>
        <v>#NUM!</v>
      </c>
      <c r="H4" s="2401"/>
      <c r="I4" s="2401"/>
      <c r="K4" s="842"/>
      <c r="O4" s="2388" t="s">
        <v>1111</v>
      </c>
      <c r="P4" s="2389"/>
      <c r="Q4" s="1250" t="e">
        <f>G4</f>
        <v>#NUM!</v>
      </c>
      <c r="W4" s="1263" t="e">
        <f>DAY(W2)</f>
        <v>#NUM!</v>
      </c>
      <c r="X4" s="841"/>
      <c r="Z4" s="2403"/>
      <c r="AA4" s="2404"/>
      <c r="AB4" s="2404"/>
      <c r="AC4" s="2404"/>
      <c r="AE4" s="2403"/>
      <c r="AF4" s="2404"/>
      <c r="AG4" s="2404"/>
      <c r="AH4" s="2404"/>
    </row>
    <row r="5" spans="1:35" ht="14.4">
      <c r="A5" s="843" t="s">
        <v>767</v>
      </c>
      <c r="B5" s="844"/>
      <c r="C5" s="844"/>
      <c r="D5" s="844"/>
      <c r="E5" s="844"/>
      <c r="S5"/>
      <c r="W5" s="1263" t="e">
        <f>IF(MONTH(G4)&lt;7, 2,1)</f>
        <v>#NUM!</v>
      </c>
      <c r="X5" s="898"/>
      <c r="Z5" s="2403"/>
      <c r="AA5" s="2404"/>
      <c r="AB5" s="2404"/>
      <c r="AC5" s="2404"/>
      <c r="AE5" s="2403"/>
      <c r="AF5" s="2404"/>
      <c r="AG5" s="2404"/>
      <c r="AH5" s="2404"/>
    </row>
    <row r="6" spans="1:35" ht="15" thickBot="1">
      <c r="A6" s="845" t="s">
        <v>768</v>
      </c>
      <c r="B6" s="846"/>
      <c r="C6" s="846"/>
      <c r="D6" s="846"/>
      <c r="E6" s="846"/>
      <c r="G6" s="845" t="s">
        <v>768</v>
      </c>
      <c r="H6" s="846"/>
      <c r="I6" s="846"/>
      <c r="J6" s="846"/>
      <c r="K6" s="846"/>
      <c r="N6" s="6" t="s">
        <v>1120</v>
      </c>
      <c r="O6"/>
      <c r="P6"/>
      <c r="Q6"/>
      <c r="R6"/>
      <c r="S6"/>
      <c r="T6"/>
      <c r="W6" s="1264" t="str">
        <f>IF('7a.20YrDetails'!BA12&gt;0,'7a.20YrDetails'!BA12*K25/12,"")</f>
        <v/>
      </c>
      <c r="X6" s="847" t="e">
        <f>(J17-J16)/J16</f>
        <v>#DIV/0!</v>
      </c>
      <c r="Z6" s="2405" t="s">
        <v>1246</v>
      </c>
      <c r="AA6" s="2406"/>
      <c r="AB6" s="2406"/>
      <c r="AC6" s="2406"/>
      <c r="AE6" s="2405" t="s">
        <v>1246</v>
      </c>
      <c r="AF6" s="2406"/>
      <c r="AG6" s="2406"/>
      <c r="AH6" s="2406"/>
    </row>
    <row r="7" spans="1:35" ht="57.6">
      <c r="A7" s="848"/>
      <c r="B7" s="849" t="e">
        <f>IF(MONTH(G4)&lt;7, MONTH(G4) &amp; "/" &amp; DAY(G4) &amp; "-" &amp; "6/30", "n/a")</f>
        <v>#NUM!</v>
      </c>
      <c r="C7" s="850" t="e">
        <f>IF(MONTH(G4)&lt;7, "7/1-12/31",  MONTH(G4) &amp; "/" &amp; DAY(G4) &amp; "-" &amp; "12/31")</f>
        <v>#NUM!</v>
      </c>
      <c r="D7" s="850" t="s">
        <v>769</v>
      </c>
      <c r="E7" s="851" t="s">
        <v>770</v>
      </c>
      <c r="G7" s="848"/>
      <c r="H7" s="850" t="e">
        <f>B7</f>
        <v>#NUM!</v>
      </c>
      <c r="I7" s="850" t="e">
        <f>C7</f>
        <v>#NUM!</v>
      </c>
      <c r="J7" s="850" t="s">
        <v>769</v>
      </c>
      <c r="K7" s="851" t="s">
        <v>770</v>
      </c>
      <c r="M7" s="2402" t="s">
        <v>1571</v>
      </c>
      <c r="N7" s="1251" t="s">
        <v>1112</v>
      </c>
      <c r="O7" s="1252"/>
      <c r="P7" s="1253" t="s">
        <v>1113</v>
      </c>
      <c r="Q7" s="1253" t="s">
        <v>1114</v>
      </c>
      <c r="R7" s="1253" t="s">
        <v>1115</v>
      </c>
      <c r="S7" s="1253" t="s">
        <v>1116</v>
      </c>
      <c r="T7" s="1241"/>
      <c r="U7" s="1349" t="s">
        <v>1243</v>
      </c>
      <c r="Y7" s="1357" t="s">
        <v>1247</v>
      </c>
      <c r="Z7" s="1358" t="s">
        <v>1248</v>
      </c>
      <c r="AA7" s="1358" t="s">
        <v>1251</v>
      </c>
      <c r="AB7" s="1359" t="s">
        <v>1249</v>
      </c>
      <c r="AC7" s="1360" t="s">
        <v>1250</v>
      </c>
      <c r="AE7" s="1357" t="s">
        <v>1247</v>
      </c>
      <c r="AF7" s="1358" t="s">
        <v>1248</v>
      </c>
      <c r="AG7" s="1358" t="s">
        <v>1252</v>
      </c>
      <c r="AH7" s="1359" t="s">
        <v>1249</v>
      </c>
      <c r="AI7" s="1360" t="s">
        <v>1250</v>
      </c>
    </row>
    <row r="8" spans="1:35">
      <c r="A8" s="850" t="s">
        <v>771</v>
      </c>
      <c r="B8" s="852" t="s">
        <v>772</v>
      </c>
      <c r="C8" s="853" t="s">
        <v>773</v>
      </c>
      <c r="D8" s="854" t="s">
        <v>774</v>
      </c>
      <c r="E8" s="855" t="e">
        <f>12+1-MONTH(G4)</f>
        <v>#NUM!</v>
      </c>
      <c r="G8" s="850" t="e">
        <f>YEAR(G4)</f>
        <v>#NUM!</v>
      </c>
      <c r="H8" s="1335" t="e">
        <f>ROUNDUP('7a.20YrDetails'!$H$12*E30/12,0)</f>
        <v>#NUM!</v>
      </c>
      <c r="I8" s="1335" t="e">
        <f>ROUNDDOWN(IF(E8&gt;=6, '7a.20YrDetails'!$H$12*0.5, '7a.20YrDetails'!$H$12*(E8)/12),0)</f>
        <v>#NUM!</v>
      </c>
      <c r="J8" s="1336" t="e">
        <f>ROUND(E8/12*'7a.20YrDetails'!$H$12,0)</f>
        <v>#NUM!</v>
      </c>
      <c r="K8" s="855" t="e">
        <f>E8</f>
        <v>#NUM!</v>
      </c>
      <c r="M8" s="2402"/>
      <c r="N8" s="1254">
        <v>1</v>
      </c>
      <c r="O8" s="1255" t="e">
        <f>YEAR(G4)</f>
        <v>#NUM!</v>
      </c>
      <c r="P8" s="1265" t="e">
        <f>HLOOKUP($O8,'7a.20YrDetails'!$H$7:$BO$12,6,FALSE)</f>
        <v>#NUM!</v>
      </c>
      <c r="Q8" s="1256" t="e">
        <f>12-MONTH(G4)+1</f>
        <v>#NUM!</v>
      </c>
      <c r="R8" s="1266" t="e">
        <f>Q8/12*(P8)</f>
        <v>#NUM!</v>
      </c>
      <c r="S8" s="1257" t="e">
        <f>IF(Q8=12,"1/1/"&amp;O8,MONTH(G4)-1&amp;"/1/"&amp;O8)</f>
        <v>#NUM!</v>
      </c>
      <c r="T8" s="1096"/>
      <c r="U8" s="1350" t="e">
        <f>IF(Q8&lt;=6,U9,"FY"&amp;O8-1&amp;"/"&amp;O8-2000)</f>
        <v>#NUM!</v>
      </c>
      <c r="Y8" s="1361"/>
      <c r="Z8" s="1361"/>
      <c r="AA8" s="1361"/>
      <c r="AB8" s="1361"/>
      <c r="AC8" s="1361"/>
      <c r="AE8" s="949">
        <v>1</v>
      </c>
      <c r="AF8" s="1362" t="e">
        <f>U8</f>
        <v>#NUM!</v>
      </c>
      <c r="AG8" s="853"/>
      <c r="AH8" s="1361"/>
      <c r="AI8" s="1363" t="e">
        <f>R8</f>
        <v>#NUM!</v>
      </c>
    </row>
    <row r="9" spans="1:35" ht="26.4">
      <c r="A9" s="856"/>
      <c r="B9" s="857" t="s">
        <v>775</v>
      </c>
      <c r="C9" s="857" t="s">
        <v>776</v>
      </c>
      <c r="D9" s="857" t="s">
        <v>769</v>
      </c>
      <c r="E9" s="858" t="s">
        <v>770</v>
      </c>
      <c r="G9" s="856"/>
      <c r="H9" s="857" t="str">
        <f>B9</f>
        <v>1/1-6/30</v>
      </c>
      <c r="I9" s="857" t="str">
        <f>C9</f>
        <v>7/1-12/31</v>
      </c>
      <c r="J9" s="857" t="s">
        <v>769</v>
      </c>
      <c r="K9" s="858" t="s">
        <v>770</v>
      </c>
      <c r="M9" s="1873" t="e">
        <f>(P9-P8)/P8</f>
        <v>#NUM!</v>
      </c>
      <c r="N9" s="1254">
        <f>N8+1</f>
        <v>2</v>
      </c>
      <c r="O9" s="1255" t="e">
        <f>O8+1</f>
        <v>#NUM!</v>
      </c>
      <c r="P9" s="1265" t="e">
        <f>HLOOKUP($O9,'7a.20YrDetails'!$H$7:$BO$12,6,FALSE)</f>
        <v>#NUM!</v>
      </c>
      <c r="Q9" s="352">
        <v>12</v>
      </c>
      <c r="R9" s="1266" t="e">
        <f t="shared" ref="R9:R22" si="0">Q9/12*(P9)</f>
        <v>#NUM!</v>
      </c>
      <c r="S9" s="1257" t="e">
        <f t="shared" ref="S9:S22" si="1">IF(Q9=12,"1/1/"&amp;O9,MONTH(G5)-1&amp;"/1/"&amp;O9)</f>
        <v>#NUM!</v>
      </c>
      <c r="T9" s="1096"/>
      <c r="U9" s="1350" t="e">
        <f>"FY"&amp;O9-1&amp;"/"&amp;O9-2000</f>
        <v>#NUM!</v>
      </c>
      <c r="Y9" s="949">
        <v>1</v>
      </c>
      <c r="Z9" s="853" t="e">
        <f>U9</f>
        <v>#NUM!</v>
      </c>
      <c r="AA9" s="853"/>
      <c r="AB9" s="1364" t="e">
        <f>R8</f>
        <v>#NUM!</v>
      </c>
      <c r="AC9" s="1363" t="e">
        <f>R9+R8</f>
        <v>#NUM!</v>
      </c>
      <c r="AE9" s="949">
        <v>2</v>
      </c>
      <c r="AF9" s="1362" t="e">
        <f t="shared" ref="AF9:AF23" si="2">U9</f>
        <v>#NUM!</v>
      </c>
      <c r="AG9" s="1365">
        <f>$AG$8</f>
        <v>0</v>
      </c>
      <c r="AH9" s="1361"/>
      <c r="AI9" s="1363" t="e">
        <f t="shared" ref="AI9:AI23" si="3">R9</f>
        <v>#NUM!</v>
      </c>
    </row>
    <row r="10" spans="1:35">
      <c r="A10" s="850" t="s">
        <v>777</v>
      </c>
      <c r="B10" s="853" t="s">
        <v>778</v>
      </c>
      <c r="C10" s="853" t="s">
        <v>779</v>
      </c>
      <c r="D10" s="859" t="s">
        <v>780</v>
      </c>
      <c r="E10" s="860">
        <v>12</v>
      </c>
      <c r="G10" s="850" t="e">
        <f>G8+1</f>
        <v>#NUM!</v>
      </c>
      <c r="H10" s="1337">
        <f>ROUNDUP($J10*0.5,0)</f>
        <v>0</v>
      </c>
      <c r="I10" s="1337">
        <f>ROUNDDOWN($J10*0.5,0)</f>
        <v>0</v>
      </c>
      <c r="J10" s="1336">
        <f>ROUND('7a.20YrDetails'!$K$12,0)</f>
        <v>0</v>
      </c>
      <c r="K10" s="860">
        <v>12</v>
      </c>
      <c r="M10" s="1873" t="e">
        <f t="shared" ref="M10:M23" si="4">(P10-P9)/P9</f>
        <v>#NUM!</v>
      </c>
      <c r="N10" s="1254">
        <f t="shared" ref="N10:O23" si="5">N9+1</f>
        <v>3</v>
      </c>
      <c r="O10" s="1255" t="e">
        <f t="shared" si="5"/>
        <v>#NUM!</v>
      </c>
      <c r="P10" s="1265" t="e">
        <f>HLOOKUP($O10,'7a.20YrDetails'!$H$7:$BO$12,6,FALSE)</f>
        <v>#NUM!</v>
      </c>
      <c r="Q10" s="352">
        <v>12</v>
      </c>
      <c r="R10" s="1266" t="e">
        <f t="shared" si="0"/>
        <v>#NUM!</v>
      </c>
      <c r="S10" s="1257" t="e">
        <f t="shared" si="1"/>
        <v>#NUM!</v>
      </c>
      <c r="T10" s="1096"/>
      <c r="U10" s="1350" t="e">
        <f t="shared" ref="U10:U22" si="6">"FY"&amp;O10-1&amp;"/"&amp;O10-2000</f>
        <v>#NUM!</v>
      </c>
      <c r="Y10" s="949">
        <v>2</v>
      </c>
      <c r="Z10" s="853" t="e">
        <f t="shared" ref="Z10:Z23" si="7">U10</f>
        <v>#NUM!</v>
      </c>
      <c r="AA10" s="1365">
        <f>$AA$9</f>
        <v>0</v>
      </c>
      <c r="AB10" s="1361"/>
      <c r="AC10" s="1363" t="e">
        <f>R10</f>
        <v>#NUM!</v>
      </c>
      <c r="AE10" s="949">
        <f>AE9+1</f>
        <v>3</v>
      </c>
      <c r="AF10" s="853" t="e">
        <f t="shared" si="2"/>
        <v>#NUM!</v>
      </c>
      <c r="AG10" s="1365">
        <f t="shared" ref="AG10:AG23" si="8">$AG$8</f>
        <v>0</v>
      </c>
      <c r="AH10" s="1361"/>
      <c r="AI10" s="1363" t="e">
        <f t="shared" si="3"/>
        <v>#NUM!</v>
      </c>
    </row>
    <row r="11" spans="1:35">
      <c r="A11" s="850" t="s">
        <v>781</v>
      </c>
      <c r="B11" s="853" t="s">
        <v>782</v>
      </c>
      <c r="C11" s="853" t="s">
        <v>783</v>
      </c>
      <c r="D11" s="859" t="s">
        <v>784</v>
      </c>
      <c r="E11" s="860">
        <v>12</v>
      </c>
      <c r="G11" s="850" t="e">
        <f t="shared" ref="G11:G23" si="9">G10+1</f>
        <v>#NUM!</v>
      </c>
      <c r="H11" s="1337">
        <f t="shared" ref="H11:H23" si="10">ROUNDUP($J11*0.5,0)</f>
        <v>0</v>
      </c>
      <c r="I11" s="1337">
        <f t="shared" ref="I11:I23" si="11">ROUNDDOWN($J11*0.5,0)</f>
        <v>0</v>
      </c>
      <c r="J11" s="1336">
        <f>ROUND('7a.20YrDetails'!$N$12,0)</f>
        <v>0</v>
      </c>
      <c r="K11" s="860">
        <v>12</v>
      </c>
      <c r="M11" s="1873" t="e">
        <f t="shared" si="4"/>
        <v>#NUM!</v>
      </c>
      <c r="N11" s="1254">
        <f t="shared" si="5"/>
        <v>4</v>
      </c>
      <c r="O11" s="1255" t="e">
        <f t="shared" si="5"/>
        <v>#NUM!</v>
      </c>
      <c r="P11" s="1265" t="e">
        <f>HLOOKUP($O11,'7a.20YrDetails'!$H$7:$BO$12,6,FALSE)</f>
        <v>#NUM!</v>
      </c>
      <c r="Q11" s="352">
        <v>12</v>
      </c>
      <c r="R11" s="1266" t="e">
        <f t="shared" si="0"/>
        <v>#NUM!</v>
      </c>
      <c r="S11" s="1257" t="e">
        <f t="shared" si="1"/>
        <v>#NUM!</v>
      </c>
      <c r="T11" s="1096"/>
      <c r="U11" s="1350" t="e">
        <f t="shared" si="6"/>
        <v>#NUM!</v>
      </c>
      <c r="V11" s="842"/>
      <c r="W11" s="842"/>
      <c r="X11" s="842"/>
      <c r="Y11" s="949">
        <f>Y10+1</f>
        <v>3</v>
      </c>
      <c r="Z11" s="853" t="e">
        <f t="shared" si="7"/>
        <v>#NUM!</v>
      </c>
      <c r="AA11" s="1365">
        <f t="shared" ref="AA11:AA23" si="12">$AA$9</f>
        <v>0</v>
      </c>
      <c r="AB11" s="1361"/>
      <c r="AC11" s="1363" t="e">
        <f t="shared" ref="AC11:AC23" si="13">R11</f>
        <v>#NUM!</v>
      </c>
      <c r="AE11" s="949">
        <f t="shared" ref="AE11:AE23" si="14">AE10+1</f>
        <v>4</v>
      </c>
      <c r="AF11" s="853" t="e">
        <f t="shared" si="2"/>
        <v>#NUM!</v>
      </c>
      <c r="AG11" s="1365">
        <f t="shared" si="8"/>
        <v>0</v>
      </c>
      <c r="AH11" s="1361"/>
      <c r="AI11" s="1363" t="e">
        <f t="shared" si="3"/>
        <v>#NUM!</v>
      </c>
    </row>
    <row r="12" spans="1:35">
      <c r="A12" s="850" t="s">
        <v>785</v>
      </c>
      <c r="B12" s="853" t="s">
        <v>786</v>
      </c>
      <c r="C12" s="853" t="s">
        <v>787</v>
      </c>
      <c r="D12" s="859" t="s">
        <v>788</v>
      </c>
      <c r="E12" s="860">
        <v>12</v>
      </c>
      <c r="G12" s="850" t="e">
        <f t="shared" si="9"/>
        <v>#NUM!</v>
      </c>
      <c r="H12" s="1337">
        <f t="shared" si="10"/>
        <v>0</v>
      </c>
      <c r="I12" s="1337">
        <f t="shared" si="11"/>
        <v>0</v>
      </c>
      <c r="J12" s="1336">
        <f>ROUND('7a.20YrDetails'!$Q$12,0)</f>
        <v>0</v>
      </c>
      <c r="K12" s="860">
        <v>12</v>
      </c>
      <c r="M12" s="1873" t="e">
        <f t="shared" si="4"/>
        <v>#NUM!</v>
      </c>
      <c r="N12" s="1254">
        <f t="shared" si="5"/>
        <v>5</v>
      </c>
      <c r="O12" s="1255" t="e">
        <f t="shared" si="5"/>
        <v>#NUM!</v>
      </c>
      <c r="P12" s="1265" t="e">
        <f>HLOOKUP($O12,'7a.20YrDetails'!$H$7:$BO$12,6,FALSE)</f>
        <v>#NUM!</v>
      </c>
      <c r="Q12" s="352">
        <v>12</v>
      </c>
      <c r="R12" s="1266" t="e">
        <f t="shared" si="0"/>
        <v>#NUM!</v>
      </c>
      <c r="S12" s="1257" t="e">
        <f t="shared" si="1"/>
        <v>#NUM!</v>
      </c>
      <c r="T12" s="1096"/>
      <c r="U12" s="1350" t="e">
        <f t="shared" si="6"/>
        <v>#NUM!</v>
      </c>
      <c r="Y12" s="949">
        <f t="shared" ref="Y12:Y23" si="15">Y11+1</f>
        <v>4</v>
      </c>
      <c r="Z12" s="853" t="e">
        <f t="shared" si="7"/>
        <v>#NUM!</v>
      </c>
      <c r="AA12" s="1365">
        <f t="shared" si="12"/>
        <v>0</v>
      </c>
      <c r="AB12" s="1361"/>
      <c r="AC12" s="1363" t="e">
        <f t="shared" si="13"/>
        <v>#NUM!</v>
      </c>
      <c r="AE12" s="949">
        <f t="shared" si="14"/>
        <v>5</v>
      </c>
      <c r="AF12" s="853" t="e">
        <f t="shared" si="2"/>
        <v>#NUM!</v>
      </c>
      <c r="AG12" s="1365">
        <f t="shared" si="8"/>
        <v>0</v>
      </c>
      <c r="AH12" s="1361"/>
      <c r="AI12" s="1363" t="e">
        <f t="shared" si="3"/>
        <v>#NUM!</v>
      </c>
    </row>
    <row r="13" spans="1:35">
      <c r="A13" s="850" t="s">
        <v>789</v>
      </c>
      <c r="B13" s="853" t="s">
        <v>790</v>
      </c>
      <c r="C13" s="853" t="s">
        <v>791</v>
      </c>
      <c r="D13" s="859" t="s">
        <v>792</v>
      </c>
      <c r="E13" s="860">
        <v>12</v>
      </c>
      <c r="G13" s="850" t="e">
        <f t="shared" si="9"/>
        <v>#NUM!</v>
      </c>
      <c r="H13" s="1337">
        <f t="shared" si="10"/>
        <v>0</v>
      </c>
      <c r="I13" s="1337">
        <f t="shared" si="11"/>
        <v>0</v>
      </c>
      <c r="J13" s="1336">
        <f>ROUND('7a.20YrDetails'!$T$12,0)</f>
        <v>0</v>
      </c>
      <c r="K13" s="860">
        <v>12</v>
      </c>
      <c r="M13" s="1873" t="e">
        <f t="shared" si="4"/>
        <v>#NUM!</v>
      </c>
      <c r="N13" s="1254">
        <f t="shared" si="5"/>
        <v>6</v>
      </c>
      <c r="O13" s="1255" t="e">
        <f t="shared" si="5"/>
        <v>#NUM!</v>
      </c>
      <c r="P13" s="1265" t="e">
        <f>HLOOKUP($O13,'7a.20YrDetails'!$H$7:$BO$12,6,FALSE)</f>
        <v>#NUM!</v>
      </c>
      <c r="Q13" s="352">
        <v>12</v>
      </c>
      <c r="R13" s="1266" t="e">
        <f t="shared" si="0"/>
        <v>#NUM!</v>
      </c>
      <c r="S13" s="1257" t="e">
        <f t="shared" si="1"/>
        <v>#NUM!</v>
      </c>
      <c r="T13" s="1096"/>
      <c r="U13" s="1350" t="e">
        <f t="shared" si="6"/>
        <v>#NUM!</v>
      </c>
      <c r="Y13" s="949">
        <f t="shared" si="15"/>
        <v>5</v>
      </c>
      <c r="Z13" s="853" t="e">
        <f t="shared" si="7"/>
        <v>#NUM!</v>
      </c>
      <c r="AA13" s="1365">
        <f t="shared" si="12"/>
        <v>0</v>
      </c>
      <c r="AB13" s="1361"/>
      <c r="AC13" s="1363" t="e">
        <f t="shared" si="13"/>
        <v>#NUM!</v>
      </c>
      <c r="AE13" s="949">
        <f t="shared" si="14"/>
        <v>6</v>
      </c>
      <c r="AF13" s="853" t="e">
        <f t="shared" si="2"/>
        <v>#NUM!</v>
      </c>
      <c r="AG13" s="1365">
        <f t="shared" si="8"/>
        <v>0</v>
      </c>
      <c r="AH13" s="1361"/>
      <c r="AI13" s="1363" t="e">
        <f t="shared" si="3"/>
        <v>#NUM!</v>
      </c>
    </row>
    <row r="14" spans="1:35">
      <c r="A14" s="850" t="s">
        <v>793</v>
      </c>
      <c r="B14" s="853" t="s">
        <v>794</v>
      </c>
      <c r="C14" s="853" t="s">
        <v>795</v>
      </c>
      <c r="D14" s="859" t="s">
        <v>796</v>
      </c>
      <c r="E14" s="860">
        <v>12</v>
      </c>
      <c r="G14" s="850" t="e">
        <f t="shared" si="9"/>
        <v>#NUM!</v>
      </c>
      <c r="H14" s="1337">
        <f t="shared" si="10"/>
        <v>0</v>
      </c>
      <c r="I14" s="1337">
        <f t="shared" si="11"/>
        <v>0</v>
      </c>
      <c r="J14" s="1336">
        <f>ROUND('7a.20YrDetails'!$W$12,0)</f>
        <v>0</v>
      </c>
      <c r="K14" s="860">
        <v>12</v>
      </c>
      <c r="M14" s="1873" t="e">
        <f t="shared" si="4"/>
        <v>#NUM!</v>
      </c>
      <c r="N14" s="1254">
        <f t="shared" si="5"/>
        <v>7</v>
      </c>
      <c r="O14" s="1255" t="e">
        <f t="shared" si="5"/>
        <v>#NUM!</v>
      </c>
      <c r="P14" s="1265" t="e">
        <f>HLOOKUP($O14,'7a.20YrDetails'!$H$7:$BO$12,6,FALSE)</f>
        <v>#NUM!</v>
      </c>
      <c r="Q14" s="352">
        <v>12</v>
      </c>
      <c r="R14" s="1266" t="e">
        <f t="shared" si="0"/>
        <v>#NUM!</v>
      </c>
      <c r="S14" s="1257" t="e">
        <f t="shared" si="1"/>
        <v>#NUM!</v>
      </c>
      <c r="T14" s="1096"/>
      <c r="U14" s="1350" t="e">
        <f t="shared" si="6"/>
        <v>#NUM!</v>
      </c>
      <c r="Y14" s="949">
        <f t="shared" si="15"/>
        <v>6</v>
      </c>
      <c r="Z14" s="853" t="e">
        <f t="shared" si="7"/>
        <v>#NUM!</v>
      </c>
      <c r="AA14" s="1365">
        <f t="shared" si="12"/>
        <v>0</v>
      </c>
      <c r="AB14" s="1361"/>
      <c r="AC14" s="1363" t="e">
        <f t="shared" si="13"/>
        <v>#NUM!</v>
      </c>
      <c r="AE14" s="949">
        <f t="shared" si="14"/>
        <v>7</v>
      </c>
      <c r="AF14" s="853" t="e">
        <f t="shared" si="2"/>
        <v>#NUM!</v>
      </c>
      <c r="AG14" s="1365">
        <f t="shared" si="8"/>
        <v>0</v>
      </c>
      <c r="AH14" s="1361"/>
      <c r="AI14" s="1363" t="e">
        <f t="shared" si="3"/>
        <v>#NUM!</v>
      </c>
    </row>
    <row r="15" spans="1:35">
      <c r="A15" s="850" t="s">
        <v>797</v>
      </c>
      <c r="B15" s="853" t="s">
        <v>798</v>
      </c>
      <c r="C15" s="853" t="s">
        <v>799</v>
      </c>
      <c r="D15" s="859" t="s">
        <v>800</v>
      </c>
      <c r="E15" s="860">
        <v>12</v>
      </c>
      <c r="G15" s="850" t="e">
        <f t="shared" si="9"/>
        <v>#NUM!</v>
      </c>
      <c r="H15" s="1337">
        <f t="shared" si="10"/>
        <v>0</v>
      </c>
      <c r="I15" s="1337">
        <f t="shared" si="11"/>
        <v>0</v>
      </c>
      <c r="J15" s="1336">
        <f>ROUND('7a.20YrDetails'!$Z$12,0)</f>
        <v>0</v>
      </c>
      <c r="K15" s="860">
        <v>12</v>
      </c>
      <c r="M15" s="1873" t="e">
        <f t="shared" si="4"/>
        <v>#NUM!</v>
      </c>
      <c r="N15" s="1254">
        <f t="shared" si="5"/>
        <v>8</v>
      </c>
      <c r="O15" s="1255" t="e">
        <f t="shared" si="5"/>
        <v>#NUM!</v>
      </c>
      <c r="P15" s="1265" t="e">
        <f>HLOOKUP($O15,'7a.20YrDetails'!$H$7:$BO$12,6,FALSE)</f>
        <v>#NUM!</v>
      </c>
      <c r="Q15" s="352">
        <v>12</v>
      </c>
      <c r="R15" s="1266" t="e">
        <f t="shared" si="0"/>
        <v>#NUM!</v>
      </c>
      <c r="S15" s="1257" t="e">
        <f t="shared" si="1"/>
        <v>#NUM!</v>
      </c>
      <c r="T15" s="1096"/>
      <c r="U15" s="1350" t="e">
        <f t="shared" si="6"/>
        <v>#NUM!</v>
      </c>
      <c r="Y15" s="949">
        <f t="shared" si="15"/>
        <v>7</v>
      </c>
      <c r="Z15" s="853" t="e">
        <f t="shared" si="7"/>
        <v>#NUM!</v>
      </c>
      <c r="AA15" s="1365">
        <f t="shared" si="12"/>
        <v>0</v>
      </c>
      <c r="AB15" s="1361"/>
      <c r="AC15" s="1363" t="e">
        <f t="shared" si="13"/>
        <v>#NUM!</v>
      </c>
      <c r="AE15" s="949">
        <f t="shared" si="14"/>
        <v>8</v>
      </c>
      <c r="AF15" s="853" t="e">
        <f t="shared" si="2"/>
        <v>#NUM!</v>
      </c>
      <c r="AG15" s="1365">
        <f t="shared" si="8"/>
        <v>0</v>
      </c>
      <c r="AH15" s="1361"/>
      <c r="AI15" s="1363" t="e">
        <f t="shared" si="3"/>
        <v>#NUM!</v>
      </c>
    </row>
    <row r="16" spans="1:35">
      <c r="A16" s="850" t="s">
        <v>801</v>
      </c>
      <c r="B16" s="853" t="s">
        <v>802</v>
      </c>
      <c r="C16" s="853" t="s">
        <v>803</v>
      </c>
      <c r="D16" s="859" t="s">
        <v>804</v>
      </c>
      <c r="E16" s="860">
        <v>12</v>
      </c>
      <c r="G16" s="850" t="e">
        <f t="shared" si="9"/>
        <v>#NUM!</v>
      </c>
      <c r="H16" s="1337">
        <f t="shared" si="10"/>
        <v>0</v>
      </c>
      <c r="I16" s="1337">
        <f t="shared" si="11"/>
        <v>0</v>
      </c>
      <c r="J16" s="1336">
        <f>ROUND('7a.20YrDetails'!$AC$12,0)</f>
        <v>0</v>
      </c>
      <c r="K16" s="860">
        <v>12</v>
      </c>
      <c r="M16" s="1873" t="e">
        <f t="shared" si="4"/>
        <v>#NUM!</v>
      </c>
      <c r="N16" s="1254">
        <f t="shared" si="5"/>
        <v>9</v>
      </c>
      <c r="O16" s="1255" t="e">
        <f t="shared" si="5"/>
        <v>#NUM!</v>
      </c>
      <c r="P16" s="1265" t="e">
        <f>HLOOKUP($O16,'7a.20YrDetails'!$H$7:$BO$12,6,FALSE)</f>
        <v>#NUM!</v>
      </c>
      <c r="Q16" s="352">
        <v>12</v>
      </c>
      <c r="R16" s="1266" t="e">
        <f t="shared" si="0"/>
        <v>#NUM!</v>
      </c>
      <c r="S16" s="1257" t="e">
        <f t="shared" si="1"/>
        <v>#NUM!</v>
      </c>
      <c r="T16" s="1096"/>
      <c r="U16" s="1350" t="e">
        <f t="shared" si="6"/>
        <v>#NUM!</v>
      </c>
      <c r="Y16" s="949">
        <f t="shared" si="15"/>
        <v>8</v>
      </c>
      <c r="Z16" s="853" t="e">
        <f t="shared" si="7"/>
        <v>#NUM!</v>
      </c>
      <c r="AA16" s="1365">
        <f t="shared" si="12"/>
        <v>0</v>
      </c>
      <c r="AB16" s="1361"/>
      <c r="AC16" s="1363" t="e">
        <f t="shared" si="13"/>
        <v>#NUM!</v>
      </c>
      <c r="AE16" s="949">
        <f t="shared" si="14"/>
        <v>9</v>
      </c>
      <c r="AF16" s="853" t="e">
        <f t="shared" si="2"/>
        <v>#NUM!</v>
      </c>
      <c r="AG16" s="1365">
        <f t="shared" si="8"/>
        <v>0</v>
      </c>
      <c r="AH16" s="1361"/>
      <c r="AI16" s="1363" t="e">
        <f t="shared" si="3"/>
        <v>#NUM!</v>
      </c>
    </row>
    <row r="17" spans="1:42">
      <c r="A17" s="850" t="s">
        <v>805</v>
      </c>
      <c r="B17" s="853" t="s">
        <v>806</v>
      </c>
      <c r="C17" s="853" t="s">
        <v>807</v>
      </c>
      <c r="D17" s="859" t="s">
        <v>808</v>
      </c>
      <c r="E17" s="860">
        <v>12</v>
      </c>
      <c r="G17" s="850" t="e">
        <f t="shared" si="9"/>
        <v>#NUM!</v>
      </c>
      <c r="H17" s="1337">
        <f t="shared" si="10"/>
        <v>0</v>
      </c>
      <c r="I17" s="1337">
        <f t="shared" si="11"/>
        <v>0</v>
      </c>
      <c r="J17" s="1336">
        <f>ROUND('7a.20YrDetails'!$AF$12,0)</f>
        <v>0</v>
      </c>
      <c r="K17" s="860">
        <v>12</v>
      </c>
      <c r="M17" s="1873" t="e">
        <f t="shared" si="4"/>
        <v>#NUM!</v>
      </c>
      <c r="N17" s="1254">
        <f t="shared" si="5"/>
        <v>10</v>
      </c>
      <c r="O17" s="1255" t="e">
        <f t="shared" si="5"/>
        <v>#NUM!</v>
      </c>
      <c r="P17" s="1265" t="e">
        <f>HLOOKUP($O17,'7a.20YrDetails'!$H$7:$BO$12,6,FALSE)</f>
        <v>#NUM!</v>
      </c>
      <c r="Q17" s="352">
        <v>12</v>
      </c>
      <c r="R17" s="1266" t="e">
        <f t="shared" si="0"/>
        <v>#NUM!</v>
      </c>
      <c r="S17" s="1257" t="e">
        <f t="shared" si="1"/>
        <v>#NUM!</v>
      </c>
      <c r="T17" s="1096"/>
      <c r="U17" s="1350" t="e">
        <f t="shared" si="6"/>
        <v>#NUM!</v>
      </c>
      <c r="Y17" s="949">
        <f t="shared" si="15"/>
        <v>9</v>
      </c>
      <c r="Z17" s="853" t="e">
        <f t="shared" si="7"/>
        <v>#NUM!</v>
      </c>
      <c r="AA17" s="1365">
        <f t="shared" si="12"/>
        <v>0</v>
      </c>
      <c r="AB17" s="1361"/>
      <c r="AC17" s="1363" t="e">
        <f t="shared" si="13"/>
        <v>#NUM!</v>
      </c>
      <c r="AE17" s="949">
        <f t="shared" si="14"/>
        <v>10</v>
      </c>
      <c r="AF17" s="853" t="e">
        <f t="shared" si="2"/>
        <v>#NUM!</v>
      </c>
      <c r="AG17" s="1365">
        <f t="shared" si="8"/>
        <v>0</v>
      </c>
      <c r="AH17" s="1361"/>
      <c r="AI17" s="1363" t="e">
        <f t="shared" si="3"/>
        <v>#NUM!</v>
      </c>
    </row>
    <row r="18" spans="1:42">
      <c r="A18" s="850" t="s">
        <v>809</v>
      </c>
      <c r="B18" s="853" t="s">
        <v>810</v>
      </c>
      <c r="C18" s="853" t="s">
        <v>811</v>
      </c>
      <c r="D18" s="854" t="s">
        <v>812</v>
      </c>
      <c r="E18" s="860">
        <v>12</v>
      </c>
      <c r="G18" s="850" t="e">
        <f t="shared" si="9"/>
        <v>#NUM!</v>
      </c>
      <c r="H18" s="1337">
        <f t="shared" si="10"/>
        <v>0</v>
      </c>
      <c r="I18" s="1337">
        <f t="shared" si="11"/>
        <v>0</v>
      </c>
      <c r="J18" s="1336">
        <f>ROUND('7a.20YrDetails'!$AI$12,0)</f>
        <v>0</v>
      </c>
      <c r="K18" s="860">
        <v>12</v>
      </c>
      <c r="M18" s="1873" t="e">
        <f t="shared" si="4"/>
        <v>#NUM!</v>
      </c>
      <c r="N18" s="1254">
        <f t="shared" si="5"/>
        <v>11</v>
      </c>
      <c r="O18" s="1255" t="e">
        <f t="shared" si="5"/>
        <v>#NUM!</v>
      </c>
      <c r="P18" s="1265" t="e">
        <f>HLOOKUP($O18,'7a.20YrDetails'!$H$7:$BO$12,6,FALSE)</f>
        <v>#NUM!</v>
      </c>
      <c r="Q18" s="352">
        <v>12</v>
      </c>
      <c r="R18" s="1266" t="e">
        <f t="shared" si="0"/>
        <v>#NUM!</v>
      </c>
      <c r="S18" s="1257" t="e">
        <f t="shared" si="1"/>
        <v>#NUM!</v>
      </c>
      <c r="T18" s="1096"/>
      <c r="U18" s="1350" t="e">
        <f t="shared" si="6"/>
        <v>#NUM!</v>
      </c>
      <c r="Y18" s="949">
        <f t="shared" si="15"/>
        <v>10</v>
      </c>
      <c r="Z18" s="853" t="e">
        <f t="shared" si="7"/>
        <v>#NUM!</v>
      </c>
      <c r="AA18" s="1365">
        <f t="shared" si="12"/>
        <v>0</v>
      </c>
      <c r="AB18" s="1361"/>
      <c r="AC18" s="1363" t="e">
        <f t="shared" si="13"/>
        <v>#NUM!</v>
      </c>
      <c r="AE18" s="949">
        <f t="shared" si="14"/>
        <v>11</v>
      </c>
      <c r="AF18" s="853" t="e">
        <f t="shared" si="2"/>
        <v>#NUM!</v>
      </c>
      <c r="AG18" s="1365">
        <f t="shared" si="8"/>
        <v>0</v>
      </c>
      <c r="AH18" s="1361"/>
      <c r="AI18" s="1363" t="e">
        <f t="shared" si="3"/>
        <v>#NUM!</v>
      </c>
    </row>
    <row r="19" spans="1:42">
      <c r="A19" s="850" t="s">
        <v>813</v>
      </c>
      <c r="B19" s="853" t="s">
        <v>814</v>
      </c>
      <c r="C19" s="853" t="s">
        <v>815</v>
      </c>
      <c r="D19" s="854" t="s">
        <v>816</v>
      </c>
      <c r="E19" s="860">
        <v>12</v>
      </c>
      <c r="G19" s="850" t="e">
        <f t="shared" si="9"/>
        <v>#NUM!</v>
      </c>
      <c r="H19" s="1337">
        <f t="shared" si="10"/>
        <v>0</v>
      </c>
      <c r="I19" s="1337">
        <f t="shared" si="11"/>
        <v>0</v>
      </c>
      <c r="J19" s="1336">
        <f>ROUND('7a.20YrDetails'!$AL$12,0)</f>
        <v>0</v>
      </c>
      <c r="K19" s="860">
        <v>12</v>
      </c>
      <c r="M19" s="1873" t="e">
        <f t="shared" si="4"/>
        <v>#NUM!</v>
      </c>
      <c r="N19" s="1254">
        <f t="shared" si="5"/>
        <v>12</v>
      </c>
      <c r="O19" s="1255" t="e">
        <f t="shared" si="5"/>
        <v>#NUM!</v>
      </c>
      <c r="P19" s="1265" t="e">
        <f>HLOOKUP($O19,'7a.20YrDetails'!$H$7:$BO$12,6,FALSE)</f>
        <v>#NUM!</v>
      </c>
      <c r="Q19" s="352">
        <v>12</v>
      </c>
      <c r="R19" s="1266" t="e">
        <f t="shared" si="0"/>
        <v>#NUM!</v>
      </c>
      <c r="S19" s="1257" t="e">
        <f t="shared" si="1"/>
        <v>#NUM!</v>
      </c>
      <c r="T19" s="1096"/>
      <c r="U19" s="1350" t="e">
        <f t="shared" si="6"/>
        <v>#NUM!</v>
      </c>
      <c r="Y19" s="949">
        <f t="shared" si="15"/>
        <v>11</v>
      </c>
      <c r="Z19" s="853" t="e">
        <f t="shared" si="7"/>
        <v>#NUM!</v>
      </c>
      <c r="AA19" s="1365">
        <f t="shared" si="12"/>
        <v>0</v>
      </c>
      <c r="AB19" s="1361"/>
      <c r="AC19" s="1363" t="e">
        <f t="shared" si="13"/>
        <v>#NUM!</v>
      </c>
      <c r="AE19" s="949">
        <f t="shared" si="14"/>
        <v>12</v>
      </c>
      <c r="AF19" s="853" t="e">
        <f t="shared" si="2"/>
        <v>#NUM!</v>
      </c>
      <c r="AG19" s="1365">
        <f t="shared" si="8"/>
        <v>0</v>
      </c>
      <c r="AH19" s="1361"/>
      <c r="AI19" s="1363" t="e">
        <f t="shared" si="3"/>
        <v>#NUM!</v>
      </c>
    </row>
    <row r="20" spans="1:42">
      <c r="A20" s="850" t="s">
        <v>817</v>
      </c>
      <c r="B20" s="853" t="s">
        <v>818</v>
      </c>
      <c r="C20" s="853" t="s">
        <v>819</v>
      </c>
      <c r="D20" s="854" t="s">
        <v>820</v>
      </c>
      <c r="E20" s="860">
        <v>12</v>
      </c>
      <c r="G20" s="850" t="e">
        <f t="shared" si="9"/>
        <v>#NUM!</v>
      </c>
      <c r="H20" s="1337">
        <f t="shared" si="10"/>
        <v>0</v>
      </c>
      <c r="I20" s="1337">
        <f t="shared" si="11"/>
        <v>0</v>
      </c>
      <c r="J20" s="1336">
        <f>ROUND('7a.20YrDetails'!$AO$12,0)</f>
        <v>0</v>
      </c>
      <c r="K20" s="860">
        <v>12</v>
      </c>
      <c r="M20" s="1873" t="e">
        <f t="shared" si="4"/>
        <v>#NUM!</v>
      </c>
      <c r="N20" s="1254">
        <f t="shared" si="5"/>
        <v>13</v>
      </c>
      <c r="O20" s="1255" t="e">
        <f t="shared" si="5"/>
        <v>#NUM!</v>
      </c>
      <c r="P20" s="1265" t="e">
        <f>HLOOKUP($O20,'7a.20YrDetails'!$H$7:$BO$12,6,FALSE)</f>
        <v>#NUM!</v>
      </c>
      <c r="Q20" s="352">
        <v>12</v>
      </c>
      <c r="R20" s="1266" t="e">
        <f t="shared" si="0"/>
        <v>#NUM!</v>
      </c>
      <c r="S20" s="1257" t="e">
        <f t="shared" si="1"/>
        <v>#NUM!</v>
      </c>
      <c r="T20" s="1096"/>
      <c r="U20" s="1350" t="e">
        <f t="shared" si="6"/>
        <v>#NUM!</v>
      </c>
      <c r="Y20" s="949">
        <f t="shared" si="15"/>
        <v>12</v>
      </c>
      <c r="Z20" s="853" t="e">
        <f t="shared" si="7"/>
        <v>#NUM!</v>
      </c>
      <c r="AA20" s="1365">
        <f t="shared" si="12"/>
        <v>0</v>
      </c>
      <c r="AB20" s="1361"/>
      <c r="AC20" s="1363" t="e">
        <f t="shared" si="13"/>
        <v>#NUM!</v>
      </c>
      <c r="AE20" s="949">
        <f t="shared" si="14"/>
        <v>13</v>
      </c>
      <c r="AF20" s="853" t="e">
        <f t="shared" si="2"/>
        <v>#NUM!</v>
      </c>
      <c r="AG20" s="1365">
        <f t="shared" si="8"/>
        <v>0</v>
      </c>
      <c r="AH20" s="1361"/>
      <c r="AI20" s="1363" t="e">
        <f t="shared" si="3"/>
        <v>#NUM!</v>
      </c>
    </row>
    <row r="21" spans="1:42">
      <c r="A21" s="850" t="s">
        <v>821</v>
      </c>
      <c r="B21" s="853" t="s">
        <v>822</v>
      </c>
      <c r="C21" s="853" t="s">
        <v>823</v>
      </c>
      <c r="D21" s="854" t="s">
        <v>824</v>
      </c>
      <c r="E21" s="860">
        <v>12</v>
      </c>
      <c r="G21" s="850" t="e">
        <f t="shared" si="9"/>
        <v>#NUM!</v>
      </c>
      <c r="H21" s="1337">
        <f t="shared" si="10"/>
        <v>0</v>
      </c>
      <c r="I21" s="1337">
        <f t="shared" si="11"/>
        <v>0</v>
      </c>
      <c r="J21" s="1336">
        <f>ROUND('7a.20YrDetails'!$AR$12,0)</f>
        <v>0</v>
      </c>
      <c r="K21" s="860">
        <v>12</v>
      </c>
      <c r="M21" s="1873" t="e">
        <f t="shared" si="4"/>
        <v>#NUM!</v>
      </c>
      <c r="N21" s="1254">
        <f t="shared" si="5"/>
        <v>14</v>
      </c>
      <c r="O21" s="1255" t="e">
        <f t="shared" si="5"/>
        <v>#NUM!</v>
      </c>
      <c r="P21" s="1265" t="e">
        <f>HLOOKUP($O21,'7a.20YrDetails'!$H$7:$BO$12,6,FALSE)</f>
        <v>#NUM!</v>
      </c>
      <c r="Q21" s="352">
        <v>12</v>
      </c>
      <c r="R21" s="1266" t="e">
        <f t="shared" si="0"/>
        <v>#NUM!</v>
      </c>
      <c r="S21" s="1257" t="e">
        <f t="shared" si="1"/>
        <v>#NUM!</v>
      </c>
      <c r="T21" s="1096"/>
      <c r="U21" s="1350" t="e">
        <f t="shared" si="6"/>
        <v>#NUM!</v>
      </c>
      <c r="Y21" s="949">
        <f t="shared" si="15"/>
        <v>13</v>
      </c>
      <c r="Z21" s="853" t="e">
        <f t="shared" si="7"/>
        <v>#NUM!</v>
      </c>
      <c r="AA21" s="1365">
        <f t="shared" si="12"/>
        <v>0</v>
      </c>
      <c r="AB21" s="1361"/>
      <c r="AC21" s="1363" t="e">
        <f t="shared" si="13"/>
        <v>#NUM!</v>
      </c>
      <c r="AE21" s="949">
        <f t="shared" si="14"/>
        <v>14</v>
      </c>
      <c r="AF21" s="853" t="e">
        <f t="shared" si="2"/>
        <v>#NUM!</v>
      </c>
      <c r="AG21" s="1365">
        <f t="shared" si="8"/>
        <v>0</v>
      </c>
      <c r="AH21" s="1361"/>
      <c r="AI21" s="1363" t="e">
        <f t="shared" si="3"/>
        <v>#NUM!</v>
      </c>
    </row>
    <row r="22" spans="1:42">
      <c r="A22" s="850" t="s">
        <v>825</v>
      </c>
      <c r="B22" s="853" t="s">
        <v>826</v>
      </c>
      <c r="C22" s="853" t="s">
        <v>827</v>
      </c>
      <c r="D22" s="854" t="s">
        <v>828</v>
      </c>
      <c r="E22" s="860">
        <v>12</v>
      </c>
      <c r="G22" s="850" t="e">
        <f t="shared" si="9"/>
        <v>#NUM!</v>
      </c>
      <c r="H22" s="1337">
        <f t="shared" si="10"/>
        <v>0</v>
      </c>
      <c r="I22" s="1337">
        <f t="shared" si="11"/>
        <v>0</v>
      </c>
      <c r="J22" s="1336">
        <f>ROUND('7a.20YrDetails'!$AU$12,0)</f>
        <v>0</v>
      </c>
      <c r="K22" s="860">
        <v>12</v>
      </c>
      <c r="M22" s="1873" t="e">
        <f t="shared" si="4"/>
        <v>#NUM!</v>
      </c>
      <c r="N22" s="1254">
        <f t="shared" si="5"/>
        <v>15</v>
      </c>
      <c r="O22" s="1255" t="e">
        <f t="shared" si="5"/>
        <v>#NUM!</v>
      </c>
      <c r="P22" s="1265" t="e">
        <f>HLOOKUP($O22,'7a.20YrDetails'!$H$7:$BO$12,6,FALSE)</f>
        <v>#NUM!</v>
      </c>
      <c r="Q22" s="352">
        <v>12</v>
      </c>
      <c r="R22" s="1266" t="e">
        <f t="shared" si="0"/>
        <v>#NUM!</v>
      </c>
      <c r="S22" s="1257" t="e">
        <f t="shared" si="1"/>
        <v>#NUM!</v>
      </c>
      <c r="T22" s="1096"/>
      <c r="U22" s="1350" t="e">
        <f t="shared" si="6"/>
        <v>#NUM!</v>
      </c>
      <c r="Y22" s="949">
        <f t="shared" si="15"/>
        <v>14</v>
      </c>
      <c r="Z22" s="853" t="e">
        <f t="shared" si="7"/>
        <v>#NUM!</v>
      </c>
      <c r="AA22" s="1365">
        <f t="shared" si="12"/>
        <v>0</v>
      </c>
      <c r="AB22" s="1361"/>
      <c r="AC22" s="1363" t="e">
        <f t="shared" si="13"/>
        <v>#NUM!</v>
      </c>
      <c r="AE22" s="949">
        <f t="shared" si="14"/>
        <v>15</v>
      </c>
      <c r="AF22" s="853" t="e">
        <f t="shared" si="2"/>
        <v>#NUM!</v>
      </c>
      <c r="AG22" s="1365">
        <f t="shared" si="8"/>
        <v>0</v>
      </c>
      <c r="AH22" s="1361"/>
      <c r="AI22" s="1363" t="e">
        <f t="shared" si="3"/>
        <v>#NUM!</v>
      </c>
    </row>
    <row r="23" spans="1:42" ht="13.8" thickBot="1">
      <c r="A23" s="850" t="s">
        <v>829</v>
      </c>
      <c r="B23" s="853" t="s">
        <v>830</v>
      </c>
      <c r="C23" s="853" t="s">
        <v>831</v>
      </c>
      <c r="D23" s="854" t="s">
        <v>832</v>
      </c>
      <c r="E23" s="860">
        <v>12</v>
      </c>
      <c r="G23" s="850" t="e">
        <f t="shared" si="9"/>
        <v>#NUM!</v>
      </c>
      <c r="H23" s="1337">
        <f t="shared" si="10"/>
        <v>0</v>
      </c>
      <c r="I23" s="1337">
        <f t="shared" si="11"/>
        <v>0</v>
      </c>
      <c r="J23" s="1336">
        <f>ROUND('7a.20YrDetails'!$AX$12,0)</f>
        <v>0</v>
      </c>
      <c r="K23" s="860">
        <v>12</v>
      </c>
      <c r="M23" s="1873" t="e">
        <f t="shared" si="4"/>
        <v>#NUM!</v>
      </c>
      <c r="N23" s="1254">
        <f t="shared" si="5"/>
        <v>16</v>
      </c>
      <c r="O23" s="1255" t="e">
        <f t="shared" si="5"/>
        <v>#NUM!</v>
      </c>
      <c r="P23" s="1265" t="e">
        <f>HLOOKUP($O23,'7a.20YrDetails'!$H$7:$BO$12,6,FALSE)</f>
        <v>#NUM!</v>
      </c>
      <c r="Q23" s="352">
        <v>12</v>
      </c>
      <c r="R23" s="1266" t="e">
        <f t="shared" ref="R23" si="16">Q23/12*(P23)</f>
        <v>#NUM!</v>
      </c>
      <c r="S23" s="1257" t="e">
        <f t="shared" ref="S23" si="17">IF(Q23=12,"1/1/"&amp;O23,MONTH(G19)-1&amp;"/1/"&amp;O23)</f>
        <v>#NUM!</v>
      </c>
      <c r="T23" s="1096"/>
      <c r="U23" s="1350" t="e">
        <f t="shared" ref="U23" si="18">"FY"&amp;O23-1&amp;"/"&amp;O23-2000</f>
        <v>#NUM!</v>
      </c>
      <c r="Y23" s="949">
        <f t="shared" si="15"/>
        <v>15</v>
      </c>
      <c r="Z23" s="853" t="e">
        <f t="shared" si="7"/>
        <v>#NUM!</v>
      </c>
      <c r="AA23" s="1365">
        <f t="shared" si="12"/>
        <v>0</v>
      </c>
      <c r="AB23" s="1361"/>
      <c r="AC23" s="1363" t="e">
        <f t="shared" si="13"/>
        <v>#NUM!</v>
      </c>
      <c r="AE23" s="1366">
        <f t="shared" si="14"/>
        <v>16</v>
      </c>
      <c r="AF23" s="1367" t="e">
        <f t="shared" si="2"/>
        <v>#NUM!</v>
      </c>
      <c r="AG23" s="1365">
        <f t="shared" si="8"/>
        <v>0</v>
      </c>
      <c r="AH23" s="1368"/>
      <c r="AI23" s="1363" t="e">
        <f t="shared" si="3"/>
        <v>#NUM!</v>
      </c>
    </row>
    <row r="24" spans="1:42" ht="15" thickBot="1">
      <c r="A24" s="861"/>
      <c r="B24" s="862" t="e">
        <f>H24</f>
        <v>#NUM!</v>
      </c>
      <c r="C24" s="862" t="e">
        <f>I24</f>
        <v>#NUM!</v>
      </c>
      <c r="D24" s="863"/>
      <c r="E24" s="864"/>
      <c r="G24" s="861"/>
      <c r="H24" s="865" t="e">
        <f>IF(K25=0, "n/a", IF(MONTH(G4)&lt;7, "1/1-"&amp;X3, H9))</f>
        <v>#NUM!</v>
      </c>
      <c r="I24" s="866" t="e">
        <f>IF(MONTH(G4)&lt;=7, "n/a", "7/1-"&amp;X3)</f>
        <v>#NUM!</v>
      </c>
      <c r="J24" s="867"/>
      <c r="K24" s="864"/>
      <c r="L24" s="1874" t="s">
        <v>1007</v>
      </c>
      <c r="M24" s="1875" t="e">
        <f>AVERAGE(M9:M23)</f>
        <v>#NUM!</v>
      </c>
      <c r="N24" s="1258"/>
      <c r="O24" s="1259"/>
      <c r="P24" s="1260"/>
      <c r="Q24" s="1260" t="s">
        <v>1117</v>
      </c>
      <c r="R24" s="1267" t="e">
        <f>SUM(R8:R23)</f>
        <v>#NUM!</v>
      </c>
      <c r="Y24" s="2390" t="e">
        <f>IF(U9&lt;&gt;U8, "start month is June or earlier, use the other chart!", "")</f>
        <v>#NUM!</v>
      </c>
      <c r="Z24" s="2391"/>
      <c r="AA24" s="2391"/>
      <c r="AB24" s="2391"/>
      <c r="AC24" s="2392"/>
      <c r="AE24" s="2390" t="e">
        <f>IF(AF9=AF8, "start month is July or later, use the other chart!", "")</f>
        <v>#NUM!</v>
      </c>
      <c r="AF24" s="2391"/>
      <c r="AG24" s="2391"/>
      <c r="AH24" s="2391"/>
      <c r="AI24" s="2392"/>
    </row>
    <row r="25" spans="1:42">
      <c r="A25" s="850" t="e">
        <f>IF(K25=0, "n/a", "CY-10")</f>
        <v>#NUM!</v>
      </c>
      <c r="B25" s="853" t="s">
        <v>833</v>
      </c>
      <c r="C25" s="852" t="s">
        <v>834</v>
      </c>
      <c r="D25" s="854" t="s">
        <v>835</v>
      </c>
      <c r="E25" s="868" t="e">
        <f>12-E8</f>
        <v>#NUM!</v>
      </c>
      <c r="G25" s="850" t="e">
        <f>G23+1</f>
        <v>#NUM!</v>
      </c>
      <c r="H25" s="1337" t="e">
        <f>ROUNDUP(IF(MONTH(G4)&lt;7,$J25, $J25*6/K25),0)</f>
        <v>#NUM!</v>
      </c>
      <c r="I25" s="1338" t="e">
        <f>IF(I24="n/a","n/a",ROUNDDOWN(J25-H25,0))</f>
        <v>#NUM!</v>
      </c>
      <c r="J25" s="1339" t="str">
        <f>IF(W6&lt;&gt;"", W6, "")</f>
        <v/>
      </c>
      <c r="K25" s="868" t="e">
        <f>E25</f>
        <v>#NUM!</v>
      </c>
    </row>
    <row r="26" spans="1:42" ht="14.4">
      <c r="D26" s="856"/>
      <c r="E26" s="860" t="e">
        <f>SUM(E8:E25)</f>
        <v>#NUM!</v>
      </c>
      <c r="G26" s="869"/>
      <c r="H26" s="869"/>
      <c r="I26" s="869"/>
      <c r="J26" s="1340" t="e">
        <f>SUM(J8:J25)</f>
        <v>#NUM!</v>
      </c>
      <c r="K26" s="860" t="e">
        <f>SUM(K8:K25)</f>
        <v>#NUM!</v>
      </c>
    </row>
    <row r="27" spans="1:42" ht="14.4">
      <c r="D27" s="856"/>
      <c r="E27" s="870"/>
      <c r="G27" s="871"/>
      <c r="H27" s="871"/>
      <c r="I27" s="871"/>
      <c r="K27" s="870"/>
      <c r="Z27" s="837" t="s">
        <v>1564</v>
      </c>
    </row>
    <row r="28" spans="1:42" ht="14.4">
      <c r="A28" s="845" t="s">
        <v>836</v>
      </c>
      <c r="B28" s="846"/>
      <c r="C28" s="846"/>
      <c r="D28" s="846"/>
      <c r="E28" s="846"/>
      <c r="G28" s="845" t="s">
        <v>836</v>
      </c>
      <c r="H28" s="846"/>
      <c r="I28" s="846"/>
      <c r="J28" s="846"/>
      <c r="K28" s="846"/>
      <c r="Z28" s="1362" t="s">
        <v>1565</v>
      </c>
      <c r="AA28" s="853" t="e">
        <f>O8</f>
        <v>#NUM!</v>
      </c>
      <c r="AB28" s="853" t="e">
        <f>O9</f>
        <v>#NUM!</v>
      </c>
      <c r="AC28" s="853" t="e">
        <f>O10</f>
        <v>#NUM!</v>
      </c>
      <c r="AD28" s="853" t="e">
        <f>O11</f>
        <v>#NUM!</v>
      </c>
      <c r="AE28" s="853" t="e">
        <f>O12</f>
        <v>#NUM!</v>
      </c>
      <c r="AF28" s="853" t="e">
        <f>O13</f>
        <v>#NUM!</v>
      </c>
      <c r="AG28" s="853" t="e">
        <f>O14</f>
        <v>#NUM!</v>
      </c>
      <c r="AH28" s="853" t="e">
        <f>O15</f>
        <v>#NUM!</v>
      </c>
      <c r="AI28" s="853" t="e">
        <f>O16</f>
        <v>#NUM!</v>
      </c>
      <c r="AJ28" s="853" t="e">
        <f>O17</f>
        <v>#NUM!</v>
      </c>
      <c r="AK28" s="853" t="e">
        <f>O18</f>
        <v>#NUM!</v>
      </c>
      <c r="AL28" s="853" t="e">
        <f>O19</f>
        <v>#NUM!</v>
      </c>
      <c r="AM28" s="853" t="e">
        <f>O20</f>
        <v>#NUM!</v>
      </c>
      <c r="AN28" s="853" t="e">
        <f>O21</f>
        <v>#NUM!</v>
      </c>
      <c r="AO28" s="853" t="e">
        <f>O22</f>
        <v>#NUM!</v>
      </c>
      <c r="AP28" s="853" t="e">
        <f>O23</f>
        <v>#NUM!</v>
      </c>
    </row>
    <row r="29" spans="1:42" ht="27">
      <c r="A29" s="848"/>
      <c r="B29" s="850"/>
      <c r="C29" s="872" t="e">
        <f>B7</f>
        <v>#NUM!</v>
      </c>
      <c r="D29" s="850" t="s">
        <v>769</v>
      </c>
      <c r="E29" s="851" t="s">
        <v>770</v>
      </c>
      <c r="H29" s="850"/>
      <c r="I29" s="872" t="e">
        <f>C29</f>
        <v>#NUM!</v>
      </c>
      <c r="J29" s="850" t="s">
        <v>769</v>
      </c>
      <c r="K29" s="851" t="s">
        <v>770</v>
      </c>
      <c r="Z29" s="1872"/>
      <c r="AA29" s="1363" t="e">
        <f t="shared" ref="AA29" si="19">R8</f>
        <v>#NUM!</v>
      </c>
      <c r="AB29" s="1363" t="e">
        <f>R9</f>
        <v>#NUM!</v>
      </c>
      <c r="AC29" s="1363" t="e">
        <f>R10</f>
        <v>#NUM!</v>
      </c>
      <c r="AD29" s="1363" t="e">
        <f>R11</f>
        <v>#NUM!</v>
      </c>
      <c r="AE29" s="1363" t="e">
        <f>R12</f>
        <v>#NUM!</v>
      </c>
      <c r="AF29" s="1363" t="e">
        <f>R13</f>
        <v>#NUM!</v>
      </c>
      <c r="AG29" s="1363" t="e">
        <f>R14</f>
        <v>#NUM!</v>
      </c>
      <c r="AH29" s="1363" t="e">
        <f>R15</f>
        <v>#NUM!</v>
      </c>
      <c r="AI29" s="1363" t="e">
        <f>R16</f>
        <v>#NUM!</v>
      </c>
      <c r="AJ29" s="1363" t="e">
        <f>R17</f>
        <v>#NUM!</v>
      </c>
      <c r="AK29" s="1363" t="e">
        <f>R18</f>
        <v>#NUM!</v>
      </c>
      <c r="AL29" s="1363" t="e">
        <f>R19</f>
        <v>#NUM!</v>
      </c>
      <c r="AM29" s="1363" t="e">
        <f>R20</f>
        <v>#NUM!</v>
      </c>
      <c r="AN29" s="1363" t="e">
        <f>R21</f>
        <v>#NUM!</v>
      </c>
      <c r="AO29" s="1363" t="e">
        <f>R22</f>
        <v>#NUM!</v>
      </c>
      <c r="AP29" s="1363" t="e">
        <f>R23</f>
        <v>#NUM!</v>
      </c>
    </row>
    <row r="30" spans="1:42">
      <c r="A30" s="850" t="e">
        <f>IF(B7="N/A","n/a","disb-1")</f>
        <v>#NUM!</v>
      </c>
      <c r="B30" s="873"/>
      <c r="C30" s="874" t="str">
        <f>B8</f>
        <v>A</v>
      </c>
      <c r="D30" s="854" t="s">
        <v>772</v>
      </c>
      <c r="E30" s="868" t="e">
        <f>IF(MONTH(G4)&lt;7,6-(MONTH(G4)-1),0)</f>
        <v>#NUM!</v>
      </c>
      <c r="G30" s="850" t="e">
        <f>IF(C29="n/a","n/a",G8-1&amp;"-"&amp;RIGHT(G8,2))</f>
        <v>#NUM!</v>
      </c>
      <c r="H30" s="875"/>
      <c r="I30" s="1341" t="e">
        <f>H8</f>
        <v>#NUM!</v>
      </c>
      <c r="J30" s="1342" t="e">
        <f>I30</f>
        <v>#NUM!</v>
      </c>
      <c r="K30" s="868" t="e">
        <f>E30</f>
        <v>#NUM!</v>
      </c>
    </row>
    <row r="31" spans="1:42" ht="57.6">
      <c r="A31" s="876"/>
      <c r="B31" s="857" t="e">
        <f>IF(MONTH(G4)&lt;7, C9, C7)</f>
        <v>#NUM!</v>
      </c>
      <c r="C31" s="857" t="str">
        <f>B9</f>
        <v>1/1-6/30</v>
      </c>
      <c r="D31" s="857" t="s">
        <v>769</v>
      </c>
      <c r="E31" s="858" t="s">
        <v>770</v>
      </c>
      <c r="G31" s="877" t="s">
        <v>837</v>
      </c>
      <c r="H31" s="878" t="e">
        <f>B31</f>
        <v>#NUM!</v>
      </c>
      <c r="I31" s="857" t="str">
        <f>H9</f>
        <v>1/1-6/30</v>
      </c>
      <c r="J31" s="857" t="s">
        <v>769</v>
      </c>
      <c r="K31" s="858" t="s">
        <v>770</v>
      </c>
    </row>
    <row r="32" spans="1:42">
      <c r="A32" s="850" t="e">
        <f>"disb-"&amp;W5</f>
        <v>#NUM!</v>
      </c>
      <c r="B32" s="853" t="s">
        <v>773</v>
      </c>
      <c r="C32" s="853" t="s">
        <v>778</v>
      </c>
      <c r="D32" s="859" t="s">
        <v>838</v>
      </c>
      <c r="E32" s="879" t="e">
        <f>IF(MONTH(G4)&lt;8,12,6+13-(MONTH(G4)))</f>
        <v>#NUM!</v>
      </c>
      <c r="G32" s="850" t="e">
        <f>IF(G30="n/a",G8&amp;"-"&amp;RIGHT(G8+1,2),LEFT(G30,4)+1&amp;"-"&amp;RIGHT(LEFT(G30,4)+2,2))</f>
        <v>#NUM!</v>
      </c>
      <c r="H32" s="1337" t="e">
        <f>I8</f>
        <v>#NUM!</v>
      </c>
      <c r="I32" s="1337">
        <f>H10</f>
        <v>0</v>
      </c>
      <c r="J32" s="1342" t="e">
        <f>I32+H32</f>
        <v>#NUM!</v>
      </c>
      <c r="K32" s="860" t="e">
        <f>E32</f>
        <v>#NUM!</v>
      </c>
    </row>
    <row r="33" spans="1:11">
      <c r="A33" s="861"/>
      <c r="B33" s="850" t="s">
        <v>776</v>
      </c>
      <c r="C33" s="850" t="s">
        <v>775</v>
      </c>
      <c r="D33" s="863"/>
      <c r="E33" s="864"/>
      <c r="G33" s="861"/>
      <c r="H33" s="866" t="str">
        <f>B33</f>
        <v>7/1-12/31</v>
      </c>
      <c r="I33" s="866" t="str">
        <f>C33</f>
        <v>1/1-6/30</v>
      </c>
      <c r="J33" s="867"/>
      <c r="K33" s="864"/>
    </row>
    <row r="34" spans="1:11">
      <c r="A34" s="850" t="e">
        <f>"disb-"&amp;RIGHT(A32,1)+1</f>
        <v>#NUM!</v>
      </c>
      <c r="B34" s="853" t="s">
        <v>779</v>
      </c>
      <c r="C34" s="853" t="s">
        <v>782</v>
      </c>
      <c r="D34" s="859" t="s">
        <v>839</v>
      </c>
      <c r="E34" s="860">
        <v>12</v>
      </c>
      <c r="G34" s="850" t="e">
        <f>LEFT(G32,4)+1&amp;"-"&amp;RIGHT(LEFT(G32,4)+2,2)</f>
        <v>#NUM!</v>
      </c>
      <c r="H34" s="1337">
        <f t="shared" ref="H34:H46" si="20">I10</f>
        <v>0</v>
      </c>
      <c r="I34" s="1337">
        <f t="shared" ref="I34:I46" si="21">H11</f>
        <v>0</v>
      </c>
      <c r="J34" s="1342">
        <f t="shared" ref="J34:J48" si="22">I34+H34</f>
        <v>0</v>
      </c>
      <c r="K34" s="860">
        <f t="shared" ref="K34:K50" si="23">E34</f>
        <v>12</v>
      </c>
    </row>
    <row r="35" spans="1:11">
      <c r="A35" s="850" t="e">
        <f t="shared" ref="A35:A41" si="24">"disb-"&amp;RIGHT(A34,1)+1</f>
        <v>#NUM!</v>
      </c>
      <c r="B35" s="853" t="s">
        <v>783</v>
      </c>
      <c r="C35" s="853" t="s">
        <v>786</v>
      </c>
      <c r="D35" s="859" t="s">
        <v>840</v>
      </c>
      <c r="E35" s="860">
        <v>12</v>
      </c>
      <c r="G35" s="850" t="e">
        <f t="shared" ref="G35:G46" si="25">LEFT(G34,4)+1&amp;"-"&amp;RIGHT(LEFT(G34,4)+2,2)</f>
        <v>#NUM!</v>
      </c>
      <c r="H35" s="1337">
        <f t="shared" si="20"/>
        <v>0</v>
      </c>
      <c r="I35" s="1337">
        <f t="shared" si="21"/>
        <v>0</v>
      </c>
      <c r="J35" s="1342">
        <f t="shared" si="22"/>
        <v>0</v>
      </c>
      <c r="K35" s="860">
        <f t="shared" si="23"/>
        <v>12</v>
      </c>
    </row>
    <row r="36" spans="1:11">
      <c r="A36" s="850" t="e">
        <f t="shared" si="24"/>
        <v>#NUM!</v>
      </c>
      <c r="B36" s="853" t="s">
        <v>787</v>
      </c>
      <c r="C36" s="853" t="s">
        <v>790</v>
      </c>
      <c r="D36" s="859" t="s">
        <v>841</v>
      </c>
      <c r="E36" s="860">
        <v>12</v>
      </c>
      <c r="G36" s="850" t="e">
        <f t="shared" si="25"/>
        <v>#NUM!</v>
      </c>
      <c r="H36" s="1337">
        <f t="shared" si="20"/>
        <v>0</v>
      </c>
      <c r="I36" s="1337">
        <f t="shared" si="21"/>
        <v>0</v>
      </c>
      <c r="J36" s="1342">
        <f t="shared" si="22"/>
        <v>0</v>
      </c>
      <c r="K36" s="860">
        <f t="shared" si="23"/>
        <v>12</v>
      </c>
    </row>
    <row r="37" spans="1:11">
      <c r="A37" s="850" t="e">
        <f t="shared" si="24"/>
        <v>#NUM!</v>
      </c>
      <c r="B37" s="853" t="s">
        <v>791</v>
      </c>
      <c r="C37" s="853" t="s">
        <v>794</v>
      </c>
      <c r="D37" s="859" t="s">
        <v>842</v>
      </c>
      <c r="E37" s="860">
        <v>12</v>
      </c>
      <c r="G37" s="850" t="e">
        <f t="shared" si="25"/>
        <v>#NUM!</v>
      </c>
      <c r="H37" s="1337">
        <f t="shared" si="20"/>
        <v>0</v>
      </c>
      <c r="I37" s="1337">
        <f t="shared" si="21"/>
        <v>0</v>
      </c>
      <c r="J37" s="1342">
        <f t="shared" si="22"/>
        <v>0</v>
      </c>
      <c r="K37" s="860">
        <f t="shared" si="23"/>
        <v>12</v>
      </c>
    </row>
    <row r="38" spans="1:11">
      <c r="A38" s="850" t="e">
        <f t="shared" si="24"/>
        <v>#NUM!</v>
      </c>
      <c r="B38" s="853" t="s">
        <v>795</v>
      </c>
      <c r="C38" s="853" t="s">
        <v>798</v>
      </c>
      <c r="D38" s="859" t="s">
        <v>843</v>
      </c>
      <c r="E38" s="860">
        <v>12</v>
      </c>
      <c r="G38" s="850" t="e">
        <f t="shared" si="25"/>
        <v>#NUM!</v>
      </c>
      <c r="H38" s="1337">
        <f t="shared" si="20"/>
        <v>0</v>
      </c>
      <c r="I38" s="1337">
        <f t="shared" si="21"/>
        <v>0</v>
      </c>
      <c r="J38" s="1342">
        <f t="shared" si="22"/>
        <v>0</v>
      </c>
      <c r="K38" s="860">
        <f t="shared" si="23"/>
        <v>12</v>
      </c>
    </row>
    <row r="39" spans="1:11">
      <c r="A39" s="850" t="e">
        <f t="shared" si="24"/>
        <v>#NUM!</v>
      </c>
      <c r="B39" s="853" t="s">
        <v>799</v>
      </c>
      <c r="C39" s="853" t="s">
        <v>802</v>
      </c>
      <c r="D39" s="859" t="s">
        <v>844</v>
      </c>
      <c r="E39" s="860">
        <v>12</v>
      </c>
      <c r="G39" s="850" t="e">
        <f t="shared" si="25"/>
        <v>#NUM!</v>
      </c>
      <c r="H39" s="1337">
        <f t="shared" si="20"/>
        <v>0</v>
      </c>
      <c r="I39" s="1337">
        <f t="shared" si="21"/>
        <v>0</v>
      </c>
      <c r="J39" s="1342">
        <f t="shared" si="22"/>
        <v>0</v>
      </c>
      <c r="K39" s="860">
        <f t="shared" si="23"/>
        <v>12</v>
      </c>
    </row>
    <row r="40" spans="1:11">
      <c r="A40" s="850" t="e">
        <f t="shared" si="24"/>
        <v>#NUM!</v>
      </c>
      <c r="B40" s="853" t="s">
        <v>803</v>
      </c>
      <c r="C40" s="853" t="s">
        <v>806</v>
      </c>
      <c r="D40" s="859" t="s">
        <v>845</v>
      </c>
      <c r="E40" s="860">
        <v>12</v>
      </c>
      <c r="G40" s="850" t="e">
        <f t="shared" si="25"/>
        <v>#NUM!</v>
      </c>
      <c r="H40" s="1337">
        <f t="shared" si="20"/>
        <v>0</v>
      </c>
      <c r="I40" s="1337">
        <f t="shared" si="21"/>
        <v>0</v>
      </c>
      <c r="J40" s="1342">
        <f t="shared" si="22"/>
        <v>0</v>
      </c>
      <c r="K40" s="860">
        <f t="shared" si="23"/>
        <v>12</v>
      </c>
    </row>
    <row r="41" spans="1:11">
      <c r="A41" s="850" t="e">
        <f t="shared" si="24"/>
        <v>#NUM!</v>
      </c>
      <c r="B41" s="853" t="s">
        <v>807</v>
      </c>
      <c r="C41" s="853" t="s">
        <v>810</v>
      </c>
      <c r="D41" s="854" t="s">
        <v>846</v>
      </c>
      <c r="E41" s="860">
        <v>12</v>
      </c>
      <c r="G41" s="850" t="e">
        <f t="shared" si="25"/>
        <v>#NUM!</v>
      </c>
      <c r="H41" s="1337">
        <f t="shared" si="20"/>
        <v>0</v>
      </c>
      <c r="I41" s="1337">
        <f t="shared" si="21"/>
        <v>0</v>
      </c>
      <c r="J41" s="1342">
        <f t="shared" si="22"/>
        <v>0</v>
      </c>
      <c r="K41" s="860">
        <f t="shared" si="23"/>
        <v>12</v>
      </c>
    </row>
    <row r="42" spans="1:11">
      <c r="A42" s="850" t="e">
        <f>"disb-"&amp;RIGHT(A41,2)+1</f>
        <v>#NUM!</v>
      </c>
      <c r="B42" s="853" t="s">
        <v>811</v>
      </c>
      <c r="C42" s="853" t="s">
        <v>814</v>
      </c>
      <c r="D42" s="854" t="s">
        <v>847</v>
      </c>
      <c r="E42" s="860">
        <v>12</v>
      </c>
      <c r="G42" s="850" t="e">
        <f t="shared" si="25"/>
        <v>#NUM!</v>
      </c>
      <c r="H42" s="1337">
        <f t="shared" si="20"/>
        <v>0</v>
      </c>
      <c r="I42" s="1337">
        <f t="shared" si="21"/>
        <v>0</v>
      </c>
      <c r="J42" s="1342">
        <f t="shared" si="22"/>
        <v>0</v>
      </c>
      <c r="K42" s="860">
        <f t="shared" si="23"/>
        <v>12</v>
      </c>
    </row>
    <row r="43" spans="1:11">
      <c r="A43" s="850" t="e">
        <f>"disb-"&amp;RIGHT(A42,2)+1</f>
        <v>#NUM!</v>
      </c>
      <c r="B43" s="853" t="s">
        <v>815</v>
      </c>
      <c r="C43" s="853" t="s">
        <v>818</v>
      </c>
      <c r="D43" s="854" t="s">
        <v>848</v>
      </c>
      <c r="E43" s="860">
        <v>12</v>
      </c>
      <c r="G43" s="850" t="e">
        <f t="shared" si="25"/>
        <v>#NUM!</v>
      </c>
      <c r="H43" s="1337">
        <f t="shared" si="20"/>
        <v>0</v>
      </c>
      <c r="I43" s="1337">
        <f t="shared" si="21"/>
        <v>0</v>
      </c>
      <c r="J43" s="1342">
        <f t="shared" si="22"/>
        <v>0</v>
      </c>
      <c r="K43" s="860">
        <f t="shared" si="23"/>
        <v>12</v>
      </c>
    </row>
    <row r="44" spans="1:11">
      <c r="A44" s="850" t="e">
        <f>"disb-"&amp;RIGHT(A43,2)+1</f>
        <v>#NUM!</v>
      </c>
      <c r="B44" s="853" t="s">
        <v>819</v>
      </c>
      <c r="C44" s="853" t="s">
        <v>822</v>
      </c>
      <c r="D44" s="854" t="s">
        <v>849</v>
      </c>
      <c r="E44" s="860">
        <v>12</v>
      </c>
      <c r="G44" s="850" t="e">
        <f t="shared" si="25"/>
        <v>#NUM!</v>
      </c>
      <c r="H44" s="1337">
        <f t="shared" si="20"/>
        <v>0</v>
      </c>
      <c r="I44" s="1337">
        <f t="shared" si="21"/>
        <v>0</v>
      </c>
      <c r="J44" s="1342">
        <f t="shared" si="22"/>
        <v>0</v>
      </c>
      <c r="K44" s="860">
        <f t="shared" si="23"/>
        <v>12</v>
      </c>
    </row>
    <row r="45" spans="1:11">
      <c r="A45" s="850" t="e">
        <f>"disb-"&amp;RIGHT(A44,2)+1</f>
        <v>#NUM!</v>
      </c>
      <c r="B45" s="853" t="s">
        <v>823</v>
      </c>
      <c r="C45" s="853" t="s">
        <v>826</v>
      </c>
      <c r="D45" s="854" t="s">
        <v>850</v>
      </c>
      <c r="E45" s="860">
        <v>12</v>
      </c>
      <c r="G45" s="850" t="e">
        <f t="shared" si="25"/>
        <v>#NUM!</v>
      </c>
      <c r="H45" s="1337">
        <f t="shared" si="20"/>
        <v>0</v>
      </c>
      <c r="I45" s="1337">
        <f t="shared" si="21"/>
        <v>0</v>
      </c>
      <c r="J45" s="1342">
        <f t="shared" si="22"/>
        <v>0</v>
      </c>
      <c r="K45" s="860">
        <f t="shared" si="23"/>
        <v>12</v>
      </c>
    </row>
    <row r="46" spans="1:11">
      <c r="A46" s="850" t="e">
        <f>"disb-"&amp;RIGHT(A45,2)+1</f>
        <v>#NUM!</v>
      </c>
      <c r="B46" s="853" t="s">
        <v>827</v>
      </c>
      <c r="C46" s="853" t="s">
        <v>830</v>
      </c>
      <c r="D46" s="854" t="s">
        <v>851</v>
      </c>
      <c r="E46" s="860">
        <v>12</v>
      </c>
      <c r="G46" s="850" t="e">
        <f t="shared" si="25"/>
        <v>#NUM!</v>
      </c>
      <c r="H46" s="1337">
        <f t="shared" si="20"/>
        <v>0</v>
      </c>
      <c r="I46" s="1337">
        <f t="shared" si="21"/>
        <v>0</v>
      </c>
      <c r="J46" s="1342">
        <f t="shared" si="22"/>
        <v>0</v>
      </c>
      <c r="K46" s="860">
        <f t="shared" si="23"/>
        <v>12</v>
      </c>
    </row>
    <row r="47" spans="1:11">
      <c r="A47" s="861"/>
      <c r="B47" s="850" t="s">
        <v>776</v>
      </c>
      <c r="C47" s="866" t="e">
        <f>B24</f>
        <v>#NUM!</v>
      </c>
      <c r="D47" s="863"/>
      <c r="E47" s="864"/>
      <c r="G47" s="861"/>
      <c r="H47" s="866" t="str">
        <f>B47</f>
        <v>7/1-12/31</v>
      </c>
      <c r="I47" s="866" t="e">
        <f>C47</f>
        <v>#NUM!</v>
      </c>
      <c r="J47" s="867"/>
      <c r="K47" s="864"/>
    </row>
    <row r="48" spans="1:11">
      <c r="A48" s="850" t="e">
        <f>"disb-"&amp;RIGHT(A40,1)+1</f>
        <v>#NUM!</v>
      </c>
      <c r="B48" s="853" t="s">
        <v>831</v>
      </c>
      <c r="C48" s="852" t="s">
        <v>833</v>
      </c>
      <c r="D48" s="854" t="s">
        <v>852</v>
      </c>
      <c r="E48" s="868" t="e">
        <f>6+(6-E30)</f>
        <v>#NUM!</v>
      </c>
      <c r="G48" s="850" t="e">
        <f>LEFT(G46,4)+1&amp;"-"&amp;RIGHT(LEFT(G46,4)+2,2)</f>
        <v>#NUM!</v>
      </c>
      <c r="H48" s="1337">
        <f>I23</f>
        <v>0</v>
      </c>
      <c r="I48" s="1337" t="e">
        <f>H25</f>
        <v>#NUM!</v>
      </c>
      <c r="J48" s="1342" t="e">
        <f t="shared" si="22"/>
        <v>#NUM!</v>
      </c>
      <c r="K48" s="860" t="e">
        <f t="shared" si="23"/>
        <v>#NUM!</v>
      </c>
    </row>
    <row r="49" spans="1:11">
      <c r="A49" s="861"/>
      <c r="B49" s="850" t="e">
        <f>IF(MONTH(G4)&lt;7, "n/a", IF(E50=0, "n/a", I24))</f>
        <v>#NUM!</v>
      </c>
      <c r="C49" s="873"/>
      <c r="D49" s="850"/>
      <c r="E49" s="880"/>
      <c r="G49" s="861"/>
      <c r="H49" s="881" t="e">
        <f>B49</f>
        <v>#NUM!</v>
      </c>
      <c r="I49" s="867"/>
      <c r="J49" s="867"/>
      <c r="K49" s="864"/>
    </row>
    <row r="50" spans="1:11">
      <c r="A50" s="850" t="e">
        <f>IF(MONTH(G4)&lt;7,"n/a",IF(E50=0, "n/a", "disb-"&amp;RIGHT(A48,1)+1))</f>
        <v>#NUM!</v>
      </c>
      <c r="B50" s="853" t="s">
        <v>834</v>
      </c>
      <c r="C50" s="873"/>
      <c r="D50" s="854" t="s">
        <v>834</v>
      </c>
      <c r="E50" s="868" t="e">
        <f>12-E32</f>
        <v>#NUM!</v>
      </c>
      <c r="G50" s="850" t="e">
        <f>IF(H49="n/a","n/a",LEFT(G48,4)+1&amp;"-"&amp;RIGHT(LEFT(G48,4)+2,2))</f>
        <v>#NUM!</v>
      </c>
      <c r="H50" s="1343" t="e">
        <f>I25</f>
        <v>#NUM!</v>
      </c>
      <c r="I50" s="867"/>
      <c r="J50" s="1344" t="e">
        <f>H50</f>
        <v>#NUM!</v>
      </c>
      <c r="K50" s="860" t="e">
        <f t="shared" si="23"/>
        <v>#NUM!</v>
      </c>
    </row>
    <row r="51" spans="1:11">
      <c r="D51" s="856"/>
      <c r="E51" s="855" t="e">
        <f>SUM(E30:E50)</f>
        <v>#NUM!</v>
      </c>
      <c r="H51" s="882"/>
      <c r="I51" s="882"/>
      <c r="J51" s="1340" t="e">
        <f>SUM(J30:J50)</f>
        <v>#NUM!</v>
      </c>
      <c r="K51" s="855" t="e">
        <f>SUM(K30:K50)</f>
        <v>#NUM!</v>
      </c>
    </row>
    <row r="55" spans="1:11" hidden="1">
      <c r="D55" s="856"/>
      <c r="E55" s="870"/>
    </row>
  </sheetData>
  <sheetProtection algorithmName="SHA-512" hashValue="7c5Cs54Kq3lBb8VCFuFASq9G3l92iN0aTAqCa+JiY//Rr6et9yPiWln39PQrqlE8LiE7gEXR403aoo9V4li1SA==" saltValue="1U9tfSqSB5lCzBTbK3+luA==" spinCount="100000" sheet="1" objects="1" scenarios="1" selectLockedCells="1"/>
  <mergeCells count="14">
    <mergeCell ref="A1:S1"/>
    <mergeCell ref="O3:P3"/>
    <mergeCell ref="O4:P4"/>
    <mergeCell ref="Y24:AC24"/>
    <mergeCell ref="AE24:AI24"/>
    <mergeCell ref="A2:K2"/>
    <mergeCell ref="G3:J3"/>
    <mergeCell ref="A4:F4"/>
    <mergeCell ref="G4:I4"/>
    <mergeCell ref="M7:M8"/>
    <mergeCell ref="Z3:AC5"/>
    <mergeCell ref="AE3:AH5"/>
    <mergeCell ref="Z6:AC6"/>
    <mergeCell ref="AE6:AH6"/>
  </mergeCells>
  <conditionalFormatting sqref="AE24:AI24">
    <cfRule type="containsText" dxfId="16" priority="2" operator="containsText" text="use">
      <formula>NOT(ISERROR(SEARCH("use",AE24)))</formula>
    </cfRule>
  </conditionalFormatting>
  <conditionalFormatting sqref="Y24:AC24">
    <cfRule type="containsText" dxfId="15" priority="1" operator="containsText" text="use">
      <formula>NOT(ISERROR(SEARCH("use",Y24)))</formula>
    </cfRule>
  </conditionalFormatting>
  <pageMargins left="0.7" right="0.7" top="0.75" bottom="0.75" header="0.3" footer="0.3"/>
  <pageSetup orientation="portrait" r:id="rId1"/>
  <headerFooter>
    <oddHeader>&amp;CMOHCD Proforma - Exhibit A</oddHeader>
    <oddFooter>&amp;R&amp;P of &amp;N</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9576-239F-4F5C-B842-A86BFA91156B}">
  <sheetPr codeName="Sheet2">
    <tabColor theme="6" tint="0.59999389629810485"/>
  </sheetPr>
  <dimension ref="A1:M75"/>
  <sheetViews>
    <sheetView topLeftCell="A27" zoomScale="85" zoomScaleNormal="85" workbookViewId="0">
      <selection activeCell="A54" sqref="A54:XFD75"/>
    </sheetView>
  </sheetViews>
  <sheetFormatPr defaultColWidth="9.109375" defaultRowHeight="14.4"/>
  <cols>
    <col min="1" max="4" width="9.109375" style="1995"/>
    <col min="5" max="5" width="29.5546875" style="1995" customWidth="1"/>
    <col min="6" max="6" width="9.109375" style="1995"/>
    <col min="7" max="7" width="22.5546875" style="1995" customWidth="1"/>
    <col min="8" max="8" width="17.109375" style="1995" customWidth="1"/>
    <col min="9" max="9" width="17" style="1995" customWidth="1"/>
    <col min="10" max="16384" width="9.109375" style="1995"/>
  </cols>
  <sheetData>
    <row r="1" spans="3:8" ht="15" thickBot="1"/>
    <row r="2" spans="3:8" ht="15.6">
      <c r="C2" s="2407" t="s">
        <v>1652</v>
      </c>
      <c r="D2" s="2408"/>
      <c r="E2" s="2408"/>
      <c r="F2" s="2408"/>
      <c r="G2" s="2408"/>
      <c r="H2" s="2409"/>
    </row>
    <row r="3" spans="3:8">
      <c r="C3" s="2410" t="s">
        <v>1654</v>
      </c>
      <c r="D3" s="2411"/>
      <c r="E3" s="2412"/>
      <c r="F3" s="2413" t="e">
        <f>DATE('1.GeneralProjectInfo'!$D$4,'1.GeneralProjectInfo'!$D$5,1)</f>
        <v>#NUM!</v>
      </c>
      <c r="G3" s="2414"/>
      <c r="H3" s="2415"/>
    </row>
    <row r="4" spans="3:8">
      <c r="C4" s="2027"/>
      <c r="H4" s="2026"/>
    </row>
    <row r="5" spans="3:8" ht="39.6">
      <c r="C5" s="1925" t="s">
        <v>1653</v>
      </c>
      <c r="D5" s="2416" t="s">
        <v>1112</v>
      </c>
      <c r="E5" s="2417"/>
      <c r="F5" s="2025" t="s">
        <v>1113</v>
      </c>
      <c r="G5" s="2025" t="s">
        <v>1116</v>
      </c>
      <c r="H5" s="2024" t="s">
        <v>1243</v>
      </c>
    </row>
    <row r="6" spans="3:8">
      <c r="C6" s="1926"/>
      <c r="D6" s="2021">
        <v>1</v>
      </c>
      <c r="E6" s="2020" t="e">
        <f>YEAR(F3)</f>
        <v>#NUM!</v>
      </c>
      <c r="F6" s="2019">
        <f>K55*12</f>
        <v>0</v>
      </c>
      <c r="G6" s="2023" t="e">
        <f>DATE(YEAR(G70),MONTH(G70),1)</f>
        <v>#NUM!</v>
      </c>
      <c r="H6" s="2017" t="e">
        <f>IF(G68&lt;=6,H7,"FY"&amp;E6-1&amp;"/"&amp;E6-2000)</f>
        <v>#NUM!</v>
      </c>
    </row>
    <row r="7" spans="3:8">
      <c r="C7" s="1927">
        <v>0.04</v>
      </c>
      <c r="D7" s="2021">
        <f t="shared" ref="D7:D20" si="0">D6+1</f>
        <v>2</v>
      </c>
      <c r="E7" s="2020" t="e">
        <f t="shared" ref="E7:E20" si="1">E6+1</f>
        <v>#NUM!</v>
      </c>
      <c r="F7" s="2019">
        <f t="shared" ref="F7:F20" si="2">F6*(1+C7)</f>
        <v>0</v>
      </c>
      <c r="G7" s="856" t="e">
        <f>TEXT(DATE(YEAR(F3)+1,1,1),"mmm d, yyyy")</f>
        <v>#NUM!</v>
      </c>
      <c r="H7" s="2022" t="e">
        <f t="shared" ref="H7:H20" si="3">"FY"&amp;E7-1&amp;"/"&amp;E7-2000</f>
        <v>#NUM!</v>
      </c>
    </row>
    <row r="8" spans="3:8">
      <c r="C8" s="1927">
        <v>0.04</v>
      </c>
      <c r="D8" s="2021">
        <f t="shared" si="0"/>
        <v>3</v>
      </c>
      <c r="E8" s="2020" t="e">
        <f t="shared" si="1"/>
        <v>#NUM!</v>
      </c>
      <c r="F8" s="2019">
        <f t="shared" si="2"/>
        <v>0</v>
      </c>
      <c r="G8" s="2018" t="e">
        <f t="shared" ref="G8:G20" si="4">TEXT(DATE(YEAR(G7)+1,1,1),"mmm d, yyyy")</f>
        <v>#NUM!</v>
      </c>
      <c r="H8" s="2017" t="e">
        <f t="shared" si="3"/>
        <v>#NUM!</v>
      </c>
    </row>
    <row r="9" spans="3:8">
      <c r="C9" s="1927">
        <v>0.04</v>
      </c>
      <c r="D9" s="2021">
        <f t="shared" si="0"/>
        <v>4</v>
      </c>
      <c r="E9" s="2020" t="e">
        <f t="shared" si="1"/>
        <v>#NUM!</v>
      </c>
      <c r="F9" s="2019">
        <f t="shared" si="2"/>
        <v>0</v>
      </c>
      <c r="G9" s="2018" t="e">
        <f t="shared" si="4"/>
        <v>#NUM!</v>
      </c>
      <c r="H9" s="2017" t="e">
        <f t="shared" si="3"/>
        <v>#NUM!</v>
      </c>
    </row>
    <row r="10" spans="3:8">
      <c r="C10" s="1927">
        <v>0.04</v>
      </c>
      <c r="D10" s="2021">
        <f t="shared" si="0"/>
        <v>5</v>
      </c>
      <c r="E10" s="2020" t="e">
        <f t="shared" si="1"/>
        <v>#NUM!</v>
      </c>
      <c r="F10" s="2019">
        <f t="shared" si="2"/>
        <v>0</v>
      </c>
      <c r="G10" s="2018" t="e">
        <f t="shared" si="4"/>
        <v>#NUM!</v>
      </c>
      <c r="H10" s="2017" t="e">
        <f t="shared" si="3"/>
        <v>#NUM!</v>
      </c>
    </row>
    <row r="11" spans="3:8">
      <c r="C11" s="1927">
        <v>0.04</v>
      </c>
      <c r="D11" s="2021">
        <f t="shared" si="0"/>
        <v>6</v>
      </c>
      <c r="E11" s="2020" t="e">
        <f t="shared" si="1"/>
        <v>#NUM!</v>
      </c>
      <c r="F11" s="2019">
        <f t="shared" si="2"/>
        <v>0</v>
      </c>
      <c r="G11" s="2018" t="e">
        <f t="shared" si="4"/>
        <v>#NUM!</v>
      </c>
      <c r="H11" s="2017" t="e">
        <f t="shared" si="3"/>
        <v>#NUM!</v>
      </c>
    </row>
    <row r="12" spans="3:8">
      <c r="C12" s="1927">
        <v>0.04</v>
      </c>
      <c r="D12" s="2021">
        <f t="shared" si="0"/>
        <v>7</v>
      </c>
      <c r="E12" s="2020" t="e">
        <f t="shared" si="1"/>
        <v>#NUM!</v>
      </c>
      <c r="F12" s="2019">
        <f t="shared" si="2"/>
        <v>0</v>
      </c>
      <c r="G12" s="2018" t="e">
        <f t="shared" si="4"/>
        <v>#NUM!</v>
      </c>
      <c r="H12" s="2017" t="e">
        <f t="shared" si="3"/>
        <v>#NUM!</v>
      </c>
    </row>
    <row r="13" spans="3:8">
      <c r="C13" s="1927">
        <v>0.04</v>
      </c>
      <c r="D13" s="2021">
        <f t="shared" si="0"/>
        <v>8</v>
      </c>
      <c r="E13" s="2020" t="e">
        <f t="shared" si="1"/>
        <v>#NUM!</v>
      </c>
      <c r="F13" s="2019">
        <f t="shared" si="2"/>
        <v>0</v>
      </c>
      <c r="G13" s="2018" t="e">
        <f t="shared" si="4"/>
        <v>#NUM!</v>
      </c>
      <c r="H13" s="2017" t="e">
        <f t="shared" si="3"/>
        <v>#NUM!</v>
      </c>
    </row>
    <row r="14" spans="3:8">
      <c r="C14" s="1927">
        <v>0.04</v>
      </c>
      <c r="D14" s="2021">
        <f t="shared" si="0"/>
        <v>9</v>
      </c>
      <c r="E14" s="2020" t="e">
        <f t="shared" si="1"/>
        <v>#NUM!</v>
      </c>
      <c r="F14" s="2019">
        <f t="shared" si="2"/>
        <v>0</v>
      </c>
      <c r="G14" s="2018" t="e">
        <f t="shared" si="4"/>
        <v>#NUM!</v>
      </c>
      <c r="H14" s="2017" t="e">
        <f t="shared" si="3"/>
        <v>#NUM!</v>
      </c>
    </row>
    <row r="15" spans="3:8">
      <c r="C15" s="1927">
        <v>0.04</v>
      </c>
      <c r="D15" s="2021">
        <f t="shared" si="0"/>
        <v>10</v>
      </c>
      <c r="E15" s="2020" t="e">
        <f t="shared" si="1"/>
        <v>#NUM!</v>
      </c>
      <c r="F15" s="2019">
        <f t="shared" si="2"/>
        <v>0</v>
      </c>
      <c r="G15" s="2018" t="e">
        <f t="shared" si="4"/>
        <v>#NUM!</v>
      </c>
      <c r="H15" s="2017" t="e">
        <f t="shared" si="3"/>
        <v>#NUM!</v>
      </c>
    </row>
    <row r="16" spans="3:8">
      <c r="C16" s="1927">
        <v>0.04</v>
      </c>
      <c r="D16" s="2021">
        <f t="shared" si="0"/>
        <v>11</v>
      </c>
      <c r="E16" s="2020" t="e">
        <f t="shared" si="1"/>
        <v>#NUM!</v>
      </c>
      <c r="F16" s="2019">
        <f t="shared" si="2"/>
        <v>0</v>
      </c>
      <c r="G16" s="2018" t="e">
        <f t="shared" si="4"/>
        <v>#NUM!</v>
      </c>
      <c r="H16" s="2017" t="e">
        <f t="shared" si="3"/>
        <v>#NUM!</v>
      </c>
    </row>
    <row r="17" spans="2:10">
      <c r="C17" s="1927">
        <v>0.04</v>
      </c>
      <c r="D17" s="2021">
        <f t="shared" si="0"/>
        <v>12</v>
      </c>
      <c r="E17" s="2020" t="e">
        <f t="shared" si="1"/>
        <v>#NUM!</v>
      </c>
      <c r="F17" s="2019">
        <f t="shared" si="2"/>
        <v>0</v>
      </c>
      <c r="G17" s="2018" t="e">
        <f t="shared" si="4"/>
        <v>#NUM!</v>
      </c>
      <c r="H17" s="2017" t="e">
        <f t="shared" si="3"/>
        <v>#NUM!</v>
      </c>
    </row>
    <row r="18" spans="2:10">
      <c r="C18" s="1927">
        <v>0.04</v>
      </c>
      <c r="D18" s="2021">
        <f t="shared" si="0"/>
        <v>13</v>
      </c>
      <c r="E18" s="2020" t="e">
        <f t="shared" si="1"/>
        <v>#NUM!</v>
      </c>
      <c r="F18" s="2019">
        <f t="shared" si="2"/>
        <v>0</v>
      </c>
      <c r="G18" s="2018" t="e">
        <f t="shared" si="4"/>
        <v>#NUM!</v>
      </c>
      <c r="H18" s="2017" t="e">
        <f t="shared" si="3"/>
        <v>#NUM!</v>
      </c>
    </row>
    <row r="19" spans="2:10">
      <c r="C19" s="1927">
        <v>0.04</v>
      </c>
      <c r="D19" s="2021">
        <f t="shared" si="0"/>
        <v>14</v>
      </c>
      <c r="E19" s="2020" t="e">
        <f t="shared" si="1"/>
        <v>#NUM!</v>
      </c>
      <c r="F19" s="2019">
        <f t="shared" si="2"/>
        <v>0</v>
      </c>
      <c r="G19" s="2018" t="e">
        <f t="shared" si="4"/>
        <v>#NUM!</v>
      </c>
      <c r="H19" s="2017" t="e">
        <f t="shared" si="3"/>
        <v>#NUM!</v>
      </c>
    </row>
    <row r="20" spans="2:10">
      <c r="C20" s="1927">
        <v>0.04</v>
      </c>
      <c r="D20" s="2021">
        <f t="shared" si="0"/>
        <v>15</v>
      </c>
      <c r="E20" s="2020" t="e">
        <f t="shared" si="1"/>
        <v>#NUM!</v>
      </c>
      <c r="F20" s="2019">
        <f t="shared" si="2"/>
        <v>0</v>
      </c>
      <c r="G20" s="2018" t="e">
        <f t="shared" si="4"/>
        <v>#NUM!</v>
      </c>
      <c r="H20" s="2017" t="e">
        <f t="shared" si="3"/>
        <v>#NUM!</v>
      </c>
    </row>
    <row r="21" spans="2:10" ht="15" thickBot="1">
      <c r="C21" s="1928"/>
      <c r="D21" s="1929"/>
      <c r="E21" s="1929" t="s">
        <v>1117</v>
      </c>
      <c r="F21" s="1932">
        <f>SUM(F6:F20)</f>
        <v>0</v>
      </c>
      <c r="G21" s="1930"/>
      <c r="H21" s="1931"/>
    </row>
    <row r="24" spans="2:10" ht="17.399999999999999">
      <c r="B24" s="2418" t="s">
        <v>1668</v>
      </c>
      <c r="C24" s="2418"/>
      <c r="D24" s="2418"/>
      <c r="E24" s="2418"/>
      <c r="F24" s="2418"/>
      <c r="G24" s="2418"/>
      <c r="H24" s="2418"/>
      <c r="I24" s="2418"/>
      <c r="J24" s="2418"/>
    </row>
    <row r="25" spans="2:10" ht="15" customHeight="1">
      <c r="B25" s="2431" t="s">
        <v>1693</v>
      </c>
      <c r="C25" s="2431"/>
      <c r="D25" s="2431"/>
      <c r="E25" s="2431"/>
      <c r="F25" s="2431"/>
      <c r="G25" s="2431"/>
      <c r="H25" s="2431"/>
      <c r="I25" s="2431"/>
      <c r="J25" s="2431"/>
    </row>
    <row r="26" spans="2:10">
      <c r="B26" s="2432"/>
      <c r="C26" s="2432"/>
      <c r="D26" s="2432"/>
      <c r="E26" s="2432"/>
      <c r="F26" s="2432"/>
      <c r="G26" s="2432"/>
      <c r="H26" s="2432"/>
      <c r="I26" s="2432"/>
      <c r="J26" s="2432"/>
    </row>
    <row r="27" spans="2:10">
      <c r="B27" s="837"/>
      <c r="C27" s="837"/>
      <c r="D27" s="837"/>
      <c r="E27" s="837"/>
      <c r="F27" s="837"/>
      <c r="G27" s="837"/>
      <c r="H27" s="837"/>
      <c r="I27" s="837"/>
      <c r="J27" s="837"/>
    </row>
    <row r="28" spans="2:10">
      <c r="B28" s="1943" t="s">
        <v>1658</v>
      </c>
      <c r="C28" s="1943" t="str">
        <f>IF(OR(I29&gt;0.6,I29=0),"ISSUE","No Issue")</f>
        <v>ISSUE</v>
      </c>
      <c r="D28" s="837"/>
      <c r="E28" s="1924" t="s">
        <v>1659</v>
      </c>
      <c r="F28" s="1924"/>
      <c r="G28" s="1924"/>
      <c r="H28" s="1924"/>
      <c r="I28" s="1924"/>
      <c r="J28" s="837"/>
    </row>
    <row r="29" spans="2:10">
      <c r="B29" s="1943"/>
      <c r="C29" s="1943"/>
      <c r="D29" s="837"/>
      <c r="E29" s="1943" t="s">
        <v>1672</v>
      </c>
      <c r="F29" s="1946">
        <f>MIN(E72:J72)</f>
        <v>0</v>
      </c>
      <c r="G29" s="1943"/>
      <c r="H29" s="1943" t="s">
        <v>1673</v>
      </c>
      <c r="I29" s="2016">
        <f>MAX(E72:J72)</f>
        <v>0</v>
      </c>
      <c r="J29" s="837"/>
    </row>
    <row r="30" spans="2:10">
      <c r="B30" s="1943" t="s">
        <v>1662</v>
      </c>
      <c r="C30" s="1943" t="e">
        <f>IF(G74&gt;=H74,"No Issue","ISSUE")</f>
        <v>#DIV/0!</v>
      </c>
      <c r="D30" s="837"/>
      <c r="E30" s="1924" t="s">
        <v>1669</v>
      </c>
      <c r="F30" s="1924"/>
      <c r="G30" s="1924"/>
      <c r="H30" s="1924"/>
      <c r="I30" s="1924"/>
      <c r="J30" s="837"/>
    </row>
    <row r="31" spans="2:10">
      <c r="B31" s="856"/>
      <c r="C31" s="1943"/>
      <c r="D31" s="837"/>
      <c r="E31" s="837"/>
      <c r="F31" s="837" t="s">
        <v>1675</v>
      </c>
      <c r="G31" s="837"/>
      <c r="H31" s="837"/>
      <c r="I31" s="2028" t="e">
        <f>G74</f>
        <v>#DIV/0!</v>
      </c>
      <c r="J31" s="837"/>
    </row>
    <row r="32" spans="2:10">
      <c r="B32" s="856"/>
      <c r="C32" s="1943"/>
      <c r="D32" s="837"/>
      <c r="E32" s="837"/>
      <c r="F32" s="837" t="s">
        <v>1674</v>
      </c>
      <c r="G32" s="837"/>
      <c r="H32" s="837"/>
      <c r="I32" s="2028">
        <f>H74</f>
        <v>1.3333333333333334E-2</v>
      </c>
      <c r="J32" s="837"/>
    </row>
    <row r="33" spans="2:10">
      <c r="B33" s="856" t="s">
        <v>1670</v>
      </c>
      <c r="C33" s="1943" t="str">
        <f>IF(COUNTIF(C7:C20, "&lt;&gt;4%") &gt; 0, "ISSUE", "No Issue")</f>
        <v>No Issue</v>
      </c>
      <c r="D33" s="837"/>
      <c r="E33" s="837" t="s">
        <v>1671</v>
      </c>
      <c r="F33" s="837"/>
      <c r="G33" s="837"/>
      <c r="H33" s="837"/>
      <c r="I33" s="837"/>
      <c r="J33" s="837"/>
    </row>
    <row r="34" spans="2:10">
      <c r="B34" s="856"/>
      <c r="C34" s="1943"/>
      <c r="D34" s="837"/>
      <c r="E34" s="837"/>
      <c r="F34" s="837"/>
      <c r="G34" s="837"/>
      <c r="H34" s="837"/>
      <c r="I34" s="837"/>
      <c r="J34" s="837"/>
    </row>
    <row r="35" spans="2:10">
      <c r="B35" s="856" t="s">
        <v>1676</v>
      </c>
      <c r="C35" s="1943" t="e">
        <f>IF(I38&gt;0.4,"ISSUE","No Issue")</f>
        <v>#DIV/0!</v>
      </c>
      <c r="D35" s="837"/>
      <c r="E35" s="1944" t="s">
        <v>1677</v>
      </c>
      <c r="F35" s="1944"/>
      <c r="G35" s="1944"/>
      <c r="H35" s="1944"/>
      <c r="I35" s="1944"/>
      <c r="J35" s="837"/>
    </row>
    <row r="36" spans="2:10">
      <c r="B36" s="837"/>
      <c r="C36" s="1943"/>
      <c r="D36" s="837"/>
      <c r="E36" s="837"/>
      <c r="F36" s="837" t="s">
        <v>1664</v>
      </c>
      <c r="G36" s="837"/>
      <c r="H36" s="837"/>
      <c r="I36" s="837">
        <f>'1.GeneralProjectInfo'!A17</f>
        <v>0</v>
      </c>
      <c r="J36" s="837"/>
    </row>
    <row r="37" spans="2:10">
      <c r="B37" s="837"/>
      <c r="C37" s="1943"/>
      <c r="D37" s="837"/>
      <c r="E37" s="837"/>
      <c r="F37" s="837" t="s">
        <v>1678</v>
      </c>
      <c r="G37" s="837"/>
      <c r="H37" s="837"/>
      <c r="I37" s="1941">
        <f>K56</f>
        <v>0</v>
      </c>
      <c r="J37" s="837"/>
    </row>
    <row r="38" spans="2:10">
      <c r="B38" s="837"/>
      <c r="C38" s="1943"/>
      <c r="D38" s="837"/>
      <c r="E38" s="837"/>
      <c r="F38" s="837" t="s">
        <v>1679</v>
      </c>
      <c r="G38" s="837"/>
      <c r="H38" s="837"/>
      <c r="I38" s="2015" t="e">
        <f>I37/I36</f>
        <v>#DIV/0!</v>
      </c>
      <c r="J38" s="837"/>
    </row>
    <row r="39" spans="2:10">
      <c r="B39" s="856" t="s">
        <v>1676</v>
      </c>
      <c r="C39" s="1943" t="e">
        <f>IF(I40=0.5,"No Issue","POSSIBLE ISSUE")</f>
        <v>#DIV/0!</v>
      </c>
      <c r="D39" s="837"/>
      <c r="E39" s="837" t="s">
        <v>1680</v>
      </c>
      <c r="F39" s="837"/>
      <c r="G39" s="837"/>
      <c r="H39" s="837"/>
      <c r="I39" s="837"/>
      <c r="J39" s="837"/>
    </row>
    <row r="40" spans="2:10">
      <c r="B40" s="837"/>
      <c r="C40" s="1943"/>
      <c r="D40" s="837"/>
      <c r="E40" s="837"/>
      <c r="F40" s="837" t="s">
        <v>1686</v>
      </c>
      <c r="G40" s="837"/>
      <c r="H40" s="837"/>
      <c r="I40" s="1947" t="e">
        <f>L58</f>
        <v>#DIV/0!</v>
      </c>
      <c r="J40" s="837"/>
    </row>
    <row r="41" spans="2:10">
      <c r="B41" s="837"/>
      <c r="C41" s="1943"/>
      <c r="D41" s="837"/>
      <c r="E41" s="837"/>
      <c r="F41" s="837" t="s">
        <v>1687</v>
      </c>
      <c r="G41" s="837"/>
      <c r="H41" s="837"/>
      <c r="I41" s="1947" t="e">
        <f>L62</f>
        <v>#DIV/0!</v>
      </c>
      <c r="J41" s="837"/>
    </row>
    <row r="42" spans="2:10">
      <c r="B42" s="837"/>
      <c r="C42" s="1943"/>
      <c r="D42" s="837"/>
      <c r="E42" s="837"/>
      <c r="F42" s="837"/>
      <c r="G42" s="837"/>
      <c r="H42" s="837"/>
      <c r="I42" s="837"/>
      <c r="J42" s="837"/>
    </row>
    <row r="43" spans="2:10">
      <c r="B43" s="856">
        <v>5.4</v>
      </c>
      <c r="C43" s="1943" t="str">
        <f>IF(I44=0.025,"No Issue","ISSUE")</f>
        <v>No Issue</v>
      </c>
      <c r="D43" s="837"/>
      <c r="E43" s="837" t="s">
        <v>1688</v>
      </c>
      <c r="F43" s="837"/>
      <c r="G43" s="837"/>
      <c r="H43" s="837"/>
      <c r="I43" s="837"/>
      <c r="J43" s="837"/>
    </row>
    <row r="44" spans="2:10">
      <c r="B44" s="837"/>
      <c r="C44" s="837"/>
      <c r="D44" s="837"/>
      <c r="E44" s="837"/>
      <c r="F44" s="837" t="s">
        <v>1689</v>
      </c>
      <c r="G44" s="837"/>
      <c r="H44" s="837"/>
      <c r="I44" s="2014">
        <f>'7a.20YrDetails'!F9</f>
        <v>2.5000000000000001E-2</v>
      </c>
      <c r="J44" s="837"/>
    </row>
    <row r="47" spans="2:10">
      <c r="B47" s="1995" t="s">
        <v>1691</v>
      </c>
      <c r="C47" s="2422"/>
      <c r="D47" s="2423"/>
      <c r="E47" s="2423"/>
      <c r="F47" s="2423"/>
      <c r="G47" s="2423"/>
      <c r="H47" s="2423"/>
      <c r="I47" s="2424"/>
    </row>
    <row r="48" spans="2:10">
      <c r="C48" s="2425"/>
      <c r="D48" s="2426"/>
      <c r="E48" s="2426"/>
      <c r="F48" s="2426"/>
      <c r="G48" s="2426"/>
      <c r="H48" s="2426"/>
      <c r="I48" s="2427"/>
    </row>
    <row r="49" spans="1:13">
      <c r="C49" s="2428"/>
      <c r="D49" s="2429"/>
      <c r="E49" s="2429"/>
      <c r="F49" s="2429"/>
      <c r="G49" s="2429"/>
      <c r="H49" s="2429"/>
      <c r="I49" s="2430"/>
    </row>
    <row r="54" spans="1:13" hidden="1">
      <c r="A54" s="2013"/>
      <c r="B54" s="837"/>
      <c r="C54" s="837"/>
      <c r="D54" s="837"/>
      <c r="E54" s="1939" t="str">
        <f>IF('3a.NewProj-Rent&amp;UnitMix'!A78="SOS",'3a.NewProj-Rent&amp;UnitMix'!A74*100&amp;"% "&amp;'3a.NewProj-Rent&amp;UnitMix'!$C$74&amp;" "&amp;'3a.NewProj-Rent&amp;UnitMix'!$A$78,"N/A")</f>
        <v>N/A</v>
      </c>
      <c r="F54" s="2012" t="str">
        <f>IF('3a.NewProj-Rent&amp;UnitMix'!A88="SOS",'3a.NewProj-Rent&amp;UnitMix'!A84*100&amp;"% "&amp;'3a.NewProj-Rent&amp;UnitMix'!$C$84&amp;" "&amp;'3a.NewProj-Rent&amp;UnitMix'!$A$88,"N/A")</f>
        <v>N/A</v>
      </c>
      <c r="G54" s="2012" t="str">
        <f>IF('3a.NewProj-Rent&amp;UnitMix'!A98="SOS",'3a.NewProj-Rent&amp;UnitMix'!A94*100&amp;"% "&amp;'3a.NewProj-Rent&amp;UnitMix'!$C$94&amp;" "&amp;'3a.NewProj-Rent&amp;UnitMix'!$A$98,"N/A")</f>
        <v>N/A</v>
      </c>
      <c r="H54" s="2012" t="str">
        <f>IF('3a.NewProj-Rent&amp;UnitMix'!A108="SOS",'3a.NewProj-Rent&amp;UnitMix'!A104*100&amp;"% "&amp;'3a.NewProj-Rent&amp;UnitMix'!$C$104&amp;" "&amp;'3a.NewProj-Rent&amp;UnitMix'!$A$108,"N/A")</f>
        <v>N/A</v>
      </c>
      <c r="I54" s="2012" t="str">
        <f>IF('3a.NewProj-Rent&amp;UnitMix'!A118="SOS",'3a.NewProj-Rent&amp;UnitMix'!A114*100&amp;"% "&amp;'3a.NewProj-Rent&amp;UnitMix'!$C$114&amp;" "&amp;'3a.NewProj-Rent&amp;UnitMix'!$A$118,"N/A")</f>
        <v>N/A</v>
      </c>
      <c r="J54" s="2012" t="str">
        <f>IF('3a.NewProj-Rent&amp;UnitMix'!A128="SOS",'3a.NewProj-Rent&amp;UnitMix'!A124*100&amp;"% "&amp;'3a.NewProj-Rent&amp;UnitMix'!$C$124&amp;" "&amp;'3a.NewProj-Rent&amp;UnitMix'!$A$128,"N/A")</f>
        <v>N/A</v>
      </c>
      <c r="K54" s="2011" t="s">
        <v>117</v>
      </c>
      <c r="L54" s="837"/>
    </row>
    <row r="55" spans="1:13" hidden="1">
      <c r="A55" s="2010" t="s">
        <v>1649</v>
      </c>
      <c r="B55" s="1940"/>
      <c r="C55" s="1940"/>
      <c r="D55" s="1940"/>
      <c r="E55" s="2008" t="str">
        <f>IF('3a.NewProj-Rent&amp;UnitMix'!A78="SOS",'3a.NewProj-Rent&amp;UnitMix'!J81,"")</f>
        <v/>
      </c>
      <c r="F55" s="2009" t="str">
        <f>IF('3a.NewProj-Rent&amp;UnitMix'!A88="SOS",'3a.NewProj-Rent&amp;UnitMix'!J91,"")</f>
        <v/>
      </c>
      <c r="G55" s="2008" t="str">
        <f>IF('3a.NewProj-Rent&amp;UnitMix'!A98="SOS",'3a.NewProj-Rent&amp;UnitMix'!J101,"-")</f>
        <v>-</v>
      </c>
      <c r="H55" s="2009" t="str">
        <f>IF('3a.NewProj-Rent&amp;UnitMix'!A108="SOS",'3a.NewProj-Rent&amp;UnitMix'!J111,"-")</f>
        <v>-</v>
      </c>
      <c r="I55" s="2008" t="str">
        <f>IF('3a.NewProj-Rent&amp;UnitMix'!A118="SOS",'3a.NewProj-Rent&amp;UnitMix'!J121,"-")</f>
        <v>-</v>
      </c>
      <c r="J55" s="2007" t="str">
        <f>IF('3a.NewProj-Rent&amp;UnitMix'!A128="SOS",'3a.NewProj-Rent&amp;UnitMix'!J131,"-")</f>
        <v>-</v>
      </c>
      <c r="K55" s="2006">
        <f>SUM(E55:J55)</f>
        <v>0</v>
      </c>
      <c r="L55" s="2047">
        <f>K55-'3a.NewProj-Rent&amp;UnitMix'!K136</f>
        <v>0</v>
      </c>
      <c r="M55" s="837" t="s">
        <v>1701</v>
      </c>
    </row>
    <row r="56" spans="1:13" hidden="1">
      <c r="A56" s="2419" t="s">
        <v>1664</v>
      </c>
      <c r="B56" s="2420"/>
      <c r="C56" s="2420"/>
      <c r="D56" s="2421"/>
      <c r="E56" s="2004" t="str">
        <f>IF('3a.NewProj-Rent&amp;UnitMix'!A78="SOS",'3a.NewProj-Rent&amp;UnitMix'!H81,"0")</f>
        <v>0</v>
      </c>
      <c r="F56" s="2005" t="str">
        <f>IF('3a.NewProj-Rent&amp;UnitMix'!A88="SOS",'3a.NewProj-Rent&amp;UnitMix'!H91,"0")</f>
        <v>0</v>
      </c>
      <c r="G56" s="2004" t="str">
        <f>IF('3a.NewProj-Rent&amp;UnitMix'!A98="SOS",'3a.NewProj-Rent&amp;UnitMix'!H101,"0")</f>
        <v>0</v>
      </c>
      <c r="H56" s="2005" t="str">
        <f>IF('3a.NewProj-Rent&amp;UnitMix'!A108="SOS",'3a.NewProj-Rent&amp;UnitMix'!H111,"0")</f>
        <v>0</v>
      </c>
      <c r="I56" s="2004" t="str">
        <f>IF('3a.NewProj-Rent&amp;UnitMix'!A118="SOS",'3a.NewProj-Rent&amp;UnitMix'!H121,"0")</f>
        <v>0</v>
      </c>
      <c r="J56" s="2003" t="str">
        <f>IF('3a.NewProj-Rent&amp;UnitMix'!A128="SOS",'3a.NewProj-Rent&amp;UnitMix'!H131,"0")</f>
        <v>0</v>
      </c>
      <c r="K56" s="2002">
        <f>SUM(E56:J56)</f>
        <v>0</v>
      </c>
      <c r="L56" s="837"/>
    </row>
    <row r="57" spans="1:13" hidden="1">
      <c r="A57" s="2001" t="s">
        <v>1681</v>
      </c>
      <c r="B57" s="1940"/>
      <c r="C57" s="1940"/>
      <c r="D57" s="1942"/>
      <c r="E57" s="1999"/>
      <c r="F57" s="2000"/>
      <c r="G57" s="1999"/>
      <c r="H57" s="2000"/>
      <c r="I57" s="1999"/>
      <c r="J57" s="1998"/>
      <c r="K57" s="1997"/>
      <c r="L57" s="837"/>
    </row>
    <row r="58" spans="1:13" hidden="1">
      <c r="A58" s="837"/>
      <c r="B58" s="2436">
        <v>0.15</v>
      </c>
      <c r="C58" s="1948"/>
      <c r="D58" s="1949" t="s">
        <v>1682</v>
      </c>
      <c r="E58" s="1949" t="str">
        <f>IF('3a.NewProj-Rent&amp;UnitMix'!A78="SOS","Yes","-")</f>
        <v>-</v>
      </c>
      <c r="F58" s="1948" t="str">
        <f>IF('3a.NewProj-Rent&amp;UnitMix'!A88="SOS","Yes","-")</f>
        <v>-</v>
      </c>
      <c r="G58" s="1948" t="str">
        <f>IF('3a.NewProj-Rent&amp;UnitMix'!A98="SOS","Yes","-")</f>
        <v>-</v>
      </c>
      <c r="H58" s="1948" t="str">
        <f>IF('3a.NewProj-Rent&amp;UnitMix'!A108="SOS","Yes","-")</f>
        <v>-</v>
      </c>
      <c r="I58" s="1948" t="str">
        <f>IF('3a.NewProj-Rent&amp;UnitMix'!A118="SOS","Yes","-")</f>
        <v>-</v>
      </c>
      <c r="J58" s="1948" t="str">
        <f>IF('3a.NewProj-Rent&amp;UnitMix'!A128="SOS","Yes","-")</f>
        <v>-</v>
      </c>
      <c r="K58" s="2439">
        <f>SUM(E61:J61)</f>
        <v>0</v>
      </c>
      <c r="L58" s="2442" t="e">
        <f>ROUNDUP(K58/SUM(K58:K65),1)</f>
        <v>#DIV/0!</v>
      </c>
    </row>
    <row r="59" spans="1:13" hidden="1">
      <c r="A59" s="837"/>
      <c r="B59" s="2437"/>
      <c r="C59" s="837"/>
      <c r="D59" s="1950" t="s">
        <v>1681</v>
      </c>
      <c r="E59" s="1951">
        <f>'3a.NewProj-Rent&amp;UnitMix'!A74</f>
        <v>0</v>
      </c>
      <c r="F59" s="1947">
        <f>'3a.NewProj-Rent&amp;UnitMix'!A84</f>
        <v>0</v>
      </c>
      <c r="G59" s="1947">
        <f>'3a.NewProj-Rent&amp;UnitMix'!A94</f>
        <v>0</v>
      </c>
      <c r="H59" s="1947">
        <f>'3a.NewProj-Rent&amp;UnitMix'!A104</f>
        <v>0</v>
      </c>
      <c r="I59" s="1947">
        <f>'3a.NewProj-Rent&amp;UnitMix'!A114</f>
        <v>0</v>
      </c>
      <c r="J59" s="1947">
        <f>'3a.NewProj-Rent&amp;UnitMix'!A124</f>
        <v>0</v>
      </c>
      <c r="K59" s="2440"/>
      <c r="L59" s="2442"/>
    </row>
    <row r="60" spans="1:13" hidden="1">
      <c r="A60" s="837"/>
      <c r="B60" s="2437"/>
      <c r="C60" s="837"/>
      <c r="D60" s="1950" t="s">
        <v>1684</v>
      </c>
      <c r="E60" s="1951" t="str">
        <f t="shared" ref="E60:J60" si="5">IF(E59=0.15,"Yes","-")</f>
        <v>-</v>
      </c>
      <c r="F60" s="1951" t="str">
        <f t="shared" si="5"/>
        <v>-</v>
      </c>
      <c r="G60" s="1951" t="str">
        <f t="shared" si="5"/>
        <v>-</v>
      </c>
      <c r="H60" s="1951" t="str">
        <f t="shared" si="5"/>
        <v>-</v>
      </c>
      <c r="I60" s="1951" t="str">
        <f t="shared" si="5"/>
        <v>-</v>
      </c>
      <c r="J60" s="1951" t="str">
        <f t="shared" si="5"/>
        <v>-</v>
      </c>
      <c r="K60" s="2440"/>
      <c r="L60" s="2442"/>
    </row>
    <row r="61" spans="1:13" hidden="1">
      <c r="A61" s="837"/>
      <c r="B61" s="2438"/>
      <c r="C61" s="1940"/>
      <c r="D61" s="1952" t="s">
        <v>1683</v>
      </c>
      <c r="E61" s="1953">
        <f t="shared" ref="E61:J61" si="6">IF(AND(E58="Yes",E60="Yes"),E56,0)</f>
        <v>0</v>
      </c>
      <c r="F61" s="1953">
        <f t="shared" si="6"/>
        <v>0</v>
      </c>
      <c r="G61" s="1953">
        <f t="shared" si="6"/>
        <v>0</v>
      </c>
      <c r="H61" s="1953">
        <f t="shared" si="6"/>
        <v>0</v>
      </c>
      <c r="I61" s="1953">
        <f t="shared" si="6"/>
        <v>0</v>
      </c>
      <c r="J61" s="1953">
        <f t="shared" si="6"/>
        <v>0</v>
      </c>
      <c r="K61" s="2441"/>
      <c r="L61" s="2442"/>
    </row>
    <row r="62" spans="1:13" hidden="1">
      <c r="A62" s="837"/>
      <c r="B62" s="2436">
        <v>0.25</v>
      </c>
      <c r="C62" s="1948"/>
      <c r="D62" s="1949" t="s">
        <v>1682</v>
      </c>
      <c r="E62" s="1949" t="str">
        <f>IF('3a.NewProj-Rent&amp;UnitMix'!A78="SOS","Yes","")</f>
        <v/>
      </c>
      <c r="F62" s="1948" t="str">
        <f>IF('3a.NewProj-Rent&amp;UnitMix'!A88="SOS","Yes","-")</f>
        <v>-</v>
      </c>
      <c r="G62" s="1948" t="str">
        <f>IF('3a.NewProj-Rent&amp;UnitMix'!A98="SOS","Yes","-")</f>
        <v>-</v>
      </c>
      <c r="H62" s="1948" t="str">
        <f>IF('3a.NewProj-Rent&amp;UnitMix'!A108="SOS","Yes","-")</f>
        <v>-</v>
      </c>
      <c r="I62" s="1948" t="str">
        <f>IF('3a.NewProj-Rent&amp;UnitMix'!A118="SOS","Yes","-")</f>
        <v>-</v>
      </c>
      <c r="J62" s="1948" t="str">
        <f>IF('3a.NewProj-Rent&amp;UnitMix'!A128="SOS","Yes","-")</f>
        <v>-</v>
      </c>
      <c r="K62" s="2443">
        <f>SUM(E65:J65)</f>
        <v>0</v>
      </c>
      <c r="L62" s="2442" t="e">
        <f>ROUNDUP(K62/SUM(K58:K65),1)</f>
        <v>#DIV/0!</v>
      </c>
    </row>
    <row r="63" spans="1:13" hidden="1">
      <c r="A63" s="837"/>
      <c r="B63" s="2437"/>
      <c r="C63" s="837"/>
      <c r="D63" s="1950" t="s">
        <v>1681</v>
      </c>
      <c r="E63" s="1950">
        <f>'3a.NewProj-Rent&amp;UnitMix'!A74</f>
        <v>0</v>
      </c>
      <c r="F63" s="1947">
        <f>'3a.NewProj-Rent&amp;UnitMix'!A84</f>
        <v>0</v>
      </c>
      <c r="G63" s="1947">
        <f>'3a.NewProj-Rent&amp;UnitMix'!A94</f>
        <v>0</v>
      </c>
      <c r="H63" s="1947">
        <f>'3a.NewProj-Rent&amp;UnitMix'!A104</f>
        <v>0</v>
      </c>
      <c r="I63" s="1947">
        <f>'3a.NewProj-Rent&amp;UnitMix'!A114</f>
        <v>0</v>
      </c>
      <c r="J63" s="1947">
        <f>'3a.NewProj-Rent&amp;UnitMix'!A124</f>
        <v>0</v>
      </c>
      <c r="K63" s="2444"/>
      <c r="L63" s="2442"/>
    </row>
    <row r="64" spans="1:13" hidden="1">
      <c r="A64" s="837"/>
      <c r="B64" s="2437"/>
      <c r="C64" s="837"/>
      <c r="D64" s="1950" t="s">
        <v>1685</v>
      </c>
      <c r="E64" s="856" t="str">
        <f t="shared" ref="E64:J64" si="7">IF(E63=0.25,"Yes","-")</f>
        <v>-</v>
      </c>
      <c r="F64" s="856" t="str">
        <f t="shared" si="7"/>
        <v>-</v>
      </c>
      <c r="G64" s="856" t="str">
        <f t="shared" si="7"/>
        <v>-</v>
      </c>
      <c r="H64" s="856" t="str">
        <f t="shared" si="7"/>
        <v>-</v>
      </c>
      <c r="I64" s="856" t="str">
        <f t="shared" si="7"/>
        <v>-</v>
      </c>
      <c r="J64" s="856" t="str">
        <f t="shared" si="7"/>
        <v>-</v>
      </c>
      <c r="K64" s="2444"/>
      <c r="L64" s="2442"/>
    </row>
    <row r="65" spans="1:12" hidden="1">
      <c r="A65" s="837"/>
      <c r="B65" s="2438"/>
      <c r="C65" s="1940"/>
      <c r="D65" s="1954" t="s">
        <v>1683</v>
      </c>
      <c r="E65" s="1954">
        <f t="shared" ref="E65:J65" si="8">IF(AND(E62="Yes",E64="Yes"),E56,0)</f>
        <v>0</v>
      </c>
      <c r="F65" s="1954">
        <f t="shared" si="8"/>
        <v>0</v>
      </c>
      <c r="G65" s="1954">
        <f t="shared" si="8"/>
        <v>0</v>
      </c>
      <c r="H65" s="1954">
        <f t="shared" si="8"/>
        <v>0</v>
      </c>
      <c r="I65" s="1954">
        <f t="shared" si="8"/>
        <v>0</v>
      </c>
      <c r="J65" s="1954">
        <f t="shared" si="8"/>
        <v>0</v>
      </c>
      <c r="K65" s="2445"/>
      <c r="L65" s="2442"/>
    </row>
    <row r="66" spans="1:12" hidden="1">
      <c r="A66" s="837"/>
      <c r="B66" s="1947"/>
      <c r="C66" s="837"/>
      <c r="D66" s="837"/>
      <c r="E66" s="837"/>
      <c r="F66" s="837"/>
      <c r="G66" s="837"/>
      <c r="H66" s="837"/>
      <c r="I66" s="837"/>
      <c r="J66" s="837"/>
      <c r="K66" s="837"/>
      <c r="L66" s="837"/>
    </row>
    <row r="67" spans="1:12" hidden="1">
      <c r="A67" s="837"/>
      <c r="B67" s="837"/>
      <c r="C67" s="837"/>
      <c r="D67" s="837"/>
      <c r="E67" s="837"/>
      <c r="F67" s="837"/>
      <c r="G67" s="837"/>
      <c r="H67" s="837"/>
      <c r="I67" s="837"/>
      <c r="J67" s="837"/>
      <c r="K67" s="837"/>
      <c r="L67" s="837"/>
    </row>
    <row r="68" spans="1:12" hidden="1">
      <c r="A68" s="2433" t="s">
        <v>1655</v>
      </c>
      <c r="B68" s="2433"/>
      <c r="C68" s="2433"/>
      <c r="D68" s="2433"/>
      <c r="E68" s="2433"/>
      <c r="F68" s="2433"/>
      <c r="G68" s="1996" t="e">
        <f>12-MONTH(F3)+1</f>
        <v>#NUM!</v>
      </c>
      <c r="H68" s="1920"/>
      <c r="I68" s="1920"/>
      <c r="J68" s="1920"/>
      <c r="K68" s="870"/>
      <c r="L68" s="837"/>
    </row>
    <row r="69" spans="1:12" hidden="1">
      <c r="A69" s="2434" t="s">
        <v>1656</v>
      </c>
      <c r="B69" s="2434"/>
      <c r="C69" s="2434"/>
      <c r="D69" s="2434"/>
      <c r="E69" s="2434"/>
      <c r="F69" s="2434"/>
      <c r="G69" s="854">
        <v>60</v>
      </c>
      <c r="H69" s="1921"/>
      <c r="I69" s="882"/>
      <c r="J69" s="882"/>
      <c r="K69" s="870"/>
      <c r="L69" s="837"/>
    </row>
    <row r="70" spans="1:12" hidden="1">
      <c r="A70" s="2435" t="s">
        <v>1657</v>
      </c>
      <c r="B70" s="2435"/>
      <c r="C70" s="2435"/>
      <c r="D70" s="2435"/>
      <c r="E70" s="2435"/>
      <c r="F70" s="2435"/>
      <c r="G70" s="1934" t="e">
        <f>F3-G69</f>
        <v>#NUM!</v>
      </c>
      <c r="H70" s="1922"/>
      <c r="I70" s="882"/>
      <c r="J70" s="1922"/>
      <c r="K70" s="870"/>
      <c r="L70" s="837"/>
    </row>
    <row r="71" spans="1:12" hidden="1">
      <c r="A71" s="837"/>
      <c r="B71" s="837"/>
      <c r="C71" s="837"/>
      <c r="D71" s="856"/>
      <c r="E71" s="1919"/>
      <c r="F71" s="837"/>
      <c r="G71" s="837"/>
      <c r="H71" s="882"/>
      <c r="I71" s="882"/>
      <c r="J71" s="1923"/>
      <c r="K71" s="1919"/>
      <c r="L71" s="837"/>
    </row>
    <row r="72" spans="1:12" hidden="1">
      <c r="A72" s="837" t="s">
        <v>1658</v>
      </c>
      <c r="B72" s="837"/>
      <c r="C72" s="837"/>
      <c r="D72" s="837"/>
      <c r="E72" s="1945" t="str">
        <f>IF('3a.NewProj-Rent&amp;UnitMix'!A78="SOS",'3a.NewProj-Rent&amp;UnitMix'!A74,"-")</f>
        <v>-</v>
      </c>
      <c r="F72" s="1945" t="str">
        <f>IF('3a.NewProj-Rent&amp;UnitMix'!A88="SOS",'3a.NewProj-Rent&amp;UnitMix'!A84,"-")</f>
        <v>-</v>
      </c>
      <c r="G72" s="1945" t="str">
        <f>IF('3a.NewProj-Rent&amp;UnitMix'!A98="SOS",'3a.NewProj-Rent&amp;UnitMix'!A94,"-")</f>
        <v>-</v>
      </c>
      <c r="H72" s="1945" t="str">
        <f>IF('3a.NewProj-Rent&amp;UnitMix'!A108="SOS",'3a.NewProj-Rent&amp;UnitMix'!A104,"-")</f>
        <v>-</v>
      </c>
      <c r="I72" s="1945" t="str">
        <f>IF('3a.NewProj-Rent&amp;UnitMix'!A118="SOS",'3a.NewProj-Rent&amp;UnitMix'!A114,"-")</f>
        <v>-</v>
      </c>
      <c r="J72" s="1945" t="str">
        <f>IF('3a.NewProj-Rent&amp;UnitMix'!A128="SOS",'3a.NewProj-Rent&amp;UnitMix'!A124,"-")</f>
        <v>-</v>
      </c>
      <c r="K72" s="837"/>
      <c r="L72" s="837"/>
    </row>
    <row r="73" spans="1:12" hidden="1">
      <c r="A73" s="837" t="s">
        <v>1662</v>
      </c>
      <c r="B73" s="837"/>
      <c r="C73" s="837"/>
      <c r="D73" s="837"/>
      <c r="E73" s="837" t="s">
        <v>1663</v>
      </c>
      <c r="F73" s="837" t="s">
        <v>1665</v>
      </c>
      <c r="G73" s="837" t="s">
        <v>1666</v>
      </c>
      <c r="H73" s="837" t="s">
        <v>1667</v>
      </c>
      <c r="I73" s="837"/>
      <c r="J73" s="837"/>
      <c r="K73" s="837"/>
      <c r="L73" s="837"/>
    </row>
    <row r="74" spans="1:12" hidden="1">
      <c r="A74" s="837"/>
      <c r="B74" s="837"/>
      <c r="C74" s="837"/>
      <c r="D74" s="837"/>
      <c r="E74" s="837">
        <f>'6a. Staffing'!F54</f>
        <v>0</v>
      </c>
      <c r="F74" s="1941">
        <f>K56</f>
        <v>0</v>
      </c>
      <c r="G74" s="1955" t="e">
        <f>E74/F74</f>
        <v>#DIV/0!</v>
      </c>
      <c r="H74" s="1955">
        <f>1/75</f>
        <v>1.3333333333333334E-2</v>
      </c>
      <c r="I74" s="837"/>
      <c r="J74" s="837"/>
      <c r="K74" s="837"/>
      <c r="L74" s="837"/>
    </row>
    <row r="75" spans="1:12" hidden="1">
      <c r="A75" s="837" t="s">
        <v>1676</v>
      </c>
      <c r="B75" s="837"/>
      <c r="C75" s="837"/>
      <c r="D75" s="837"/>
      <c r="E75" s="837"/>
      <c r="F75" s="837"/>
      <c r="G75" s="837"/>
      <c r="H75" s="837"/>
      <c r="I75" s="837"/>
      <c r="J75" s="837"/>
      <c r="K75" s="837"/>
      <c r="L75" s="837"/>
    </row>
  </sheetData>
  <mergeCells count="17">
    <mergeCell ref="A70:F70"/>
    <mergeCell ref="B58:B61"/>
    <mergeCell ref="K58:K61"/>
    <mergeCell ref="L58:L61"/>
    <mergeCell ref="B62:B65"/>
    <mergeCell ref="K62:K65"/>
    <mergeCell ref="L62:L65"/>
    <mergeCell ref="A56:D56"/>
    <mergeCell ref="C47:I49"/>
    <mergeCell ref="B25:J26"/>
    <mergeCell ref="A68:F68"/>
    <mergeCell ref="A69:F69"/>
    <mergeCell ref="C2:H2"/>
    <mergeCell ref="C3:E3"/>
    <mergeCell ref="F3:H3"/>
    <mergeCell ref="D5:E5"/>
    <mergeCell ref="B24:J24"/>
  </mergeCells>
  <conditionalFormatting sqref="C28">
    <cfRule type="cellIs" dxfId="14" priority="22" operator="equal">
      <formula>"ISSUE"</formula>
    </cfRule>
    <cfRule type="cellIs" dxfId="13" priority="23" operator="equal">
      <formula>"No Issue"</formula>
    </cfRule>
  </conditionalFormatting>
  <conditionalFormatting sqref="C30">
    <cfRule type="cellIs" dxfId="12" priority="20" operator="equal">
      <formula>"ISSUE"</formula>
    </cfRule>
    <cfRule type="cellIs" dxfId="11" priority="21" operator="equal">
      <formula>"No Issue"</formula>
    </cfRule>
  </conditionalFormatting>
  <conditionalFormatting sqref="C33:C34">
    <cfRule type="cellIs" dxfId="10" priority="16" operator="equal">
      <formula>"ISSUE"</formula>
    </cfRule>
    <cfRule type="cellIs" dxfId="9" priority="17" operator="equal">
      <formula>"No Issue"</formula>
    </cfRule>
  </conditionalFormatting>
  <conditionalFormatting sqref="C35">
    <cfRule type="cellIs" dxfId="8" priority="12" operator="equal">
      <formula>"ISSUE"</formula>
    </cfRule>
    <cfRule type="cellIs" dxfId="7" priority="13" operator="equal">
      <formula>"No Issue"</formula>
    </cfRule>
  </conditionalFormatting>
  <conditionalFormatting sqref="C39">
    <cfRule type="cellIs" dxfId="6" priority="9" operator="equal">
      <formula>"POSSIBLE ISSUE"</formula>
    </cfRule>
    <cfRule type="cellIs" dxfId="5" priority="10" operator="equal">
      <formula>"No Issue"</formula>
    </cfRule>
  </conditionalFormatting>
  <conditionalFormatting sqref="C43">
    <cfRule type="cellIs" dxfId="4" priority="3" operator="equal">
      <formula>"ISSUE"</formula>
    </cfRule>
    <cfRule type="cellIs" dxfId="3" priority="4" operator="equal">
      <formula>"No Issue"</formula>
    </cfRule>
  </conditionalFormatting>
  <conditionalFormatting sqref="L55">
    <cfRule type="cellIs" dxfId="2" priority="1" operator="equal">
      <formula>0</formula>
    </cfRule>
    <cfRule type="cellIs" dxfId="1" priority="2" operator="notEqual">
      <formula>0</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AC45"/>
  <sheetViews>
    <sheetView topLeftCell="I1" workbookViewId="0">
      <selection activeCell="N5" sqref="N5"/>
    </sheetView>
  </sheetViews>
  <sheetFormatPr defaultRowHeight="13.2"/>
  <cols>
    <col min="1" max="1" width="21.44140625" bestFit="1" customWidth="1"/>
    <col min="2" max="2" width="11.88671875" bestFit="1" customWidth="1"/>
    <col min="3" max="3" width="16" bestFit="1" customWidth="1"/>
    <col min="4" max="4" width="26.109375" bestFit="1" customWidth="1"/>
    <col min="5" max="9" width="26.109375" customWidth="1"/>
    <col min="10" max="10" width="10" bestFit="1" customWidth="1"/>
    <col min="11" max="11" width="11.109375" bestFit="1" customWidth="1"/>
    <col min="12" max="12" width="14.33203125" bestFit="1" customWidth="1"/>
    <col min="13" max="13" width="15.88671875" bestFit="1" customWidth="1"/>
    <col min="14" max="14" width="33" bestFit="1" customWidth="1"/>
    <col min="16" max="16" width="14.88671875" bestFit="1" customWidth="1"/>
    <col min="17" max="17" width="13.44140625" bestFit="1" customWidth="1"/>
    <col min="18" max="18" width="24" bestFit="1" customWidth="1"/>
    <col min="20" max="20" width="34.6640625" bestFit="1" customWidth="1"/>
    <col min="21" max="21" width="14.88671875" bestFit="1" customWidth="1"/>
    <col min="23" max="23" width="25" bestFit="1" customWidth="1"/>
    <col min="24" max="24" width="19" bestFit="1" customWidth="1"/>
    <col min="25" max="25" width="9.6640625" bestFit="1" customWidth="1"/>
    <col min="26" max="28" width="8.88671875" bestFit="1" customWidth="1"/>
    <col min="29" max="29" width="9.88671875" bestFit="1" customWidth="1"/>
  </cols>
  <sheetData>
    <row r="1" spans="1:29" ht="25.5" customHeight="1">
      <c r="A1" s="530" t="s">
        <v>495</v>
      </c>
      <c r="B1" s="1781"/>
      <c r="C1" s="1781"/>
      <c r="D1" s="1781"/>
      <c r="E1" s="1781"/>
      <c r="F1" s="1781"/>
      <c r="G1" s="1781"/>
      <c r="H1" s="1781"/>
      <c r="I1" s="1781"/>
      <c r="J1" s="531" t="s">
        <v>557</v>
      </c>
      <c r="K1" s="531"/>
      <c r="L1" s="650" t="s">
        <v>558</v>
      </c>
      <c r="M1" s="651"/>
      <c r="N1" s="651"/>
      <c r="O1" s="651"/>
      <c r="P1" s="649" t="s">
        <v>607</v>
      </c>
      <c r="Q1" s="1782"/>
      <c r="R1" s="1782"/>
      <c r="S1" s="1782"/>
      <c r="T1" s="1782"/>
      <c r="U1" s="5"/>
      <c r="V1" s="5"/>
      <c r="W1" s="906" t="s">
        <v>1368</v>
      </c>
      <c r="X1" s="1798" t="s">
        <v>1374</v>
      </c>
      <c r="Y1" s="1797"/>
      <c r="Z1" s="1797"/>
      <c r="AA1" s="1797"/>
      <c r="AB1" s="1797"/>
      <c r="AC1" s="1797"/>
    </row>
    <row r="2" spans="1:29" s="6" customFormat="1">
      <c r="A2" s="6" t="s">
        <v>496</v>
      </c>
      <c r="B2" s="6" t="s">
        <v>539</v>
      </c>
      <c r="C2" s="6" t="s">
        <v>702</v>
      </c>
      <c r="D2" s="6" t="s">
        <v>454</v>
      </c>
      <c r="E2" s="6" t="s">
        <v>455</v>
      </c>
      <c r="F2" s="6" t="s">
        <v>458</v>
      </c>
      <c r="G2" s="6" t="s">
        <v>242</v>
      </c>
      <c r="H2" s="6" t="s">
        <v>241</v>
      </c>
      <c r="I2" s="6" t="s">
        <v>982</v>
      </c>
      <c r="J2" s="6" t="s">
        <v>149</v>
      </c>
      <c r="K2" s="6" t="s">
        <v>150</v>
      </c>
      <c r="L2" s="6" t="s">
        <v>129</v>
      </c>
      <c r="M2" s="6" t="s">
        <v>213</v>
      </c>
      <c r="N2" s="6" t="s">
        <v>217</v>
      </c>
      <c r="O2" s="6" t="s">
        <v>561</v>
      </c>
      <c r="P2" s="6" t="s">
        <v>623</v>
      </c>
      <c r="Q2" s="6" t="s">
        <v>641</v>
      </c>
      <c r="R2" s="1785" t="s">
        <v>323</v>
      </c>
      <c r="S2" s="1785" t="s">
        <v>315</v>
      </c>
      <c r="T2" s="1785" t="s">
        <v>320</v>
      </c>
      <c r="U2" s="1785" t="s">
        <v>314</v>
      </c>
      <c r="V2" s="6" t="s">
        <v>209</v>
      </c>
      <c r="W2" s="1660">
        <v>1</v>
      </c>
      <c r="X2" s="6" t="s">
        <v>1400</v>
      </c>
      <c r="Y2" s="6" t="s">
        <v>1403</v>
      </c>
      <c r="Z2" s="6" t="s">
        <v>1406</v>
      </c>
      <c r="AA2" s="6" t="s">
        <v>1407</v>
      </c>
      <c r="AB2" s="6" t="s">
        <v>1408</v>
      </c>
      <c r="AC2" s="6" t="s">
        <v>1471</v>
      </c>
    </row>
    <row r="3" spans="1:29">
      <c r="A3" s="5" t="s">
        <v>497</v>
      </c>
      <c r="B3" s="5">
        <v>1</v>
      </c>
      <c r="C3" s="5" t="s">
        <v>703</v>
      </c>
      <c r="D3" s="5" t="s">
        <v>540</v>
      </c>
      <c r="E3" s="5" t="s">
        <v>547</v>
      </c>
      <c r="F3" s="5" t="s">
        <v>542</v>
      </c>
      <c r="G3" s="5" t="s">
        <v>243</v>
      </c>
      <c r="H3" s="5" t="s">
        <v>292</v>
      </c>
      <c r="I3" s="5" t="s">
        <v>983</v>
      </c>
      <c r="J3" s="5" t="s">
        <v>115</v>
      </c>
      <c r="K3" s="5" t="s">
        <v>151</v>
      </c>
      <c r="L3" s="1660">
        <v>0.15</v>
      </c>
      <c r="M3" s="5" t="s">
        <v>146</v>
      </c>
      <c r="N3" s="5" t="s">
        <v>319</v>
      </c>
      <c r="O3" s="5" t="s">
        <v>97</v>
      </c>
      <c r="P3" s="5" t="s">
        <v>441</v>
      </c>
      <c r="Q3" s="5" t="s">
        <v>214</v>
      </c>
      <c r="R3" s="968" t="s">
        <v>97</v>
      </c>
      <c r="S3" s="404" t="s">
        <v>316</v>
      </c>
      <c r="T3" s="5" t="s">
        <v>311</v>
      </c>
      <c r="U3" s="404" t="s">
        <v>718</v>
      </c>
      <c r="V3" s="5" t="s">
        <v>88</v>
      </c>
      <c r="W3" s="1660">
        <v>0.4</v>
      </c>
      <c r="X3" s="404" t="s">
        <v>1404</v>
      </c>
      <c r="Y3" s="1666">
        <v>4.1672500000000001E-2</v>
      </c>
      <c r="Z3" s="1664">
        <v>0.57099999999999995</v>
      </c>
      <c r="AA3" s="1664">
        <v>0.36900000000000005</v>
      </c>
      <c r="AB3" s="1664">
        <v>0.06</v>
      </c>
      <c r="AC3" s="529">
        <v>43466</v>
      </c>
    </row>
    <row r="4" spans="1:29">
      <c r="A4" s="5" t="s">
        <v>498</v>
      </c>
      <c r="B4" s="5">
        <v>2</v>
      </c>
      <c r="C4" s="5" t="s">
        <v>704</v>
      </c>
      <c r="D4" s="5" t="s">
        <v>541</v>
      </c>
      <c r="E4" s="5" t="s">
        <v>548</v>
      </c>
      <c r="F4" s="5" t="s">
        <v>543</v>
      </c>
      <c r="G4" s="5" t="s">
        <v>244</v>
      </c>
      <c r="H4" s="5" t="s">
        <v>293</v>
      </c>
      <c r="I4" s="5" t="s">
        <v>984</v>
      </c>
      <c r="J4" s="5" t="s">
        <v>116</v>
      </c>
      <c r="K4" s="5" t="s">
        <v>152</v>
      </c>
      <c r="L4" s="1660">
        <v>0.2</v>
      </c>
      <c r="M4" s="5" t="s">
        <v>214</v>
      </c>
      <c r="N4" s="5" t="s">
        <v>1648</v>
      </c>
      <c r="O4" s="5" t="s">
        <v>98</v>
      </c>
      <c r="P4" s="5" t="s">
        <v>645</v>
      </c>
      <c r="Q4" s="5" t="s">
        <v>643</v>
      </c>
      <c r="R4" s="969" t="s">
        <v>98</v>
      </c>
      <c r="S4" s="404">
        <v>1</v>
      </c>
      <c r="T4" s="5" t="s">
        <v>317</v>
      </c>
      <c r="U4" s="404" t="s">
        <v>433</v>
      </c>
      <c r="V4" s="5" t="s">
        <v>89</v>
      </c>
      <c r="W4" s="1660">
        <v>0</v>
      </c>
      <c r="X4" s="404" t="s">
        <v>1405</v>
      </c>
      <c r="Y4" s="1666">
        <v>2.8728900000000002E-2</v>
      </c>
      <c r="Z4" s="1664">
        <v>0.60899999999999999</v>
      </c>
      <c r="AA4" s="1664">
        <v>0.33600000000000002</v>
      </c>
      <c r="AB4" s="1664">
        <v>5.5E-2</v>
      </c>
      <c r="AC4" s="529">
        <v>47119</v>
      </c>
    </row>
    <row r="5" spans="1:29">
      <c r="A5" s="5" t="s">
        <v>499</v>
      </c>
      <c r="B5" s="5">
        <v>3</v>
      </c>
      <c r="C5" s="5" t="s">
        <v>705</v>
      </c>
      <c r="D5" s="5" t="s">
        <v>701</v>
      </c>
      <c r="E5" s="5" t="s">
        <v>549</v>
      </c>
      <c r="F5" s="5" t="s">
        <v>544</v>
      </c>
      <c r="G5" s="5" t="s">
        <v>245</v>
      </c>
      <c r="H5" s="5" t="s">
        <v>294</v>
      </c>
      <c r="I5" s="5"/>
      <c r="J5" s="5"/>
      <c r="K5" s="5"/>
      <c r="L5" s="1660">
        <v>0.25</v>
      </c>
      <c r="M5" s="5"/>
      <c r="N5" s="5" t="s">
        <v>980</v>
      </c>
      <c r="O5" s="5" t="s">
        <v>99</v>
      </c>
      <c r="P5" s="5" t="s">
        <v>442</v>
      </c>
      <c r="Q5" s="5" t="s">
        <v>224</v>
      </c>
      <c r="R5" s="5" t="s">
        <v>735</v>
      </c>
      <c r="S5" s="404">
        <v>2</v>
      </c>
      <c r="T5" s="5" t="s">
        <v>318</v>
      </c>
      <c r="U5" s="404" t="s">
        <v>614</v>
      </c>
      <c r="V5" s="5"/>
      <c r="W5" s="5"/>
      <c r="X5" s="5" t="s">
        <v>1409</v>
      </c>
      <c r="Y5" s="1666">
        <v>4.0735399999999998E-2</v>
      </c>
      <c r="Z5" s="1664">
        <v>0.60899999999999999</v>
      </c>
      <c r="AA5" s="1664">
        <v>0.33600000000000002</v>
      </c>
      <c r="AB5" s="1664">
        <v>5.5E-2</v>
      </c>
    </row>
    <row r="6" spans="1:29">
      <c r="A6" s="5" t="s">
        <v>500</v>
      </c>
      <c r="B6" s="5">
        <v>4</v>
      </c>
      <c r="C6" s="5" t="s">
        <v>706</v>
      </c>
      <c r="D6" s="5"/>
      <c r="E6" s="5" t="s">
        <v>550</v>
      </c>
      <c r="F6" s="5" t="s">
        <v>545</v>
      </c>
      <c r="G6" s="5"/>
      <c r="H6" s="5" t="s">
        <v>295</v>
      </c>
      <c r="I6" s="5"/>
      <c r="J6" s="5"/>
      <c r="K6" s="5"/>
      <c r="L6" s="1660">
        <v>0.3</v>
      </c>
      <c r="M6" s="5"/>
      <c r="N6" s="501" t="s">
        <v>985</v>
      </c>
      <c r="O6" s="5" t="s">
        <v>100</v>
      </c>
      <c r="P6" s="5"/>
      <c r="Q6" s="5"/>
      <c r="R6" s="5" t="s">
        <v>736</v>
      </c>
      <c r="S6" s="404">
        <v>3</v>
      </c>
      <c r="T6" s="5" t="s">
        <v>321</v>
      </c>
      <c r="U6" s="404" t="s">
        <v>471</v>
      </c>
      <c r="V6" s="5"/>
      <c r="W6" s="5"/>
      <c r="X6" s="5"/>
      <c r="Y6" s="1783"/>
      <c r="Z6" s="327"/>
      <c r="AA6" s="327"/>
      <c r="AB6" s="327"/>
    </row>
    <row r="7" spans="1:29">
      <c r="A7" s="5" t="s">
        <v>501</v>
      </c>
      <c r="B7" s="5">
        <v>5</v>
      </c>
      <c r="C7" s="5" t="s">
        <v>707</v>
      </c>
      <c r="D7" s="5"/>
      <c r="E7" s="5" t="s">
        <v>551</v>
      </c>
      <c r="F7" s="5" t="s">
        <v>546</v>
      </c>
      <c r="G7" s="5"/>
      <c r="H7" s="5"/>
      <c r="I7" s="5"/>
      <c r="J7" s="5"/>
      <c r="K7" s="5"/>
      <c r="L7" s="1660">
        <v>0.35</v>
      </c>
      <c r="M7" s="5"/>
      <c r="N7" s="5" t="s">
        <v>229</v>
      </c>
      <c r="O7" s="5" t="s">
        <v>101</v>
      </c>
      <c r="P7" s="5"/>
      <c r="Q7" s="5"/>
      <c r="R7" s="5" t="s">
        <v>737</v>
      </c>
      <c r="S7" s="404">
        <v>4</v>
      </c>
      <c r="T7" s="5" t="s">
        <v>322</v>
      </c>
      <c r="U7" s="404"/>
      <c r="V7" s="5"/>
      <c r="W7" s="5"/>
      <c r="X7" s="5"/>
      <c r="Y7" s="5"/>
      <c r="Z7" s="1784"/>
      <c r="AA7" s="1784"/>
      <c r="AB7" s="1784"/>
    </row>
    <row r="8" spans="1:29">
      <c r="A8" s="5" t="s">
        <v>502</v>
      </c>
      <c r="B8" s="5">
        <v>6</v>
      </c>
      <c r="C8" s="5" t="s">
        <v>708</v>
      </c>
      <c r="D8" s="5"/>
      <c r="E8" s="5" t="s">
        <v>552</v>
      </c>
      <c r="F8" s="5"/>
      <c r="G8" s="5"/>
      <c r="H8" s="5"/>
      <c r="I8" s="5"/>
      <c r="J8" s="5"/>
      <c r="K8" s="5"/>
      <c r="L8" s="1660">
        <v>0.4</v>
      </c>
      <c r="M8" s="5"/>
      <c r="N8" s="5" t="s">
        <v>219</v>
      </c>
      <c r="O8" s="5" t="s">
        <v>102</v>
      </c>
      <c r="P8" s="5"/>
      <c r="Q8" s="5"/>
      <c r="R8" s="5" t="s">
        <v>738</v>
      </c>
      <c r="S8" s="404">
        <v>5</v>
      </c>
      <c r="T8" s="5" t="s">
        <v>218</v>
      </c>
      <c r="U8" s="404"/>
      <c r="V8" s="5"/>
      <c r="W8" s="5"/>
      <c r="X8" s="5"/>
      <c r="Y8" s="5"/>
      <c r="Z8" s="1783"/>
      <c r="AA8" s="1783"/>
      <c r="AB8" s="1783"/>
      <c r="AC8" s="1665"/>
    </row>
    <row r="9" spans="1:29">
      <c r="A9" s="5" t="s">
        <v>503</v>
      </c>
      <c r="B9" s="5">
        <v>7</v>
      </c>
      <c r="C9" s="5" t="s">
        <v>709</v>
      </c>
      <c r="D9" s="5"/>
      <c r="E9" s="5" t="s">
        <v>553</v>
      </c>
      <c r="F9" s="5"/>
      <c r="G9" s="5"/>
      <c r="H9" s="5"/>
      <c r="I9" s="5"/>
      <c r="J9" s="5"/>
      <c r="K9" s="5"/>
      <c r="L9" s="1660">
        <v>0.45</v>
      </c>
      <c r="M9" s="5"/>
      <c r="N9" s="5" t="s">
        <v>560</v>
      </c>
      <c r="O9" s="5" t="s">
        <v>103</v>
      </c>
      <c r="P9" s="5"/>
      <c r="Q9" s="5"/>
      <c r="R9" s="5" t="s">
        <v>739</v>
      </c>
      <c r="S9" s="404">
        <v>6</v>
      </c>
      <c r="T9" s="5" t="s">
        <v>220</v>
      </c>
      <c r="U9" s="404"/>
      <c r="V9" s="5"/>
      <c r="W9" s="5"/>
      <c r="X9" s="5"/>
      <c r="Y9" s="5"/>
      <c r="Z9" s="5"/>
      <c r="AA9" s="5"/>
      <c r="AB9" s="5"/>
    </row>
    <row r="10" spans="1:29">
      <c r="A10" s="5" t="s">
        <v>504</v>
      </c>
      <c r="B10" s="5">
        <v>8</v>
      </c>
      <c r="C10" s="5" t="s">
        <v>710</v>
      </c>
      <c r="D10" s="5"/>
      <c r="E10" s="5" t="s">
        <v>224</v>
      </c>
      <c r="F10" s="5"/>
      <c r="G10" s="5"/>
      <c r="H10" s="5"/>
      <c r="I10" s="5"/>
      <c r="J10" s="5"/>
      <c r="K10" s="5"/>
      <c r="L10" s="1660">
        <v>0.5</v>
      </c>
      <c r="M10" s="5"/>
      <c r="N10" s="5" t="s">
        <v>559</v>
      </c>
      <c r="O10" s="5"/>
      <c r="P10" s="5"/>
      <c r="Q10" s="5"/>
      <c r="R10" s="404"/>
      <c r="S10" s="404">
        <v>7</v>
      </c>
      <c r="T10" s="5" t="s">
        <v>319</v>
      </c>
      <c r="U10" s="404"/>
      <c r="V10" s="5"/>
      <c r="W10" s="5"/>
      <c r="X10" s="5"/>
      <c r="Y10" s="5"/>
      <c r="Z10" s="5"/>
      <c r="AA10" s="5"/>
      <c r="AB10" s="5"/>
    </row>
    <row r="11" spans="1:29">
      <c r="A11" s="5" t="s">
        <v>505</v>
      </c>
      <c r="B11" s="5">
        <v>9</v>
      </c>
      <c r="C11" s="5" t="s">
        <v>711</v>
      </c>
      <c r="D11" s="5"/>
      <c r="E11" s="5"/>
      <c r="F11" s="5"/>
      <c r="G11" s="5"/>
      <c r="H11" s="5"/>
      <c r="I11" s="5"/>
      <c r="J11" s="5"/>
      <c r="K11" s="5"/>
      <c r="L11" s="1660">
        <v>0.55000000000000004</v>
      </c>
      <c r="M11" s="5"/>
      <c r="N11" s="5" t="s">
        <v>218</v>
      </c>
      <c r="O11" s="5"/>
      <c r="P11" s="5"/>
      <c r="Q11" s="5"/>
      <c r="R11" s="404"/>
      <c r="S11" s="404">
        <v>8</v>
      </c>
      <c r="T11" s="5" t="s">
        <v>221</v>
      </c>
      <c r="U11" s="404"/>
      <c r="V11" s="5"/>
      <c r="W11" s="5"/>
      <c r="X11" s="5"/>
      <c r="Y11" s="5"/>
      <c r="Z11" s="5"/>
      <c r="AA11" s="5"/>
      <c r="AB11" s="5"/>
    </row>
    <row r="12" spans="1:29">
      <c r="A12" s="5" t="s">
        <v>1373</v>
      </c>
      <c r="B12" s="5">
        <v>10</v>
      </c>
      <c r="C12" s="5" t="s">
        <v>712</v>
      </c>
      <c r="D12" s="5"/>
      <c r="E12" s="5"/>
      <c r="F12" s="5"/>
      <c r="G12" s="5"/>
      <c r="H12" s="5"/>
      <c r="I12" s="5"/>
      <c r="J12" s="5"/>
      <c r="K12" s="5"/>
      <c r="L12" s="1660">
        <v>0.6</v>
      </c>
      <c r="M12" s="5"/>
      <c r="N12" s="5" t="s">
        <v>220</v>
      </c>
      <c r="O12" s="5"/>
      <c r="P12" s="5"/>
      <c r="Q12" s="5"/>
      <c r="R12" s="404"/>
      <c r="S12" s="404"/>
      <c r="T12" s="5" t="s">
        <v>1568</v>
      </c>
      <c r="U12" s="404"/>
      <c r="V12" s="5"/>
      <c r="W12" s="5"/>
      <c r="X12" s="5"/>
      <c r="Y12" s="5"/>
      <c r="Z12" s="5"/>
      <c r="AA12" s="5"/>
      <c r="AB12" s="5"/>
    </row>
    <row r="13" spans="1:29">
      <c r="A13" s="5" t="s">
        <v>506</v>
      </c>
      <c r="B13" s="5">
        <v>11</v>
      </c>
      <c r="C13" s="5"/>
      <c r="D13" s="5"/>
      <c r="E13" s="5"/>
      <c r="F13" s="5"/>
      <c r="G13" s="5"/>
      <c r="H13" s="5"/>
      <c r="I13" s="5"/>
      <c r="J13" s="5"/>
      <c r="K13" s="5"/>
      <c r="L13" s="1660">
        <v>0.7</v>
      </c>
      <c r="M13" s="5"/>
      <c r="N13" s="5" t="s">
        <v>1650</v>
      </c>
      <c r="O13" s="5"/>
      <c r="P13" s="5"/>
      <c r="Q13" s="5"/>
      <c r="R13" s="404"/>
      <c r="S13" s="404"/>
      <c r="T13" s="5" t="s">
        <v>1650</v>
      </c>
      <c r="U13" s="404"/>
      <c r="V13" s="5"/>
      <c r="W13" s="5"/>
      <c r="X13" s="5"/>
      <c r="Y13" s="5"/>
      <c r="Z13" s="5"/>
      <c r="AA13" s="5"/>
      <c r="AB13" s="5"/>
    </row>
    <row r="14" spans="1:29">
      <c r="A14" s="5" t="s">
        <v>507</v>
      </c>
      <c r="B14" s="5"/>
      <c r="C14" s="5"/>
      <c r="D14" s="5"/>
      <c r="E14" s="5"/>
      <c r="F14" s="5"/>
      <c r="G14" s="5"/>
      <c r="H14" s="5"/>
      <c r="I14" s="5"/>
      <c r="J14" s="5"/>
      <c r="K14" s="5"/>
      <c r="L14" s="1660">
        <v>0.72</v>
      </c>
      <c r="M14" s="5"/>
      <c r="N14" s="5" t="s">
        <v>224</v>
      </c>
      <c r="O14" s="5"/>
      <c r="P14" s="5"/>
      <c r="Q14" s="5"/>
      <c r="R14" s="404"/>
      <c r="S14" s="404"/>
      <c r="T14" s="5" t="s">
        <v>223</v>
      </c>
      <c r="U14" s="404"/>
      <c r="V14" s="5"/>
      <c r="W14" s="5"/>
      <c r="X14" s="5"/>
      <c r="Y14" s="5"/>
      <c r="Z14" s="5"/>
      <c r="AA14" s="5"/>
      <c r="AB14" s="5"/>
    </row>
    <row r="15" spans="1:29">
      <c r="A15" s="5" t="s">
        <v>508</v>
      </c>
      <c r="B15" s="5"/>
      <c r="C15" s="5"/>
      <c r="D15" s="5"/>
      <c r="E15" s="5"/>
      <c r="F15" s="5"/>
      <c r="G15" s="5"/>
      <c r="H15" s="5"/>
      <c r="I15" s="5"/>
      <c r="J15" s="5"/>
      <c r="K15" s="5"/>
      <c r="L15" s="1660">
        <v>0.73</v>
      </c>
      <c r="M15" s="5"/>
      <c r="N15" s="5"/>
      <c r="O15" s="5"/>
      <c r="P15" s="5"/>
      <c r="Q15" s="5"/>
      <c r="R15" s="404"/>
      <c r="S15" s="404"/>
      <c r="T15" s="5" t="s">
        <v>1566</v>
      </c>
      <c r="U15" s="404"/>
      <c r="V15" s="5"/>
      <c r="W15" s="5"/>
      <c r="X15" s="5"/>
      <c r="Y15" s="5"/>
      <c r="Z15" s="5"/>
      <c r="AA15" s="5"/>
      <c r="AB15" s="5"/>
    </row>
    <row r="16" spans="1:29">
      <c r="A16" s="5" t="s">
        <v>509</v>
      </c>
      <c r="B16" s="5"/>
      <c r="C16" s="5"/>
      <c r="D16" s="5"/>
      <c r="E16" s="5"/>
      <c r="F16" s="5"/>
      <c r="G16" s="5"/>
      <c r="H16" s="5"/>
      <c r="I16" s="5"/>
      <c r="J16" s="5"/>
      <c r="K16" s="5"/>
      <c r="L16" s="1660">
        <v>0.75</v>
      </c>
      <c r="M16" s="5"/>
      <c r="N16" s="5"/>
      <c r="O16" s="5"/>
      <c r="P16" s="5"/>
      <c r="Q16" s="5"/>
      <c r="R16" s="404"/>
      <c r="S16" s="404"/>
      <c r="T16" s="5" t="s">
        <v>1567</v>
      </c>
      <c r="U16" s="404"/>
      <c r="V16" s="5"/>
      <c r="W16" s="5"/>
      <c r="X16" s="5"/>
      <c r="Y16" s="5"/>
      <c r="Z16" s="5"/>
      <c r="AA16" s="5"/>
      <c r="AB16" s="5"/>
    </row>
    <row r="17" spans="1:28">
      <c r="A17" s="5" t="s">
        <v>510</v>
      </c>
      <c r="B17" s="5"/>
      <c r="C17" s="5"/>
      <c r="D17" s="5"/>
      <c r="E17" s="5"/>
      <c r="F17" s="5"/>
      <c r="G17" s="5"/>
      <c r="H17" s="5"/>
      <c r="I17" s="5"/>
      <c r="J17" s="5"/>
      <c r="K17" s="5"/>
      <c r="L17" s="1660">
        <v>0.8</v>
      </c>
      <c r="M17" s="5"/>
      <c r="N17" s="5"/>
      <c r="O17" s="5"/>
      <c r="P17" s="5"/>
      <c r="Q17" s="5"/>
      <c r="R17" s="5"/>
      <c r="S17" s="5"/>
      <c r="T17" s="5" t="s">
        <v>224</v>
      </c>
      <c r="U17" s="5"/>
      <c r="V17" s="5"/>
      <c r="W17" s="5"/>
      <c r="X17" s="5"/>
      <c r="Y17" s="5"/>
      <c r="Z17" s="5"/>
      <c r="AA17" s="5"/>
      <c r="AB17" s="5"/>
    </row>
    <row r="18" spans="1:28">
      <c r="A18" s="5" t="s">
        <v>511</v>
      </c>
      <c r="B18" s="5"/>
      <c r="C18" s="5"/>
      <c r="D18" s="5"/>
      <c r="E18" s="5"/>
      <c r="F18" s="5"/>
      <c r="G18" s="5"/>
      <c r="H18" s="5"/>
      <c r="I18" s="5"/>
      <c r="J18" s="5"/>
      <c r="K18" s="5"/>
      <c r="L18" s="1660">
        <v>0.9</v>
      </c>
      <c r="M18" s="5"/>
      <c r="N18" s="5"/>
      <c r="O18" s="5"/>
      <c r="P18" s="5"/>
      <c r="Q18" s="5"/>
      <c r="R18" s="5"/>
      <c r="S18" s="5"/>
      <c r="T18" s="5"/>
      <c r="U18" s="5"/>
      <c r="V18" s="5"/>
      <c r="W18" s="5"/>
      <c r="X18" s="5"/>
      <c r="Y18" s="5"/>
      <c r="Z18" s="5"/>
      <c r="AA18" s="5"/>
      <c r="AB18" s="5"/>
    </row>
    <row r="19" spans="1:28">
      <c r="A19" s="5" t="s">
        <v>512</v>
      </c>
      <c r="B19" s="5"/>
      <c r="C19" s="5"/>
      <c r="D19" s="5"/>
      <c r="E19" s="5"/>
      <c r="F19" s="5"/>
      <c r="G19" s="5"/>
      <c r="H19" s="5"/>
      <c r="I19" s="5"/>
      <c r="J19" s="5"/>
      <c r="K19" s="5"/>
      <c r="L19" s="1660">
        <v>1</v>
      </c>
      <c r="M19" s="5"/>
      <c r="N19" s="5"/>
      <c r="O19" s="5"/>
      <c r="P19" s="5"/>
      <c r="Q19" s="5"/>
      <c r="R19" s="5"/>
      <c r="S19" s="5"/>
      <c r="T19" s="5"/>
      <c r="U19" s="5"/>
      <c r="V19" s="5"/>
      <c r="W19" s="5"/>
      <c r="X19" s="5"/>
      <c r="Y19" s="5"/>
      <c r="Z19" s="5"/>
      <c r="AA19" s="5"/>
      <c r="AB19" s="5"/>
    </row>
    <row r="20" spans="1:28">
      <c r="A20" s="5" t="s">
        <v>513</v>
      </c>
      <c r="B20" s="5"/>
      <c r="C20" s="5"/>
      <c r="D20" s="5"/>
      <c r="E20" s="5"/>
      <c r="F20" s="5"/>
      <c r="G20" s="5"/>
      <c r="H20" s="5"/>
      <c r="I20" s="5"/>
      <c r="J20" s="5"/>
      <c r="K20" s="5"/>
      <c r="L20" s="1660">
        <v>1.1000000000000001</v>
      </c>
      <c r="M20" s="5"/>
      <c r="N20" s="5"/>
      <c r="O20" s="5"/>
      <c r="P20" s="5"/>
      <c r="Q20" s="5"/>
      <c r="R20" s="5"/>
      <c r="S20" s="5"/>
      <c r="T20" s="5"/>
      <c r="U20" s="5"/>
      <c r="V20" s="5"/>
      <c r="W20" s="5"/>
      <c r="X20" s="5"/>
      <c r="Y20" s="5"/>
      <c r="Z20" s="5"/>
      <c r="AA20" s="5"/>
      <c r="AB20" s="5"/>
    </row>
    <row r="21" spans="1:28">
      <c r="A21" s="5" t="s">
        <v>514</v>
      </c>
      <c r="B21" s="5"/>
      <c r="C21" s="5"/>
      <c r="D21" s="5"/>
      <c r="E21" s="5"/>
      <c r="F21" s="5"/>
      <c r="G21" s="5"/>
      <c r="H21" s="5"/>
      <c r="I21" s="5"/>
      <c r="J21" s="5"/>
      <c r="K21" s="5"/>
      <c r="L21" s="1660">
        <v>1.2</v>
      </c>
      <c r="M21" s="5"/>
      <c r="N21" s="5"/>
      <c r="O21" s="5"/>
      <c r="P21" s="5"/>
      <c r="Q21" s="5"/>
      <c r="R21" s="5"/>
      <c r="S21" s="5"/>
      <c r="T21" s="5"/>
      <c r="U21" s="5"/>
      <c r="V21" s="5"/>
      <c r="W21" s="5"/>
      <c r="X21" s="5"/>
      <c r="Y21" s="5"/>
      <c r="Z21" s="5"/>
      <c r="AA21" s="5"/>
      <c r="AB21" s="5"/>
    </row>
    <row r="22" spans="1:28">
      <c r="A22" s="5" t="s">
        <v>515</v>
      </c>
      <c r="B22" s="5"/>
      <c r="C22" s="5"/>
      <c r="D22" s="5"/>
      <c r="E22" s="5"/>
      <c r="F22" s="5"/>
      <c r="G22" s="5"/>
      <c r="H22" s="5"/>
      <c r="I22" s="5"/>
      <c r="J22" s="5"/>
      <c r="K22" s="5"/>
      <c r="L22" s="1660">
        <v>1.35</v>
      </c>
      <c r="M22" s="5"/>
      <c r="N22" s="5"/>
      <c r="O22" s="5"/>
      <c r="P22" s="5"/>
      <c r="Q22" s="5"/>
      <c r="R22" s="5"/>
      <c r="S22" s="5"/>
      <c r="T22" s="5"/>
      <c r="U22" s="5"/>
      <c r="V22" s="5"/>
      <c r="W22" s="5"/>
      <c r="X22" s="5"/>
      <c r="Y22" s="5"/>
      <c r="Z22" s="5"/>
      <c r="AA22" s="5"/>
      <c r="AB22" s="5"/>
    </row>
    <row r="23" spans="1:28">
      <c r="A23" s="5" t="s">
        <v>516</v>
      </c>
      <c r="B23" s="5"/>
      <c r="C23" s="5"/>
      <c r="D23" s="5"/>
      <c r="E23" s="5"/>
      <c r="F23" s="5"/>
      <c r="G23" s="5"/>
      <c r="H23" s="5"/>
      <c r="I23" s="5"/>
      <c r="J23" s="5"/>
      <c r="K23" s="5"/>
      <c r="L23" s="1660">
        <v>1.4</v>
      </c>
      <c r="M23" s="5"/>
      <c r="N23" s="5"/>
      <c r="O23" s="5"/>
      <c r="P23" s="5"/>
      <c r="Q23" s="5"/>
      <c r="R23" s="5"/>
      <c r="S23" s="5"/>
      <c r="T23" s="5"/>
      <c r="U23" s="5"/>
      <c r="V23" s="5"/>
      <c r="W23" s="5"/>
      <c r="X23" s="5"/>
      <c r="Y23" s="5"/>
      <c r="Z23" s="5"/>
      <c r="AA23" s="5"/>
      <c r="AB23" s="5"/>
    </row>
    <row r="24" spans="1:28">
      <c r="A24" s="5" t="s">
        <v>517</v>
      </c>
      <c r="B24" s="5"/>
      <c r="C24" s="5"/>
      <c r="D24" s="5"/>
      <c r="E24" s="5"/>
      <c r="F24" s="5"/>
      <c r="G24" s="5"/>
      <c r="H24" s="5"/>
      <c r="I24" s="5"/>
      <c r="J24" s="5"/>
      <c r="K24" s="5"/>
      <c r="L24" s="1660">
        <v>1.5</v>
      </c>
      <c r="M24" s="5"/>
      <c r="N24" s="5"/>
      <c r="O24" s="5"/>
      <c r="P24" s="5"/>
      <c r="Q24" s="5"/>
      <c r="R24" s="5"/>
      <c r="S24" s="5"/>
      <c r="T24" s="5"/>
      <c r="U24" s="5"/>
      <c r="V24" s="5"/>
      <c r="W24" s="5"/>
      <c r="X24" s="5"/>
      <c r="Y24" s="5"/>
      <c r="Z24" s="5"/>
      <c r="AA24" s="5"/>
      <c r="AB24" s="5"/>
    </row>
    <row r="25" spans="1:28">
      <c r="A25" s="5" t="s">
        <v>518</v>
      </c>
      <c r="B25" s="5"/>
      <c r="C25" s="5"/>
      <c r="D25" s="5"/>
      <c r="E25" s="5"/>
      <c r="F25" s="5"/>
      <c r="G25" s="5"/>
      <c r="H25" s="5"/>
      <c r="I25" s="5"/>
      <c r="J25" s="5"/>
      <c r="K25" s="5"/>
      <c r="L25" s="5"/>
      <c r="M25" s="5"/>
      <c r="N25" s="5"/>
      <c r="O25" s="5"/>
      <c r="P25" s="5"/>
      <c r="Q25" s="5"/>
      <c r="R25" s="5"/>
      <c r="S25" s="5"/>
      <c r="T25" s="5"/>
      <c r="U25" s="5"/>
      <c r="V25" s="5"/>
      <c r="W25" s="5"/>
      <c r="X25" s="5"/>
      <c r="Y25" s="5"/>
      <c r="Z25" s="5"/>
      <c r="AA25" s="5"/>
      <c r="AB25" s="5"/>
    </row>
    <row r="26" spans="1:28">
      <c r="A26" s="5" t="s">
        <v>519</v>
      </c>
      <c r="B26" s="5"/>
      <c r="C26" s="5"/>
      <c r="D26" s="5"/>
      <c r="E26" s="5"/>
      <c r="F26" s="5"/>
      <c r="G26" s="5"/>
      <c r="H26" s="5"/>
      <c r="I26" s="5"/>
      <c r="J26" s="5"/>
      <c r="K26" s="5"/>
      <c r="L26" s="5"/>
      <c r="M26" s="5"/>
      <c r="N26" s="5"/>
      <c r="O26" s="5"/>
      <c r="P26" s="5"/>
      <c r="Q26" s="5"/>
      <c r="R26" s="5"/>
      <c r="S26" s="5"/>
      <c r="T26" s="5"/>
      <c r="U26" s="5"/>
      <c r="V26" s="5"/>
      <c r="W26" s="5"/>
      <c r="X26" s="5"/>
      <c r="Y26" s="5"/>
      <c r="Z26" s="5"/>
      <c r="AA26" s="5"/>
      <c r="AB26" s="5"/>
    </row>
    <row r="27" spans="1:28">
      <c r="A27" s="5" t="s">
        <v>520</v>
      </c>
      <c r="B27" s="5"/>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1:28">
      <c r="A28" s="5" t="s">
        <v>521</v>
      </c>
      <c r="B28" s="5"/>
      <c r="C28" s="5"/>
      <c r="D28" s="5"/>
      <c r="E28" s="5"/>
      <c r="F28" s="5"/>
      <c r="G28" s="5"/>
      <c r="H28" s="5"/>
      <c r="I28" s="5"/>
      <c r="J28" s="5"/>
      <c r="K28" s="5"/>
      <c r="L28" s="5"/>
      <c r="M28" s="5"/>
      <c r="N28" s="5"/>
      <c r="O28" s="5"/>
      <c r="P28" s="5"/>
      <c r="Q28" s="5"/>
      <c r="R28" s="5"/>
      <c r="S28" s="5"/>
      <c r="T28" s="5"/>
      <c r="U28" s="5"/>
      <c r="V28" s="5"/>
      <c r="W28" s="5"/>
      <c r="X28" s="5"/>
      <c r="Y28" s="5"/>
      <c r="Z28" s="5"/>
      <c r="AA28" s="5"/>
      <c r="AB28" s="5"/>
    </row>
    <row r="29" spans="1:28">
      <c r="A29" s="5" t="s">
        <v>522</v>
      </c>
      <c r="B29" s="5"/>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1:28">
      <c r="A30" s="5" t="s">
        <v>523</v>
      </c>
      <c r="B30" s="5"/>
      <c r="C30" s="5"/>
      <c r="D30" s="5"/>
      <c r="E30" s="5"/>
      <c r="F30" s="5"/>
      <c r="G30" s="5"/>
      <c r="H30" s="5"/>
      <c r="I30" s="5"/>
      <c r="J30" s="5"/>
      <c r="K30" s="5"/>
      <c r="L30" s="5"/>
      <c r="M30" s="5"/>
      <c r="N30" s="5"/>
      <c r="O30" s="5"/>
      <c r="P30" s="5"/>
      <c r="Q30" s="5"/>
      <c r="R30" s="5"/>
      <c r="S30" s="5"/>
      <c r="T30" s="5"/>
      <c r="U30" s="5"/>
      <c r="V30" s="5"/>
      <c r="W30" s="5"/>
      <c r="X30" s="5"/>
      <c r="Y30" s="5"/>
      <c r="Z30" s="5"/>
      <c r="AA30" s="5"/>
      <c r="AB30" s="5"/>
    </row>
    <row r="31" spans="1:28">
      <c r="A31" s="5" t="s">
        <v>524</v>
      </c>
      <c r="B31" s="5"/>
      <c r="C31" s="5"/>
      <c r="D31" s="5"/>
      <c r="E31" s="5"/>
      <c r="F31" s="5"/>
      <c r="G31" s="5"/>
      <c r="H31" s="5"/>
      <c r="I31" s="5"/>
      <c r="J31" s="5"/>
      <c r="K31" s="5"/>
      <c r="L31" s="5"/>
      <c r="M31" s="5"/>
      <c r="N31" s="5"/>
      <c r="O31" s="5"/>
      <c r="P31" s="5"/>
      <c r="Q31" s="5"/>
      <c r="R31" s="5"/>
      <c r="S31" s="5"/>
      <c r="T31" s="5"/>
      <c r="U31" s="5"/>
      <c r="V31" s="5"/>
      <c r="W31" s="5"/>
      <c r="X31" s="5"/>
      <c r="Y31" s="5"/>
      <c r="Z31" s="5"/>
      <c r="AA31" s="5"/>
      <c r="AB31" s="5"/>
    </row>
    <row r="32" spans="1:28">
      <c r="A32" s="5" t="s">
        <v>525</v>
      </c>
      <c r="B32" s="5"/>
      <c r="C32" s="5"/>
      <c r="D32" s="5"/>
      <c r="E32" s="5"/>
      <c r="F32" s="5"/>
      <c r="G32" s="5"/>
      <c r="H32" s="5"/>
      <c r="I32" s="5"/>
      <c r="J32" s="5"/>
      <c r="K32" s="5"/>
      <c r="L32" s="5"/>
      <c r="M32" s="5"/>
      <c r="N32" s="5"/>
      <c r="O32" s="5"/>
      <c r="P32" s="5"/>
      <c r="Q32" s="5"/>
      <c r="R32" s="5"/>
      <c r="S32" s="5"/>
      <c r="T32" s="5"/>
      <c r="U32" s="5"/>
      <c r="V32" s="5"/>
      <c r="W32" s="5"/>
      <c r="X32" s="5"/>
      <c r="Y32" s="5"/>
      <c r="Z32" s="5"/>
      <c r="AA32" s="5"/>
      <c r="AB32" s="5"/>
    </row>
    <row r="33" spans="1:28">
      <c r="A33" s="5" t="s">
        <v>526</v>
      </c>
      <c r="B33" s="5"/>
      <c r="C33" s="5"/>
      <c r="D33" s="5"/>
      <c r="E33" s="5"/>
      <c r="F33" s="5"/>
      <c r="G33" s="5"/>
      <c r="H33" s="5"/>
      <c r="I33" s="5"/>
      <c r="J33" s="5"/>
      <c r="K33" s="5"/>
      <c r="L33" s="5"/>
      <c r="M33" s="5"/>
      <c r="N33" s="5"/>
      <c r="O33" s="5"/>
      <c r="P33" s="5"/>
      <c r="Q33" s="5"/>
      <c r="R33" s="5"/>
      <c r="S33" s="5"/>
      <c r="T33" s="5"/>
      <c r="U33" s="5"/>
      <c r="V33" s="5"/>
      <c r="W33" s="5"/>
      <c r="X33" s="5"/>
      <c r="Y33" s="5"/>
      <c r="Z33" s="5"/>
      <c r="AA33" s="5"/>
      <c r="AB33" s="5"/>
    </row>
    <row r="34" spans="1:28">
      <c r="A34" s="5" t="s">
        <v>527</v>
      </c>
      <c r="B34" s="5"/>
      <c r="C34" s="5"/>
      <c r="D34" s="5"/>
      <c r="E34" s="5"/>
      <c r="F34" s="5"/>
      <c r="G34" s="5"/>
      <c r="H34" s="5"/>
      <c r="I34" s="5"/>
      <c r="J34" s="5"/>
      <c r="K34" s="5"/>
      <c r="L34" s="5"/>
      <c r="M34" s="5"/>
      <c r="N34" s="5"/>
      <c r="O34" s="5"/>
      <c r="P34" s="5"/>
      <c r="Q34" s="5"/>
      <c r="R34" s="5"/>
      <c r="S34" s="5"/>
      <c r="U34" s="5"/>
      <c r="V34" s="5"/>
      <c r="W34" s="5"/>
      <c r="X34" s="5"/>
      <c r="Y34" s="5"/>
      <c r="Z34" s="5"/>
      <c r="AA34" s="5"/>
      <c r="AB34" s="5"/>
    </row>
    <row r="35" spans="1:28">
      <c r="A35" s="5" t="s">
        <v>528</v>
      </c>
      <c r="B35" s="5"/>
      <c r="C35" s="5"/>
      <c r="D35" s="5"/>
      <c r="E35" s="5"/>
      <c r="F35" s="5"/>
      <c r="G35" s="5"/>
      <c r="H35" s="5"/>
      <c r="I35" s="5"/>
      <c r="J35" s="5"/>
      <c r="K35" s="5"/>
      <c r="L35" s="5"/>
      <c r="M35" s="5"/>
      <c r="N35" s="5"/>
      <c r="O35" s="5"/>
      <c r="P35" s="5"/>
      <c r="Q35" s="5"/>
      <c r="R35" s="5"/>
      <c r="S35" s="5"/>
      <c r="U35" s="5"/>
      <c r="V35" s="5"/>
      <c r="W35" s="5"/>
      <c r="X35" s="5"/>
      <c r="Y35" s="5"/>
      <c r="Z35" s="5"/>
      <c r="AA35" s="5"/>
      <c r="AB35" s="5"/>
    </row>
    <row r="36" spans="1:28">
      <c r="A36" s="5" t="s">
        <v>529</v>
      </c>
      <c r="B36" s="5"/>
      <c r="C36" s="5"/>
      <c r="D36" s="5"/>
      <c r="E36" s="5"/>
      <c r="F36" s="5"/>
      <c r="G36" s="5"/>
      <c r="H36" s="5"/>
      <c r="I36" s="5"/>
      <c r="J36" s="5"/>
      <c r="K36" s="5"/>
      <c r="L36" s="5"/>
      <c r="M36" s="5"/>
      <c r="N36" s="5"/>
      <c r="O36" s="5"/>
      <c r="P36" s="5"/>
      <c r="Q36" s="5"/>
      <c r="R36" s="5"/>
      <c r="S36" s="5"/>
      <c r="U36" s="5"/>
      <c r="V36" s="5"/>
      <c r="W36" s="5"/>
      <c r="X36" s="5"/>
      <c r="Y36" s="5"/>
      <c r="Z36" s="5"/>
      <c r="AA36" s="5"/>
      <c r="AB36" s="5"/>
    </row>
    <row r="37" spans="1:28">
      <c r="A37" s="5" t="s">
        <v>530</v>
      </c>
      <c r="B37" s="5"/>
      <c r="C37" s="5"/>
      <c r="D37" s="5"/>
      <c r="E37" s="5"/>
      <c r="F37" s="5"/>
      <c r="G37" s="5"/>
      <c r="H37" s="5"/>
      <c r="I37" s="5"/>
      <c r="J37" s="5"/>
      <c r="K37" s="5"/>
      <c r="L37" s="5"/>
      <c r="M37" s="5"/>
      <c r="N37" s="5"/>
      <c r="O37" s="5"/>
      <c r="P37" s="5"/>
      <c r="Q37" s="5"/>
      <c r="R37" s="5"/>
      <c r="S37" s="5"/>
      <c r="U37" s="5"/>
      <c r="V37" s="5"/>
      <c r="W37" s="5"/>
      <c r="X37" s="5"/>
      <c r="Y37" s="5"/>
      <c r="Z37" s="5"/>
      <c r="AA37" s="5"/>
      <c r="AB37" s="5"/>
    </row>
    <row r="38" spans="1:28">
      <c r="A38" s="5" t="s">
        <v>531</v>
      </c>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c r="A39" s="5" t="s">
        <v>532</v>
      </c>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c r="A40" s="5" t="s">
        <v>533</v>
      </c>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c r="A41" s="5" t="s">
        <v>534</v>
      </c>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c r="A42" s="5" t="s">
        <v>535</v>
      </c>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c r="A43" s="5" t="s">
        <v>536</v>
      </c>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c r="A44" s="5" t="s">
        <v>537</v>
      </c>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c r="A45" s="5" t="s">
        <v>538</v>
      </c>
      <c r="B45" s="5"/>
      <c r="C45" s="5"/>
      <c r="D45" s="5"/>
      <c r="E45" s="5"/>
      <c r="F45" s="5"/>
      <c r="G45" s="5"/>
      <c r="H45" s="5"/>
      <c r="I45" s="5"/>
      <c r="J45" s="5"/>
      <c r="K45" s="5"/>
      <c r="L45" s="5"/>
      <c r="M45" s="5"/>
      <c r="N45" s="5"/>
      <c r="O45" s="5"/>
      <c r="P45" s="5"/>
      <c r="Q45" s="5"/>
      <c r="R45" s="5"/>
      <c r="S45" s="5"/>
      <c r="T45" s="5"/>
      <c r="U45" s="5"/>
      <c r="V45" s="5"/>
      <c r="W45" s="5"/>
      <c r="X45" s="5"/>
      <c r="Y45" s="5"/>
      <c r="Z45" s="5"/>
      <c r="AA45" s="5"/>
      <c r="AB45" s="5"/>
    </row>
  </sheetData>
  <sheetProtection algorithmName="SHA-512" hashValue="GWbBU0rdrD+dTjEVCXqynUPNy/pW1nPx+R5uMp0ovTAn4Pc2sQGIcxSagVPXyP/WGiG1VuPs9Av9HqVW0pt0eQ==" saltValue="/k5b4h7ji4bx2eLdY00nJA==" spinCount="100000" sheet="1" objects="1" scenarios="1" selectLockedCells="1"/>
  <customSheetViews>
    <customSheetView guid="{E6CC0A4E-F930-49CF-9945-EC2E8926E122}">
      <pageMargins left="0.7" right="0.7" top="0.75" bottom="0.75" header="0.3" footer="0.3"/>
    </customSheetView>
    <customSheetView guid="{3FCD2E41-B3D6-4AD1-9CEC-423B2DF3E9BC}">
      <pageMargins left="0.7" right="0.7" top="0.75" bottom="0.75" header="0.3" footer="0.3"/>
    </customSheetView>
    <customSheetView guid="{D9224301-6086-492A-A02E-C1000EC017A3}">
      <pageMargins left="0.7" right="0.7" top="0.75" bottom="0.75" header="0.3" footer="0.3"/>
    </customSheetView>
    <customSheetView guid="{C8DD1FB6-7B01-40B9-BFB4-B21C0B0BB0A1}">
      <selection activeCell="H16" sqref="H16"/>
      <pageMargins left="0.7" right="0.7" top="0.75" bottom="0.75" header="0.3" footer="0.3"/>
    </customSheetView>
    <customSheetView guid="{332023D0-60C3-4A29-9DCC-CDA10E0C090D}">
      <selection activeCell="P5" sqref="P5:P9"/>
      <pageMargins left="0.7" right="0.7" top="0.75" bottom="0.75" header="0.3" footer="0.3"/>
    </customSheetView>
    <customSheetView guid="{B92ED4D4-4566-4043-8B76-FD708F820076}" state="hidden">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theme="8" tint="0.59999389629810485"/>
    <pageSetUpPr autoPageBreaks="0"/>
  </sheetPr>
  <dimension ref="A1:CF81"/>
  <sheetViews>
    <sheetView showGridLines="0" zoomScaleNormal="100" zoomScaleSheetLayoutView="130" workbookViewId="0">
      <selection activeCell="F47" sqref="F47"/>
    </sheetView>
  </sheetViews>
  <sheetFormatPr defaultColWidth="9.109375" defaultRowHeight="13.2" zeroHeight="1"/>
  <cols>
    <col min="1" max="1" width="7.5546875" customWidth="1"/>
    <col min="2" max="2" width="9.88671875" customWidth="1"/>
    <col min="3" max="3" width="11.44140625" customWidth="1"/>
    <col min="4" max="4" width="13.5546875" customWidth="1"/>
    <col min="5" max="5" width="9.5546875" customWidth="1"/>
    <col min="6" max="6" width="10.109375" customWidth="1"/>
    <col min="7" max="7" width="11.6640625" customWidth="1"/>
    <col min="8" max="8" width="10.5546875" customWidth="1"/>
    <col min="9" max="9" width="15.88671875" customWidth="1"/>
    <col min="10" max="10" width="12.6640625" customWidth="1"/>
    <col min="11" max="11" width="13" customWidth="1"/>
    <col min="12" max="12" width="11.109375" customWidth="1"/>
    <col min="13" max="13" width="13.44140625" hidden="1" customWidth="1"/>
    <col min="14" max="14" width="10.109375" hidden="1" customWidth="1"/>
    <col min="17" max="17" width="11.33203125" customWidth="1"/>
    <col min="19" max="20" width="9.109375" customWidth="1"/>
  </cols>
  <sheetData>
    <row r="1" spans="1:14" ht="15.6">
      <c r="A1" s="1311" t="s">
        <v>613</v>
      </c>
      <c r="B1" s="505"/>
      <c r="C1" s="505"/>
      <c r="D1" s="505"/>
      <c r="E1" s="505"/>
      <c r="F1" s="505"/>
      <c r="G1" s="505"/>
      <c r="H1" s="505"/>
      <c r="I1" s="505"/>
      <c r="J1" s="505"/>
      <c r="K1" s="505"/>
      <c r="L1" s="506"/>
    </row>
    <row r="2" spans="1:14">
      <c r="A2" s="249"/>
      <c r="L2" s="612" t="str">
        <f>IF(L3&lt;&gt;RentsUA!B4,"MOHCD: check AMI schedule","")</f>
        <v/>
      </c>
    </row>
    <row r="3" spans="1:14">
      <c r="A3" s="492" t="s">
        <v>258</v>
      </c>
      <c r="D3" s="2129"/>
      <c r="E3" s="2130"/>
      <c r="F3" s="476"/>
      <c r="H3" s="476"/>
      <c r="I3" s="476"/>
      <c r="K3" s="27" t="s">
        <v>470</v>
      </c>
      <c r="L3" s="484">
        <v>2024</v>
      </c>
      <c r="M3" s="476"/>
    </row>
    <row r="4" spans="1:14">
      <c r="A4" s="492" t="s">
        <v>853</v>
      </c>
      <c r="C4" s="256"/>
      <c r="D4" s="2103"/>
      <c r="E4" s="2104"/>
      <c r="F4" s="476"/>
      <c r="H4" s="476"/>
      <c r="I4" s="476"/>
      <c r="J4" s="476"/>
      <c r="K4" s="476"/>
      <c r="L4" s="499"/>
      <c r="M4" s="476"/>
    </row>
    <row r="5" spans="1:14">
      <c r="A5" s="492" t="s">
        <v>1720</v>
      </c>
      <c r="B5" s="500"/>
      <c r="C5" s="500"/>
      <c r="D5" s="2103"/>
      <c r="E5" s="2104"/>
      <c r="F5" s="2054" t="s">
        <v>1721</v>
      </c>
      <c r="H5" s="476"/>
      <c r="I5" s="476"/>
      <c r="J5" s="476"/>
      <c r="K5" s="476"/>
      <c r="L5" s="484"/>
    </row>
    <row r="6" spans="1:14">
      <c r="A6" s="492"/>
      <c r="B6" s="500"/>
      <c r="C6" s="500"/>
      <c r="D6" s="476"/>
      <c r="E6" s="476"/>
      <c r="F6" s="476"/>
      <c r="H6" s="476"/>
      <c r="I6" s="476"/>
      <c r="J6" s="476"/>
      <c r="K6" s="476"/>
      <c r="L6" s="484"/>
    </row>
    <row r="7" spans="1:14">
      <c r="A7" s="492" t="s">
        <v>1215</v>
      </c>
      <c r="F7" s="476"/>
      <c r="G7" s="74" t="s">
        <v>488</v>
      </c>
      <c r="H7" s="476"/>
      <c r="J7" s="74" t="s">
        <v>1045</v>
      </c>
      <c r="L7" s="484"/>
      <c r="M7" s="476"/>
      <c r="N7" s="476"/>
    </row>
    <row r="8" spans="1:14">
      <c r="A8" s="78" t="s">
        <v>434</v>
      </c>
      <c r="B8" s="5"/>
      <c r="D8" s="2131" t="str">
        <f>IF($N$8+$N$9=0,"",IF($N$8+$N$9=2,"Select only one check box to the left!",IF($N$8=TRUE,"Complete 'New Proj - Rent &amp; Unit Mix' Sheet",IF($N$9=TRUE,"Complete 'Existing Proj - Rent Roll' Sheet"))))</f>
        <v>Complete 'New Proj - Rent &amp; Unit Mix' Sheet</v>
      </c>
      <c r="E8" s="2131"/>
      <c r="F8" s="476"/>
      <c r="G8" s="620" t="s">
        <v>489</v>
      </c>
      <c r="H8" s="476"/>
      <c r="J8" s="78"/>
      <c r="L8" s="484"/>
      <c r="M8" s="55" t="s">
        <v>721</v>
      </c>
      <c r="N8" s="621" t="b">
        <v>1</v>
      </c>
    </row>
    <row r="9" spans="1:14">
      <c r="A9" s="78" t="s">
        <v>435</v>
      </c>
      <c r="B9" s="5"/>
      <c r="D9" s="2131"/>
      <c r="E9" s="2131"/>
      <c r="F9" s="476"/>
      <c r="G9" s="620" t="s">
        <v>490</v>
      </c>
      <c r="H9" s="476"/>
      <c r="J9" s="476"/>
      <c r="K9" s="476"/>
      <c r="L9" s="499"/>
      <c r="M9" s="55" t="s">
        <v>722</v>
      </c>
      <c r="N9" s="621" t="b">
        <v>0</v>
      </c>
    </row>
    <row r="10" spans="1:14">
      <c r="A10" s="480"/>
      <c r="B10" s="250"/>
      <c r="C10" s="250"/>
      <c r="D10" s="250"/>
      <c r="E10" s="250"/>
      <c r="F10" s="507"/>
      <c r="G10" s="507"/>
      <c r="H10" s="507"/>
      <c r="I10" s="507"/>
      <c r="J10" s="507"/>
      <c r="K10" s="507"/>
      <c r="L10" s="508"/>
      <c r="M10" s="476"/>
      <c r="N10" s="476"/>
    </row>
    <row r="11" spans="1:14">
      <c r="A11" s="502" t="s">
        <v>451</v>
      </c>
      <c r="B11" s="503"/>
      <c r="C11" s="503"/>
      <c r="D11" s="503"/>
      <c r="E11" s="521"/>
      <c r="F11" s="521"/>
      <c r="G11" s="503"/>
      <c r="H11" s="503"/>
      <c r="I11" s="503"/>
      <c r="J11" s="503"/>
      <c r="K11" s="503"/>
      <c r="L11" s="504"/>
      <c r="M11" s="5" t="s">
        <v>723</v>
      </c>
      <c r="N11" s="621" t="b">
        <v>0</v>
      </c>
    </row>
    <row r="12" spans="1:14">
      <c r="A12" s="244" t="s">
        <v>257</v>
      </c>
      <c r="B12" s="478"/>
      <c r="C12" s="248"/>
      <c r="D12" s="248"/>
      <c r="E12" s="244" t="s">
        <v>602</v>
      </c>
      <c r="F12" s="519"/>
      <c r="G12" s="244" t="s">
        <v>603</v>
      </c>
      <c r="H12" s="519"/>
      <c r="I12" s="244" t="s">
        <v>713</v>
      </c>
      <c r="J12" s="519"/>
      <c r="K12" s="245" t="s">
        <v>450</v>
      </c>
      <c r="L12" s="484"/>
      <c r="M12" s="5" t="s">
        <v>724</v>
      </c>
      <c r="N12" s="621" t="b">
        <v>0</v>
      </c>
    </row>
    <row r="13" spans="1:14">
      <c r="A13" s="2101"/>
      <c r="B13" s="2113"/>
      <c r="C13" s="2113"/>
      <c r="D13" s="2113"/>
      <c r="E13" s="2101"/>
      <c r="F13" s="2102"/>
      <c r="G13" s="2101"/>
      <c r="H13" s="2102"/>
      <c r="I13" s="2101"/>
      <c r="J13" s="2102"/>
      <c r="K13" s="2111"/>
      <c r="L13" s="2112"/>
    </row>
    <row r="14" spans="1:14">
      <c r="A14" s="244" t="s">
        <v>452</v>
      </c>
      <c r="B14" s="248"/>
      <c r="C14" s="479"/>
      <c r="D14" s="244" t="s">
        <v>453</v>
      </c>
      <c r="E14" s="519"/>
      <c r="F14" s="6" t="s">
        <v>702</v>
      </c>
      <c r="G14" s="248"/>
      <c r="H14" s="244" t="s">
        <v>454</v>
      </c>
      <c r="J14" s="244" t="s">
        <v>648</v>
      </c>
      <c r="K14" s="519"/>
      <c r="L14" s="519" t="s">
        <v>1216</v>
      </c>
      <c r="M14" s="5" t="s">
        <v>998</v>
      </c>
      <c r="N14" s="621" t="b">
        <v>0</v>
      </c>
    </row>
    <row r="15" spans="1:14">
      <c r="A15" s="2101"/>
      <c r="B15" s="2113"/>
      <c r="C15" s="2102"/>
      <c r="D15" s="2101"/>
      <c r="E15" s="2102"/>
      <c r="F15" s="2118"/>
      <c r="G15" s="2119"/>
      <c r="H15" s="2114"/>
      <c r="I15" s="2115"/>
      <c r="J15" s="2116"/>
      <c r="K15" s="2117"/>
      <c r="L15" s="755"/>
      <c r="M15" s="5" t="s">
        <v>319</v>
      </c>
      <c r="N15" s="1047" t="b">
        <v>0</v>
      </c>
    </row>
    <row r="16" spans="1:14">
      <c r="A16" s="244" t="s">
        <v>148</v>
      </c>
      <c r="B16" s="479"/>
      <c r="C16" s="244" t="s">
        <v>259</v>
      </c>
      <c r="D16" s="479"/>
      <c r="E16" s="244" t="s">
        <v>455</v>
      </c>
      <c r="F16" s="615"/>
      <c r="G16" s="616" t="s">
        <v>456</v>
      </c>
      <c r="H16" s="617"/>
      <c r="I16" s="244" t="s">
        <v>457</v>
      </c>
      <c r="J16" s="769"/>
      <c r="K16" s="244" t="s">
        <v>586</v>
      </c>
      <c r="L16" s="479"/>
      <c r="M16" s="5" t="s">
        <v>1374</v>
      </c>
      <c r="N16" s="621" t="b">
        <v>0</v>
      </c>
    </row>
    <row r="17" spans="1:12">
      <c r="A17" s="2127"/>
      <c r="B17" s="2128"/>
      <c r="C17" s="2111"/>
      <c r="D17" s="2112"/>
      <c r="E17" s="2101"/>
      <c r="F17" s="2102"/>
      <c r="G17" s="2101"/>
      <c r="H17" s="2113"/>
      <c r="I17" s="2101"/>
      <c r="J17" s="2102"/>
      <c r="K17" s="2133"/>
      <c r="L17" s="2134"/>
    </row>
    <row r="18" spans="1:12">
      <c r="A18" s="244" t="s">
        <v>866</v>
      </c>
      <c r="B18" s="479"/>
      <c r="C18" s="245" t="s">
        <v>867</v>
      </c>
      <c r="D18" s="244" t="s">
        <v>601</v>
      </c>
      <c r="G18" s="616"/>
      <c r="H18" s="244" t="s">
        <v>458</v>
      </c>
      <c r="I18" s="762"/>
      <c r="J18" s="624" t="s">
        <v>459</v>
      </c>
      <c r="K18" s="248"/>
      <c r="L18" s="484"/>
    </row>
    <row r="19" spans="1:12">
      <c r="A19" s="2114"/>
      <c r="B19" s="2115"/>
      <c r="C19" s="886"/>
      <c r="D19" s="2114"/>
      <c r="E19" s="2132"/>
      <c r="F19" s="2132"/>
      <c r="G19" s="2115"/>
      <c r="H19" s="2114"/>
      <c r="I19" s="2115"/>
      <c r="J19" s="2114"/>
      <c r="K19" s="2132"/>
      <c r="L19" s="2115"/>
    </row>
    <row r="20" spans="1:12">
      <c r="A20" s="244" t="s">
        <v>460</v>
      </c>
      <c r="B20" s="248"/>
      <c r="C20" s="479"/>
      <c r="D20" s="244" t="s">
        <v>461</v>
      </c>
      <c r="E20" s="248"/>
      <c r="F20" s="517"/>
      <c r="G20" s="616" t="s">
        <v>462</v>
      </c>
      <c r="H20" s="617"/>
      <c r="I20" s="248"/>
      <c r="J20" s="244" t="s">
        <v>463</v>
      </c>
      <c r="K20" s="245"/>
      <c r="L20" s="479"/>
    </row>
    <row r="21" spans="1:12">
      <c r="A21" s="2101"/>
      <c r="B21" s="2113"/>
      <c r="C21" s="2102"/>
      <c r="D21" s="2101"/>
      <c r="E21" s="2120"/>
      <c r="F21" s="2112"/>
      <c r="G21" s="2121"/>
      <c r="H21" s="2122"/>
      <c r="I21" s="2123"/>
      <c r="J21" s="2124"/>
      <c r="K21" s="2125"/>
      <c r="L21" s="2126"/>
    </row>
    <row r="22" spans="1:12">
      <c r="A22" s="971" t="s">
        <v>464</v>
      </c>
      <c r="B22" s="972"/>
      <c r="C22" s="477"/>
      <c r="D22" s="477"/>
      <c r="E22" s="485"/>
      <c r="F22" s="486" t="s">
        <v>480</v>
      </c>
      <c r="G22" s="477"/>
      <c r="H22" s="477"/>
      <c r="I22" s="477"/>
      <c r="J22" s="477"/>
      <c r="K22" s="477"/>
      <c r="L22" s="485"/>
    </row>
    <row r="23" spans="1:12">
      <c r="A23" s="1318" t="s">
        <v>467</v>
      </c>
      <c r="B23" s="973"/>
      <c r="C23" s="663"/>
      <c r="D23" s="663"/>
      <c r="E23" s="664"/>
      <c r="F23" s="1320" t="s">
        <v>1217</v>
      </c>
      <c r="J23" s="518" t="s">
        <v>1224</v>
      </c>
      <c r="K23" s="248"/>
      <c r="L23" s="479"/>
    </row>
    <row r="24" spans="1:12" ht="12.75" customHeight="1">
      <c r="A24" s="1319" t="s">
        <v>468</v>
      </c>
      <c r="B24" s="1313"/>
      <c r="C24" s="1313"/>
      <c r="D24" s="1313"/>
      <c r="E24" s="1314"/>
      <c r="F24" s="1320" t="s">
        <v>631</v>
      </c>
      <c r="J24" s="1321" t="s">
        <v>487</v>
      </c>
      <c r="L24" s="484"/>
    </row>
    <row r="25" spans="1:12">
      <c r="A25" s="249"/>
      <c r="E25" s="484"/>
      <c r="F25" s="1320" t="s">
        <v>632</v>
      </c>
      <c r="J25" s="2137"/>
      <c r="K25" s="2138"/>
      <c r="L25" s="2139"/>
    </row>
    <row r="26" spans="1:12" ht="5.25" customHeight="1">
      <c r="A26" s="249"/>
      <c r="E26" s="484"/>
      <c r="F26" s="613"/>
      <c r="J26" s="2140"/>
      <c r="K26" s="2141"/>
      <c r="L26" s="2142"/>
    </row>
    <row r="27" spans="1:12">
      <c r="A27" s="492"/>
      <c r="B27" s="6"/>
      <c r="C27" s="520" t="s">
        <v>202</v>
      </c>
      <c r="D27" s="520"/>
      <c r="E27" s="515" t="s">
        <v>492</v>
      </c>
      <c r="F27" t="s">
        <v>474</v>
      </c>
      <c r="I27" s="614"/>
      <c r="J27" s="2140"/>
      <c r="K27" s="2141"/>
      <c r="L27" s="2142"/>
    </row>
    <row r="28" spans="1:12">
      <c r="A28" s="246" t="s">
        <v>147</v>
      </c>
      <c r="B28" s="247"/>
      <c r="C28" s="970" t="s">
        <v>232</v>
      </c>
      <c r="D28" s="970"/>
      <c r="E28" s="515" t="s">
        <v>148</v>
      </c>
      <c r="F28" t="s">
        <v>475</v>
      </c>
      <c r="I28" s="614"/>
      <c r="J28" s="2140"/>
      <c r="K28" s="2141"/>
      <c r="L28" s="2142"/>
    </row>
    <row r="29" spans="1:12">
      <c r="A29" s="333" t="s">
        <v>97</v>
      </c>
      <c r="B29" s="481"/>
      <c r="C29" s="2148"/>
      <c r="D29" s="2136"/>
      <c r="E29" s="516" t="str">
        <f t="shared" ref="E29:E36" si="0">IF($C$36&gt;0,C29/$C$36,"")</f>
        <v/>
      </c>
      <c r="F29" s="5" t="s">
        <v>483</v>
      </c>
      <c r="I29" s="614"/>
      <c r="J29" s="2140"/>
      <c r="K29" s="2141"/>
      <c r="L29" s="2142"/>
    </row>
    <row r="30" spans="1:12">
      <c r="A30" s="333" t="s">
        <v>98</v>
      </c>
      <c r="B30" s="481"/>
      <c r="C30" s="2148"/>
      <c r="D30" s="2136"/>
      <c r="E30" s="516" t="str">
        <f t="shared" si="0"/>
        <v/>
      </c>
      <c r="F30" t="s">
        <v>476</v>
      </c>
      <c r="I30" s="614"/>
      <c r="J30" s="2140"/>
      <c r="K30" s="2141"/>
      <c r="L30" s="2142"/>
    </row>
    <row r="31" spans="1:12">
      <c r="A31" s="333" t="s">
        <v>626</v>
      </c>
      <c r="B31" s="481"/>
      <c r="C31" s="2135"/>
      <c r="D31" s="2136"/>
      <c r="E31" s="516" t="str">
        <f t="shared" si="0"/>
        <v/>
      </c>
      <c r="F31" t="s">
        <v>482</v>
      </c>
      <c r="I31" s="614"/>
      <c r="J31" s="2140"/>
      <c r="K31" s="2141"/>
      <c r="L31" s="2142"/>
    </row>
    <row r="32" spans="1:12">
      <c r="A32" s="333" t="s">
        <v>627</v>
      </c>
      <c r="B32" s="481"/>
      <c r="C32" s="2135"/>
      <c r="D32" s="2136"/>
      <c r="E32" s="516" t="str">
        <f t="shared" si="0"/>
        <v/>
      </c>
      <c r="F32" s="5" t="s">
        <v>484</v>
      </c>
      <c r="I32" s="614"/>
      <c r="J32" s="2140"/>
      <c r="K32" s="2141"/>
      <c r="L32" s="2142"/>
    </row>
    <row r="33" spans="1:14">
      <c r="A33" s="333" t="s">
        <v>628</v>
      </c>
      <c r="B33" s="481"/>
      <c r="C33" s="2135"/>
      <c r="D33" s="2136"/>
      <c r="E33" s="516" t="str">
        <f t="shared" si="0"/>
        <v/>
      </c>
      <c r="F33" s="5" t="s">
        <v>485</v>
      </c>
      <c r="I33" s="614"/>
      <c r="J33" s="2140"/>
      <c r="K33" s="2141"/>
      <c r="L33" s="2142"/>
    </row>
    <row r="34" spans="1:14">
      <c r="A34" s="333" t="s">
        <v>629</v>
      </c>
      <c r="B34" s="481"/>
      <c r="C34" s="2135"/>
      <c r="D34" s="2136"/>
      <c r="E34" s="516" t="str">
        <f t="shared" si="0"/>
        <v/>
      </c>
      <c r="F34" s="5" t="s">
        <v>486</v>
      </c>
      <c r="I34" s="614"/>
      <c r="J34" s="2140"/>
      <c r="K34" s="2141"/>
      <c r="L34" s="2142"/>
    </row>
    <row r="35" spans="1:14" ht="13.8" thickBot="1">
      <c r="A35" s="482" t="s">
        <v>630</v>
      </c>
      <c r="B35" s="483"/>
      <c r="C35" s="2135"/>
      <c r="D35" s="2136"/>
      <c r="E35" s="516" t="str">
        <f t="shared" si="0"/>
        <v/>
      </c>
      <c r="F35" t="s">
        <v>477</v>
      </c>
      <c r="I35" s="614"/>
      <c r="J35" s="2140"/>
      <c r="K35" s="2141"/>
      <c r="L35" s="2142"/>
    </row>
    <row r="36" spans="1:14" ht="13.8" thickTop="1">
      <c r="A36" s="263" t="s">
        <v>148</v>
      </c>
      <c r="B36" s="264"/>
      <c r="C36" s="2146">
        <f>SUM($C$29:$C$35)</f>
        <v>0</v>
      </c>
      <c r="D36" s="2147"/>
      <c r="E36" s="516" t="str">
        <f t="shared" si="0"/>
        <v/>
      </c>
      <c r="F36" t="s">
        <v>478</v>
      </c>
      <c r="I36" s="614"/>
      <c r="J36" s="2140"/>
      <c r="K36" s="2141"/>
      <c r="L36" s="2142"/>
    </row>
    <row r="37" spans="1:14">
      <c r="A37" s="480"/>
      <c r="B37" s="250"/>
      <c r="C37" s="884" t="str">
        <f>IF(C36=0,"",IF(C36&lt;&gt;A17,"Total Units does not match Total Units in row 17.",""))</f>
        <v/>
      </c>
      <c r="E37" s="665"/>
      <c r="F37" s="250" t="s">
        <v>479</v>
      </c>
      <c r="G37" s="250"/>
      <c r="H37" s="250"/>
      <c r="I37" s="614"/>
      <c r="J37" s="2143"/>
      <c r="K37" s="2144"/>
      <c r="L37" s="2145"/>
    </row>
    <row r="38" spans="1:14">
      <c r="A38" s="512" t="s">
        <v>465</v>
      </c>
      <c r="B38" s="513"/>
      <c r="C38" s="513"/>
      <c r="D38" s="513"/>
      <c r="E38" s="513"/>
      <c r="F38" s="513"/>
      <c r="G38" s="513"/>
      <c r="H38" s="513"/>
      <c r="I38" s="513"/>
      <c r="J38" s="513"/>
      <c r="K38" s="513"/>
      <c r="L38" s="514"/>
      <c r="N38" s="397" t="str">
        <f>IF(L72="","",IF(L72="Yes",IF(I73="","Enter Ground Lease Lessor Name",""),IF(L72="No","")))</f>
        <v/>
      </c>
    </row>
    <row r="39" spans="1:14">
      <c r="A39" s="1323" t="s">
        <v>1041</v>
      </c>
      <c r="B39" s="495"/>
      <c r="C39" s="495"/>
      <c r="D39" s="495"/>
      <c r="E39" s="495"/>
      <c r="F39" s="495"/>
      <c r="G39" s="495"/>
      <c r="H39" s="495"/>
      <c r="I39" s="495"/>
      <c r="J39" s="495"/>
      <c r="K39" s="495"/>
      <c r="L39" s="496"/>
      <c r="M39" s="494"/>
      <c r="N39" s="494"/>
    </row>
    <row r="40" spans="1:14">
      <c r="A40" s="1324" t="s">
        <v>1042</v>
      </c>
      <c r="B40" s="494"/>
      <c r="C40" s="494"/>
      <c r="D40" s="494"/>
      <c r="E40" s="494"/>
      <c r="F40" s="494"/>
      <c r="G40" s="494"/>
      <c r="H40" s="494"/>
      <c r="I40" s="494"/>
      <c r="J40" s="494"/>
      <c r="K40" s="494"/>
      <c r="L40" s="497"/>
      <c r="M40" s="494"/>
      <c r="N40" s="494"/>
    </row>
    <row r="41" spans="1:14">
      <c r="A41" s="1322" t="s">
        <v>469</v>
      </c>
      <c r="B41" s="491"/>
      <c r="C41" s="491"/>
      <c r="D41" s="491"/>
      <c r="E41" s="491"/>
      <c r="F41" s="491"/>
      <c r="G41" s="491"/>
      <c r="H41" s="491"/>
      <c r="I41" s="491"/>
      <c r="J41" s="491"/>
      <c r="K41" s="491"/>
      <c r="L41" s="498"/>
      <c r="M41" s="494"/>
      <c r="N41" s="494"/>
    </row>
    <row r="42" spans="1:14" ht="66">
      <c r="A42" s="44" t="s">
        <v>179</v>
      </c>
      <c r="B42" s="2149" t="s">
        <v>1218</v>
      </c>
      <c r="C42" s="2150"/>
      <c r="D42" s="653" t="s">
        <v>181</v>
      </c>
      <c r="E42" s="44" t="s">
        <v>180</v>
      </c>
      <c r="F42" s="44" t="s">
        <v>240</v>
      </c>
      <c r="G42" s="654" t="s">
        <v>182</v>
      </c>
      <c r="H42" s="44" t="s">
        <v>185</v>
      </c>
      <c r="I42" s="653" t="s">
        <v>296</v>
      </c>
      <c r="J42" s="653" t="s">
        <v>754</v>
      </c>
      <c r="K42" s="2151" t="s">
        <v>755</v>
      </c>
      <c r="L42" s="2152"/>
      <c r="M42" s="959" t="s">
        <v>429</v>
      </c>
      <c r="N42" s="959" t="s">
        <v>257</v>
      </c>
    </row>
    <row r="43" spans="1:14">
      <c r="A43" s="385">
        <v>1</v>
      </c>
      <c r="B43" s="2153"/>
      <c r="C43" s="2154"/>
      <c r="D43" s="493"/>
      <c r="E43" s="386"/>
      <c r="F43" s="387"/>
      <c r="G43" s="387"/>
      <c r="H43" s="388"/>
      <c r="I43" s="836"/>
      <c r="J43" s="830"/>
      <c r="K43" s="2153"/>
      <c r="L43" s="2155"/>
      <c r="M43" s="958"/>
      <c r="N43" s="958">
        <f>$A$13</f>
        <v>0</v>
      </c>
    </row>
    <row r="44" spans="1:14">
      <c r="A44" s="385">
        <f>A43+1</f>
        <v>2</v>
      </c>
      <c r="B44" s="2153"/>
      <c r="C44" s="2154"/>
      <c r="D44" s="493"/>
      <c r="E44" s="386"/>
      <c r="F44" s="387"/>
      <c r="G44" s="387"/>
      <c r="H44" s="388"/>
      <c r="I44" s="836"/>
      <c r="J44" s="831"/>
      <c r="K44" s="2153"/>
      <c r="L44" s="2155"/>
      <c r="M44" s="958">
        <f>M43</f>
        <v>0</v>
      </c>
      <c r="N44" s="958">
        <f>N43</f>
        <v>0</v>
      </c>
    </row>
    <row r="45" spans="1:14">
      <c r="A45" s="385">
        <f t="shared" ref="A45:A52" si="1">A44+1</f>
        <v>3</v>
      </c>
      <c r="B45" s="2153"/>
      <c r="C45" s="2154"/>
      <c r="D45" s="493"/>
      <c r="E45" s="386"/>
      <c r="F45" s="387"/>
      <c r="G45" s="387"/>
      <c r="H45" s="388"/>
      <c r="I45" s="836"/>
      <c r="J45" s="830"/>
      <c r="K45" s="2153"/>
      <c r="L45" s="2155"/>
      <c r="M45" s="958">
        <f t="shared" ref="M45:M52" si="2">M44</f>
        <v>0</v>
      </c>
      <c r="N45" s="958">
        <f t="shared" ref="N45:N52" si="3">N44</f>
        <v>0</v>
      </c>
    </row>
    <row r="46" spans="1:14">
      <c r="A46" s="385">
        <f t="shared" si="1"/>
        <v>4</v>
      </c>
      <c r="B46" s="2153"/>
      <c r="C46" s="2154"/>
      <c r="D46" s="493"/>
      <c r="E46" s="386"/>
      <c r="F46" s="387"/>
      <c r="G46" s="387"/>
      <c r="H46" s="388"/>
      <c r="I46" s="836"/>
      <c r="J46" s="830"/>
      <c r="K46" s="2153"/>
      <c r="L46" s="2155"/>
      <c r="M46" s="958">
        <f t="shared" si="2"/>
        <v>0</v>
      </c>
      <c r="N46" s="958">
        <f t="shared" si="3"/>
        <v>0</v>
      </c>
    </row>
    <row r="47" spans="1:14">
      <c r="A47" s="385">
        <f t="shared" si="1"/>
        <v>5</v>
      </c>
      <c r="B47" s="2153"/>
      <c r="C47" s="2154"/>
      <c r="D47" s="493"/>
      <c r="E47" s="386"/>
      <c r="F47" s="387"/>
      <c r="G47" s="387"/>
      <c r="H47" s="388"/>
      <c r="I47" s="836"/>
      <c r="J47" s="830"/>
      <c r="K47" s="2153"/>
      <c r="L47" s="2155"/>
      <c r="M47" s="958">
        <f t="shared" si="2"/>
        <v>0</v>
      </c>
      <c r="N47" s="958">
        <f t="shared" si="3"/>
        <v>0</v>
      </c>
    </row>
    <row r="48" spans="1:14">
      <c r="A48" s="385">
        <f t="shared" si="1"/>
        <v>6</v>
      </c>
      <c r="B48" s="2153"/>
      <c r="C48" s="2154"/>
      <c r="D48" s="493"/>
      <c r="E48" s="386"/>
      <c r="F48" s="387"/>
      <c r="G48" s="387"/>
      <c r="H48" s="388"/>
      <c r="I48" s="836"/>
      <c r="J48" s="830"/>
      <c r="K48" s="2153"/>
      <c r="L48" s="2155"/>
      <c r="M48" s="958">
        <f t="shared" si="2"/>
        <v>0</v>
      </c>
      <c r="N48" s="958">
        <f t="shared" si="3"/>
        <v>0</v>
      </c>
    </row>
    <row r="49" spans="1:14">
      <c r="A49" s="385">
        <f t="shared" si="1"/>
        <v>7</v>
      </c>
      <c r="B49" s="2153"/>
      <c r="C49" s="2154"/>
      <c r="D49" s="493"/>
      <c r="E49" s="386"/>
      <c r="F49" s="387"/>
      <c r="G49" s="387"/>
      <c r="H49" s="388"/>
      <c r="I49" s="836"/>
      <c r="J49" s="830"/>
      <c r="K49" s="2153"/>
      <c r="L49" s="2155"/>
      <c r="M49" s="958">
        <f t="shared" si="2"/>
        <v>0</v>
      </c>
      <c r="N49" s="958">
        <f t="shared" si="3"/>
        <v>0</v>
      </c>
    </row>
    <row r="50" spans="1:14">
      <c r="A50" s="385">
        <f t="shared" si="1"/>
        <v>8</v>
      </c>
      <c r="B50" s="2153"/>
      <c r="C50" s="2154"/>
      <c r="D50" s="493"/>
      <c r="E50" s="386"/>
      <c r="F50" s="387"/>
      <c r="G50" s="387"/>
      <c r="H50" s="388"/>
      <c r="I50" s="836"/>
      <c r="J50" s="830"/>
      <c r="K50" s="2153"/>
      <c r="L50" s="2155"/>
      <c r="M50" s="958">
        <f t="shared" si="2"/>
        <v>0</v>
      </c>
      <c r="N50" s="958">
        <f t="shared" si="3"/>
        <v>0</v>
      </c>
    </row>
    <row r="51" spans="1:14">
      <c r="A51" s="385">
        <f t="shared" si="1"/>
        <v>9</v>
      </c>
      <c r="B51" s="2153"/>
      <c r="C51" s="2154"/>
      <c r="D51" s="493"/>
      <c r="E51" s="386"/>
      <c r="F51" s="387"/>
      <c r="G51" s="387"/>
      <c r="H51" s="388"/>
      <c r="I51" s="836"/>
      <c r="J51" s="830"/>
      <c r="K51" s="2153"/>
      <c r="L51" s="2155"/>
      <c r="M51" s="958">
        <f t="shared" si="2"/>
        <v>0</v>
      </c>
      <c r="N51" s="958">
        <f t="shared" si="3"/>
        <v>0</v>
      </c>
    </row>
    <row r="52" spans="1:14">
      <c r="A52" s="385">
        <f t="shared" si="1"/>
        <v>10</v>
      </c>
      <c r="B52" s="2153"/>
      <c r="C52" s="2154"/>
      <c r="D52" s="493"/>
      <c r="E52" s="386"/>
      <c r="F52" s="387"/>
      <c r="G52" s="387"/>
      <c r="H52" s="388"/>
      <c r="I52" s="836"/>
      <c r="J52" s="830"/>
      <c r="K52" s="2153"/>
      <c r="L52" s="2155"/>
      <c r="M52" s="958">
        <f t="shared" si="2"/>
        <v>0</v>
      </c>
      <c r="N52" s="958">
        <f t="shared" si="3"/>
        <v>0</v>
      </c>
    </row>
    <row r="53" spans="1:14">
      <c r="A53" s="1310"/>
      <c r="B53" s="1298"/>
      <c r="C53" s="1303" t="s">
        <v>1207</v>
      </c>
      <c r="D53" s="1307">
        <f>SUM(D43:D52)</f>
        <v>0</v>
      </c>
      <c r="E53" s="1299"/>
      <c r="F53" s="1300"/>
      <c r="G53" s="1300"/>
      <c r="H53" s="1301"/>
      <c r="I53" s="1298"/>
      <c r="J53" s="1302"/>
      <c r="K53" s="1298"/>
      <c r="L53" s="1309"/>
      <c r="M53" s="32"/>
      <c r="N53" s="32"/>
    </row>
    <row r="54" spans="1:14" ht="42" customHeight="1">
      <c r="A54" s="249"/>
      <c r="D54" s="1304" t="str">
        <f>IF(COUNTA(D43:D52)&lt;COUNTA($B$43:$B$52),"Enter Funding Amt!","")</f>
        <v/>
      </c>
      <c r="E54" s="1305" t="str">
        <f>IF(COUNTA(E43:E52)&lt;COUNTA($B$43:$B$52),"Enter Int Rate!","")</f>
        <v/>
      </c>
      <c r="F54" s="1305" t="str">
        <f>IF(COUNTA(F43:F52)&lt;COUNTA($B$43:$B$52),"Enter 1st Repymt Date!","")</f>
        <v/>
      </c>
      <c r="G54" s="1305" t="str">
        <f>IF(COUNTA(G43:G52)&lt;COUNTA($B$43:$B$52),"Enter Maturity Date!","")</f>
        <v/>
      </c>
      <c r="H54" s="1305" t="str">
        <f>IF(COUNTA(H43:H52)&lt;COUNTA($B$43:$B$52),"Enter Debt Type!","")</f>
        <v/>
      </c>
      <c r="I54" s="1304" t="str">
        <f>IF(COUNTA(I43:I52)&lt;COUNTA($B$43:$B$52),"Enter Repymt Terms!","")</f>
        <v/>
      </c>
      <c r="J54" s="1305" t="str">
        <f>IF(COUNTA(J43:J52)&lt;COUNTA($B$43:$B$52),"Enter Annual Pymt Amt!","")</f>
        <v/>
      </c>
      <c r="K54" s="369"/>
      <c r="L54" s="1306"/>
      <c r="M54" s="369"/>
      <c r="N54" s="369"/>
    </row>
    <row r="55" spans="1:14" ht="41.4" customHeight="1">
      <c r="A55" s="2160" t="s">
        <v>585</v>
      </c>
      <c r="B55" s="2161"/>
      <c r="C55" s="915"/>
      <c r="D55" s="2162" t="s">
        <v>1258</v>
      </c>
      <c r="E55" s="2163"/>
      <c r="F55" s="2163"/>
      <c r="G55" s="2163"/>
      <c r="H55" s="2164"/>
      <c r="I55" s="823"/>
      <c r="J55" s="2160" t="s">
        <v>858</v>
      </c>
      <c r="K55" s="2161"/>
      <c r="L55" s="915"/>
      <c r="M55" s="369"/>
      <c r="N55" s="369"/>
    </row>
    <row r="56" spans="1:14">
      <c r="A56" s="512" t="s">
        <v>481</v>
      </c>
      <c r="B56" s="521"/>
      <c r="C56" s="521"/>
      <c r="D56" s="521"/>
      <c r="E56" s="521"/>
      <c r="F56" s="625" t="s">
        <v>466</v>
      </c>
      <c r="G56" s="521"/>
      <c r="H56" s="521"/>
      <c r="I56" s="625"/>
      <c r="J56" s="521"/>
      <c r="K56" s="626"/>
      <c r="L56" s="627"/>
    </row>
    <row r="57" spans="1:14" ht="13.8">
      <c r="A57" s="1325" t="s">
        <v>491</v>
      </c>
      <c r="B57" s="248"/>
      <c r="C57" s="248"/>
      <c r="D57" s="248"/>
      <c r="F57" s="488" t="s">
        <v>1219</v>
      </c>
      <c r="G57" s="489"/>
      <c r="H57" s="489"/>
      <c r="I57" s="490"/>
      <c r="J57" s="489"/>
      <c r="K57" s="248"/>
      <c r="L57" s="350"/>
    </row>
    <row r="58" spans="1:14">
      <c r="A58" s="501" t="s">
        <v>319</v>
      </c>
      <c r="D58" s="484"/>
      <c r="E58" s="614"/>
      <c r="L58" s="484"/>
    </row>
    <row r="59" spans="1:14">
      <c r="A59" s="501" t="s">
        <v>981</v>
      </c>
      <c r="D59" s="484"/>
      <c r="E59" s="614"/>
      <c r="F59" s="5" t="s">
        <v>748</v>
      </c>
      <c r="L59" s="484"/>
    </row>
    <row r="60" spans="1:14" ht="13.8">
      <c r="A60" s="501" t="s">
        <v>986</v>
      </c>
      <c r="D60" s="484"/>
      <c r="E60" s="614"/>
      <c r="F60" s="329" t="s">
        <v>1220</v>
      </c>
      <c r="L60" s="350"/>
    </row>
    <row r="61" spans="1:14">
      <c r="A61" s="821" t="s">
        <v>987</v>
      </c>
      <c r="E61" s="974"/>
      <c r="F61" s="965" t="str">
        <f>IF(AND($L$57="Yes",$L$60="Yes"),"1st Residual Receipts Split","Residual Receipts split for all years.")</f>
        <v>Residual Receipts split for all years.</v>
      </c>
      <c r="I61" s="54"/>
      <c r="J61" s="256"/>
      <c r="L61" s="484"/>
    </row>
    <row r="62" spans="1:14" ht="13.8">
      <c r="A62" s="501" t="s">
        <v>605</v>
      </c>
      <c r="D62" s="484"/>
      <c r="E62" s="66"/>
      <c r="F62" s="821" t="s">
        <v>749</v>
      </c>
      <c r="L62" s="390">
        <f>IF(AND($L$57="Yes",$L$60="Yes"),1/2,IF(OR(AND($L$57="Yes",$L$60="No"),AND($L$57="Yes",$L$60="")),2/3,IF(OR($L$57="no",$L$57="",$L$60=""),0)))</f>
        <v>0</v>
      </c>
    </row>
    <row r="63" spans="1:14" ht="13.8">
      <c r="A63" s="249" t="s">
        <v>219</v>
      </c>
      <c r="D63" s="484"/>
      <c r="E63" s="614"/>
      <c r="F63" s="821" t="str">
        <f>IF($L$60="Yes","% of Residual Receipts available for distribution to Deferred Developer Fee:","% of Residual Receipts available for distribution to Owner:")</f>
        <v>% of Residual Receipts available for distribution to Owner:</v>
      </c>
      <c r="G63" s="5"/>
      <c r="L63" s="390">
        <f>IF(OR(L57="no",L57=""),1,1-L62)</f>
        <v>1</v>
      </c>
    </row>
    <row r="64" spans="1:14">
      <c r="A64" s="249" t="s">
        <v>321</v>
      </c>
      <c r="D64" s="484"/>
      <c r="E64" s="614"/>
      <c r="F64" s="965" t="str">
        <f>IF(AND($L$57="Yes",$L$60="Yes"),"2nd Residual Receipts Split","")</f>
        <v/>
      </c>
      <c r="L64" s="484"/>
    </row>
    <row r="65" spans="1:84" ht="13.8">
      <c r="A65" s="249" t="s">
        <v>322</v>
      </c>
      <c r="D65" s="484"/>
      <c r="E65" s="614"/>
      <c r="F65" s="821" t="str">
        <f>IF($F$64="","","% of Residual Receipts available for distribution to all soft debt lenders:")</f>
        <v/>
      </c>
      <c r="L65" s="390" t="str">
        <f>IF($F$64="","",IF(AND(L57="Yes",L60="Yes"),2/3,IF(AND($L$57="Yes",$L$60="No"),2/3,0)))</f>
        <v/>
      </c>
    </row>
    <row r="66" spans="1:84" ht="13.8">
      <c r="A66" s="249" t="s">
        <v>218</v>
      </c>
      <c r="D66" s="484"/>
      <c r="E66" s="614"/>
      <c r="F66" s="821" t="str">
        <f>IF($F$64="","","% of Residual Receipts available for distribution to Owner:")</f>
        <v/>
      </c>
      <c r="G66" s="5"/>
      <c r="L66" s="390" t="str">
        <f>IF($F$64="","",1-L65)</f>
        <v/>
      </c>
    </row>
    <row r="67" spans="1:84">
      <c r="A67" s="249" t="s">
        <v>220</v>
      </c>
      <c r="D67" s="484"/>
      <c r="E67" s="614"/>
      <c r="L67" s="484"/>
    </row>
    <row r="68" spans="1:84">
      <c r="A68" s="249" t="s">
        <v>222</v>
      </c>
      <c r="D68" s="484"/>
      <c r="E68" s="66"/>
      <c r="F68" s="5" t="str">
        <f>IF($F$64="","","Total Developer Fee")</f>
        <v/>
      </c>
      <c r="L68" s="823"/>
    </row>
    <row r="69" spans="1:84">
      <c r="A69" s="501" t="s">
        <v>604</v>
      </c>
      <c r="B69" s="2153"/>
      <c r="C69" s="2159"/>
      <c r="D69" s="2155"/>
      <c r="E69" s="66"/>
      <c r="F69" s="5" t="str">
        <f>IF($F$64="","","Amount of Deferred Developer Fee - Data entry is required for subsequent worksheets.")</f>
        <v/>
      </c>
      <c r="L69" s="802"/>
    </row>
    <row r="70" spans="1:84">
      <c r="A70" s="501"/>
      <c r="B70" s="223"/>
      <c r="C70" s="621"/>
      <c r="D70" s="621"/>
      <c r="E70" s="824"/>
      <c r="F70" s="5"/>
      <c r="L70" s="975"/>
    </row>
    <row r="71" spans="1:84" ht="15.6">
      <c r="A71" s="2108"/>
      <c r="B71" s="2109"/>
      <c r="C71" s="2109"/>
      <c r="D71" s="2109"/>
      <c r="E71" s="2110"/>
      <c r="F71" s="55" t="s">
        <v>1043</v>
      </c>
      <c r="L71" s="350"/>
    </row>
    <row r="72" spans="1:84" ht="39.75" customHeight="1">
      <c r="A72" s="2156"/>
      <c r="B72" s="2157"/>
      <c r="C72" s="2157"/>
      <c r="D72" s="2157"/>
      <c r="E72" s="2158"/>
      <c r="F72" s="1101" t="s">
        <v>1044</v>
      </c>
      <c r="G72" s="894"/>
      <c r="H72" s="894"/>
      <c r="I72" s="894"/>
      <c r="J72" s="894"/>
      <c r="K72" s="894"/>
      <c r="L72" s="895"/>
    </row>
    <row r="73" spans="1:84">
      <c r="A73" s="1097"/>
      <c r="B73" s="1098"/>
      <c r="C73" s="1098"/>
      <c r="D73" s="1098"/>
      <c r="E73" s="1102"/>
      <c r="F73" s="78" t="s">
        <v>494</v>
      </c>
      <c r="I73" s="2105"/>
      <c r="J73" s="2106"/>
      <c r="K73" s="2106"/>
      <c r="L73" s="2107"/>
    </row>
    <row r="74" spans="1:84">
      <c r="A74" s="501"/>
      <c r="B74" s="5"/>
      <c r="C74" s="5"/>
      <c r="D74" s="5"/>
      <c r="E74" s="1103"/>
      <c r="L74" s="484"/>
    </row>
    <row r="75" spans="1:84" ht="39.6">
      <c r="A75" s="1099"/>
      <c r="B75" s="1100"/>
      <c r="C75" s="1100"/>
      <c r="D75" s="1100"/>
      <c r="E75" s="1104"/>
      <c r="F75" s="966" t="s">
        <v>872</v>
      </c>
      <c r="G75" s="802"/>
      <c r="H75" s="967" t="s">
        <v>753</v>
      </c>
      <c r="I75" s="802"/>
      <c r="J75" s="967" t="s">
        <v>732</v>
      </c>
      <c r="K75" s="893">
        <f>G75+I75</f>
        <v>0</v>
      </c>
      <c r="L75" s="665"/>
    </row>
    <row r="77" spans="1:84" hidden="1">
      <c r="A77" s="145" t="s">
        <v>901</v>
      </c>
    </row>
    <row r="78" spans="1:84" hidden="1">
      <c r="A78" s="945"/>
      <c r="B78" s="945"/>
      <c r="C78" s="945"/>
      <c r="D78" s="945"/>
      <c r="E78" s="945"/>
      <c r="F78" s="945"/>
      <c r="G78" s="945"/>
      <c r="H78" s="945"/>
      <c r="I78" s="945"/>
      <c r="J78" s="945"/>
      <c r="K78" s="946" t="s">
        <v>886</v>
      </c>
      <c r="L78" s="945"/>
      <c r="M78" s="945"/>
      <c r="N78" s="945"/>
      <c r="O78" s="945"/>
      <c r="P78" s="945"/>
      <c r="Q78" s="945"/>
      <c r="R78" s="945"/>
      <c r="S78" s="945"/>
      <c r="T78" s="945"/>
      <c r="U78" s="945"/>
      <c r="V78" s="945"/>
      <c r="W78" s="945"/>
      <c r="X78" s="945"/>
      <c r="Y78" s="945"/>
      <c r="Z78" s="945"/>
      <c r="AA78" s="945"/>
      <c r="AB78" s="945"/>
      <c r="AC78" s="945"/>
      <c r="AD78" s="945"/>
      <c r="AE78" s="945"/>
      <c r="AF78" s="945"/>
      <c r="AG78" s="945"/>
      <c r="AH78" s="945"/>
      <c r="AI78" s="945"/>
      <c r="AJ78" s="945"/>
      <c r="AK78" s="946" t="s">
        <v>887</v>
      </c>
      <c r="AL78" s="945"/>
      <c r="AM78" s="945"/>
      <c r="AN78" s="945"/>
      <c r="AO78" s="945"/>
      <c r="AP78" s="945"/>
      <c r="AQ78" s="945"/>
      <c r="AR78" s="946" t="s">
        <v>888</v>
      </c>
      <c r="AS78" s="945"/>
      <c r="AT78" s="945"/>
      <c r="AU78" s="945"/>
      <c r="AV78" s="945"/>
      <c r="AW78" s="945"/>
      <c r="AX78" s="945"/>
      <c r="AY78" s="945"/>
      <c r="AZ78" s="945"/>
      <c r="BA78" s="945"/>
      <c r="BB78" s="945"/>
      <c r="BC78" s="945"/>
      <c r="BD78" s="946" t="s">
        <v>890</v>
      </c>
      <c r="BE78" s="945"/>
      <c r="BF78" s="946" t="s">
        <v>891</v>
      </c>
      <c r="BG78" s="945"/>
      <c r="BH78" s="945"/>
      <c r="BI78" s="945"/>
      <c r="BJ78" s="945"/>
      <c r="BK78" s="945"/>
      <c r="BL78" s="945"/>
      <c r="BM78" s="945"/>
      <c r="BN78" s="945"/>
      <c r="BO78" s="945"/>
      <c r="BP78" s="945"/>
      <c r="BQ78" s="945"/>
      <c r="BR78" s="945"/>
      <c r="BS78" s="946" t="s">
        <v>893</v>
      </c>
      <c r="BT78" s="945"/>
      <c r="BU78" s="945"/>
      <c r="BV78" s="945"/>
      <c r="BW78" s="945"/>
      <c r="BX78" s="945"/>
      <c r="BY78" s="945"/>
      <c r="BZ78" s="945"/>
      <c r="CA78" s="945"/>
      <c r="CB78" s="945"/>
      <c r="CC78" s="945"/>
      <c r="CD78" s="945"/>
      <c r="CE78" s="945"/>
      <c r="CF78" s="945"/>
    </row>
    <row r="79" spans="1:84" s="157" customFormat="1" ht="70.5" hidden="1" customHeight="1">
      <c r="A79" s="946" t="s">
        <v>885</v>
      </c>
      <c r="B79" s="946"/>
      <c r="C79" s="947"/>
      <c r="D79" s="948" t="str">
        <f>A3</f>
        <v>Application Date</v>
      </c>
      <c r="E79" s="948" t="str">
        <f>A4</f>
        <v>1st Yr of Operations</v>
      </c>
      <c r="F79" s="948" t="str">
        <f>A5</f>
        <v>1st Month Operations: (1-12)</v>
      </c>
      <c r="G79" s="948" t="str">
        <f>M8</f>
        <v>New Const</v>
      </c>
      <c r="H79" s="948" t="str">
        <f>M9</f>
        <v>Existing</v>
      </c>
      <c r="I79" s="948" t="str">
        <f>M11</f>
        <v>Ac/Predev</v>
      </c>
      <c r="J79" s="948" t="str">
        <f>M12</f>
        <v>Perm</v>
      </c>
      <c r="K79" s="948" t="str">
        <f>A12</f>
        <v xml:space="preserve">Project Name </v>
      </c>
      <c r="L79" s="948" t="str">
        <f>E12</f>
        <v>Project Street #</v>
      </c>
      <c r="M79" s="948" t="str">
        <f>G12</f>
        <v>Project Street Name</v>
      </c>
      <c r="N79" s="948" t="str">
        <f>I12</f>
        <v>Project Street Suffix (St/Ave/etc.)</v>
      </c>
      <c r="O79" s="948" t="str">
        <f>K12</f>
        <v>Project Zip Code</v>
      </c>
      <c r="P79" s="948" t="str">
        <f>A14</f>
        <v>Project Neighborhood</v>
      </c>
      <c r="Q79" s="948" t="str">
        <f>D14</f>
        <v>Supervisorial District</v>
      </c>
      <c r="R79" s="948" t="str">
        <f>F14</f>
        <v>Real Estate District</v>
      </c>
      <c r="S79" s="948" t="str">
        <f>H14</f>
        <v>Building Type</v>
      </c>
      <c r="T79" s="948" t="str">
        <f>J14</f>
        <v>Gross SF</v>
      </c>
      <c r="U79" s="948" t="str">
        <f>L14</f>
        <v># Floors</v>
      </c>
      <c r="V79" s="948" t="str">
        <f>A16</f>
        <v>Total Units</v>
      </c>
      <c r="W79" s="948" t="str">
        <f>C16</f>
        <v># of Affordable Units</v>
      </c>
      <c r="X79" s="948" t="str">
        <f>E16</f>
        <v>Occupancy Type</v>
      </c>
      <c r="Y79" s="948" t="str">
        <f>G16</f>
        <v xml:space="preserve">Supportive Housing? </v>
      </c>
      <c r="Z79" s="948" t="str">
        <f>I16</f>
        <v xml:space="preserve">Transitional Housing? </v>
      </c>
      <c r="AA79" s="948" t="str">
        <f>K16</f>
        <v>If Transitional, # Beds</v>
      </c>
      <c r="AB79" s="948" t="str">
        <f>A18</f>
        <v># Comm Units</v>
      </c>
      <c r="AC79" s="948" t="str">
        <f>C18</f>
        <v>Comm SF</v>
      </c>
      <c r="AD79" s="948" t="str">
        <f>D18</f>
        <v>Project Sponsor (parent entit(ies), not LP)</v>
      </c>
      <c r="AE79" s="948" t="str">
        <f>H18</f>
        <v>Ownership Type</v>
      </c>
      <c r="AF79" s="948" t="str">
        <f>J18</f>
        <v xml:space="preserve">Property Owner  </v>
      </c>
      <c r="AG79" s="948" t="str">
        <f>A20</f>
        <v>Property Owner Contact Name</v>
      </c>
      <c r="AH79" s="948" t="str">
        <f>D20</f>
        <v>Property Owner Contact Title</v>
      </c>
      <c r="AI79" s="948" t="str">
        <f>G20</f>
        <v>Property Owner Contact Email</v>
      </c>
      <c r="AJ79" s="948" t="str">
        <f>J20</f>
        <v xml:space="preserve">Property Owner  Contact Phone </v>
      </c>
      <c r="AK79" s="948" t="str">
        <f>A29</f>
        <v>SRO</v>
      </c>
      <c r="AL79" s="948" t="str">
        <f>A30</f>
        <v>Studio</v>
      </c>
      <c r="AM79" s="948" t="str">
        <f>A31</f>
        <v>1 BR</v>
      </c>
      <c r="AN79" s="948" t="str">
        <f>A32</f>
        <v>2 BR</v>
      </c>
      <c r="AO79" s="948" t="str">
        <f>A33</f>
        <v>3 BR</v>
      </c>
      <c r="AP79" s="948" t="str">
        <f>A34</f>
        <v>4 BR</v>
      </c>
      <c r="AQ79" s="948" t="str">
        <f>A35</f>
        <v>5 BR</v>
      </c>
      <c r="AR79" s="948" t="str">
        <f>F27</f>
        <v>Families</v>
      </c>
      <c r="AS79" s="948" t="str">
        <f>F28</f>
        <v>Persons with HIV/AIDS</v>
      </c>
      <c r="AT79" s="948" t="str">
        <f>F29</f>
        <v>Homeless Persons</v>
      </c>
      <c r="AU79" s="948" t="str">
        <f>F30</f>
        <v>Mentally or Physically Disabled</v>
      </c>
      <c r="AV79" s="948" t="str">
        <f>F31</f>
        <v>Developmentally Disabled</v>
      </c>
      <c r="AW79" s="948" t="str">
        <f>F32</f>
        <v>Seniors</v>
      </c>
      <c r="AX79" s="948" t="str">
        <f>F33</f>
        <v>Persons with Substance Abuse</v>
      </c>
      <c r="AY79" s="948" t="str">
        <f>F34</f>
        <v>Domestic Violence Survivors</v>
      </c>
      <c r="AZ79" s="948" t="str">
        <f>F35</f>
        <v>Veterans</v>
      </c>
      <c r="BA79" s="948" t="str">
        <f>F36</f>
        <v>Formerly Incarcerated</v>
      </c>
      <c r="BB79" s="948" t="str">
        <f>F37</f>
        <v>Transition-Aged Youth ("TAY")</v>
      </c>
      <c r="BC79" s="948" t="s">
        <v>889</v>
      </c>
      <c r="BD79" s="948" t="str">
        <f>A55</f>
        <v>Does the project have/will have HCD financing?</v>
      </c>
      <c r="BE79" s="948" t="str">
        <f>J55</f>
        <v xml:space="preserve">Does the project have/will have Federal Funding? </v>
      </c>
      <c r="BF79" s="948" t="str">
        <f>A58</f>
        <v>LOSP</v>
      </c>
      <c r="BG79" s="948" t="str">
        <f>A59</f>
        <v xml:space="preserve">Project-Based-Section 8 </v>
      </c>
      <c r="BH79" s="948" t="str">
        <f>A60</f>
        <v>Project-Based-Section 8 (Mod Rehab SRO)</v>
      </c>
      <c r="BI79" s="948" t="str">
        <f>A61</f>
        <v xml:space="preserve">HAP Contract With (Select if any PB-Sec8 Units): </v>
      </c>
      <c r="BJ79" s="948" t="str">
        <f>A62</f>
        <v>Section 8-Voucher</v>
      </c>
      <c r="BK79" s="948" t="str">
        <f>A63</f>
        <v>HOPWA</v>
      </c>
      <c r="BL79" s="948" t="str">
        <f>A64</f>
        <v>PRAC - 202</v>
      </c>
      <c r="BM79" s="948" t="str">
        <f>A65</f>
        <v>PRAC - 811</v>
      </c>
      <c r="BN79" s="948" t="str">
        <f>A66</f>
        <v>S+C</v>
      </c>
      <c r="BO79" s="948" t="str">
        <f>A67</f>
        <v>VASH</v>
      </c>
      <c r="BP79" s="948" t="str">
        <f>A68</f>
        <v>HOME TBA</v>
      </c>
      <c r="BQ79" s="948" t="str">
        <f>A69</f>
        <v xml:space="preserve">Other: </v>
      </c>
      <c r="BR79" s="948" t="s">
        <v>892</v>
      </c>
      <c r="BS79" s="948" t="str">
        <f>F57</f>
        <v xml:space="preserve">Does/Will the project have a MOHCD/OCII Residual Receipts loan repayment obligation? </v>
      </c>
      <c r="BT79" s="948" t="str">
        <f>F59</f>
        <v xml:space="preserve">Will the project defer the payment of the Developer Fee, and therefore </v>
      </c>
      <c r="BU79" s="948" t="s">
        <v>894</v>
      </c>
      <c r="BV79" s="948" t="s">
        <v>895</v>
      </c>
      <c r="BW79" s="948" t="s">
        <v>896</v>
      </c>
      <c r="BX79" s="948" t="s">
        <v>897</v>
      </c>
      <c r="BY79" s="948" t="s">
        <v>899</v>
      </c>
      <c r="BZ79" s="948" t="s">
        <v>900</v>
      </c>
      <c r="CA79" s="948" t="str">
        <f>F71</f>
        <v xml:space="preserve">Does/Will the project have a MOHCD/OCII ground lease? </v>
      </c>
      <c r="CB79" s="948" t="str">
        <f>F72</f>
        <v xml:space="preserve">Does/Will the project have a non-MOHCD/OCII ground lease? </v>
      </c>
      <c r="CC79" s="948" t="s">
        <v>898</v>
      </c>
      <c r="CD79" s="948" t="str">
        <f>F75</f>
        <v xml:space="preserve">Must Pay Base Rent Amount: </v>
      </c>
      <c r="CE79" s="948" t="str">
        <f>H75</f>
        <v xml:space="preserve">Residual Rent Amount: </v>
      </c>
      <c r="CF79" s="948" t="str">
        <f>J75</f>
        <v xml:space="preserve">Annual Rent Amount: </v>
      </c>
    </row>
    <row r="80" spans="1:84" ht="57" hidden="1" customHeight="1">
      <c r="A80" s="946" t="s">
        <v>883</v>
      </c>
      <c r="B80" s="946"/>
      <c r="C80" s="964" t="s">
        <v>429</v>
      </c>
      <c r="D80" s="957" t="s">
        <v>945</v>
      </c>
      <c r="E80" s="957" t="s">
        <v>948</v>
      </c>
      <c r="F80" s="957" t="s">
        <v>949</v>
      </c>
      <c r="G80" s="957" t="s">
        <v>950</v>
      </c>
      <c r="H80" s="957" t="s">
        <v>979</v>
      </c>
      <c r="I80" s="960" t="s">
        <v>946</v>
      </c>
      <c r="J80" s="960" t="s">
        <v>947</v>
      </c>
      <c r="K80" s="950" t="s">
        <v>902</v>
      </c>
      <c r="L80" s="950" t="s">
        <v>903</v>
      </c>
      <c r="M80" s="950" t="s">
        <v>904</v>
      </c>
      <c r="N80" s="950" t="s">
        <v>906</v>
      </c>
      <c r="O80" s="950" t="s">
        <v>905</v>
      </c>
      <c r="P80" s="950" t="s">
        <v>910</v>
      </c>
      <c r="Q80" s="950" t="s">
        <v>911</v>
      </c>
      <c r="R80" s="950" t="s">
        <v>702</v>
      </c>
      <c r="S80" s="950" t="s">
        <v>913</v>
      </c>
      <c r="T80" s="950" t="s">
        <v>912</v>
      </c>
      <c r="U80" s="950" t="s">
        <v>914</v>
      </c>
      <c r="V80" s="950" t="s">
        <v>907</v>
      </c>
      <c r="W80" s="950" t="s">
        <v>908</v>
      </c>
      <c r="X80" s="950" t="s">
        <v>915</v>
      </c>
      <c r="Y80" s="950" t="s">
        <v>918</v>
      </c>
      <c r="Z80" s="950" t="s">
        <v>917</v>
      </c>
      <c r="AA80" s="950" t="s">
        <v>951</v>
      </c>
      <c r="AB80" s="950" t="s">
        <v>909</v>
      </c>
      <c r="AC80" s="957" t="s">
        <v>952</v>
      </c>
      <c r="AD80" s="950" t="s">
        <v>953</v>
      </c>
      <c r="AE80" s="950" t="s">
        <v>916</v>
      </c>
      <c r="AF80" s="948" t="s">
        <v>955</v>
      </c>
      <c r="AG80" s="948" t="s">
        <v>954</v>
      </c>
      <c r="AH80" s="948" t="s">
        <v>956</v>
      </c>
      <c r="AI80" s="948" t="s">
        <v>957</v>
      </c>
      <c r="AJ80" s="948" t="s">
        <v>958</v>
      </c>
      <c r="AK80" s="950" t="s">
        <v>919</v>
      </c>
      <c r="AL80" s="950" t="s">
        <v>920</v>
      </c>
      <c r="AM80" s="950" t="s">
        <v>921</v>
      </c>
      <c r="AN80" s="950" t="s">
        <v>922</v>
      </c>
      <c r="AO80" s="950" t="s">
        <v>923</v>
      </c>
      <c r="AP80" s="950" t="s">
        <v>924</v>
      </c>
      <c r="AQ80" s="950" t="s">
        <v>925</v>
      </c>
      <c r="AR80" s="950" t="s">
        <v>928</v>
      </c>
      <c r="AS80" s="950" t="s">
        <v>934</v>
      </c>
      <c r="AT80" s="950" t="s">
        <v>926</v>
      </c>
      <c r="AU80" s="961" t="s">
        <v>973</v>
      </c>
      <c r="AV80" s="950" t="s">
        <v>935</v>
      </c>
      <c r="AW80" s="950" t="s">
        <v>929</v>
      </c>
      <c r="AX80" s="950" t="s">
        <v>932</v>
      </c>
      <c r="AY80" s="950" t="s">
        <v>931</v>
      </c>
      <c r="AZ80" s="950" t="s">
        <v>930</v>
      </c>
      <c r="BA80" s="950" t="s">
        <v>933</v>
      </c>
      <c r="BB80" s="950" t="s">
        <v>936</v>
      </c>
      <c r="BC80" s="961" t="s">
        <v>974</v>
      </c>
      <c r="BD80" s="950" t="s">
        <v>959</v>
      </c>
      <c r="BE80" s="957" t="s">
        <v>960</v>
      </c>
      <c r="BF80" s="950" t="s">
        <v>927</v>
      </c>
      <c r="BG80" s="948" t="s">
        <v>988</v>
      </c>
      <c r="BH80" s="948" t="s">
        <v>943</v>
      </c>
      <c r="BI80" s="948" t="s">
        <v>943</v>
      </c>
      <c r="BJ80" s="957" t="s">
        <v>978</v>
      </c>
      <c r="BK80" s="950" t="s">
        <v>937</v>
      </c>
      <c r="BL80" s="950" t="s">
        <v>938</v>
      </c>
      <c r="BM80" s="950" t="s">
        <v>939</v>
      </c>
      <c r="BN80" s="950" t="s">
        <v>940</v>
      </c>
      <c r="BO80" s="950" t="s">
        <v>941</v>
      </c>
      <c r="BP80" s="950" t="s">
        <v>942</v>
      </c>
      <c r="BQ80" s="957" t="s">
        <v>961</v>
      </c>
      <c r="BR80" s="950" t="s">
        <v>944</v>
      </c>
      <c r="BS80" s="957" t="s">
        <v>962</v>
      </c>
      <c r="BT80" s="957" t="s">
        <v>963</v>
      </c>
      <c r="BU80" s="957" t="s">
        <v>964</v>
      </c>
      <c r="BV80" s="957" t="s">
        <v>965</v>
      </c>
      <c r="BW80" s="957" t="s">
        <v>966</v>
      </c>
      <c r="BX80" s="957" t="s">
        <v>967</v>
      </c>
      <c r="BY80" s="957" t="s">
        <v>968</v>
      </c>
      <c r="BZ80" s="957" t="s">
        <v>969</v>
      </c>
      <c r="CA80" s="962" t="s">
        <v>975</v>
      </c>
      <c r="CB80" s="957" t="s">
        <v>970</v>
      </c>
      <c r="CC80" s="957" t="s">
        <v>971</v>
      </c>
      <c r="CD80" s="962" t="s">
        <v>977</v>
      </c>
      <c r="CE80" s="962" t="s">
        <v>976</v>
      </c>
      <c r="CF80" s="963" t="s">
        <v>972</v>
      </c>
    </row>
    <row r="81" spans="1:84" hidden="1">
      <c r="A81" s="946" t="s">
        <v>884</v>
      </c>
      <c r="B81" s="946"/>
      <c r="C81" s="959"/>
      <c r="D81" s="951">
        <f>$D$3</f>
        <v>0</v>
      </c>
      <c r="E81" s="949">
        <f>$D$4</f>
        <v>0</v>
      </c>
      <c r="F81" s="949">
        <f>$D$5</f>
        <v>0</v>
      </c>
      <c r="G81" s="949" t="b">
        <f>$N$8</f>
        <v>1</v>
      </c>
      <c r="H81" s="949" t="b">
        <f>$N$9</f>
        <v>0</v>
      </c>
      <c r="I81" s="949" t="b">
        <f>$N$11</f>
        <v>0</v>
      </c>
      <c r="J81" s="949" t="b">
        <f>$N$12</f>
        <v>0</v>
      </c>
      <c r="K81" s="949">
        <f>$A$13</f>
        <v>0</v>
      </c>
      <c r="L81" s="949">
        <f>$E$13</f>
        <v>0</v>
      </c>
      <c r="M81" s="949">
        <f>$G$13</f>
        <v>0</v>
      </c>
      <c r="N81" s="949">
        <f>$I$13</f>
        <v>0</v>
      </c>
      <c r="O81" s="950">
        <f>$K$13</f>
        <v>0</v>
      </c>
      <c r="P81" s="950">
        <f>$A$15</f>
        <v>0</v>
      </c>
      <c r="Q81" s="950">
        <f>$D$15</f>
        <v>0</v>
      </c>
      <c r="R81" s="950">
        <f>$F$15</f>
        <v>0</v>
      </c>
      <c r="S81" s="950">
        <f>$H$15</f>
        <v>0</v>
      </c>
      <c r="T81" s="952">
        <f>$J$15</f>
        <v>0</v>
      </c>
      <c r="U81" s="950">
        <f>$L$15</f>
        <v>0</v>
      </c>
      <c r="V81" s="952">
        <f>$A$17</f>
        <v>0</v>
      </c>
      <c r="W81" s="950">
        <f>$C$17</f>
        <v>0</v>
      </c>
      <c r="X81" s="950">
        <f>$E$17</f>
        <v>0</v>
      </c>
      <c r="Y81" s="950">
        <f>$G$17</f>
        <v>0</v>
      </c>
      <c r="Z81" s="950">
        <f>$I$17</f>
        <v>0</v>
      </c>
      <c r="AA81" s="953">
        <f>$K$17</f>
        <v>0</v>
      </c>
      <c r="AB81" s="950">
        <f>$A$19</f>
        <v>0</v>
      </c>
      <c r="AC81" s="954">
        <f>$C$19</f>
        <v>0</v>
      </c>
      <c r="AD81" s="950">
        <f>$D$19</f>
        <v>0</v>
      </c>
      <c r="AE81" s="950">
        <f>$H$19</f>
        <v>0</v>
      </c>
      <c r="AF81" s="950">
        <f>$J$19</f>
        <v>0</v>
      </c>
      <c r="AG81" s="950">
        <f>$A$21</f>
        <v>0</v>
      </c>
      <c r="AH81" s="950">
        <f>$D$21</f>
        <v>0</v>
      </c>
      <c r="AI81" s="950">
        <f>$G$21</f>
        <v>0</v>
      </c>
      <c r="AJ81" s="955">
        <f>$J$21</f>
        <v>0</v>
      </c>
      <c r="AK81" s="952">
        <f>$C$29</f>
        <v>0</v>
      </c>
      <c r="AL81" s="952">
        <f>$C$30</f>
        <v>0</v>
      </c>
      <c r="AM81" s="952">
        <f>$C$31</f>
        <v>0</v>
      </c>
      <c r="AN81" s="952">
        <f>$C$32</f>
        <v>0</v>
      </c>
      <c r="AO81" s="952">
        <f>$C$33</f>
        <v>0</v>
      </c>
      <c r="AP81" s="952">
        <f>$C$34</f>
        <v>0</v>
      </c>
      <c r="AQ81" s="952">
        <f>$C$35</f>
        <v>0</v>
      </c>
      <c r="AR81" s="952">
        <f>$I$27</f>
        <v>0</v>
      </c>
      <c r="AS81" s="952">
        <f>$I$28</f>
        <v>0</v>
      </c>
      <c r="AT81" s="952">
        <f>$I$29</f>
        <v>0</v>
      </c>
      <c r="AU81" s="952">
        <f>$I$30</f>
        <v>0</v>
      </c>
      <c r="AV81" s="952">
        <f>$I$31</f>
        <v>0</v>
      </c>
      <c r="AW81" s="952">
        <f>$I$32</f>
        <v>0</v>
      </c>
      <c r="AX81" s="952">
        <f>$I$33</f>
        <v>0</v>
      </c>
      <c r="AY81" s="952">
        <f>$I$34</f>
        <v>0</v>
      </c>
      <c r="AZ81" s="952">
        <f>$I$35</f>
        <v>0</v>
      </c>
      <c r="BA81" s="952">
        <f>$I$36</f>
        <v>0</v>
      </c>
      <c r="BB81" s="952">
        <f>$I$37</f>
        <v>0</v>
      </c>
      <c r="BC81" s="950">
        <f>$J$25</f>
        <v>0</v>
      </c>
      <c r="BD81" s="950">
        <f>$C$55</f>
        <v>0</v>
      </c>
      <c r="BE81" s="950">
        <f>$L$55</f>
        <v>0</v>
      </c>
      <c r="BF81" s="952">
        <f>$E$58</f>
        <v>0</v>
      </c>
      <c r="BG81" s="952">
        <f>$E$59</f>
        <v>0</v>
      </c>
      <c r="BH81" s="952">
        <f>$E$60</f>
        <v>0</v>
      </c>
      <c r="BI81" s="952">
        <f>$E$61</f>
        <v>0</v>
      </c>
      <c r="BJ81" s="952">
        <f>$E$62</f>
        <v>0</v>
      </c>
      <c r="BK81" s="952">
        <f>$E$63</f>
        <v>0</v>
      </c>
      <c r="BL81" s="952">
        <f>$E$64</f>
        <v>0</v>
      </c>
      <c r="BM81" s="952">
        <f>$E$65</f>
        <v>0</v>
      </c>
      <c r="BN81" s="952">
        <f>$E$66</f>
        <v>0</v>
      </c>
      <c r="BO81" s="952">
        <f>$E$67</f>
        <v>0</v>
      </c>
      <c r="BP81" s="952">
        <f>$E$68</f>
        <v>0</v>
      </c>
      <c r="BQ81" s="950">
        <f>$B$69</f>
        <v>0</v>
      </c>
      <c r="BR81" s="952">
        <f>$E$69</f>
        <v>0</v>
      </c>
      <c r="BS81" s="950">
        <f>$L$57</f>
        <v>0</v>
      </c>
      <c r="BT81" s="950">
        <f>$L$60</f>
        <v>0</v>
      </c>
      <c r="BU81" s="956">
        <f>$L$62</f>
        <v>0</v>
      </c>
      <c r="BV81" s="956">
        <f>$L$63</f>
        <v>1</v>
      </c>
      <c r="BW81" s="956" t="str">
        <f>$L$65</f>
        <v/>
      </c>
      <c r="BX81" s="956" t="str">
        <f>$L$66</f>
        <v/>
      </c>
      <c r="BY81" s="954">
        <f>$L$68</f>
        <v>0</v>
      </c>
      <c r="BZ81" s="954">
        <f>$L$69</f>
        <v>0</v>
      </c>
      <c r="CA81" s="950">
        <f>$L$71</f>
        <v>0</v>
      </c>
      <c r="CB81" s="950">
        <f>$L$72</f>
        <v>0</v>
      </c>
      <c r="CC81" s="950">
        <f>$I$73</f>
        <v>0</v>
      </c>
      <c r="CD81" s="954">
        <f>$G$75</f>
        <v>0</v>
      </c>
      <c r="CE81" s="954">
        <f>$I$75</f>
        <v>0</v>
      </c>
      <c r="CF81" s="954">
        <f>$K$75</f>
        <v>0</v>
      </c>
    </row>
  </sheetData>
  <sheetProtection algorithmName="SHA-512" hashValue="TZgFQkX438w4D8NWH9bZN3BY3x3jYvmzEpeIWN01Z6WmrsSm3X28ewNKyrf5/gVWrTIUSGVSgvWFOzmV71Y4eg==" saltValue="InTPvn/pQCTUGwwg61RduA==" spinCount="100000" sheet="1" objects="1" scenarios="1" selectLockedCells="1"/>
  <customSheetViews>
    <customSheetView guid="{332023D0-60C3-4A29-9DCC-CDA10E0C090D}" showGridLines="0" hiddenColumns="1">
      <selection activeCell="K24" sqref="K24:M33"/>
      <pageMargins left="0.7" right="0.7" top="0.75" bottom="0.75" header="0.3" footer="0.3"/>
    </customSheetView>
    <customSheetView guid="{B92ED4D4-4566-4043-8B76-FD708F820076}" showGridLines="0" hiddenRows="1" hiddenColumns="1" topLeftCell="A41">
      <selection activeCell="A18" sqref="A18:E18"/>
      <colBreaks count="1" manualBreakCount="1">
        <brk id="13" max="1048575" man="1"/>
      </colBreaks>
      <pageMargins left="0.7" right="0.7" top="0.75" bottom="0.75" header="0.3" footer="0.3"/>
      <pageSetup scale="69" orientation="portrait" r:id="rId1"/>
    </customSheetView>
  </customSheetViews>
  <mergeCells count="66">
    <mergeCell ref="A72:E72"/>
    <mergeCell ref="B69:D69"/>
    <mergeCell ref="B50:C50"/>
    <mergeCell ref="K50:L50"/>
    <mergeCell ref="B51:C51"/>
    <mergeCell ref="K51:L51"/>
    <mergeCell ref="B52:C52"/>
    <mergeCell ref="K52:L52"/>
    <mergeCell ref="A55:B55"/>
    <mergeCell ref="J55:K55"/>
    <mergeCell ref="D55:H55"/>
    <mergeCell ref="B48:C48"/>
    <mergeCell ref="K48:L48"/>
    <mergeCell ref="B49:C49"/>
    <mergeCell ref="K49:L49"/>
    <mergeCell ref="B45:C45"/>
    <mergeCell ref="K45:L45"/>
    <mergeCell ref="B46:C46"/>
    <mergeCell ref="K46:L46"/>
    <mergeCell ref="B47:C47"/>
    <mergeCell ref="K47:L47"/>
    <mergeCell ref="B42:C42"/>
    <mergeCell ref="K42:L42"/>
    <mergeCell ref="B43:C43"/>
    <mergeCell ref="K43:L43"/>
    <mergeCell ref="B44:C44"/>
    <mergeCell ref="K44:L44"/>
    <mergeCell ref="C33:D33"/>
    <mergeCell ref="J25:L37"/>
    <mergeCell ref="C34:D34"/>
    <mergeCell ref="C35:D35"/>
    <mergeCell ref="C36:D36"/>
    <mergeCell ref="C29:D29"/>
    <mergeCell ref="C30:D30"/>
    <mergeCell ref="C31:D31"/>
    <mergeCell ref="C32:D32"/>
    <mergeCell ref="I17:J17"/>
    <mergeCell ref="D19:G19"/>
    <mergeCell ref="H19:I19"/>
    <mergeCell ref="J19:L19"/>
    <mergeCell ref="K17:L17"/>
    <mergeCell ref="G17:H17"/>
    <mergeCell ref="A19:B19"/>
    <mergeCell ref="D3:E3"/>
    <mergeCell ref="D4:E4"/>
    <mergeCell ref="A13:D13"/>
    <mergeCell ref="E13:F13"/>
    <mergeCell ref="C17:D17"/>
    <mergeCell ref="E17:F17"/>
    <mergeCell ref="D8:E9"/>
    <mergeCell ref="G13:H13"/>
    <mergeCell ref="D5:E5"/>
    <mergeCell ref="I73:L73"/>
    <mergeCell ref="A71:E71"/>
    <mergeCell ref="K13:L13"/>
    <mergeCell ref="A15:C15"/>
    <mergeCell ref="D15:E15"/>
    <mergeCell ref="I13:J13"/>
    <mergeCell ref="H15:I15"/>
    <mergeCell ref="J15:K15"/>
    <mergeCell ref="F15:G15"/>
    <mergeCell ref="A21:C21"/>
    <mergeCell ref="D21:F21"/>
    <mergeCell ref="G21:I21"/>
    <mergeCell ref="J21:L21"/>
    <mergeCell ref="A17:B17"/>
  </mergeCells>
  <conditionalFormatting sqref="L65:L66 L68:L69">
    <cfRule type="expression" dxfId="85" priority="107">
      <formula>$F$64=""</formula>
    </cfRule>
  </conditionalFormatting>
  <dataValidations count="15">
    <dataValidation type="list" allowBlank="1" showInputMessage="1" showErrorMessage="1" sqref="H19" xr:uid="{00000000-0002-0000-0100-000000000000}">
      <formula1>OwnerType</formula1>
    </dataValidation>
    <dataValidation type="list" allowBlank="1" showInputMessage="1" showErrorMessage="1" sqref="L71:L72 L57 L60 G17:I17 C55 L55" xr:uid="{00000000-0002-0000-0100-000001000000}">
      <formula1>YesNo</formula1>
    </dataValidation>
    <dataValidation type="list" allowBlank="1" showInputMessage="1" showErrorMessage="1" sqref="D15" xr:uid="{00000000-0002-0000-0100-000002000000}">
      <formula1>SupeDistrict</formula1>
    </dataValidation>
    <dataValidation type="list" allowBlank="1" showInputMessage="1" showErrorMessage="1" sqref="A15:C15" xr:uid="{00000000-0002-0000-0100-000003000000}">
      <formula1>Neighborhood</formula1>
    </dataValidation>
    <dataValidation allowBlank="1" showInputMessage="1" showErrorMessage="1" prompt="If MOHCD project underwriting uses a different percentage, update this cell." sqref="L63 L66" xr:uid="{00000000-0002-0000-0100-000004000000}"/>
    <dataValidation operator="greaterThanOrEqual" allowBlank="1" showInputMessage="1" showErrorMessage="1" error="Dates only, please." sqref="E44:E52" xr:uid="{00000000-0002-0000-0100-000005000000}"/>
    <dataValidation operator="greaterThanOrEqual" showInputMessage="1" showErrorMessage="1" error="Dates only, please." sqref="E43" xr:uid="{00000000-0002-0000-0100-000006000000}"/>
    <dataValidation allowBlank="1" showErrorMessage="1" promptTitle="Numbers only!" prompt="Numbers only between .01% thru 100% in this field; any other data should go in &quot;Repayment Terms&quot; cell." sqref="D43:D52" xr:uid="{00000000-0002-0000-0100-000007000000}"/>
    <dataValidation type="list" allowBlank="1" showInputMessage="1" showErrorMessage="1" sqref="H15" xr:uid="{00000000-0002-0000-0100-000008000000}">
      <formula1>BldgType</formula1>
    </dataValidation>
    <dataValidation type="list" allowBlank="1" showInputMessage="1" showErrorMessage="1" sqref="F15:G15" xr:uid="{00000000-0002-0000-0100-000009000000}">
      <formula1>REDistricts</formula1>
    </dataValidation>
    <dataValidation allowBlank="1" showErrorMessage="1" prompt="If MOHCD project underwriting uses a different percentage, update this cell." sqref="L62 L65" xr:uid="{00000000-0002-0000-0100-00000A000000}"/>
    <dataValidation type="list" allowBlank="1" showInputMessage="1" showErrorMessage="1" sqref="E17:F17" xr:uid="{00000000-0002-0000-0100-00000B000000}">
      <formula1>OccupancyType</formula1>
    </dataValidation>
    <dataValidation type="list" allowBlank="1" showInputMessage="1" showErrorMessage="1" sqref="E61" xr:uid="{00000000-0002-0000-0100-00000C000000}">
      <formula1>HAPContract</formula1>
    </dataValidation>
    <dataValidation type="decimal" allowBlank="1" showInputMessage="1" showErrorMessage="1" error="Please enter numbers only._x000a_" sqref="G75 I75" xr:uid="{00000000-0002-0000-0100-00000D000000}">
      <formula1>0</formula1>
      <formula2>5000000</formula2>
    </dataValidation>
    <dataValidation type="decimal" allowBlank="1" showInputMessage="1" showErrorMessage="1" error="Please enter numbers only._x000a_" sqref="I55" xr:uid="{00000000-0002-0000-0100-00000E000000}">
      <formula1>0</formula1>
      <formula2>500000000</formula2>
    </dataValidation>
  </dataValidations>
  <pageMargins left="0.7" right="0.7" top="0.75" bottom="0.75" header="0.3" footer="0.3"/>
  <pageSetup scale="63" orientation="portrait" r:id="rId2"/>
  <headerFooter>
    <oddHeader>&amp;CMOHCD Proforma - General Project Information</oddHeader>
    <oddFooter>&amp;R&amp;P of &amp;N</oddFooter>
  </headerFooter>
  <colBreaks count="1" manualBreakCount="1">
    <brk id="12" max="1048575" man="1"/>
  </colBreaks>
  <drawing r:id="rId3"/>
  <legacyDrawing r:id="rId4"/>
  <controls>
    <mc:AlternateContent xmlns:mc="http://schemas.openxmlformats.org/markup-compatibility/2006">
      <mc:Choice Requires="x14">
        <control shapeId="60449" r:id="rId5" name="CheckBox3">
          <controlPr locked="0" defaultSize="0" autoLine="0" linkedCell="N16" r:id="rId6">
            <anchor moveWithCells="1">
              <from>
                <xdr:col>10</xdr:col>
                <xdr:colOff>464820</xdr:colOff>
                <xdr:row>7</xdr:row>
                <xdr:rowOff>7620</xdr:rowOff>
              </from>
              <to>
                <xdr:col>11</xdr:col>
                <xdr:colOff>632460</xdr:colOff>
                <xdr:row>8</xdr:row>
                <xdr:rowOff>30480</xdr:rowOff>
              </to>
            </anchor>
          </controlPr>
        </control>
      </mc:Choice>
      <mc:Fallback>
        <control shapeId="60449" r:id="rId5" name="CheckBox3"/>
      </mc:Fallback>
    </mc:AlternateContent>
    <mc:AlternateContent xmlns:mc="http://schemas.openxmlformats.org/markup-compatibility/2006">
      <mc:Choice Requires="x14">
        <control shapeId="60442" r:id="rId7" name="CheckBox1">
          <controlPr locked="0" defaultSize="0" autoLine="0" linkedCell="N14" r:id="rId8">
            <anchor moveWithCells="1" sizeWithCells="1">
              <from>
                <xdr:col>9</xdr:col>
                <xdr:colOff>7620</xdr:colOff>
                <xdr:row>7</xdr:row>
                <xdr:rowOff>7620</xdr:rowOff>
              </from>
              <to>
                <xdr:col>10</xdr:col>
                <xdr:colOff>449580</xdr:colOff>
                <xdr:row>8</xdr:row>
                <xdr:rowOff>38100</xdr:rowOff>
              </to>
            </anchor>
          </controlPr>
        </control>
      </mc:Choice>
      <mc:Fallback>
        <control shapeId="60442" r:id="rId7" name="CheckBox1"/>
      </mc:Fallback>
    </mc:AlternateContent>
    <mc:AlternateContent xmlns:mc="http://schemas.openxmlformats.org/markup-compatibility/2006">
      <mc:Choice Requires="x14">
        <control shapeId="60443" r:id="rId9" name="CheckBox2">
          <controlPr defaultSize="0" autoLine="0" linkedCell="N15" r:id="rId10">
            <anchor moveWithCells="1" sizeWithCells="1">
              <from>
                <xdr:col>9</xdr:col>
                <xdr:colOff>7620</xdr:colOff>
                <xdr:row>8</xdr:row>
                <xdr:rowOff>30480</xdr:rowOff>
              </from>
              <to>
                <xdr:col>10</xdr:col>
                <xdr:colOff>426720</xdr:colOff>
                <xdr:row>9</xdr:row>
                <xdr:rowOff>60960</xdr:rowOff>
              </to>
            </anchor>
          </controlPr>
        </control>
      </mc:Choice>
      <mc:Fallback>
        <control shapeId="60443" r:id="rId9" name="CheckBox2"/>
      </mc:Fallback>
    </mc:AlternateContent>
    <mc:AlternateContent xmlns:mc="http://schemas.openxmlformats.org/markup-compatibility/2006">
      <mc:Choice Requires="x14">
        <control shapeId="60417" r:id="rId11" name="Check Box 1">
          <controlPr locked="0" defaultSize="0" autoFill="0" autoLine="0" autoPict="0">
            <anchor moveWithCells="1">
              <from>
                <xdr:col>0</xdr:col>
                <xdr:colOff>45720</xdr:colOff>
                <xdr:row>7</xdr:row>
                <xdr:rowOff>7620</xdr:rowOff>
              </from>
              <to>
                <xdr:col>0</xdr:col>
                <xdr:colOff>251460</xdr:colOff>
                <xdr:row>8</xdr:row>
                <xdr:rowOff>7620</xdr:rowOff>
              </to>
            </anchor>
          </controlPr>
        </control>
      </mc:Choice>
    </mc:AlternateContent>
    <mc:AlternateContent xmlns:mc="http://schemas.openxmlformats.org/markup-compatibility/2006">
      <mc:Choice Requires="x14">
        <control shapeId="60418" r:id="rId12" name="Check Box 2">
          <controlPr locked="0" defaultSize="0" autoFill="0" autoLine="0" autoPict="0">
            <anchor moveWithCells="1">
              <from>
                <xdr:col>0</xdr:col>
                <xdr:colOff>45720</xdr:colOff>
                <xdr:row>7</xdr:row>
                <xdr:rowOff>152400</xdr:rowOff>
              </from>
              <to>
                <xdr:col>0</xdr:col>
                <xdr:colOff>297180</xdr:colOff>
                <xdr:row>9</xdr:row>
                <xdr:rowOff>30480</xdr:rowOff>
              </to>
            </anchor>
          </controlPr>
        </control>
      </mc:Choice>
    </mc:AlternateContent>
    <mc:AlternateContent xmlns:mc="http://schemas.openxmlformats.org/markup-compatibility/2006">
      <mc:Choice Requires="x14">
        <control shapeId="60422" r:id="rId13" name="Check Box 6">
          <controlPr locked="0" defaultSize="0" autoFill="0" autoLine="0" autoPict="0">
            <anchor moveWithCells="1">
              <from>
                <xdr:col>0</xdr:col>
                <xdr:colOff>45720</xdr:colOff>
                <xdr:row>7</xdr:row>
                <xdr:rowOff>7620</xdr:rowOff>
              </from>
              <to>
                <xdr:col>0</xdr:col>
                <xdr:colOff>251460</xdr:colOff>
                <xdr:row>8</xdr:row>
                <xdr:rowOff>7620</xdr:rowOff>
              </to>
            </anchor>
          </controlPr>
        </control>
      </mc:Choice>
    </mc:AlternateContent>
    <mc:AlternateContent xmlns:mc="http://schemas.openxmlformats.org/markup-compatibility/2006">
      <mc:Choice Requires="x14">
        <control shapeId="60423" r:id="rId14" name="Check Box 7">
          <controlPr locked="0" defaultSize="0" autoFill="0" autoLine="0" autoPict="0">
            <anchor moveWithCells="1">
              <from>
                <xdr:col>0</xdr:col>
                <xdr:colOff>45720</xdr:colOff>
                <xdr:row>7</xdr:row>
                <xdr:rowOff>152400</xdr:rowOff>
              </from>
              <to>
                <xdr:col>0</xdr:col>
                <xdr:colOff>297180</xdr:colOff>
                <xdr:row>9</xdr:row>
                <xdr:rowOff>30480</xdr:rowOff>
              </to>
            </anchor>
          </controlPr>
        </control>
      </mc:Choice>
    </mc:AlternateContent>
    <mc:AlternateContent xmlns:mc="http://schemas.openxmlformats.org/markup-compatibility/2006">
      <mc:Choice Requires="x14">
        <control shapeId="60444" r:id="rId15" name="Check Box 28">
          <controlPr defaultSize="0" autoFill="0" autoLine="0" autoPict="0">
            <anchor moveWithCells="1">
              <from>
                <xdr:col>6</xdr:col>
                <xdr:colOff>22860</xdr:colOff>
                <xdr:row>6</xdr:row>
                <xdr:rowOff>144780</xdr:rowOff>
              </from>
              <to>
                <xdr:col>6</xdr:col>
                <xdr:colOff>266700</xdr:colOff>
                <xdr:row>8</xdr:row>
                <xdr:rowOff>30480</xdr:rowOff>
              </to>
            </anchor>
          </controlPr>
        </control>
      </mc:Choice>
    </mc:AlternateContent>
    <mc:AlternateContent xmlns:mc="http://schemas.openxmlformats.org/markup-compatibility/2006">
      <mc:Choice Requires="x14">
        <control shapeId="60445" r:id="rId16" name="Check Box 29">
          <controlPr locked="0" defaultSize="0" autoFill="0" autoLine="0" autoPict="0">
            <anchor moveWithCells="1">
              <from>
                <xdr:col>6</xdr:col>
                <xdr:colOff>22860</xdr:colOff>
                <xdr:row>8</xdr:row>
                <xdr:rowOff>0</xdr:rowOff>
              </from>
              <to>
                <xdr:col>6</xdr:col>
                <xdr:colOff>220980</xdr:colOff>
                <xdr:row>9</xdr:row>
                <xdr:rowOff>30480</xdr:rowOff>
              </to>
            </anchor>
          </controlPr>
        </control>
      </mc:Choice>
    </mc:AlternateContent>
    <mc:AlternateContent xmlns:mc="http://schemas.openxmlformats.org/markup-compatibility/2006">
      <mc:Choice Requires="x14">
        <control shapeId="60446" r:id="rId17" name="Check Box 30">
          <controlPr defaultSize="0" autoFill="0" autoLine="0" autoPict="0">
            <anchor moveWithCells="1">
              <from>
                <xdr:col>6</xdr:col>
                <xdr:colOff>22860</xdr:colOff>
                <xdr:row>6</xdr:row>
                <xdr:rowOff>144780</xdr:rowOff>
              </from>
              <to>
                <xdr:col>6</xdr:col>
                <xdr:colOff>266700</xdr:colOff>
                <xdr:row>8</xdr:row>
                <xdr:rowOff>30480</xdr:rowOff>
              </to>
            </anchor>
          </controlPr>
        </control>
      </mc:Choice>
    </mc:AlternateContent>
    <mc:AlternateContent xmlns:mc="http://schemas.openxmlformats.org/markup-compatibility/2006">
      <mc:Choice Requires="x14">
        <control shapeId="60447" r:id="rId18" name="Check Box 31">
          <controlPr locked="0" defaultSize="0" autoFill="0" autoLine="0" autoPict="0">
            <anchor moveWithCells="1">
              <from>
                <xdr:col>6</xdr:col>
                <xdr:colOff>22860</xdr:colOff>
                <xdr:row>8</xdr:row>
                <xdr:rowOff>0</xdr:rowOff>
              </from>
              <to>
                <xdr:col>6</xdr:col>
                <xdr:colOff>220980</xdr:colOff>
                <xdr:row>9</xdr:row>
                <xdr:rowOff>30480</xdr:rowOff>
              </to>
            </anchor>
          </controlPr>
        </control>
      </mc:Choice>
    </mc:AlternateContent>
  </control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F000000}">
          <x14:formula1>
            <xm:f>Lists!$H$3:$H$6</xm:f>
          </x14:formula1>
          <xm:sqref>I43:I52</xm:sqref>
        </x14:dataValidation>
        <x14:dataValidation type="list" allowBlank="1" showInputMessage="1" showErrorMessage="1" xr:uid="{00000000-0002-0000-0100-000010000000}">
          <x14:formula1>
            <xm:f>Lists!$G$3:$G$5</xm:f>
          </x14:formula1>
          <xm:sqref>H43:H52</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AB123"/>
  <sheetViews>
    <sheetView topLeftCell="F1" zoomScaleNormal="100" workbookViewId="0">
      <selection activeCell="U8" sqref="U8"/>
    </sheetView>
  </sheetViews>
  <sheetFormatPr defaultRowHeight="13.2"/>
  <cols>
    <col min="1" max="1" width="14.88671875" bestFit="1" customWidth="1"/>
    <col min="2" max="4" width="10.33203125" bestFit="1" customWidth="1"/>
    <col min="5" max="9" width="11.33203125" bestFit="1" customWidth="1"/>
    <col min="10" max="10" width="11.88671875" customWidth="1"/>
    <col min="12" max="12" width="7.6640625" bestFit="1" customWidth="1"/>
    <col min="16" max="17" width="9.6640625" bestFit="1" customWidth="1"/>
    <col min="21" max="21" width="25.6640625" customWidth="1"/>
  </cols>
  <sheetData>
    <row r="1" spans="1:28">
      <c r="A1" s="6" t="s">
        <v>143</v>
      </c>
      <c r="D1" s="26" t="s">
        <v>161</v>
      </c>
      <c r="S1" s="54" t="s">
        <v>1626</v>
      </c>
      <c r="T1" s="54" t="s">
        <v>146</v>
      </c>
      <c r="U1" s="432">
        <v>45412</v>
      </c>
      <c r="V1" s="1905"/>
      <c r="W1" s="1905"/>
      <c r="X1" s="1905"/>
    </row>
    <row r="2" spans="1:28">
      <c r="A2" s="6"/>
      <c r="D2" s="5" t="s">
        <v>162</v>
      </c>
      <c r="T2" s="54" t="s">
        <v>1627</v>
      </c>
      <c r="U2" s="432">
        <v>45412</v>
      </c>
      <c r="V2" s="1905"/>
      <c r="W2" s="1905"/>
    </row>
    <row r="3" spans="1:28">
      <c r="A3" s="6"/>
      <c r="D3" s="5" t="s">
        <v>1204</v>
      </c>
      <c r="T3" s="54" t="s">
        <v>984</v>
      </c>
      <c r="U3" s="432">
        <v>45412</v>
      </c>
      <c r="V3" s="1905"/>
      <c r="Y3" s="1905"/>
      <c r="Z3" s="1905"/>
    </row>
    <row r="4" spans="1:28">
      <c r="A4" t="s">
        <v>141</v>
      </c>
      <c r="B4" s="32">
        <v>2024</v>
      </c>
      <c r="L4" s="5"/>
      <c r="T4" s="54" t="s">
        <v>214</v>
      </c>
      <c r="U4" s="432">
        <v>45412</v>
      </c>
      <c r="V4" s="1905"/>
      <c r="W4" s="1905"/>
      <c r="X4" s="1905"/>
      <c r="Y4" s="352"/>
      <c r="Z4" s="352"/>
    </row>
    <row r="5" spans="1:28">
      <c r="A5" t="s">
        <v>142</v>
      </c>
      <c r="B5" s="32">
        <v>149850</v>
      </c>
      <c r="D5" s="5" t="s">
        <v>163</v>
      </c>
      <c r="V5" s="5" t="s">
        <v>1628</v>
      </c>
      <c r="W5" s="5" t="s">
        <v>1629</v>
      </c>
      <c r="X5" s="5" t="s">
        <v>1630</v>
      </c>
      <c r="Y5" s="5" t="s">
        <v>1631</v>
      </c>
      <c r="Z5" s="5" t="s">
        <v>1632</v>
      </c>
    </row>
    <row r="6" spans="1:28">
      <c r="A6" t="s">
        <v>144</v>
      </c>
      <c r="B6" s="24">
        <v>0.3</v>
      </c>
      <c r="L6" s="6" t="s">
        <v>1492</v>
      </c>
    </row>
    <row r="7" spans="1:28">
      <c r="B7" s="24"/>
      <c r="L7" t="s">
        <v>141</v>
      </c>
      <c r="M7" s="32">
        <v>2024</v>
      </c>
    </row>
    <row r="8" spans="1:28">
      <c r="A8" s="5" t="s">
        <v>1033</v>
      </c>
      <c r="B8" s="1027">
        <v>1</v>
      </c>
      <c r="C8" s="1027">
        <f>B8+1</f>
        <v>2</v>
      </c>
      <c r="D8" s="1027">
        <f t="shared" ref="D8:J8" si="0">C8+1</f>
        <v>3</v>
      </c>
      <c r="E8" s="1027">
        <f t="shared" si="0"/>
        <v>4</v>
      </c>
      <c r="F8" s="1027">
        <f t="shared" si="0"/>
        <v>5</v>
      </c>
      <c r="G8" s="1027">
        <f t="shared" si="0"/>
        <v>6</v>
      </c>
      <c r="H8" s="1027">
        <f t="shared" si="0"/>
        <v>7</v>
      </c>
      <c r="I8" s="1027">
        <f t="shared" si="0"/>
        <v>8</v>
      </c>
      <c r="J8" s="1027">
        <f t="shared" si="0"/>
        <v>9</v>
      </c>
      <c r="L8" s="54" t="s">
        <v>1196</v>
      </c>
      <c r="M8">
        <v>1</v>
      </c>
      <c r="N8">
        <v>2</v>
      </c>
      <c r="O8">
        <v>3</v>
      </c>
      <c r="P8">
        <v>4</v>
      </c>
      <c r="Q8">
        <v>5</v>
      </c>
      <c r="R8">
        <v>6</v>
      </c>
      <c r="S8">
        <v>7</v>
      </c>
      <c r="T8">
        <v>8</v>
      </c>
    </row>
    <row r="9" spans="1:28">
      <c r="B9" s="1028">
        <f>MROUND(L$13*$E$9,50)</f>
        <v>104900</v>
      </c>
      <c r="C9" s="1028">
        <f>MROUND(M$13*$E$9,50)</f>
        <v>119900</v>
      </c>
      <c r="D9" s="1028">
        <f>MROUND(N$13*$E$9,50)</f>
        <v>134850</v>
      </c>
      <c r="E9" s="1028">
        <f>B5</f>
        <v>149850</v>
      </c>
      <c r="F9" s="1028">
        <f>MROUND(P$13*$E$9,50)</f>
        <v>161850</v>
      </c>
      <c r="G9" s="1028">
        <f>MROUND(Q$13*$E$9,50)</f>
        <v>173850</v>
      </c>
      <c r="H9" s="1028">
        <f>MROUND(1.24*$E$9,50)</f>
        <v>185800</v>
      </c>
      <c r="I9" s="1028">
        <f>MROUND(1.32*$E$9,50)</f>
        <v>197800</v>
      </c>
      <c r="J9" s="1028">
        <f>MROUND(1.4*$E$9,50)</f>
        <v>209800</v>
      </c>
      <c r="L9" s="54" t="s">
        <v>1197</v>
      </c>
      <c r="M9" s="32">
        <v>109700</v>
      </c>
      <c r="N9" s="32">
        <v>125350</v>
      </c>
      <c r="O9" s="32">
        <v>141000</v>
      </c>
      <c r="P9" s="32">
        <v>156650</v>
      </c>
      <c r="Q9" s="32">
        <v>169200</v>
      </c>
      <c r="R9" s="32">
        <v>181750</v>
      </c>
      <c r="S9" s="32">
        <v>194250</v>
      </c>
      <c r="T9" s="32">
        <v>206800</v>
      </c>
    </row>
    <row r="10" spans="1:28">
      <c r="B10" s="24"/>
    </row>
    <row r="11" spans="1:28">
      <c r="A11" s="6" t="s">
        <v>191</v>
      </c>
      <c r="D11" s="261" t="s">
        <v>226</v>
      </c>
      <c r="K11" s="261" t="s">
        <v>227</v>
      </c>
      <c r="S11" s="7" t="s">
        <v>1259</v>
      </c>
      <c r="V11" s="32">
        <v>2024</v>
      </c>
    </row>
    <row r="12" spans="1:28">
      <c r="B12" t="s">
        <v>97</v>
      </c>
      <c r="C12" t="s">
        <v>109</v>
      </c>
      <c r="D12" s="5" t="s">
        <v>735</v>
      </c>
      <c r="E12" s="5" t="s">
        <v>736</v>
      </c>
      <c r="F12" s="5" t="s">
        <v>737</v>
      </c>
      <c r="G12" s="5" t="s">
        <v>738</v>
      </c>
      <c r="H12" s="5" t="s">
        <v>739</v>
      </c>
      <c r="K12" t="s">
        <v>97</v>
      </c>
      <c r="L12" t="s">
        <v>109</v>
      </c>
      <c r="M12" s="5" t="s">
        <v>735</v>
      </c>
      <c r="N12" s="5" t="s">
        <v>736</v>
      </c>
      <c r="O12" s="5" t="s">
        <v>737</v>
      </c>
      <c r="P12" s="5" t="s">
        <v>738</v>
      </c>
      <c r="Q12" s="5" t="s">
        <v>739</v>
      </c>
    </row>
    <row r="13" spans="1:28">
      <c r="A13" s="5"/>
      <c r="J13" s="54" t="s">
        <v>145</v>
      </c>
      <c r="L13">
        <v>0.7</v>
      </c>
      <c r="M13">
        <v>0.8</v>
      </c>
      <c r="N13">
        <v>0.9</v>
      </c>
      <c r="O13">
        <v>1</v>
      </c>
      <c r="P13">
        <v>1.08</v>
      </c>
      <c r="Q13">
        <v>1.1599999999999999</v>
      </c>
      <c r="S13" s="7" t="s">
        <v>111</v>
      </c>
    </row>
    <row r="14" spans="1:28">
      <c r="A14" s="24">
        <v>0.15</v>
      </c>
      <c r="B14" s="33">
        <f t="shared" ref="B14:H14" si="1">ROUND(K14,0)</f>
        <v>295</v>
      </c>
      <c r="C14" s="33">
        <f t="shared" si="1"/>
        <v>394</v>
      </c>
      <c r="D14" s="33">
        <f t="shared" si="1"/>
        <v>450</v>
      </c>
      <c r="E14" s="33">
        <f t="shared" si="1"/>
        <v>506</v>
      </c>
      <c r="F14" s="33">
        <f t="shared" si="1"/>
        <v>563</v>
      </c>
      <c r="G14" s="33">
        <f t="shared" si="1"/>
        <v>608</v>
      </c>
      <c r="H14" s="33">
        <f t="shared" si="1"/>
        <v>653</v>
      </c>
      <c r="J14" s="24">
        <v>0.15</v>
      </c>
      <c r="K14" s="1663">
        <v>295.3125</v>
      </c>
      <c r="L14" s="1663">
        <v>393.75</v>
      </c>
      <c r="M14" s="1663">
        <v>450</v>
      </c>
      <c r="N14" s="1663">
        <v>506.25</v>
      </c>
      <c r="O14" s="1663">
        <v>562.5</v>
      </c>
      <c r="P14" s="1663">
        <v>607.5</v>
      </c>
      <c r="Q14" s="1663">
        <v>652.5</v>
      </c>
    </row>
    <row r="15" spans="1:28">
      <c r="A15" s="24">
        <v>0.2</v>
      </c>
      <c r="B15" s="33">
        <f>ROUND(K15,0)</f>
        <v>394</v>
      </c>
      <c r="C15" s="33">
        <f t="shared" ref="C15:H15" si="2">ROUND(L15,0)</f>
        <v>525</v>
      </c>
      <c r="D15" s="33">
        <f t="shared" si="2"/>
        <v>600</v>
      </c>
      <c r="E15" s="33">
        <f t="shared" si="2"/>
        <v>674</v>
      </c>
      <c r="F15" s="33">
        <f t="shared" si="2"/>
        <v>749</v>
      </c>
      <c r="G15" s="33">
        <f t="shared" si="2"/>
        <v>809</v>
      </c>
      <c r="H15" s="33">
        <f t="shared" si="2"/>
        <v>869</v>
      </c>
      <c r="J15" s="24">
        <v>0.2</v>
      </c>
      <c r="K15" s="1663">
        <v>393.75</v>
      </c>
      <c r="L15" s="1663">
        <v>525</v>
      </c>
      <c r="M15" s="1663">
        <v>600</v>
      </c>
      <c r="N15" s="1663">
        <v>673.75</v>
      </c>
      <c r="O15" s="1663">
        <v>748.75</v>
      </c>
      <c r="P15" s="1663">
        <v>808.75</v>
      </c>
      <c r="Q15" s="1663">
        <v>868.75</v>
      </c>
      <c r="S15" t="s">
        <v>112</v>
      </c>
      <c r="W15" t="s">
        <v>113</v>
      </c>
    </row>
    <row r="16" spans="1:28">
      <c r="A16" s="24">
        <v>0.25</v>
      </c>
      <c r="B16" s="33">
        <f t="shared" ref="B16:B26" si="3">ROUND(K16,0)</f>
        <v>492</v>
      </c>
      <c r="C16" s="33">
        <f t="shared" ref="C16:C26" si="4">ROUND(L16,0)</f>
        <v>656</v>
      </c>
      <c r="D16" s="33">
        <f t="shared" ref="D16:D26" si="5">ROUND(M16,0)</f>
        <v>750</v>
      </c>
      <c r="E16" s="33">
        <f t="shared" ref="E16:E26" si="6">ROUND(N16,0)</f>
        <v>843</v>
      </c>
      <c r="F16" s="33">
        <f t="shared" ref="F16:F26" si="7">ROUND(O16,0)</f>
        <v>936</v>
      </c>
      <c r="G16" s="33">
        <f t="shared" ref="G16:G26" si="8">ROUND(P16,0)</f>
        <v>1011</v>
      </c>
      <c r="H16" s="33">
        <f t="shared" ref="H16:H26" si="9">ROUND(Q16,0)</f>
        <v>1086</v>
      </c>
      <c r="J16" s="24">
        <v>0.25</v>
      </c>
      <c r="K16" s="1663">
        <v>492.1875</v>
      </c>
      <c r="L16" s="1663">
        <v>656.25</v>
      </c>
      <c r="M16" s="1663">
        <v>750</v>
      </c>
      <c r="N16" s="1663">
        <v>842.5</v>
      </c>
      <c r="O16" s="1663">
        <v>936.25</v>
      </c>
      <c r="P16" s="1663">
        <v>1011.25</v>
      </c>
      <c r="Q16" s="1663">
        <v>1086.25</v>
      </c>
      <c r="U16" s="5" t="s">
        <v>160</v>
      </c>
      <c r="V16" t="s">
        <v>97</v>
      </c>
      <c r="W16" t="s">
        <v>109</v>
      </c>
      <c r="X16" s="5" t="s">
        <v>735</v>
      </c>
      <c r="Y16" s="5" t="s">
        <v>736</v>
      </c>
      <c r="Z16" s="5" t="s">
        <v>737</v>
      </c>
      <c r="AA16" s="5" t="s">
        <v>738</v>
      </c>
      <c r="AB16" s="5" t="s">
        <v>739</v>
      </c>
    </row>
    <row r="17" spans="1:28">
      <c r="A17" s="24">
        <v>0.3</v>
      </c>
      <c r="B17" s="33">
        <f t="shared" si="3"/>
        <v>590</v>
      </c>
      <c r="C17" s="33">
        <f t="shared" si="4"/>
        <v>786</v>
      </c>
      <c r="D17" s="33">
        <f t="shared" si="5"/>
        <v>899</v>
      </c>
      <c r="E17" s="33">
        <f t="shared" si="6"/>
        <v>1011</v>
      </c>
      <c r="F17" s="33">
        <f t="shared" si="7"/>
        <v>1124</v>
      </c>
      <c r="G17" s="33">
        <f t="shared" si="8"/>
        <v>1214</v>
      </c>
      <c r="H17" s="33">
        <f t="shared" si="9"/>
        <v>1304</v>
      </c>
      <c r="J17" s="24">
        <v>0.3</v>
      </c>
      <c r="K17" s="1663">
        <v>589.6875</v>
      </c>
      <c r="L17" s="1663">
        <v>786.25</v>
      </c>
      <c r="M17" s="1663">
        <v>898.75</v>
      </c>
      <c r="N17" s="1663">
        <v>1011.25</v>
      </c>
      <c r="O17" s="1663">
        <v>1123.75</v>
      </c>
      <c r="P17" s="1663">
        <v>1213.75</v>
      </c>
      <c r="Q17" s="1663">
        <v>1303.75</v>
      </c>
      <c r="S17" t="s">
        <v>104</v>
      </c>
      <c r="T17" s="5" t="s">
        <v>151</v>
      </c>
      <c r="U17" s="5" t="s">
        <v>154</v>
      </c>
      <c r="V17" s="34">
        <v>0</v>
      </c>
      <c r="W17" s="814">
        <v>12</v>
      </c>
      <c r="X17" s="814">
        <v>17</v>
      </c>
      <c r="Y17" s="814">
        <v>22</v>
      </c>
      <c r="Z17" s="814">
        <v>27</v>
      </c>
      <c r="AA17" s="814">
        <v>34</v>
      </c>
      <c r="AB17" s="814">
        <v>39</v>
      </c>
    </row>
    <row r="18" spans="1:28">
      <c r="A18" s="24">
        <v>0.35</v>
      </c>
      <c r="B18" s="33">
        <f t="shared" ref="B18:H18" si="10">ROUND(K18,0)</f>
        <v>688</v>
      </c>
      <c r="C18" s="33">
        <f t="shared" si="10"/>
        <v>918</v>
      </c>
      <c r="D18" s="33">
        <f t="shared" si="10"/>
        <v>1049</v>
      </c>
      <c r="E18" s="33">
        <f t="shared" si="10"/>
        <v>1180</v>
      </c>
      <c r="F18" s="33">
        <f t="shared" si="10"/>
        <v>1311</v>
      </c>
      <c r="G18" s="33">
        <f t="shared" si="10"/>
        <v>1416</v>
      </c>
      <c r="H18" s="33">
        <f t="shared" si="10"/>
        <v>1521</v>
      </c>
      <c r="J18" s="24">
        <v>0.35</v>
      </c>
      <c r="K18" s="1663">
        <v>688.125</v>
      </c>
      <c r="L18" s="1663">
        <v>917.5</v>
      </c>
      <c r="M18" s="1663">
        <v>1048.75</v>
      </c>
      <c r="N18" s="1663">
        <v>1180</v>
      </c>
      <c r="O18" s="1663">
        <v>1311.25</v>
      </c>
      <c r="P18" s="1663">
        <v>1416.25</v>
      </c>
      <c r="Q18" s="1663">
        <v>1521.25</v>
      </c>
      <c r="T18" s="5" t="s">
        <v>152</v>
      </c>
      <c r="U18" s="5" t="s">
        <v>155</v>
      </c>
      <c r="V18" s="34">
        <v>0</v>
      </c>
      <c r="W18" s="814">
        <v>13</v>
      </c>
      <c r="X18" s="814">
        <v>18</v>
      </c>
      <c r="Y18" s="814">
        <v>23</v>
      </c>
      <c r="Z18" s="814">
        <v>28</v>
      </c>
      <c r="AA18" s="814">
        <v>36</v>
      </c>
      <c r="AB18" s="814">
        <v>41</v>
      </c>
    </row>
    <row r="19" spans="1:28">
      <c r="A19" s="24">
        <v>0.4</v>
      </c>
      <c r="B19" s="33">
        <f t="shared" si="3"/>
        <v>787</v>
      </c>
      <c r="C19" s="33">
        <f t="shared" si="4"/>
        <v>1049</v>
      </c>
      <c r="D19" s="33">
        <f t="shared" si="5"/>
        <v>1199</v>
      </c>
      <c r="E19" s="33">
        <f t="shared" si="6"/>
        <v>1349</v>
      </c>
      <c r="F19" s="33">
        <f t="shared" si="7"/>
        <v>1499</v>
      </c>
      <c r="G19" s="33">
        <f t="shared" si="8"/>
        <v>1619</v>
      </c>
      <c r="H19" s="33">
        <f t="shared" si="9"/>
        <v>1739</v>
      </c>
      <c r="J19" s="24">
        <v>0.4</v>
      </c>
      <c r="K19" s="1663">
        <v>786.5625</v>
      </c>
      <c r="L19" s="1663">
        <v>1048.75</v>
      </c>
      <c r="M19" s="1663">
        <v>1198.75</v>
      </c>
      <c r="N19" s="1663">
        <v>1348.75</v>
      </c>
      <c r="O19" s="1663">
        <v>1498.75</v>
      </c>
      <c r="P19" s="1663">
        <v>1618.75</v>
      </c>
      <c r="Q19" s="1663">
        <v>1738.75</v>
      </c>
      <c r="S19" t="s">
        <v>105</v>
      </c>
      <c r="T19" s="5" t="s">
        <v>151</v>
      </c>
      <c r="U19" s="5" t="s">
        <v>156</v>
      </c>
      <c r="V19" s="34">
        <v>0</v>
      </c>
      <c r="W19" s="814">
        <v>4</v>
      </c>
      <c r="X19" s="814">
        <v>6</v>
      </c>
      <c r="Y19" s="814">
        <v>7</v>
      </c>
      <c r="Z19" s="814">
        <v>9</v>
      </c>
      <c r="AA19" s="814">
        <v>12</v>
      </c>
      <c r="AB19" s="814">
        <v>13</v>
      </c>
    </row>
    <row r="20" spans="1:28">
      <c r="A20" s="24">
        <v>0.45</v>
      </c>
      <c r="B20" s="33">
        <f t="shared" ref="B20:H20" si="11">ROUND(K20,0)</f>
        <v>885</v>
      </c>
      <c r="C20" s="33">
        <f t="shared" si="11"/>
        <v>1180</v>
      </c>
      <c r="D20" s="33">
        <f t="shared" si="11"/>
        <v>1349</v>
      </c>
      <c r="E20" s="33">
        <f t="shared" si="11"/>
        <v>1518</v>
      </c>
      <c r="F20" s="33">
        <f t="shared" si="11"/>
        <v>1686</v>
      </c>
      <c r="G20" s="33">
        <f t="shared" si="11"/>
        <v>1821</v>
      </c>
      <c r="H20" s="33">
        <f t="shared" si="11"/>
        <v>1956</v>
      </c>
      <c r="J20" s="24">
        <v>0.45</v>
      </c>
      <c r="K20" s="1663">
        <v>885</v>
      </c>
      <c r="L20" s="1663">
        <v>1180</v>
      </c>
      <c r="M20" s="1663">
        <v>1348.75</v>
      </c>
      <c r="N20" s="1663">
        <v>1517.5</v>
      </c>
      <c r="O20" s="1663">
        <v>1686.25</v>
      </c>
      <c r="P20" s="1663">
        <v>1821.25</v>
      </c>
      <c r="Q20" s="1663">
        <v>1956.25</v>
      </c>
      <c r="T20" s="5" t="s">
        <v>152</v>
      </c>
      <c r="U20" s="5" t="s">
        <v>157</v>
      </c>
      <c r="V20" s="34">
        <v>0</v>
      </c>
      <c r="W20" s="814">
        <v>18</v>
      </c>
      <c r="X20" s="814">
        <v>25</v>
      </c>
      <c r="Y20" s="814">
        <v>33</v>
      </c>
      <c r="Z20" s="814">
        <v>40</v>
      </c>
      <c r="AA20" s="814">
        <v>51</v>
      </c>
      <c r="AB20" s="814">
        <v>58</v>
      </c>
    </row>
    <row r="21" spans="1:28">
      <c r="A21" s="24">
        <v>0.5</v>
      </c>
      <c r="B21" s="33">
        <f t="shared" si="3"/>
        <v>983</v>
      </c>
      <c r="C21" s="33">
        <f t="shared" si="4"/>
        <v>1311</v>
      </c>
      <c r="D21" s="33">
        <f t="shared" si="5"/>
        <v>1499</v>
      </c>
      <c r="E21" s="33">
        <f t="shared" si="6"/>
        <v>1686</v>
      </c>
      <c r="F21" s="33">
        <f t="shared" si="7"/>
        <v>1874</v>
      </c>
      <c r="G21" s="33">
        <f t="shared" si="8"/>
        <v>2024</v>
      </c>
      <c r="H21" s="33">
        <f t="shared" si="9"/>
        <v>2174</v>
      </c>
      <c r="J21" s="24">
        <v>0.5</v>
      </c>
      <c r="K21" s="1663">
        <v>983.4375</v>
      </c>
      <c r="L21" s="1663">
        <v>1311.25</v>
      </c>
      <c r="M21" s="1663">
        <v>1498.75</v>
      </c>
      <c r="N21" s="1663">
        <v>1686.25</v>
      </c>
      <c r="O21" s="1663">
        <v>1873.75</v>
      </c>
      <c r="P21" s="1663">
        <v>2023.75</v>
      </c>
      <c r="Q21" s="1663">
        <v>2173.75</v>
      </c>
      <c r="S21" t="s">
        <v>106</v>
      </c>
      <c r="U21">
        <v>3</v>
      </c>
      <c r="V21" s="34">
        <v>0</v>
      </c>
      <c r="W21" s="814">
        <v>52</v>
      </c>
      <c r="X21" s="814">
        <v>73</v>
      </c>
      <c r="Y21" s="814">
        <v>94</v>
      </c>
      <c r="Z21" s="814">
        <v>115</v>
      </c>
      <c r="AA21" s="814">
        <v>147</v>
      </c>
      <c r="AB21" s="814">
        <v>168</v>
      </c>
    </row>
    <row r="22" spans="1:28">
      <c r="A22" s="24">
        <v>0.55000000000000004</v>
      </c>
      <c r="B22" s="33">
        <f t="shared" si="3"/>
        <v>1082</v>
      </c>
      <c r="C22" s="33">
        <f t="shared" si="4"/>
        <v>1443</v>
      </c>
      <c r="D22" s="33">
        <f t="shared" si="5"/>
        <v>1649</v>
      </c>
      <c r="E22" s="33">
        <f t="shared" si="6"/>
        <v>1854</v>
      </c>
      <c r="F22" s="33">
        <f t="shared" si="7"/>
        <v>2060</v>
      </c>
      <c r="G22" s="33">
        <f t="shared" si="8"/>
        <v>2225</v>
      </c>
      <c r="H22" s="33">
        <f t="shared" si="9"/>
        <v>2390</v>
      </c>
      <c r="J22" s="24">
        <v>0.55000000000000004</v>
      </c>
      <c r="K22" s="1663">
        <v>1081.875</v>
      </c>
      <c r="L22" s="1663">
        <v>1442.5</v>
      </c>
      <c r="M22" s="1663">
        <v>1648.75</v>
      </c>
      <c r="N22" s="1663">
        <v>1853.75</v>
      </c>
      <c r="O22" s="1663">
        <v>2060</v>
      </c>
      <c r="P22" s="1663">
        <v>2225</v>
      </c>
      <c r="Q22" s="1663">
        <v>2390</v>
      </c>
      <c r="S22" t="s">
        <v>107</v>
      </c>
      <c r="T22" s="5" t="s">
        <v>151</v>
      </c>
      <c r="U22" s="5" t="s">
        <v>158</v>
      </c>
      <c r="V22" s="34">
        <v>0</v>
      </c>
      <c r="W22" s="814">
        <v>11</v>
      </c>
      <c r="X22" s="814">
        <v>16</v>
      </c>
      <c r="Y22" s="814">
        <v>20</v>
      </c>
      <c r="Z22" s="814">
        <v>25</v>
      </c>
      <c r="AA22" s="814">
        <v>32</v>
      </c>
      <c r="AB22" s="814">
        <v>36</v>
      </c>
    </row>
    <row r="23" spans="1:28">
      <c r="A23" s="24">
        <v>0.6</v>
      </c>
      <c r="B23" s="33">
        <f t="shared" si="3"/>
        <v>1180</v>
      </c>
      <c r="C23" s="33">
        <f t="shared" si="4"/>
        <v>1574</v>
      </c>
      <c r="D23" s="33">
        <f t="shared" si="5"/>
        <v>1799</v>
      </c>
      <c r="E23" s="33">
        <f t="shared" si="6"/>
        <v>2023</v>
      </c>
      <c r="F23" s="33">
        <f t="shared" si="7"/>
        <v>2248</v>
      </c>
      <c r="G23" s="33">
        <f t="shared" si="8"/>
        <v>2428</v>
      </c>
      <c r="H23" s="33">
        <f t="shared" si="9"/>
        <v>2608</v>
      </c>
      <c r="J23" s="24">
        <v>0.6</v>
      </c>
      <c r="K23" s="1663">
        <v>1180.3125</v>
      </c>
      <c r="L23" s="1663">
        <v>1573.75</v>
      </c>
      <c r="M23" s="1663">
        <v>1798.75</v>
      </c>
      <c r="N23" s="1663">
        <v>2022.5</v>
      </c>
      <c r="O23" s="1663">
        <v>2247.5</v>
      </c>
      <c r="P23" s="1663">
        <v>2427.5</v>
      </c>
      <c r="Q23" s="1663">
        <v>2607.5</v>
      </c>
      <c r="T23" s="5" t="s">
        <v>152</v>
      </c>
      <c r="U23" s="5" t="s">
        <v>159</v>
      </c>
      <c r="V23" s="34">
        <v>0</v>
      </c>
      <c r="W23" s="814">
        <v>47</v>
      </c>
      <c r="X23" s="814">
        <v>66</v>
      </c>
      <c r="Y23" s="814">
        <v>84</v>
      </c>
      <c r="Z23" s="814">
        <v>103</v>
      </c>
      <c r="AA23" s="814">
        <v>131</v>
      </c>
      <c r="AB23" s="814">
        <v>150</v>
      </c>
    </row>
    <row r="24" spans="1:28">
      <c r="A24" s="24">
        <v>0.7</v>
      </c>
      <c r="B24" s="33">
        <f t="shared" si="3"/>
        <v>1377</v>
      </c>
      <c r="C24" s="33">
        <f t="shared" si="4"/>
        <v>1836</v>
      </c>
      <c r="D24" s="33">
        <f t="shared" si="5"/>
        <v>2099</v>
      </c>
      <c r="E24" s="33">
        <f t="shared" si="6"/>
        <v>2360</v>
      </c>
      <c r="F24" s="33">
        <f t="shared" si="7"/>
        <v>2623</v>
      </c>
      <c r="G24" s="33">
        <f t="shared" si="8"/>
        <v>2833</v>
      </c>
      <c r="H24" s="33">
        <f t="shared" si="9"/>
        <v>3043</v>
      </c>
      <c r="J24" s="24">
        <v>0.7</v>
      </c>
      <c r="K24" s="1663">
        <v>1377.1875</v>
      </c>
      <c r="L24" s="1663">
        <v>1836.25</v>
      </c>
      <c r="M24" s="1663">
        <v>2098.75</v>
      </c>
      <c r="N24" s="1663">
        <v>2360</v>
      </c>
      <c r="O24" s="1663">
        <v>2622.5</v>
      </c>
      <c r="P24" s="1663">
        <v>2832.5</v>
      </c>
      <c r="Q24" s="1663">
        <v>3042.5</v>
      </c>
    </row>
    <row r="25" spans="1:28">
      <c r="A25" s="24">
        <v>0.72</v>
      </c>
      <c r="B25" s="33">
        <f t="shared" si="3"/>
        <v>1417</v>
      </c>
      <c r="C25" s="33">
        <f t="shared" si="4"/>
        <v>1889</v>
      </c>
      <c r="D25" s="33">
        <f t="shared" si="5"/>
        <v>2159</v>
      </c>
      <c r="E25" s="33">
        <f t="shared" si="6"/>
        <v>2428</v>
      </c>
      <c r="F25" s="33">
        <f t="shared" si="7"/>
        <v>2698</v>
      </c>
      <c r="G25" s="33">
        <f t="shared" si="8"/>
        <v>2914</v>
      </c>
      <c r="H25" s="33">
        <f t="shared" si="9"/>
        <v>3129</v>
      </c>
      <c r="J25" s="24">
        <v>0.72</v>
      </c>
      <c r="K25" s="1663">
        <v>1416.5625</v>
      </c>
      <c r="L25" s="1663">
        <v>1888.75</v>
      </c>
      <c r="M25" s="1663">
        <v>2158.75</v>
      </c>
      <c r="N25" s="1663">
        <v>2427.5</v>
      </c>
      <c r="O25" s="1663">
        <v>2697.5</v>
      </c>
      <c r="P25" s="1663">
        <v>2913.75</v>
      </c>
      <c r="Q25" s="1663">
        <v>3128.75</v>
      </c>
    </row>
    <row r="26" spans="1:28">
      <c r="A26" s="24">
        <v>0.73</v>
      </c>
      <c r="B26" s="33">
        <f t="shared" si="3"/>
        <v>1436</v>
      </c>
      <c r="C26" s="33">
        <f t="shared" si="4"/>
        <v>1915</v>
      </c>
      <c r="D26" s="33">
        <f t="shared" si="5"/>
        <v>2189</v>
      </c>
      <c r="E26" s="33">
        <f t="shared" si="6"/>
        <v>2461</v>
      </c>
      <c r="F26" s="33">
        <f t="shared" si="7"/>
        <v>2735</v>
      </c>
      <c r="G26" s="33">
        <f t="shared" si="8"/>
        <v>2954</v>
      </c>
      <c r="H26" s="33">
        <f t="shared" si="9"/>
        <v>3173</v>
      </c>
      <c r="J26" s="24">
        <v>0.73</v>
      </c>
      <c r="K26" s="1663">
        <v>1436.25</v>
      </c>
      <c r="L26" s="1663">
        <v>1915</v>
      </c>
      <c r="M26" s="1663">
        <v>2188.75</v>
      </c>
      <c r="N26" s="1663">
        <v>2461.25</v>
      </c>
      <c r="O26" s="1663">
        <v>2735</v>
      </c>
      <c r="P26" s="1663">
        <v>2953.75</v>
      </c>
      <c r="Q26" s="1663">
        <v>3172.5</v>
      </c>
    </row>
    <row r="27" spans="1:28">
      <c r="A27" s="24">
        <v>0.75</v>
      </c>
      <c r="B27" s="33">
        <f t="shared" ref="B27:B35" si="12">ROUND(K27,0)</f>
        <v>1476</v>
      </c>
      <c r="C27" s="33">
        <f t="shared" ref="C27:C35" si="13">ROUND(L27,0)</f>
        <v>1968</v>
      </c>
      <c r="D27" s="33">
        <f t="shared" ref="D27:D35" si="14">ROUND(M27,0)</f>
        <v>2249</v>
      </c>
      <c r="E27" s="33">
        <f t="shared" ref="E27:E35" si="15">ROUND(N27,0)</f>
        <v>2529</v>
      </c>
      <c r="F27" s="33">
        <f t="shared" ref="F27:F35" si="16">ROUND(O27,0)</f>
        <v>2810</v>
      </c>
      <c r="G27" s="33">
        <f t="shared" ref="G27:G35" si="17">ROUND(P27,0)</f>
        <v>3035</v>
      </c>
      <c r="H27" s="33">
        <f t="shared" ref="H27:H35" si="18">ROUND(Q27,0)</f>
        <v>3260</v>
      </c>
      <c r="J27" s="24">
        <v>0.75</v>
      </c>
      <c r="K27" s="1663">
        <v>1475.625</v>
      </c>
      <c r="L27" s="1663">
        <v>1967.5</v>
      </c>
      <c r="M27" s="1663">
        <v>2248.75</v>
      </c>
      <c r="N27" s="1663">
        <v>2528.75</v>
      </c>
      <c r="O27" s="1663">
        <v>2810</v>
      </c>
      <c r="P27" s="1663">
        <v>3035</v>
      </c>
      <c r="Q27" s="1663">
        <v>3260</v>
      </c>
      <c r="S27" s="1387" t="s">
        <v>1727</v>
      </c>
      <c r="T27" s="32"/>
      <c r="U27" s="32"/>
      <c r="V27" s="32"/>
      <c r="W27" s="32"/>
      <c r="X27" s="32"/>
      <c r="Y27" s="32"/>
      <c r="Z27" s="32"/>
      <c r="AA27" s="32"/>
      <c r="AB27" s="32"/>
    </row>
    <row r="28" spans="1:28">
      <c r="A28" s="24">
        <v>0.8</v>
      </c>
      <c r="B28" s="33">
        <f t="shared" si="12"/>
        <v>1573</v>
      </c>
      <c r="C28" s="33">
        <f t="shared" si="13"/>
        <v>2098</v>
      </c>
      <c r="D28" s="33">
        <f t="shared" si="14"/>
        <v>2398</v>
      </c>
      <c r="E28" s="33">
        <f t="shared" si="15"/>
        <v>2698</v>
      </c>
      <c r="F28" s="33">
        <f t="shared" si="16"/>
        <v>2998</v>
      </c>
      <c r="G28" s="33">
        <f t="shared" si="17"/>
        <v>3238</v>
      </c>
      <c r="H28" s="33">
        <f t="shared" si="18"/>
        <v>3478</v>
      </c>
      <c r="J28" s="24">
        <v>0.8</v>
      </c>
      <c r="K28" s="1663">
        <v>1573.125</v>
      </c>
      <c r="L28" s="1663">
        <v>2097.5</v>
      </c>
      <c r="M28" s="1663">
        <v>2397.5</v>
      </c>
      <c r="N28" s="1663">
        <v>2697.5</v>
      </c>
      <c r="O28" s="1663">
        <v>2997.5</v>
      </c>
      <c r="P28" s="1663">
        <v>3237.5</v>
      </c>
      <c r="Q28" s="1663">
        <v>3477.5</v>
      </c>
    </row>
    <row r="29" spans="1:28">
      <c r="A29" s="24">
        <v>0.9</v>
      </c>
      <c r="B29" s="33">
        <f t="shared" si="12"/>
        <v>1770</v>
      </c>
      <c r="C29" s="33">
        <f t="shared" si="13"/>
        <v>2360</v>
      </c>
      <c r="D29" s="33">
        <f t="shared" si="14"/>
        <v>2698</v>
      </c>
      <c r="E29" s="33">
        <f t="shared" si="15"/>
        <v>3034</v>
      </c>
      <c r="F29" s="33">
        <f t="shared" si="16"/>
        <v>3371</v>
      </c>
      <c r="G29" s="33">
        <f t="shared" si="17"/>
        <v>3641</v>
      </c>
      <c r="H29" s="33">
        <f t="shared" si="18"/>
        <v>3911</v>
      </c>
      <c r="J29" s="24">
        <v>0.9</v>
      </c>
      <c r="K29" s="1663">
        <v>1770</v>
      </c>
      <c r="L29" s="1663">
        <v>2360</v>
      </c>
      <c r="M29" s="1663">
        <v>2697.5</v>
      </c>
      <c r="N29" s="1663">
        <v>3033.75</v>
      </c>
      <c r="O29" s="1663">
        <v>3371.25</v>
      </c>
      <c r="P29" s="1663">
        <v>3641.25</v>
      </c>
      <c r="Q29" s="1663">
        <v>3911.25</v>
      </c>
      <c r="S29" s="5"/>
    </row>
    <row r="30" spans="1:28">
      <c r="A30" s="24">
        <v>1</v>
      </c>
      <c r="B30" s="33">
        <f t="shared" si="12"/>
        <v>1967</v>
      </c>
      <c r="C30" s="33">
        <f t="shared" si="13"/>
        <v>2623</v>
      </c>
      <c r="D30" s="33">
        <f t="shared" si="14"/>
        <v>2998</v>
      </c>
      <c r="E30" s="33">
        <f t="shared" si="15"/>
        <v>3371</v>
      </c>
      <c r="F30" s="33">
        <f t="shared" si="16"/>
        <v>3746</v>
      </c>
      <c r="G30" s="33">
        <f t="shared" si="17"/>
        <v>4046</v>
      </c>
      <c r="H30" s="33">
        <f t="shared" si="18"/>
        <v>4346</v>
      </c>
      <c r="J30" s="24">
        <v>1</v>
      </c>
      <c r="K30" s="1663">
        <v>1966.875</v>
      </c>
      <c r="L30" s="1663">
        <v>2622.5</v>
      </c>
      <c r="M30" s="1663">
        <v>2997.5</v>
      </c>
      <c r="N30" s="1663">
        <v>3371.25</v>
      </c>
      <c r="O30" s="1663">
        <v>3746.25</v>
      </c>
      <c r="P30" s="1663">
        <v>4046.25</v>
      </c>
      <c r="Q30" s="1663">
        <v>4346.25</v>
      </c>
      <c r="S30" s="7" t="s">
        <v>110</v>
      </c>
    </row>
    <row r="31" spans="1:28">
      <c r="A31" s="24">
        <v>1.1000000000000001</v>
      </c>
      <c r="B31" s="33">
        <f t="shared" si="12"/>
        <v>2164</v>
      </c>
      <c r="C31" s="33">
        <f t="shared" si="13"/>
        <v>2885</v>
      </c>
      <c r="D31" s="33">
        <f t="shared" si="14"/>
        <v>3298</v>
      </c>
      <c r="E31" s="33">
        <f t="shared" si="15"/>
        <v>3709</v>
      </c>
      <c r="F31" s="33">
        <f t="shared" si="16"/>
        <v>4121</v>
      </c>
      <c r="G31" s="33">
        <f t="shared" si="17"/>
        <v>4451</v>
      </c>
      <c r="H31" s="33">
        <f t="shared" si="18"/>
        <v>4781</v>
      </c>
      <c r="J31" s="24">
        <v>1.1000000000000001</v>
      </c>
      <c r="K31" s="1663">
        <v>2163.75</v>
      </c>
      <c r="L31" s="1663">
        <v>2885</v>
      </c>
      <c r="M31" s="1663">
        <v>3297.5</v>
      </c>
      <c r="N31" s="1663">
        <v>3708.75</v>
      </c>
      <c r="O31" s="1663">
        <v>4121.25</v>
      </c>
      <c r="P31" s="1663">
        <v>4451.25</v>
      </c>
      <c r="Q31" s="1663">
        <v>4781.25</v>
      </c>
    </row>
    <row r="32" spans="1:28">
      <c r="A32" s="24">
        <v>1.2</v>
      </c>
      <c r="B32" s="33">
        <f t="shared" si="12"/>
        <v>2361</v>
      </c>
      <c r="C32" s="33">
        <f t="shared" si="13"/>
        <v>3148</v>
      </c>
      <c r="D32" s="33">
        <f t="shared" si="14"/>
        <v>3598</v>
      </c>
      <c r="E32" s="33">
        <f t="shared" si="15"/>
        <v>4045</v>
      </c>
      <c r="F32" s="33">
        <f t="shared" si="16"/>
        <v>4495</v>
      </c>
      <c r="G32" s="33">
        <f t="shared" si="17"/>
        <v>4855</v>
      </c>
      <c r="H32" s="33">
        <f t="shared" si="18"/>
        <v>5215</v>
      </c>
      <c r="J32" s="24">
        <v>1.2</v>
      </c>
      <c r="K32" s="1663">
        <v>2360.625</v>
      </c>
      <c r="L32" s="1663">
        <v>3147.5</v>
      </c>
      <c r="M32" s="1663">
        <v>3597.5</v>
      </c>
      <c r="N32" s="1663">
        <v>4045</v>
      </c>
      <c r="O32" s="1663">
        <v>4495</v>
      </c>
      <c r="P32" s="1663">
        <v>4855</v>
      </c>
      <c r="Q32" s="1663">
        <v>5215</v>
      </c>
      <c r="S32" s="7" t="s">
        <v>111</v>
      </c>
    </row>
    <row r="33" spans="1:28">
      <c r="A33" s="24">
        <v>1.35</v>
      </c>
      <c r="B33" s="33">
        <f t="shared" si="12"/>
        <v>2655</v>
      </c>
      <c r="C33" s="33">
        <f t="shared" si="13"/>
        <v>3540</v>
      </c>
      <c r="D33" s="33">
        <f t="shared" si="14"/>
        <v>4046</v>
      </c>
      <c r="E33" s="33">
        <f t="shared" si="15"/>
        <v>4551</v>
      </c>
      <c r="F33" s="33">
        <f t="shared" si="16"/>
        <v>5058</v>
      </c>
      <c r="G33" s="33">
        <f t="shared" si="17"/>
        <v>5463</v>
      </c>
      <c r="H33" s="33">
        <f t="shared" si="18"/>
        <v>5868</v>
      </c>
      <c r="J33" s="24">
        <v>1.35</v>
      </c>
      <c r="K33" s="1663">
        <v>2655</v>
      </c>
      <c r="L33" s="1663">
        <v>3540</v>
      </c>
      <c r="M33" s="1663">
        <v>4046.25</v>
      </c>
      <c r="N33" s="1663">
        <v>4551.25</v>
      </c>
      <c r="O33" s="1663">
        <v>5057.5</v>
      </c>
      <c r="P33" s="1663">
        <v>5462.5</v>
      </c>
      <c r="Q33" s="1663">
        <v>5867.5</v>
      </c>
    </row>
    <row r="34" spans="1:28">
      <c r="A34" s="24">
        <v>1.4</v>
      </c>
      <c r="B34" s="33">
        <f t="shared" si="12"/>
        <v>2753</v>
      </c>
      <c r="C34" s="33">
        <f t="shared" si="13"/>
        <v>3671</v>
      </c>
      <c r="D34" s="33">
        <f t="shared" si="14"/>
        <v>4196</v>
      </c>
      <c r="E34" s="33">
        <f t="shared" si="15"/>
        <v>4720</v>
      </c>
      <c r="F34" s="33">
        <f t="shared" si="16"/>
        <v>5245</v>
      </c>
      <c r="G34" s="33">
        <f t="shared" si="17"/>
        <v>5665</v>
      </c>
      <c r="H34" s="33">
        <f t="shared" si="18"/>
        <v>6085</v>
      </c>
      <c r="J34" s="24">
        <v>1.4</v>
      </c>
      <c r="K34" s="1663">
        <v>2753.4375</v>
      </c>
      <c r="L34" s="1663">
        <v>3671.25</v>
      </c>
      <c r="M34" s="1663">
        <v>4196.25</v>
      </c>
      <c r="N34" s="1663">
        <v>4720</v>
      </c>
      <c r="O34" s="1663">
        <v>5245</v>
      </c>
      <c r="P34" s="1663">
        <v>5665</v>
      </c>
      <c r="Q34" s="1663">
        <v>6085</v>
      </c>
      <c r="S34" t="s">
        <v>112</v>
      </c>
      <c r="W34" t="s">
        <v>113</v>
      </c>
    </row>
    <row r="35" spans="1:28">
      <c r="A35" s="24">
        <v>1.5</v>
      </c>
      <c r="B35" s="33">
        <f t="shared" si="12"/>
        <v>2950</v>
      </c>
      <c r="C35" s="33">
        <f t="shared" si="13"/>
        <v>3934</v>
      </c>
      <c r="D35" s="33">
        <f t="shared" si="14"/>
        <v>4496</v>
      </c>
      <c r="E35" s="33">
        <f t="shared" si="15"/>
        <v>5058</v>
      </c>
      <c r="F35" s="33">
        <f t="shared" si="16"/>
        <v>5620</v>
      </c>
      <c r="G35" s="33">
        <f t="shared" si="17"/>
        <v>6070</v>
      </c>
      <c r="H35" s="33">
        <f t="shared" si="18"/>
        <v>6520</v>
      </c>
      <c r="J35" s="24">
        <v>1.5</v>
      </c>
      <c r="K35" s="1663">
        <v>2950.3125</v>
      </c>
      <c r="L35" s="1663">
        <v>3933.75</v>
      </c>
      <c r="M35" s="1663">
        <v>4496.25</v>
      </c>
      <c r="N35" s="1663">
        <v>5057.5</v>
      </c>
      <c r="O35" s="1663">
        <v>5620</v>
      </c>
      <c r="P35" s="1663">
        <v>6070</v>
      </c>
      <c r="Q35" s="1663">
        <v>6520</v>
      </c>
      <c r="U35" s="5" t="s">
        <v>160</v>
      </c>
      <c r="V35" t="s">
        <v>97</v>
      </c>
      <c r="W35" t="s">
        <v>109</v>
      </c>
      <c r="X35" s="5" t="s">
        <v>735</v>
      </c>
      <c r="Y35" s="5" t="s">
        <v>736</v>
      </c>
      <c r="Z35" s="5" t="s">
        <v>737</v>
      </c>
      <c r="AA35" s="5" t="s">
        <v>738</v>
      </c>
      <c r="AB35" s="5" t="s">
        <v>739</v>
      </c>
    </row>
    <row r="36" spans="1:28">
      <c r="S36" t="s">
        <v>104</v>
      </c>
      <c r="T36" s="5" t="s">
        <v>151</v>
      </c>
      <c r="U36" s="5" t="s">
        <v>154</v>
      </c>
      <c r="V36" s="34">
        <v>0</v>
      </c>
      <c r="W36" s="34">
        <v>13</v>
      </c>
      <c r="X36" s="34">
        <v>15</v>
      </c>
      <c r="Y36" s="34">
        <v>18</v>
      </c>
      <c r="Z36" s="34">
        <v>21</v>
      </c>
      <c r="AA36" s="34">
        <v>24</v>
      </c>
      <c r="AB36" s="34">
        <v>26</v>
      </c>
    </row>
    <row r="37" spans="1:28">
      <c r="A37" s="32">
        <v>2024</v>
      </c>
      <c r="E37" s="26" t="s">
        <v>161</v>
      </c>
      <c r="R37" s="5"/>
      <c r="T37" s="5" t="s">
        <v>152</v>
      </c>
      <c r="U37" s="5" t="s">
        <v>155</v>
      </c>
      <c r="V37" s="34">
        <v>0</v>
      </c>
      <c r="W37" s="34">
        <v>15</v>
      </c>
      <c r="X37" s="34">
        <v>18</v>
      </c>
      <c r="Y37" s="34">
        <v>23</v>
      </c>
      <c r="Z37" s="34">
        <v>28</v>
      </c>
      <c r="AA37" s="34">
        <v>33</v>
      </c>
      <c r="AB37" s="34">
        <v>38</v>
      </c>
    </row>
    <row r="38" spans="1:28">
      <c r="A38" s="6" t="s">
        <v>1254</v>
      </c>
      <c r="E38" s="5" t="s">
        <v>1255</v>
      </c>
      <c r="V38" s="34"/>
      <c r="W38" s="34"/>
      <c r="X38" s="34"/>
      <c r="Y38" s="34"/>
      <c r="Z38" s="34"/>
      <c r="AA38" s="34"/>
      <c r="AB38" s="34"/>
    </row>
    <row r="39" spans="1:28">
      <c r="A39" s="5" t="s">
        <v>145</v>
      </c>
      <c r="B39">
        <v>0.70051194539249151</v>
      </c>
      <c r="C39">
        <v>0.80034129692832767</v>
      </c>
      <c r="D39">
        <v>0.90017064846416384</v>
      </c>
      <c r="E39">
        <v>1</v>
      </c>
      <c r="F39">
        <v>1.0802047781569966</v>
      </c>
      <c r="G39">
        <v>1.1604095563139931</v>
      </c>
      <c r="H39">
        <v>1.2406143344709897</v>
      </c>
      <c r="I39">
        <v>1.3208191126279865</v>
      </c>
      <c r="K39" s="5"/>
      <c r="S39" t="s">
        <v>105</v>
      </c>
      <c r="T39" s="5" t="s">
        <v>151</v>
      </c>
      <c r="U39" s="5" t="s">
        <v>156</v>
      </c>
      <c r="V39" s="34">
        <v>0</v>
      </c>
      <c r="W39" s="34">
        <v>5</v>
      </c>
      <c r="X39" s="34">
        <v>5</v>
      </c>
      <c r="Y39" s="34">
        <v>6</v>
      </c>
      <c r="Z39" s="34">
        <v>8</v>
      </c>
      <c r="AA39" s="34">
        <v>9</v>
      </c>
      <c r="AB39" s="34">
        <v>11</v>
      </c>
    </row>
    <row r="40" spans="1:28">
      <c r="A40" s="5" t="s">
        <v>192</v>
      </c>
      <c r="B40">
        <v>1</v>
      </c>
      <c r="C40">
        <v>2</v>
      </c>
      <c r="D40">
        <v>3</v>
      </c>
      <c r="E40">
        <v>4</v>
      </c>
      <c r="F40">
        <v>5</v>
      </c>
      <c r="G40">
        <v>6</v>
      </c>
      <c r="H40">
        <v>7</v>
      </c>
      <c r="I40">
        <v>8</v>
      </c>
      <c r="M40" s="5"/>
      <c r="N40" s="5"/>
      <c r="O40" s="5"/>
      <c r="P40" s="5"/>
      <c r="Q40" s="5"/>
      <c r="T40" s="5" t="s">
        <v>152</v>
      </c>
      <c r="U40" s="5" t="s">
        <v>157</v>
      </c>
      <c r="V40" s="34">
        <v>0</v>
      </c>
      <c r="W40" s="34">
        <v>8</v>
      </c>
      <c r="X40" s="34">
        <v>10</v>
      </c>
      <c r="Y40" s="34">
        <v>12</v>
      </c>
      <c r="Z40" s="34">
        <v>14</v>
      </c>
      <c r="AA40" s="34">
        <v>17</v>
      </c>
      <c r="AB40" s="34">
        <v>19</v>
      </c>
    </row>
    <row r="41" spans="1:28">
      <c r="A41" s="38">
        <v>1</v>
      </c>
      <c r="B41" s="83">
        <v>137100</v>
      </c>
      <c r="C41" s="83">
        <v>156700</v>
      </c>
      <c r="D41" s="83">
        <v>176300</v>
      </c>
      <c r="E41" s="83">
        <v>195800</v>
      </c>
      <c r="F41" s="83">
        <v>211500</v>
      </c>
      <c r="G41" s="83">
        <v>227200</v>
      </c>
      <c r="H41" s="83">
        <v>242800</v>
      </c>
      <c r="I41" s="83">
        <v>258500</v>
      </c>
      <c r="P41" s="84"/>
      <c r="Q41" s="84"/>
      <c r="V41" s="34"/>
      <c r="W41" s="34"/>
      <c r="X41" s="34"/>
      <c r="Y41" s="34"/>
      <c r="Z41" s="34"/>
      <c r="AA41" s="34"/>
      <c r="AB41" s="34"/>
    </row>
    <row r="42" spans="1:28">
      <c r="A42" s="38">
        <v>0.8</v>
      </c>
      <c r="B42" s="83">
        <v>109680</v>
      </c>
      <c r="C42" s="83">
        <v>125360</v>
      </c>
      <c r="D42" s="83">
        <v>141040</v>
      </c>
      <c r="E42" s="83">
        <v>156640</v>
      </c>
      <c r="F42" s="83">
        <v>169200</v>
      </c>
      <c r="G42" s="83">
        <v>181760</v>
      </c>
      <c r="H42" s="83">
        <v>194240</v>
      </c>
      <c r="I42" s="83">
        <v>206800</v>
      </c>
      <c r="P42" s="84"/>
      <c r="S42" t="s">
        <v>106</v>
      </c>
      <c r="U42">
        <v>3</v>
      </c>
      <c r="V42" s="34">
        <v>0</v>
      </c>
      <c r="W42" s="34">
        <v>22</v>
      </c>
      <c r="X42" s="34">
        <v>27</v>
      </c>
      <c r="Y42" s="34">
        <v>38</v>
      </c>
      <c r="Z42" s="34">
        <v>54</v>
      </c>
      <c r="AA42" s="34">
        <v>72</v>
      </c>
      <c r="AB42" s="34">
        <v>90</v>
      </c>
    </row>
    <row r="43" spans="1:28">
      <c r="A43" s="38">
        <v>0.7</v>
      </c>
      <c r="B43" s="83">
        <v>95970</v>
      </c>
      <c r="C43" s="83">
        <v>109690</v>
      </c>
      <c r="D43" s="83">
        <v>123410</v>
      </c>
      <c r="E43" s="83">
        <v>137060</v>
      </c>
      <c r="F43" s="83">
        <v>148050</v>
      </c>
      <c r="G43" s="83">
        <v>159040</v>
      </c>
      <c r="H43" s="83">
        <v>169960</v>
      </c>
      <c r="I43" s="83">
        <v>180950</v>
      </c>
      <c r="P43" s="84"/>
      <c r="V43" s="34"/>
      <c r="W43" s="34"/>
      <c r="X43" s="34"/>
      <c r="Y43" s="34"/>
      <c r="Z43" s="34"/>
      <c r="AA43" s="34"/>
      <c r="AB43" s="34"/>
    </row>
    <row r="44" spans="1:28">
      <c r="A44" s="38">
        <v>0.6</v>
      </c>
      <c r="B44" s="83">
        <v>82260</v>
      </c>
      <c r="C44" s="83">
        <v>94020</v>
      </c>
      <c r="D44" s="83">
        <v>105780</v>
      </c>
      <c r="E44" s="83">
        <v>117480</v>
      </c>
      <c r="F44" s="83">
        <v>126900</v>
      </c>
      <c r="G44" s="83">
        <v>136320</v>
      </c>
      <c r="H44" s="83">
        <v>145680</v>
      </c>
      <c r="I44" s="83">
        <v>155100</v>
      </c>
      <c r="P44" s="84"/>
      <c r="S44" t="s">
        <v>107</v>
      </c>
      <c r="T44" s="5" t="s">
        <v>151</v>
      </c>
      <c r="U44" s="5" t="s">
        <v>158</v>
      </c>
      <c r="V44" s="34">
        <v>0</v>
      </c>
      <c r="W44" s="34">
        <v>11</v>
      </c>
      <c r="X44" s="34">
        <v>13</v>
      </c>
      <c r="Y44" s="34">
        <v>19</v>
      </c>
      <c r="Z44" s="34">
        <v>23</v>
      </c>
      <c r="AA44" s="34">
        <v>26</v>
      </c>
      <c r="AB44" s="34">
        <v>30</v>
      </c>
    </row>
    <row r="45" spans="1:28">
      <c r="A45" s="38">
        <v>0.55000000000000004</v>
      </c>
      <c r="B45" s="83">
        <v>75405</v>
      </c>
      <c r="C45" s="83">
        <v>86185</v>
      </c>
      <c r="D45" s="83">
        <v>96965</v>
      </c>
      <c r="E45" s="83">
        <v>107690</v>
      </c>
      <c r="F45" s="83">
        <v>116325</v>
      </c>
      <c r="G45" s="83">
        <v>124960</v>
      </c>
      <c r="H45" s="83">
        <v>133540</v>
      </c>
      <c r="I45" s="83">
        <v>142175</v>
      </c>
      <c r="P45" s="84"/>
      <c r="T45" s="5" t="s">
        <v>152</v>
      </c>
      <c r="U45" s="5" t="s">
        <v>159</v>
      </c>
      <c r="V45" s="34">
        <v>0</v>
      </c>
      <c r="W45" s="34">
        <v>17</v>
      </c>
      <c r="X45" s="34">
        <v>20</v>
      </c>
      <c r="Y45" s="34">
        <v>29</v>
      </c>
      <c r="Z45" s="34">
        <v>36</v>
      </c>
      <c r="AA45" s="34">
        <v>43</v>
      </c>
      <c r="AB45" s="34">
        <v>48</v>
      </c>
    </row>
    <row r="46" spans="1:28">
      <c r="A46" s="38">
        <v>0.5</v>
      </c>
      <c r="B46" s="83">
        <v>68550</v>
      </c>
      <c r="C46" s="83">
        <v>78350</v>
      </c>
      <c r="D46" s="83">
        <v>88150</v>
      </c>
      <c r="E46" s="83">
        <v>97900</v>
      </c>
      <c r="F46" s="83">
        <v>105750</v>
      </c>
      <c r="G46" s="83">
        <v>113600</v>
      </c>
      <c r="H46" s="83">
        <v>121400</v>
      </c>
      <c r="I46" s="83">
        <v>129250</v>
      </c>
      <c r="P46" s="84"/>
    </row>
    <row r="47" spans="1:28">
      <c r="A47" s="38">
        <v>0.45</v>
      </c>
      <c r="B47" s="83">
        <v>61695</v>
      </c>
      <c r="C47" s="83">
        <v>70515</v>
      </c>
      <c r="D47" s="83">
        <v>79335</v>
      </c>
      <c r="E47" s="83">
        <v>88110</v>
      </c>
      <c r="F47" s="83">
        <v>95175</v>
      </c>
      <c r="G47" s="83">
        <v>102240</v>
      </c>
      <c r="H47" s="83">
        <v>109260</v>
      </c>
      <c r="I47" s="83">
        <v>116325</v>
      </c>
      <c r="P47" s="84"/>
      <c r="S47" t="s">
        <v>114</v>
      </c>
    </row>
    <row r="48" spans="1:28">
      <c r="A48" s="38">
        <v>0.4</v>
      </c>
      <c r="B48" s="83">
        <v>54840</v>
      </c>
      <c r="C48" s="83">
        <v>62680</v>
      </c>
      <c r="D48" s="83">
        <v>70520</v>
      </c>
      <c r="E48" s="83">
        <v>78320</v>
      </c>
      <c r="F48" s="83">
        <v>84600</v>
      </c>
      <c r="G48" s="83">
        <v>90880</v>
      </c>
      <c r="H48" s="83">
        <v>97120</v>
      </c>
      <c r="I48" s="83">
        <v>103400</v>
      </c>
      <c r="P48" s="84"/>
    </row>
    <row r="49" spans="1:16">
      <c r="A49" s="38">
        <v>0.35</v>
      </c>
      <c r="B49" s="83">
        <v>47985</v>
      </c>
      <c r="C49" s="83">
        <v>54845</v>
      </c>
      <c r="D49" s="83">
        <v>61705</v>
      </c>
      <c r="E49" s="83">
        <v>68530</v>
      </c>
      <c r="F49" s="83">
        <v>74025</v>
      </c>
      <c r="G49" s="83">
        <v>79520</v>
      </c>
      <c r="H49" s="83">
        <v>84980</v>
      </c>
      <c r="I49" s="83">
        <v>90475</v>
      </c>
      <c r="P49" s="84"/>
    </row>
    <row r="50" spans="1:16">
      <c r="A50" s="38">
        <v>0.3</v>
      </c>
      <c r="B50" s="83">
        <v>41130</v>
      </c>
      <c r="C50" s="83">
        <v>47010</v>
      </c>
      <c r="D50" s="83">
        <v>52890</v>
      </c>
      <c r="E50" s="83">
        <v>58740</v>
      </c>
      <c r="F50" s="83">
        <v>63450</v>
      </c>
      <c r="G50" s="83">
        <v>68160</v>
      </c>
      <c r="H50" s="83">
        <v>72840</v>
      </c>
      <c r="I50" s="83">
        <v>77550</v>
      </c>
      <c r="P50" s="84"/>
    </row>
    <row r="51" spans="1:16">
      <c r="A51" s="36"/>
    </row>
    <row r="52" spans="1:16">
      <c r="A52" s="36"/>
      <c r="B52" s="39">
        <f t="shared" ref="B52:I57" si="19">B44/B$41</f>
        <v>0.6</v>
      </c>
      <c r="C52" s="39">
        <f t="shared" si="19"/>
        <v>0.6</v>
      </c>
      <c r="D52" s="39">
        <f t="shared" si="19"/>
        <v>0.6</v>
      </c>
      <c r="E52" s="39">
        <f t="shared" si="19"/>
        <v>0.6</v>
      </c>
      <c r="F52" s="39">
        <f t="shared" si="19"/>
        <v>0.6</v>
      </c>
      <c r="G52" s="39">
        <f t="shared" si="19"/>
        <v>0.6</v>
      </c>
      <c r="H52" s="39">
        <f t="shared" si="19"/>
        <v>0.6</v>
      </c>
      <c r="I52" s="39">
        <f t="shared" si="19"/>
        <v>0.6</v>
      </c>
    </row>
    <row r="53" spans="1:16">
      <c r="A53" s="37"/>
      <c r="B53" s="39">
        <f t="shared" si="19"/>
        <v>0.55000000000000004</v>
      </c>
      <c r="C53" s="39">
        <f t="shared" si="19"/>
        <v>0.55000000000000004</v>
      </c>
      <c r="D53" s="39">
        <f t="shared" si="19"/>
        <v>0.55000000000000004</v>
      </c>
      <c r="E53" s="39">
        <f t="shared" si="19"/>
        <v>0.55000000000000004</v>
      </c>
      <c r="F53" s="39">
        <f t="shared" si="19"/>
        <v>0.55000000000000004</v>
      </c>
      <c r="G53" s="39">
        <f t="shared" si="19"/>
        <v>0.55000000000000004</v>
      </c>
      <c r="H53" s="39">
        <f t="shared" si="19"/>
        <v>0.55000000000000004</v>
      </c>
      <c r="I53" s="39">
        <f t="shared" si="19"/>
        <v>0.55000000000000004</v>
      </c>
    </row>
    <row r="54" spans="1:16">
      <c r="A54" s="36"/>
      <c r="B54" s="39">
        <f t="shared" si="19"/>
        <v>0.5</v>
      </c>
      <c r="C54" s="39">
        <f t="shared" si="19"/>
        <v>0.5</v>
      </c>
      <c r="D54" s="39">
        <f t="shared" si="19"/>
        <v>0.5</v>
      </c>
      <c r="E54" s="39">
        <f t="shared" si="19"/>
        <v>0.5</v>
      </c>
      <c r="F54" s="39">
        <f t="shared" si="19"/>
        <v>0.5</v>
      </c>
      <c r="G54" s="39">
        <f t="shared" si="19"/>
        <v>0.5</v>
      </c>
      <c r="H54" s="39">
        <f t="shared" si="19"/>
        <v>0.5</v>
      </c>
      <c r="I54" s="39">
        <f t="shared" si="19"/>
        <v>0.5</v>
      </c>
    </row>
    <row r="55" spans="1:16">
      <c r="A55" s="36"/>
      <c r="B55" s="39">
        <f t="shared" si="19"/>
        <v>0.45</v>
      </c>
      <c r="C55" s="39">
        <f t="shared" si="19"/>
        <v>0.45</v>
      </c>
      <c r="D55" s="39">
        <f t="shared" si="19"/>
        <v>0.45</v>
      </c>
      <c r="E55" s="39">
        <f t="shared" si="19"/>
        <v>0.45</v>
      </c>
      <c r="F55" s="39">
        <f t="shared" si="19"/>
        <v>0.45</v>
      </c>
      <c r="G55" s="39">
        <f t="shared" si="19"/>
        <v>0.45</v>
      </c>
      <c r="H55" s="39">
        <f t="shared" si="19"/>
        <v>0.45</v>
      </c>
      <c r="I55" s="39">
        <f t="shared" si="19"/>
        <v>0.45</v>
      </c>
    </row>
    <row r="56" spans="1:16">
      <c r="A56" s="36"/>
      <c r="B56" s="39">
        <f t="shared" si="19"/>
        <v>0.4</v>
      </c>
      <c r="C56" s="39">
        <f t="shared" si="19"/>
        <v>0.4</v>
      </c>
      <c r="D56" s="39">
        <f t="shared" si="19"/>
        <v>0.4</v>
      </c>
      <c r="E56" s="39">
        <f t="shared" si="19"/>
        <v>0.4</v>
      </c>
      <c r="F56" s="39">
        <f t="shared" si="19"/>
        <v>0.4</v>
      </c>
      <c r="G56" s="39">
        <f t="shared" si="19"/>
        <v>0.4</v>
      </c>
      <c r="H56" s="39">
        <f t="shared" si="19"/>
        <v>0.4</v>
      </c>
      <c r="I56" s="39">
        <f t="shared" si="19"/>
        <v>0.4</v>
      </c>
    </row>
    <row r="57" spans="1:16">
      <c r="A57" s="36"/>
      <c r="B57" s="39">
        <f t="shared" si="19"/>
        <v>0.35</v>
      </c>
      <c r="C57" s="39">
        <f t="shared" si="19"/>
        <v>0.35</v>
      </c>
      <c r="D57" s="39">
        <f t="shared" si="19"/>
        <v>0.35</v>
      </c>
      <c r="E57" s="39">
        <f t="shared" si="19"/>
        <v>0.35</v>
      </c>
      <c r="F57" s="39">
        <f t="shared" si="19"/>
        <v>0.35</v>
      </c>
      <c r="G57" s="39">
        <f t="shared" si="19"/>
        <v>0.35</v>
      </c>
      <c r="H57" s="39">
        <f t="shared" si="19"/>
        <v>0.35</v>
      </c>
      <c r="I57" s="39">
        <f t="shared" si="19"/>
        <v>0.35</v>
      </c>
    </row>
    <row r="58" spans="1:16">
      <c r="A58" s="36"/>
      <c r="B58" s="39"/>
      <c r="C58" s="39"/>
      <c r="D58" s="39"/>
      <c r="E58" s="39"/>
      <c r="F58" s="39"/>
      <c r="G58" s="39"/>
      <c r="H58" s="39"/>
      <c r="I58" s="39"/>
      <c r="J58" s="39"/>
    </row>
    <row r="59" spans="1:16">
      <c r="A59" s="36"/>
      <c r="B59" s="39"/>
      <c r="C59" s="39"/>
      <c r="D59" s="39"/>
      <c r="E59" s="39"/>
      <c r="F59" s="39"/>
      <c r="G59" s="39"/>
      <c r="H59" s="39"/>
      <c r="I59" s="39"/>
    </row>
    <row r="60" spans="1:16">
      <c r="A60" s="36"/>
      <c r="B60" s="36"/>
      <c r="C60" s="5" t="s">
        <v>165</v>
      </c>
      <c r="D60" s="5" t="s">
        <v>166</v>
      </c>
      <c r="E60" s="5" t="s">
        <v>167</v>
      </c>
      <c r="F60" s="5" t="s">
        <v>168</v>
      </c>
      <c r="G60" s="5" t="s">
        <v>169</v>
      </c>
      <c r="H60" s="5" t="s">
        <v>170</v>
      </c>
      <c r="I60" s="39"/>
    </row>
    <row r="61" spans="1:16">
      <c r="A61" s="36"/>
      <c r="B61" s="36" t="s">
        <v>97</v>
      </c>
      <c r="C61" t="s">
        <v>109</v>
      </c>
      <c r="D61" s="5" t="s">
        <v>735</v>
      </c>
      <c r="E61" s="5" t="s">
        <v>736</v>
      </c>
      <c r="F61" s="5" t="s">
        <v>737</v>
      </c>
      <c r="G61" s="5" t="s">
        <v>738</v>
      </c>
      <c r="H61" s="5" t="s">
        <v>739</v>
      </c>
    </row>
    <row r="62" spans="1:16">
      <c r="A62" s="38">
        <v>1</v>
      </c>
      <c r="B62" s="280">
        <f>C62</f>
        <v>3426</v>
      </c>
      <c r="C62" s="83">
        <v>3426</v>
      </c>
      <c r="D62" s="83">
        <v>3672</v>
      </c>
      <c r="E62" s="83">
        <v>4406</v>
      </c>
      <c r="F62" s="83">
        <v>5090</v>
      </c>
      <c r="G62" s="83">
        <v>5680</v>
      </c>
      <c r="H62" s="83">
        <v>6266</v>
      </c>
    </row>
    <row r="63" spans="1:16">
      <c r="A63" s="279">
        <v>0.9</v>
      </c>
      <c r="B63" s="280">
        <f t="shared" ref="B63:B77" si="20">C63</f>
        <v>3083</v>
      </c>
      <c r="C63" s="280">
        <f t="shared" ref="C63:H63" si="21">ROUND(C$62*$A63,0)</f>
        <v>3083</v>
      </c>
      <c r="D63" s="280">
        <f t="shared" si="21"/>
        <v>3305</v>
      </c>
      <c r="E63" s="280">
        <f t="shared" si="21"/>
        <v>3965</v>
      </c>
      <c r="F63" s="280">
        <f t="shared" si="21"/>
        <v>4581</v>
      </c>
      <c r="G63" s="280">
        <f t="shared" si="21"/>
        <v>5112</v>
      </c>
      <c r="H63" s="280">
        <f t="shared" si="21"/>
        <v>5639</v>
      </c>
    </row>
    <row r="64" spans="1:16">
      <c r="A64" s="38">
        <v>0.8</v>
      </c>
      <c r="B64" s="280">
        <f t="shared" si="20"/>
        <v>2742</v>
      </c>
      <c r="C64" s="1370">
        <v>2742</v>
      </c>
      <c r="D64" s="1370">
        <v>2938</v>
      </c>
      <c r="E64" s="1370">
        <v>3526</v>
      </c>
      <c r="F64" s="1370">
        <v>4073</v>
      </c>
      <c r="G64" s="1370">
        <v>4544</v>
      </c>
      <c r="H64" s="1370">
        <v>5013</v>
      </c>
    </row>
    <row r="65" spans="1:9">
      <c r="A65" s="279">
        <v>0.75</v>
      </c>
      <c r="B65" s="280">
        <f t="shared" si="20"/>
        <v>2570</v>
      </c>
      <c r="C65" s="280">
        <f t="shared" ref="C65:H66" si="22">ROUND(C$62*$A65,0)</f>
        <v>2570</v>
      </c>
      <c r="D65" s="280">
        <f t="shared" si="22"/>
        <v>2754</v>
      </c>
      <c r="E65" s="280">
        <f t="shared" si="22"/>
        <v>3305</v>
      </c>
      <c r="F65" s="280">
        <f t="shared" si="22"/>
        <v>3818</v>
      </c>
      <c r="G65" s="280">
        <f t="shared" si="22"/>
        <v>4260</v>
      </c>
      <c r="H65" s="280">
        <f t="shared" si="22"/>
        <v>4700</v>
      </c>
    </row>
    <row r="66" spans="1:9">
      <c r="A66" s="279">
        <v>0.72</v>
      </c>
      <c r="B66" s="280">
        <f t="shared" si="20"/>
        <v>2467</v>
      </c>
      <c r="C66" s="280">
        <f t="shared" si="22"/>
        <v>2467</v>
      </c>
      <c r="D66" s="280">
        <f t="shared" si="22"/>
        <v>2644</v>
      </c>
      <c r="E66" s="280">
        <f t="shared" si="22"/>
        <v>3172</v>
      </c>
      <c r="F66" s="280">
        <f t="shared" si="22"/>
        <v>3665</v>
      </c>
      <c r="G66" s="280">
        <f t="shared" si="22"/>
        <v>4090</v>
      </c>
      <c r="H66" s="280">
        <f t="shared" si="22"/>
        <v>4512</v>
      </c>
    </row>
    <row r="67" spans="1:9">
      <c r="A67" s="38">
        <v>0.7</v>
      </c>
      <c r="B67" s="280">
        <f t="shared" si="20"/>
        <v>2399</v>
      </c>
      <c r="C67" s="83">
        <v>2399</v>
      </c>
      <c r="D67" s="83">
        <v>2570</v>
      </c>
      <c r="E67" s="83">
        <v>3085</v>
      </c>
      <c r="F67" s="83">
        <v>3563</v>
      </c>
      <c r="G67" s="83">
        <v>3976</v>
      </c>
      <c r="H67" s="83">
        <v>4386</v>
      </c>
    </row>
    <row r="68" spans="1:9">
      <c r="A68" s="38">
        <v>0.6</v>
      </c>
      <c r="B68" s="280">
        <f t="shared" si="20"/>
        <v>2056</v>
      </c>
      <c r="C68" s="83">
        <v>2056</v>
      </c>
      <c r="D68" s="83">
        <v>2203</v>
      </c>
      <c r="E68" s="83">
        <v>2644</v>
      </c>
      <c r="F68" s="83">
        <v>3054</v>
      </c>
      <c r="G68" s="83">
        <v>3408</v>
      </c>
      <c r="H68" s="83">
        <v>3759</v>
      </c>
    </row>
    <row r="69" spans="1:9">
      <c r="A69" s="38">
        <v>0.55000000000000004</v>
      </c>
      <c r="B69" s="280">
        <f t="shared" si="20"/>
        <v>1885</v>
      </c>
      <c r="C69" s="83">
        <v>1885</v>
      </c>
      <c r="D69" s="83">
        <v>2019</v>
      </c>
      <c r="E69" s="83">
        <v>2424</v>
      </c>
      <c r="F69" s="83">
        <v>2800</v>
      </c>
      <c r="G69" s="83">
        <v>3124</v>
      </c>
      <c r="H69" s="83">
        <v>3446</v>
      </c>
    </row>
    <row r="70" spans="1:9">
      <c r="A70" s="38">
        <v>0.5</v>
      </c>
      <c r="B70" s="280">
        <f t="shared" si="20"/>
        <v>1713</v>
      </c>
      <c r="C70" s="83">
        <v>1713</v>
      </c>
      <c r="D70" s="83">
        <v>1836</v>
      </c>
      <c r="E70" s="83">
        <v>2203</v>
      </c>
      <c r="F70" s="83">
        <v>2545</v>
      </c>
      <c r="G70" s="83">
        <v>2840</v>
      </c>
      <c r="H70" s="83">
        <v>3133</v>
      </c>
    </row>
    <row r="71" spans="1:9">
      <c r="A71" s="38">
        <v>0.45</v>
      </c>
      <c r="B71" s="280">
        <f t="shared" si="20"/>
        <v>1542</v>
      </c>
      <c r="C71" s="83">
        <v>1542</v>
      </c>
      <c r="D71" s="83">
        <v>1652</v>
      </c>
      <c r="E71" s="83">
        <v>1983</v>
      </c>
      <c r="F71" s="83">
        <v>2291</v>
      </c>
      <c r="G71" s="83">
        <v>2556</v>
      </c>
      <c r="H71" s="83">
        <v>2819</v>
      </c>
      <c r="I71" s="37"/>
    </row>
    <row r="72" spans="1:9">
      <c r="A72" s="38">
        <v>0.4</v>
      </c>
      <c r="B72" s="280">
        <f t="shared" si="20"/>
        <v>1371</v>
      </c>
      <c r="C72" s="83">
        <v>1371</v>
      </c>
      <c r="D72" s="83">
        <v>1469</v>
      </c>
      <c r="E72" s="83">
        <v>1763</v>
      </c>
      <c r="F72" s="83">
        <v>2036</v>
      </c>
      <c r="G72" s="83">
        <v>2272</v>
      </c>
      <c r="H72" s="83">
        <v>2506</v>
      </c>
      <c r="I72" s="37"/>
    </row>
    <row r="73" spans="1:9">
      <c r="A73" s="38">
        <v>0.35</v>
      </c>
      <c r="B73" s="280">
        <f t="shared" si="20"/>
        <v>1199</v>
      </c>
      <c r="C73" s="83">
        <v>1199</v>
      </c>
      <c r="D73" s="83">
        <v>1285</v>
      </c>
      <c r="E73" s="83">
        <v>1542</v>
      </c>
      <c r="F73" s="83">
        <v>1781</v>
      </c>
      <c r="G73" s="83">
        <v>1988</v>
      </c>
      <c r="H73" s="83">
        <v>2193</v>
      </c>
      <c r="I73" s="37"/>
    </row>
    <row r="74" spans="1:9">
      <c r="A74" s="38">
        <v>0.3</v>
      </c>
      <c r="B74" s="280">
        <f t="shared" si="20"/>
        <v>1028</v>
      </c>
      <c r="C74" s="83">
        <v>1028</v>
      </c>
      <c r="D74" s="83">
        <v>1101</v>
      </c>
      <c r="E74" s="83">
        <v>1322</v>
      </c>
      <c r="F74" s="83">
        <v>1527</v>
      </c>
      <c r="G74" s="83">
        <v>1704</v>
      </c>
      <c r="H74" s="83">
        <v>1879</v>
      </c>
    </row>
    <row r="75" spans="1:9">
      <c r="A75" s="279">
        <v>0.25</v>
      </c>
      <c r="B75" s="280">
        <f t="shared" si="20"/>
        <v>857</v>
      </c>
      <c r="C75" s="280">
        <f t="shared" ref="C75:H77" si="23">ROUND(C$62*$A75,0)</f>
        <v>857</v>
      </c>
      <c r="D75" s="280">
        <f t="shared" si="23"/>
        <v>918</v>
      </c>
      <c r="E75" s="280">
        <f t="shared" si="23"/>
        <v>1102</v>
      </c>
      <c r="F75" s="280">
        <f t="shared" si="23"/>
        <v>1273</v>
      </c>
      <c r="G75" s="280">
        <f t="shared" si="23"/>
        <v>1420</v>
      </c>
      <c r="H75" s="280">
        <f t="shared" si="23"/>
        <v>1567</v>
      </c>
    </row>
    <row r="76" spans="1:9">
      <c r="A76" s="279">
        <v>0.2</v>
      </c>
      <c r="B76" s="280">
        <f t="shared" si="20"/>
        <v>685</v>
      </c>
      <c r="C76" s="280">
        <f t="shared" si="23"/>
        <v>685</v>
      </c>
      <c r="D76" s="280">
        <f t="shared" si="23"/>
        <v>734</v>
      </c>
      <c r="E76" s="280">
        <f t="shared" si="23"/>
        <v>881</v>
      </c>
      <c r="F76" s="280">
        <f t="shared" si="23"/>
        <v>1018</v>
      </c>
      <c r="G76" s="280">
        <f t="shared" si="23"/>
        <v>1136</v>
      </c>
      <c r="H76" s="280">
        <f t="shared" si="23"/>
        <v>1253</v>
      </c>
    </row>
    <row r="77" spans="1:9">
      <c r="A77" s="279">
        <v>0.15</v>
      </c>
      <c r="B77" s="280">
        <f t="shared" si="20"/>
        <v>514</v>
      </c>
      <c r="C77" s="280">
        <f t="shared" si="23"/>
        <v>514</v>
      </c>
      <c r="D77" s="280">
        <f t="shared" si="23"/>
        <v>551</v>
      </c>
      <c r="E77" s="280">
        <f t="shared" si="23"/>
        <v>661</v>
      </c>
      <c r="F77" s="280">
        <f t="shared" si="23"/>
        <v>764</v>
      </c>
      <c r="G77" s="280">
        <f t="shared" si="23"/>
        <v>852</v>
      </c>
      <c r="H77" s="280">
        <f t="shared" si="23"/>
        <v>940</v>
      </c>
    </row>
    <row r="78" spans="1:9">
      <c r="A78" s="36"/>
      <c r="B78" s="36"/>
    </row>
    <row r="79" spans="1:9">
      <c r="A79" s="36"/>
      <c r="B79" s="36"/>
    </row>
    <row r="80" spans="1:9">
      <c r="A80" s="36"/>
      <c r="B80" s="36"/>
    </row>
    <row r="81" spans="1:2">
      <c r="A81" s="36"/>
      <c r="B81" s="36"/>
    </row>
    <row r="82" spans="1:2">
      <c r="A82" s="37"/>
      <c r="B82" s="37"/>
    </row>
    <row r="83" spans="1:2">
      <c r="A83" s="36"/>
      <c r="B83" s="36"/>
    </row>
    <row r="84" spans="1:2">
      <c r="A84" s="36"/>
      <c r="B84" s="36"/>
    </row>
    <row r="85" spans="1:2">
      <c r="A85" s="36"/>
      <c r="B85" s="36"/>
    </row>
    <row r="86" spans="1:2">
      <c r="A86" s="36"/>
      <c r="B86" s="36"/>
    </row>
    <row r="87" spans="1:2">
      <c r="A87" s="36"/>
      <c r="B87" s="36"/>
    </row>
    <row r="88" spans="1:2">
      <c r="A88" s="36"/>
      <c r="B88" s="36"/>
    </row>
    <row r="89" spans="1:2">
      <c r="A89" s="37"/>
      <c r="B89" s="37"/>
    </row>
    <row r="90" spans="1:2">
      <c r="A90" s="36"/>
      <c r="B90" s="36"/>
    </row>
    <row r="91" spans="1:2">
      <c r="A91" s="36"/>
      <c r="B91" s="36"/>
    </row>
    <row r="92" spans="1:2">
      <c r="A92" s="36"/>
      <c r="B92" s="36"/>
    </row>
    <row r="93" spans="1:2">
      <c r="A93" s="36"/>
      <c r="B93" s="36"/>
    </row>
    <row r="94" spans="1:2">
      <c r="A94" s="36"/>
    </row>
    <row r="95" spans="1:2">
      <c r="A95" s="36"/>
    </row>
    <row r="96" spans="1:2">
      <c r="A96" s="37"/>
    </row>
    <row r="97" spans="1:1">
      <c r="A97" s="36"/>
    </row>
    <row r="98" spans="1:1">
      <c r="A98" s="36"/>
    </row>
    <row r="99" spans="1:1">
      <c r="A99" s="36"/>
    </row>
    <row r="100" spans="1:1">
      <c r="A100" s="36"/>
    </row>
    <row r="101" spans="1:1">
      <c r="A101" s="36"/>
    </row>
    <row r="102" spans="1:1">
      <c r="A102" s="36"/>
    </row>
    <row r="103" spans="1:1">
      <c r="A103" s="37"/>
    </row>
    <row r="104" spans="1:1">
      <c r="A104" s="36"/>
    </row>
    <row r="105" spans="1:1">
      <c r="A105" s="36"/>
    </row>
    <row r="106" spans="1:1">
      <c r="A106" s="36"/>
    </row>
    <row r="107" spans="1:1">
      <c r="A107" s="36"/>
    </row>
    <row r="108" spans="1:1">
      <c r="A108" s="36"/>
    </row>
    <row r="109" spans="1:1">
      <c r="A109" s="36"/>
    </row>
    <row r="110" spans="1:1">
      <c r="A110" s="37"/>
    </row>
    <row r="111" spans="1:1">
      <c r="A111" s="36"/>
    </row>
    <row r="112" spans="1:1">
      <c r="A112" s="36"/>
    </row>
    <row r="113" spans="1:1">
      <c r="A113" s="36"/>
    </row>
    <row r="114" spans="1:1">
      <c r="A114" s="36"/>
    </row>
    <row r="115" spans="1:1">
      <c r="A115" s="36"/>
    </row>
    <row r="116" spans="1:1">
      <c r="A116" s="36"/>
    </row>
    <row r="117" spans="1:1">
      <c r="A117" s="37"/>
    </row>
    <row r="118" spans="1:1">
      <c r="A118" s="36"/>
    </row>
    <row r="119" spans="1:1">
      <c r="A119" s="36"/>
    </row>
    <row r="120" spans="1:1">
      <c r="A120" s="36"/>
    </row>
    <row r="121" spans="1:1">
      <c r="A121" s="36"/>
    </row>
    <row r="122" spans="1:1">
      <c r="A122" s="36"/>
    </row>
    <row r="123" spans="1:1">
      <c r="A123" s="36"/>
    </row>
  </sheetData>
  <sheetProtection algorithmName="SHA-512" hashValue="6C99ncJiJayTjOu8BXU6vr1PpXHJG6lbuWhX4d3Le9PXQqamGNM8LP5roeJrLoUjlLyC1GwoB6APBdfizdsiIg==" saltValue="g9rXIrmHqLD9dWHgyDl1XQ==" spinCount="100000" sheet="1" objects="1" scenarios="1" selectLockedCells="1"/>
  <customSheetViews>
    <customSheetView guid="{E6CC0A4E-F930-49CF-9945-EC2E8926E122}">
      <pageMargins left="0.7" right="0.7" top="0.75" bottom="0.75" header="0.3" footer="0.3"/>
      <pageSetup orientation="portrait" r:id="rId1"/>
    </customSheetView>
    <customSheetView guid="{3FCD2E41-B3D6-4AD1-9CEC-423B2DF3E9BC}">
      <pageMargins left="0.7" right="0.7" top="0.75" bottom="0.75" header="0.3" footer="0.3"/>
      <pageSetup orientation="portrait" r:id="rId2"/>
    </customSheetView>
    <customSheetView guid="{D9224301-6086-492A-A02E-C1000EC017A3}">
      <pageMargins left="0.7" right="0.7" top="0.75" bottom="0.75" header="0.3" footer="0.3"/>
      <pageSetup orientation="portrait" r:id="rId3"/>
    </customSheetView>
    <customSheetView guid="{C8DD1FB6-7B01-40B9-BFB4-B21C0B0BB0A1}">
      <selection activeCell="A24" sqref="A24:A29"/>
      <pageMargins left="0.7" right="0.7" top="0.75" bottom="0.75" header="0.3" footer="0.3"/>
      <pageSetup orientation="portrait" r:id="rId4"/>
    </customSheetView>
    <customSheetView guid="{332023D0-60C3-4A29-9DCC-CDA10E0C090D}">
      <selection activeCell="D66" sqref="D66"/>
      <pageMargins left="0.7" right="0.7" top="0.75" bottom="0.75" header="0.3" footer="0.3"/>
      <pageSetup orientation="portrait" r:id="rId5"/>
    </customSheetView>
    <customSheetView guid="{B92ED4D4-4566-4043-8B76-FD708F820076}" state="hidden">
      <pageMargins left="0.7" right="0.7" top="0.75" bottom="0.75" header="0.3" footer="0.3"/>
      <pageSetup orientation="portrait" r:id="rId6"/>
    </customSheetView>
  </customSheetViews>
  <pageMargins left="0.7" right="0.7" top="0.75" bottom="0.75" header="0.3" footer="0.3"/>
  <pageSetup orientation="portrait" r:id="rId7"/>
  <legacyDrawing r:id="rId8"/>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A1:LV54"/>
  <sheetViews>
    <sheetView workbookViewId="0"/>
  </sheetViews>
  <sheetFormatPr defaultRowHeight="13.2" outlineLevelRow="1"/>
  <cols>
    <col min="1" max="1" width="27" customWidth="1"/>
    <col min="2" max="2" width="10.88671875" bestFit="1" customWidth="1"/>
    <col min="3" max="3" width="11.44140625" customWidth="1"/>
  </cols>
  <sheetData>
    <row r="1" spans="1:334">
      <c r="A1" t="s">
        <v>381</v>
      </c>
    </row>
    <row r="3" spans="1:334" ht="114.75" customHeight="1">
      <c r="A3" s="417"/>
      <c r="B3" s="418"/>
      <c r="C3" s="419"/>
      <c r="D3" s="419"/>
      <c r="E3" s="419"/>
      <c r="F3" s="419"/>
      <c r="G3" s="419"/>
      <c r="H3" s="419"/>
      <c r="I3" s="419"/>
      <c r="J3" s="419"/>
      <c r="K3" s="419"/>
      <c r="L3" s="419"/>
      <c r="M3" s="419"/>
      <c r="N3" s="419"/>
      <c r="O3" s="419"/>
      <c r="P3" s="419"/>
      <c r="Q3" s="419"/>
      <c r="R3" s="419"/>
      <c r="S3" s="419"/>
      <c r="T3" s="419"/>
      <c r="U3" s="419"/>
      <c r="V3" s="419"/>
      <c r="W3" s="419"/>
      <c r="X3" s="419"/>
      <c r="Y3" s="419"/>
      <c r="Z3" s="419"/>
      <c r="AA3" s="419"/>
      <c r="AB3" s="419"/>
      <c r="AC3" s="419"/>
      <c r="AD3" s="419"/>
      <c r="AE3" s="419"/>
      <c r="AF3" s="419"/>
      <c r="AG3" s="419"/>
      <c r="AH3" s="419"/>
      <c r="AI3" s="419"/>
      <c r="AJ3" s="419"/>
      <c r="AK3" s="419"/>
      <c r="AL3" s="419"/>
      <c r="AM3" s="419"/>
      <c r="AN3" s="419"/>
      <c r="AO3" s="419"/>
      <c r="AP3" s="419"/>
      <c r="AQ3" s="419"/>
      <c r="AR3" s="419"/>
      <c r="AS3" s="419"/>
      <c r="AT3" s="419"/>
      <c r="AU3" s="419"/>
      <c r="AV3" s="419"/>
      <c r="AW3" s="419"/>
      <c r="AX3" s="419"/>
      <c r="AY3" s="419"/>
      <c r="AZ3" s="419"/>
      <c r="BA3" s="419"/>
      <c r="BB3" s="419"/>
      <c r="BC3" s="419"/>
      <c r="BD3" s="419"/>
      <c r="BE3" s="419"/>
      <c r="BF3" s="419"/>
      <c r="BG3" s="419"/>
      <c r="BH3" s="419"/>
      <c r="BI3" s="419"/>
      <c r="BJ3" s="419"/>
      <c r="BK3" s="419"/>
      <c r="BL3" s="419"/>
      <c r="BM3" s="419"/>
      <c r="BN3" s="419"/>
      <c r="BO3" s="419"/>
      <c r="BP3" s="419"/>
      <c r="BQ3" s="419"/>
      <c r="BR3" s="419"/>
      <c r="BS3" s="419"/>
      <c r="BT3" s="419"/>
      <c r="BU3" s="419"/>
      <c r="BV3" s="419"/>
      <c r="BW3" s="419"/>
      <c r="BX3" s="419"/>
      <c r="BY3" s="419"/>
      <c r="BZ3" s="419"/>
      <c r="CA3" s="419"/>
      <c r="CB3" s="420"/>
      <c r="CC3" s="419"/>
      <c r="CD3" s="421"/>
      <c r="CE3" s="419"/>
      <c r="CF3" s="419"/>
      <c r="CG3" s="419"/>
      <c r="CH3" s="419"/>
      <c r="CI3" s="419"/>
      <c r="CJ3" s="419"/>
      <c r="CK3" s="419"/>
      <c r="CL3" s="419"/>
      <c r="CM3" s="419"/>
      <c r="CN3" s="419"/>
      <c r="CO3" s="419"/>
      <c r="CP3" s="419"/>
      <c r="CQ3" s="419"/>
      <c r="CR3" s="419"/>
      <c r="CS3" s="419"/>
      <c r="CT3" s="419"/>
      <c r="CU3" s="419"/>
      <c r="CV3" s="419"/>
      <c r="CW3" s="419"/>
      <c r="CX3" s="419"/>
      <c r="CY3" s="419"/>
      <c r="CZ3" s="419"/>
      <c r="DA3" s="419"/>
      <c r="DB3" s="419"/>
      <c r="DC3" s="419"/>
      <c r="DD3" s="419"/>
      <c r="DE3" s="419"/>
      <c r="DF3" s="419"/>
      <c r="DG3" s="419"/>
      <c r="DH3" s="419"/>
      <c r="DI3" s="419"/>
      <c r="DJ3" s="419"/>
      <c r="DK3" s="419"/>
      <c r="DL3" s="419"/>
      <c r="DM3" s="419"/>
      <c r="DN3" s="419"/>
      <c r="DO3" s="419"/>
      <c r="DP3" s="419"/>
      <c r="DQ3" s="419"/>
      <c r="DR3" s="419"/>
      <c r="DS3" s="419"/>
      <c r="DT3" s="419"/>
      <c r="DU3" s="419"/>
      <c r="DV3" s="419"/>
      <c r="DW3" s="419"/>
      <c r="DX3" s="419"/>
      <c r="DY3" s="419"/>
      <c r="DZ3" s="419"/>
      <c r="EA3" s="419"/>
      <c r="EB3" s="419"/>
      <c r="EC3" s="419"/>
      <c r="ED3" s="419"/>
      <c r="EE3" s="419"/>
      <c r="EF3" s="419"/>
      <c r="EG3" s="419"/>
      <c r="EH3" s="419"/>
      <c r="EI3" s="419"/>
      <c r="EJ3" s="419"/>
      <c r="EK3" s="419"/>
      <c r="EL3" s="419"/>
      <c r="EM3" s="419"/>
      <c r="EN3" s="419"/>
      <c r="EO3" s="419"/>
      <c r="EP3" s="419"/>
      <c r="EQ3" s="419"/>
      <c r="ER3" s="419"/>
      <c r="ES3" s="419"/>
      <c r="ET3" s="419"/>
      <c r="EU3" s="419"/>
      <c r="EV3" s="419"/>
      <c r="EW3" s="419"/>
      <c r="EX3" s="419"/>
      <c r="EY3" s="419"/>
      <c r="EZ3" s="419"/>
      <c r="FA3" s="419"/>
      <c r="FB3" s="419"/>
      <c r="FC3" s="421"/>
      <c r="FD3" s="419"/>
      <c r="FE3" s="419"/>
      <c r="FF3" s="419"/>
      <c r="FG3" s="419"/>
      <c r="FH3" s="419"/>
      <c r="FI3" s="419"/>
      <c r="FJ3" s="421"/>
      <c r="FK3" s="419"/>
      <c r="FL3" s="419"/>
      <c r="FM3" s="419"/>
      <c r="FN3" s="419"/>
      <c r="FO3" s="419"/>
      <c r="FP3" s="419"/>
      <c r="FQ3" s="419"/>
      <c r="FR3" s="419"/>
      <c r="FS3" s="419"/>
      <c r="FT3" s="419"/>
      <c r="FU3" s="419"/>
      <c r="FV3" s="419"/>
      <c r="FW3" s="419"/>
      <c r="FX3" s="419"/>
      <c r="FY3" s="419"/>
      <c r="FZ3" s="419"/>
      <c r="GA3" s="419"/>
      <c r="LU3" s="419"/>
      <c r="LV3" s="422"/>
    </row>
    <row r="4" spans="1:334" ht="12.75" customHeight="1">
      <c r="A4" s="423"/>
      <c r="B4" s="423"/>
      <c r="C4" s="424"/>
      <c r="D4" s="424"/>
      <c r="E4" s="425"/>
      <c r="F4" s="424"/>
      <c r="G4" s="424"/>
      <c r="H4" s="424"/>
      <c r="I4" s="424"/>
      <c r="J4" s="424"/>
      <c r="K4" s="424"/>
      <c r="L4" s="424"/>
      <c r="M4" s="424"/>
      <c r="N4" s="424"/>
      <c r="O4" s="426"/>
      <c r="P4" s="424"/>
      <c r="Q4" s="424"/>
      <c r="R4" s="424"/>
      <c r="S4" s="424"/>
      <c r="T4" s="424"/>
      <c r="U4" s="424"/>
      <c r="V4" s="424"/>
      <c r="W4" s="424"/>
      <c r="X4" s="424"/>
      <c r="Y4" s="424"/>
      <c r="Z4" s="424"/>
      <c r="AA4" s="424"/>
      <c r="AB4" s="424"/>
      <c r="AC4" s="424"/>
      <c r="AD4" s="352"/>
      <c r="AE4" s="424"/>
      <c r="AF4" s="424"/>
      <c r="AG4" s="352"/>
      <c r="AH4" s="424"/>
      <c r="AI4" s="424"/>
      <c r="AJ4" s="352"/>
      <c r="AK4" s="424"/>
      <c r="AL4" s="424"/>
      <c r="AM4" s="352"/>
      <c r="AN4" s="424"/>
      <c r="AO4" s="424"/>
      <c r="AP4" s="352"/>
      <c r="AQ4" s="424"/>
      <c r="AR4" s="424"/>
      <c r="AS4" s="352"/>
      <c r="AT4" s="424"/>
      <c r="AU4" s="424"/>
      <c r="AV4" s="424"/>
      <c r="AW4" s="424"/>
      <c r="AX4" s="424"/>
      <c r="AY4" s="424"/>
      <c r="AZ4" s="424"/>
      <c r="BA4" s="424"/>
      <c r="BB4" s="424"/>
      <c r="BC4" s="424"/>
      <c r="BD4" s="427"/>
      <c r="BE4" s="424"/>
      <c r="BF4" s="424"/>
      <c r="BG4" s="424"/>
      <c r="BH4" s="424"/>
      <c r="BI4" s="424"/>
      <c r="BJ4" s="424"/>
      <c r="BK4" s="424"/>
      <c r="BL4" s="424"/>
      <c r="BM4" s="424"/>
      <c r="BN4" s="424"/>
      <c r="BO4" s="424"/>
      <c r="BP4" s="424"/>
      <c r="BQ4" s="424"/>
      <c r="BR4" s="424"/>
      <c r="BS4" s="424"/>
      <c r="BT4" s="424"/>
      <c r="BU4" s="424"/>
      <c r="BV4" s="352"/>
      <c r="BW4" s="424"/>
      <c r="BX4" s="424"/>
      <c r="BY4" s="424"/>
      <c r="BZ4" s="424"/>
      <c r="CA4" s="424"/>
      <c r="CB4" s="428"/>
      <c r="CC4" s="424"/>
      <c r="CD4" s="429"/>
      <c r="CE4" s="424"/>
      <c r="CF4" s="424"/>
      <c r="CG4" s="424"/>
      <c r="CH4" s="424"/>
      <c r="CI4" s="424"/>
      <c r="CJ4" s="424"/>
      <c r="CK4" s="424"/>
      <c r="CL4" s="424"/>
      <c r="CM4" s="424"/>
      <c r="CN4" s="424"/>
      <c r="CO4" s="424"/>
      <c r="CP4" s="424"/>
      <c r="CQ4" s="424"/>
      <c r="CR4" s="424"/>
      <c r="CS4" s="424"/>
      <c r="CT4" s="424"/>
      <c r="CU4" s="424"/>
      <c r="CV4" s="424"/>
      <c r="CW4" s="424"/>
      <c r="CX4" s="424"/>
      <c r="CY4" s="424"/>
      <c r="CZ4" s="424"/>
      <c r="DA4" s="424"/>
      <c r="DB4" s="424"/>
      <c r="DC4" s="424"/>
      <c r="DD4" s="424"/>
      <c r="DE4" s="424"/>
      <c r="DF4" s="424"/>
      <c r="DG4" s="424"/>
      <c r="DH4" s="424"/>
      <c r="DI4" s="424"/>
      <c r="DJ4" s="424"/>
      <c r="DK4" s="424"/>
      <c r="DL4" s="424"/>
      <c r="DM4" s="424"/>
      <c r="DN4" s="424"/>
      <c r="DO4" s="424"/>
      <c r="DP4" s="424"/>
      <c r="DQ4" s="424"/>
      <c r="DR4" s="424"/>
      <c r="DS4" s="424"/>
      <c r="DT4" s="424"/>
      <c r="DU4" s="424"/>
      <c r="DV4" s="424"/>
      <c r="DW4" s="424"/>
      <c r="DX4" s="424"/>
      <c r="DY4" s="424"/>
      <c r="DZ4" s="424"/>
      <c r="EA4" s="424"/>
      <c r="EB4" s="424"/>
      <c r="EC4" s="424"/>
      <c r="ED4" s="424"/>
      <c r="EE4" s="424"/>
      <c r="EF4" s="424"/>
      <c r="EG4" s="424"/>
      <c r="EH4" s="424"/>
      <c r="EI4" s="424"/>
      <c r="EJ4" s="424"/>
      <c r="EK4" s="424"/>
      <c r="EL4" s="424"/>
      <c r="EM4" s="424"/>
      <c r="EN4" s="424"/>
      <c r="EO4" s="424"/>
      <c r="EP4" s="424"/>
      <c r="EQ4" s="424"/>
      <c r="ER4" s="424"/>
      <c r="ES4" s="424"/>
      <c r="ET4" s="424"/>
      <c r="EU4" s="424"/>
      <c r="EV4" s="424"/>
      <c r="EW4" s="424"/>
      <c r="EX4" s="424"/>
      <c r="EY4" s="424"/>
      <c r="EZ4" s="424"/>
      <c r="FA4" s="424"/>
      <c r="FB4" s="424"/>
      <c r="FC4" s="430"/>
      <c r="FD4" s="424"/>
      <c r="FE4" s="424"/>
      <c r="FF4" s="424"/>
      <c r="FG4" s="431"/>
      <c r="FH4" s="352"/>
      <c r="FI4" s="424"/>
      <c r="FJ4" s="430"/>
      <c r="FK4" s="424"/>
      <c r="FL4" s="424"/>
      <c r="FM4" s="424"/>
      <c r="FN4" s="424"/>
      <c r="FO4" s="432"/>
      <c r="FP4" s="424"/>
      <c r="FQ4" s="424"/>
      <c r="FR4" s="433"/>
      <c r="FS4" s="352"/>
      <c r="FT4" s="424"/>
      <c r="FU4" s="352"/>
      <c r="FV4" s="424"/>
      <c r="FW4" s="352"/>
      <c r="FX4" s="424"/>
      <c r="FY4" s="352"/>
      <c r="FZ4" s="424"/>
      <c r="GA4" s="424"/>
      <c r="LU4" s="424"/>
      <c r="LV4" s="434"/>
    </row>
    <row r="5" spans="1:334" ht="12.75" customHeight="1"/>
    <row r="6" spans="1:334" ht="71.25" customHeight="1">
      <c r="A6" s="417"/>
      <c r="B6" s="418"/>
    </row>
    <row r="7" spans="1:334" ht="12.75" customHeight="1" thickBot="1">
      <c r="A7" s="435"/>
      <c r="B7" s="435"/>
    </row>
    <row r="8" spans="1:334" ht="12.75" customHeight="1">
      <c r="A8" s="436" t="s">
        <v>425</v>
      </c>
      <c r="B8" s="437"/>
      <c r="C8" s="438"/>
      <c r="E8" s="438"/>
      <c r="F8" s="439"/>
      <c r="G8" s="439"/>
      <c r="H8" s="439"/>
      <c r="I8" s="439"/>
      <c r="J8" s="439"/>
      <c r="K8" s="439"/>
      <c r="M8" s="439"/>
      <c r="N8" s="439"/>
      <c r="P8" s="439"/>
      <c r="Q8" s="439"/>
      <c r="S8" s="439"/>
      <c r="T8" s="439"/>
      <c r="U8" s="439"/>
      <c r="V8" s="439"/>
      <c r="X8" s="439"/>
      <c r="Y8" s="439"/>
      <c r="AA8" s="439"/>
      <c r="AB8" s="439"/>
      <c r="AC8" s="439"/>
      <c r="AD8" s="439"/>
      <c r="AF8" s="439"/>
      <c r="AG8" s="439"/>
      <c r="AH8" s="439"/>
      <c r="AI8" s="439"/>
      <c r="AJ8" s="439"/>
      <c r="AL8" s="439"/>
      <c r="AM8" s="439"/>
      <c r="AN8" s="439"/>
      <c r="AO8" s="439"/>
      <c r="AP8" s="439"/>
      <c r="AQ8" s="439"/>
      <c r="AR8" s="439"/>
      <c r="AS8" s="439"/>
      <c r="AU8" s="439"/>
      <c r="AV8" s="439"/>
      <c r="AW8" s="439"/>
      <c r="AX8" s="439"/>
      <c r="AZ8" s="439"/>
      <c r="BA8" s="439"/>
      <c r="BB8" s="439"/>
      <c r="BC8" s="439"/>
      <c r="BE8" s="439"/>
      <c r="BF8" s="439"/>
      <c r="BG8" s="439"/>
      <c r="BH8" s="439"/>
      <c r="BJ8" s="439"/>
      <c r="BK8" s="439"/>
      <c r="BL8" s="439"/>
      <c r="BM8" s="439"/>
      <c r="BN8" s="439"/>
      <c r="BO8" s="439"/>
      <c r="BP8" s="439"/>
      <c r="BQ8" s="439"/>
      <c r="BR8" s="439"/>
      <c r="BS8" s="439"/>
      <c r="BT8" s="439"/>
      <c r="BU8" s="439"/>
      <c r="BV8" s="439"/>
      <c r="BW8" s="439"/>
      <c r="BX8" s="439"/>
      <c r="BY8" s="439"/>
      <c r="BZ8" s="439"/>
      <c r="CA8" s="439"/>
      <c r="CB8" s="439"/>
      <c r="CC8" s="439"/>
      <c r="CD8" s="439"/>
      <c r="CE8" s="439"/>
      <c r="CF8" s="439"/>
      <c r="CG8" s="439"/>
      <c r="CI8" s="439"/>
      <c r="CJ8" s="439"/>
      <c r="CK8" s="439"/>
      <c r="CL8" s="439"/>
      <c r="CN8" s="439"/>
      <c r="CO8" s="439"/>
      <c r="CP8" s="439"/>
      <c r="CQ8" s="439"/>
      <c r="CR8" s="439"/>
      <c r="CS8" s="439"/>
      <c r="CT8" s="439"/>
      <c r="CU8" s="439"/>
      <c r="CX8" s="439"/>
      <c r="DA8" s="439"/>
      <c r="DD8" s="439"/>
      <c r="DG8" s="439"/>
      <c r="DJ8" s="439"/>
      <c r="DM8" s="439"/>
      <c r="DN8" s="439"/>
      <c r="DO8" s="439"/>
      <c r="DP8" s="439"/>
      <c r="DQ8" s="439"/>
      <c r="DS8" s="439"/>
      <c r="DU8" s="440"/>
      <c r="DV8" s="441"/>
      <c r="DW8" s="442"/>
      <c r="DX8" s="443"/>
      <c r="DY8" s="444"/>
      <c r="DZ8" s="445"/>
      <c r="EA8" s="445"/>
      <c r="EB8" s="445"/>
      <c r="EC8" s="444"/>
      <c r="ED8" s="445"/>
      <c r="EE8" s="446"/>
      <c r="EF8" s="446"/>
      <c r="EG8" s="439"/>
      <c r="EH8" s="439"/>
      <c r="EI8" s="439"/>
      <c r="EJ8" s="439"/>
      <c r="EK8" s="439"/>
      <c r="EL8" s="439"/>
      <c r="EM8" s="439"/>
      <c r="EN8" s="439"/>
      <c r="EP8" s="439"/>
      <c r="EQ8" s="439"/>
      <c r="ER8" s="439"/>
    </row>
    <row r="9" spans="1:334" ht="14.4">
      <c r="A9" s="447" t="s">
        <v>184</v>
      </c>
      <c r="B9" s="448" t="e">
        <f ca="1">SUM(B10:B15)</f>
        <v>#REF!</v>
      </c>
    </row>
    <row r="10" spans="1:334" hidden="1" outlineLevel="1">
      <c r="A10" s="449" t="s">
        <v>382</v>
      </c>
      <c r="B10" s="450" t="e">
        <f t="shared" ref="B10:B15" ca="1" si="0">HLOOKUP(A10,CYAMR,2,FALSE)</f>
        <v>#REF!</v>
      </c>
    </row>
    <row r="11" spans="1:334" hidden="1" outlineLevel="1">
      <c r="A11" s="449" t="s">
        <v>383</v>
      </c>
      <c r="B11" s="450" t="e">
        <f t="shared" ca="1" si="0"/>
        <v>#REF!</v>
      </c>
    </row>
    <row r="12" spans="1:334" hidden="1" outlineLevel="1">
      <c r="A12" s="449" t="s">
        <v>384</v>
      </c>
      <c r="B12" s="450"/>
    </row>
    <row r="13" spans="1:334" hidden="1" outlineLevel="1">
      <c r="A13" s="449" t="s">
        <v>385</v>
      </c>
      <c r="B13" s="450" t="e">
        <f t="shared" ca="1" si="0"/>
        <v>#REF!</v>
      </c>
    </row>
    <row r="14" spans="1:334" hidden="1" outlineLevel="1">
      <c r="A14" s="449" t="s">
        <v>386</v>
      </c>
      <c r="B14" s="450" t="e">
        <f t="shared" ca="1" si="0"/>
        <v>#REF!</v>
      </c>
    </row>
    <row r="15" spans="1:334" hidden="1" outlineLevel="1">
      <c r="A15" s="449" t="s">
        <v>387</v>
      </c>
      <c r="B15" s="450" t="e">
        <f t="shared" ca="1" si="0"/>
        <v>#REF!</v>
      </c>
    </row>
    <row r="16" spans="1:334" collapsed="1">
      <c r="A16" s="449"/>
      <c r="B16" s="450"/>
    </row>
    <row r="17" spans="1:4" ht="14.4">
      <c r="A17" s="447" t="s">
        <v>426</v>
      </c>
      <c r="B17" s="448" t="e">
        <f ca="1">SUM(B18:B52)</f>
        <v>#REF!</v>
      </c>
      <c r="D17" s="84"/>
    </row>
    <row r="18" spans="1:4" hidden="1" outlineLevel="1">
      <c r="A18" s="449" t="s">
        <v>388</v>
      </c>
      <c r="B18" s="450" t="e">
        <f t="shared" ref="B18:B52" ca="1" si="1">HLOOKUP(A18,CYAMR,2,FALSE)</f>
        <v>#REF!</v>
      </c>
    </row>
    <row r="19" spans="1:4" hidden="1" outlineLevel="1">
      <c r="A19" s="449" t="s">
        <v>389</v>
      </c>
      <c r="B19" s="450" t="e">
        <f t="shared" ca="1" si="1"/>
        <v>#REF!</v>
      </c>
    </row>
    <row r="20" spans="1:4" hidden="1" outlineLevel="1">
      <c r="A20" s="449" t="s">
        <v>391</v>
      </c>
      <c r="B20" s="450" t="e">
        <f t="shared" ca="1" si="1"/>
        <v>#REF!</v>
      </c>
    </row>
    <row r="21" spans="1:4" hidden="1" outlineLevel="1">
      <c r="A21" s="449" t="s">
        <v>392</v>
      </c>
      <c r="B21" s="450" t="e">
        <f t="shared" ca="1" si="1"/>
        <v>#REF!</v>
      </c>
    </row>
    <row r="22" spans="1:4" hidden="1" outlineLevel="1">
      <c r="A22" s="449" t="s">
        <v>393</v>
      </c>
      <c r="B22" s="450" t="e">
        <f t="shared" ca="1" si="1"/>
        <v>#REF!</v>
      </c>
    </row>
    <row r="23" spans="1:4" hidden="1" outlineLevel="1">
      <c r="A23" s="449" t="s">
        <v>394</v>
      </c>
      <c r="B23" s="450" t="e">
        <f t="shared" ca="1" si="1"/>
        <v>#REF!</v>
      </c>
    </row>
    <row r="24" spans="1:4" hidden="1" outlineLevel="1">
      <c r="A24" s="449" t="s">
        <v>390</v>
      </c>
      <c r="B24" s="450" t="e">
        <f t="shared" ca="1" si="1"/>
        <v>#REF!</v>
      </c>
    </row>
    <row r="25" spans="1:4" hidden="1" outlineLevel="1">
      <c r="A25" s="449" t="s">
        <v>395</v>
      </c>
      <c r="B25" s="450" t="e">
        <f t="shared" ca="1" si="1"/>
        <v>#REF!</v>
      </c>
    </row>
    <row r="26" spans="1:4" hidden="1" outlineLevel="1">
      <c r="A26" s="449" t="s">
        <v>396</v>
      </c>
      <c r="B26" s="450" t="e">
        <f t="shared" ca="1" si="1"/>
        <v>#REF!</v>
      </c>
    </row>
    <row r="27" spans="1:4" hidden="1" outlineLevel="1">
      <c r="A27" s="449" t="s">
        <v>352</v>
      </c>
      <c r="B27" s="450" t="e">
        <f t="shared" ca="1" si="1"/>
        <v>#REF!</v>
      </c>
    </row>
    <row r="28" spans="1:4" hidden="1" outlineLevel="1">
      <c r="A28" s="449" t="s">
        <v>397</v>
      </c>
      <c r="B28" s="450" t="e">
        <f t="shared" ca="1" si="1"/>
        <v>#REF!</v>
      </c>
    </row>
    <row r="29" spans="1:4" hidden="1" outlineLevel="1">
      <c r="A29" s="449" t="s">
        <v>398</v>
      </c>
      <c r="B29" s="450" t="e">
        <f t="shared" ca="1" si="1"/>
        <v>#REF!</v>
      </c>
    </row>
    <row r="30" spans="1:4" hidden="1" outlineLevel="1">
      <c r="A30" s="449" t="s">
        <v>399</v>
      </c>
      <c r="B30" s="450" t="e">
        <f t="shared" ca="1" si="1"/>
        <v>#REF!</v>
      </c>
    </row>
    <row r="31" spans="1:4" hidden="1" outlineLevel="1">
      <c r="A31" s="449" t="s">
        <v>400</v>
      </c>
      <c r="B31" s="450" t="e">
        <f t="shared" ca="1" si="1"/>
        <v>#REF!</v>
      </c>
    </row>
    <row r="32" spans="1:4" hidden="1" outlineLevel="1">
      <c r="A32" s="449" t="s">
        <v>401</v>
      </c>
      <c r="B32" s="450" t="e">
        <f t="shared" ca="1" si="1"/>
        <v>#REF!</v>
      </c>
    </row>
    <row r="33" spans="1:2" hidden="1" outlineLevel="1">
      <c r="A33" s="449" t="s">
        <v>402</v>
      </c>
      <c r="B33" s="450" t="e">
        <f t="shared" ca="1" si="1"/>
        <v>#REF!</v>
      </c>
    </row>
    <row r="34" spans="1:2" hidden="1" outlineLevel="1">
      <c r="A34" s="449" t="s">
        <v>403</v>
      </c>
      <c r="B34" s="450" t="e">
        <f t="shared" ca="1" si="1"/>
        <v>#REF!</v>
      </c>
    </row>
    <row r="35" spans="1:2" hidden="1" outlineLevel="1">
      <c r="A35" s="449" t="s">
        <v>404</v>
      </c>
      <c r="B35" s="450" t="e">
        <f t="shared" ca="1" si="1"/>
        <v>#REF!</v>
      </c>
    </row>
    <row r="36" spans="1:2" hidden="1" outlineLevel="1">
      <c r="A36" s="449" t="s">
        <v>405</v>
      </c>
      <c r="B36" s="450" t="e">
        <f t="shared" ca="1" si="1"/>
        <v>#REF!</v>
      </c>
    </row>
    <row r="37" spans="1:2" hidden="1" outlineLevel="1">
      <c r="A37" s="449" t="s">
        <v>406</v>
      </c>
      <c r="B37" s="450" t="e">
        <f t="shared" ca="1" si="1"/>
        <v>#REF!</v>
      </c>
    </row>
    <row r="38" spans="1:2" hidden="1" outlineLevel="1">
      <c r="A38" s="449" t="s">
        <v>407</v>
      </c>
      <c r="B38" s="450" t="e">
        <f t="shared" ca="1" si="1"/>
        <v>#REF!</v>
      </c>
    </row>
    <row r="39" spans="1:2" ht="13.8" hidden="1" outlineLevel="1">
      <c r="A39" s="451" t="s">
        <v>408</v>
      </c>
      <c r="B39" s="450" t="e">
        <f t="shared" ca="1" si="1"/>
        <v>#REF!</v>
      </c>
    </row>
    <row r="40" spans="1:2" hidden="1" outlineLevel="1">
      <c r="A40" s="449" t="s">
        <v>409</v>
      </c>
      <c r="B40" s="450" t="e">
        <f t="shared" ca="1" si="1"/>
        <v>#REF!</v>
      </c>
    </row>
    <row r="41" spans="1:2" hidden="1" outlineLevel="1">
      <c r="A41" s="449" t="s">
        <v>410</v>
      </c>
      <c r="B41" s="450" t="e">
        <f t="shared" ca="1" si="1"/>
        <v>#REF!</v>
      </c>
    </row>
    <row r="42" spans="1:2" hidden="1" outlineLevel="1">
      <c r="A42" s="449" t="s">
        <v>411</v>
      </c>
      <c r="B42" s="450" t="e">
        <f t="shared" ca="1" si="1"/>
        <v>#REF!</v>
      </c>
    </row>
    <row r="43" spans="1:2" hidden="1" outlineLevel="1">
      <c r="A43" s="449" t="s">
        <v>412</v>
      </c>
      <c r="B43" s="450" t="e">
        <f t="shared" ca="1" si="1"/>
        <v>#REF!</v>
      </c>
    </row>
    <row r="44" spans="1:2" hidden="1" outlineLevel="1">
      <c r="A44" s="449" t="s">
        <v>413</v>
      </c>
      <c r="B44" s="450" t="e">
        <f t="shared" ca="1" si="1"/>
        <v>#REF!</v>
      </c>
    </row>
    <row r="45" spans="1:2" hidden="1" outlineLevel="1">
      <c r="A45" s="449" t="s">
        <v>414</v>
      </c>
      <c r="B45" s="450" t="e">
        <f t="shared" ca="1" si="1"/>
        <v>#REF!</v>
      </c>
    </row>
    <row r="46" spans="1:2" hidden="1" outlineLevel="1">
      <c r="A46" s="449" t="s">
        <v>415</v>
      </c>
      <c r="B46" s="450" t="e">
        <f t="shared" ca="1" si="1"/>
        <v>#REF!</v>
      </c>
    </row>
    <row r="47" spans="1:2" hidden="1" outlineLevel="1">
      <c r="A47" s="449" t="s">
        <v>416</v>
      </c>
      <c r="B47" s="450" t="e">
        <f t="shared" ca="1" si="1"/>
        <v>#REF!</v>
      </c>
    </row>
    <row r="48" spans="1:2" hidden="1" outlineLevel="1">
      <c r="A48" s="449" t="s">
        <v>417</v>
      </c>
      <c r="B48" s="450" t="e">
        <f t="shared" ca="1" si="1"/>
        <v>#REF!</v>
      </c>
    </row>
    <row r="49" spans="1:2" hidden="1" outlineLevel="1">
      <c r="A49" s="449" t="s">
        <v>418</v>
      </c>
      <c r="B49" s="450" t="e">
        <f t="shared" ca="1" si="1"/>
        <v>#REF!</v>
      </c>
    </row>
    <row r="50" spans="1:2" hidden="1" outlineLevel="1">
      <c r="A50" s="449" t="s">
        <v>419</v>
      </c>
      <c r="B50" s="450" t="e">
        <f t="shared" ca="1" si="1"/>
        <v>#REF!</v>
      </c>
    </row>
    <row r="51" spans="1:2" hidden="1" outlineLevel="1">
      <c r="A51" s="449" t="s">
        <v>420</v>
      </c>
      <c r="B51" s="450" t="e">
        <f t="shared" ca="1" si="1"/>
        <v>#REF!</v>
      </c>
    </row>
    <row r="52" spans="1:2" hidden="1" outlineLevel="1">
      <c r="A52" s="449" t="s">
        <v>421</v>
      </c>
      <c r="B52" s="450" t="e">
        <f t="shared" ca="1" si="1"/>
        <v>#REF!</v>
      </c>
    </row>
    <row r="53" spans="1:2" collapsed="1">
      <c r="A53" s="449"/>
      <c r="B53" s="450"/>
    </row>
    <row r="54" spans="1:2" ht="15" thickBot="1">
      <c r="A54" s="452" t="s">
        <v>427</v>
      </c>
      <c r="B54" s="453">
        <f>(-B55-B56-B57-B58+B59+B60-B61-B62+B63+B64)</f>
        <v>0</v>
      </c>
    </row>
  </sheetData>
  <sheetProtection algorithmName="SHA-512" hashValue="A1eC1OHqrkSdJue48vruhuIfBbQ0XVcPULDThUNJJ1OY5YoUE+lqXdxbLqPPq5vNBDyvNT6IINcgN58elYlJlw==" saltValue="NPgHOBCPSkxbW4VG1spDcg==" spinCount="100000" sheet="1" objects="1" scenarios="1"/>
  <customSheetViews>
    <customSheetView guid="{332023D0-60C3-4A29-9DCC-CDA10E0C090D}" hiddenRows="1">
      <selection activeCell="D66" sqref="D66"/>
      <pageMargins left="0.7" right="0.7" top="0.75" bottom="0.75" header="0.3" footer="0.3"/>
    </customSheetView>
    <customSheetView guid="{B92ED4D4-4566-4043-8B76-FD708F820076}" hiddenRows="1" state="hidden">
      <pageMargins left="0.7" right="0.7" top="0.75" bottom="0.75" header="0.3" footer="0.3"/>
    </customSheetView>
  </customSheetView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49505" r:id="rId3" name="Button 1">
              <controlPr defaultSize="0" print="0" autoFill="0" autoPict="0" macro="[0]!PasteCYFiscal">
                <anchor moveWithCells="1" sizeWithCells="1">
                  <from>
                    <xdr:col>2</xdr:col>
                    <xdr:colOff>182880</xdr:colOff>
                    <xdr:row>0</xdr:row>
                    <xdr:rowOff>30480</xdr:rowOff>
                  </from>
                  <to>
                    <xdr:col>4</xdr:col>
                    <xdr:colOff>373380</xdr:colOff>
                    <xdr:row>2</xdr:row>
                    <xdr:rowOff>76200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39CC4-B5F0-4AB5-BDC5-C2C2067C6A46}">
  <sheetPr codeName="Sheet23">
    <tabColor rgb="FFFFFF00"/>
  </sheetPr>
  <dimension ref="A1:M50"/>
  <sheetViews>
    <sheetView view="pageBreakPreview" zoomScale="60" zoomScaleNormal="61" workbookViewId="0">
      <selection activeCell="C10" sqref="C10"/>
    </sheetView>
  </sheetViews>
  <sheetFormatPr defaultColWidth="0" defaultRowHeight="13.8" zeroHeight="1"/>
  <cols>
    <col min="1" max="1" width="29.44140625" style="1531" customWidth="1"/>
    <col min="2" max="2" width="31.33203125" style="1531" customWidth="1"/>
    <col min="3" max="3" width="18.109375" style="1531" customWidth="1"/>
    <col min="4" max="4" width="28.109375" style="1531" bestFit="1" customWidth="1"/>
    <col min="5" max="5" width="21" style="1531" bestFit="1" customWidth="1"/>
    <col min="6" max="9" width="18.109375" style="1531" customWidth="1"/>
    <col min="10" max="10" width="13.109375" style="1531" bestFit="1" customWidth="1"/>
    <col min="11" max="11" width="8.6640625" style="1531" customWidth="1"/>
    <col min="12" max="16384" width="8.6640625" style="1531" hidden="1"/>
  </cols>
  <sheetData>
    <row r="1" spans="1:13">
      <c r="A1" s="2446" t="s">
        <v>1489</v>
      </c>
      <c r="B1" s="2446"/>
      <c r="C1" s="2446"/>
      <c r="D1" s="2446"/>
      <c r="E1" s="2446"/>
      <c r="F1" s="2446"/>
      <c r="G1" s="2446"/>
      <c r="H1" s="2446"/>
      <c r="I1" s="2446"/>
      <c r="J1" s="2446"/>
      <c r="M1" s="1537" t="s">
        <v>1428</v>
      </c>
    </row>
    <row r="2" spans="1:13">
      <c r="A2" s="1667"/>
      <c r="H2" s="1668"/>
    </row>
    <row r="3" spans="1:13">
      <c r="D3" s="1669" t="str">
        <f>IF(SUM($M:$M)&gt;0,"Correct errors noted in Col D or Col J!","")</f>
        <v/>
      </c>
    </row>
    <row r="4" spans="1:13">
      <c r="A4" s="1670" t="s">
        <v>1429</v>
      </c>
      <c r="B4" s="1671"/>
      <c r="C4" s="1671"/>
      <c r="D4" s="1671"/>
      <c r="E4" s="1671"/>
      <c r="F4" s="1671"/>
      <c r="G4" s="1671"/>
      <c r="H4" s="1671"/>
      <c r="I4" s="1671"/>
      <c r="J4" s="1671"/>
    </row>
    <row r="5" spans="1:13">
      <c r="A5" s="1537" t="s">
        <v>65</v>
      </c>
      <c r="B5" s="1672" t="str">
        <f>IF('1.GeneralProjectInfo'!$A$13&lt;&gt;"",'1.GeneralProjectInfo'!$A$13,"")</f>
        <v/>
      </c>
      <c r="C5" s="1672"/>
      <c r="D5" s="1667"/>
      <c r="E5" s="1537" t="s">
        <v>1425</v>
      </c>
      <c r="F5" s="1786"/>
      <c r="G5" s="1673"/>
    </row>
    <row r="6" spans="1:13">
      <c r="A6" s="1537" t="s">
        <v>1424</v>
      </c>
      <c r="B6" s="1672" t="str">
        <f>IF('1.GeneralProjectInfo'!$D$19&lt;&gt;"",'1.GeneralProjectInfo'!$D$19,"")</f>
        <v/>
      </c>
      <c r="C6" s="1672"/>
      <c r="D6" s="1667"/>
      <c r="E6" s="1537" t="s">
        <v>1426</v>
      </c>
      <c r="F6" s="1709" t="str">
        <f>IFERROR(IF(F5="","",IF(DAY(F5)=1,EDATE(F5,1),EDATE(DATE(YEAR(F5),MONTH(F5),1),2))),"")</f>
        <v/>
      </c>
    </row>
    <row r="7" spans="1:13">
      <c r="A7" s="1537" t="s">
        <v>997</v>
      </c>
      <c r="B7" s="1672">
        <f>'1.GeneralProjectInfo'!$A$17</f>
        <v>0</v>
      </c>
      <c r="C7" s="1672"/>
      <c r="D7" s="1667"/>
      <c r="E7" s="1537" t="s">
        <v>1427</v>
      </c>
      <c r="F7" s="1709" t="str">
        <f>IFERROR(EDATE(F6,C23*12-1),"")</f>
        <v/>
      </c>
    </row>
    <row r="8" spans="1:13"/>
    <row r="9" spans="1:13">
      <c r="A9" s="1670" t="s">
        <v>1430</v>
      </c>
      <c r="B9" s="1671"/>
      <c r="C9" s="1671"/>
      <c r="D9" s="1671"/>
      <c r="E9" s="1674"/>
      <c r="F9" s="1671"/>
      <c r="G9" s="1671"/>
      <c r="H9" s="1671"/>
      <c r="I9" s="1671"/>
      <c r="J9" s="1671"/>
    </row>
    <row r="10" spans="1:13">
      <c r="A10" s="1531" t="s">
        <v>1472</v>
      </c>
      <c r="C10" s="1788">
        <f>'6.1stYrOpBudget'!F97</f>
        <v>0</v>
      </c>
      <c r="D10" s="1675" t="str">
        <f>IF(ROUND(C10-'6.1stYrOpBudget'!F97,0)&lt;&gt;0,"NOI ≠ 6.1stYrOpBudget","")</f>
        <v/>
      </c>
      <c r="F10" s="1676"/>
      <c r="G10" s="1677" t="s">
        <v>1375</v>
      </c>
      <c r="H10" s="1677"/>
      <c r="I10" s="1677"/>
      <c r="M10" s="1531">
        <f>IF(D10&lt;&gt;"",1,0)</f>
        <v>0</v>
      </c>
    </row>
    <row r="11" spans="1:13">
      <c r="A11" s="1531" t="s">
        <v>1473</v>
      </c>
      <c r="C11" s="1788">
        <f>'4b.PermS&amp;U'!J126</f>
        <v>0</v>
      </c>
      <c r="D11" s="1675" t="str">
        <f>IF(ROUND(C11-'4b.PermS&amp;U'!J126,0)&lt;&gt;0,"TDC ≠ 4b.PermS&amp;U","")</f>
        <v/>
      </c>
      <c r="F11" s="1678" t="s">
        <v>1376</v>
      </c>
      <c r="G11" s="1678" t="s">
        <v>1376</v>
      </c>
      <c r="H11" s="1678" t="s">
        <v>294</v>
      </c>
      <c r="I11" s="1678" t="s">
        <v>1374</v>
      </c>
      <c r="M11" s="1531">
        <f>IF(D11&lt;&gt;"",1,0)</f>
        <v>0</v>
      </c>
    </row>
    <row r="12" spans="1:13">
      <c r="A12" s="1531" t="s">
        <v>1377</v>
      </c>
      <c r="B12" s="1679"/>
      <c r="C12" s="1788">
        <v>0</v>
      </c>
      <c r="D12" s="1675" t="str">
        <f>IF(C19&gt;B16*C12,"LTV &gt; 90%","")</f>
        <v/>
      </c>
      <c r="F12" s="1680" t="s">
        <v>1476</v>
      </c>
      <c r="G12" s="1680" t="s">
        <v>1476</v>
      </c>
      <c r="H12" s="1680" t="s">
        <v>1476</v>
      </c>
      <c r="I12" s="1680" t="s">
        <v>1378</v>
      </c>
      <c r="M12" s="1531">
        <f>IF(D12&lt;&gt;"",1,0)</f>
        <v>0</v>
      </c>
    </row>
    <row r="13" spans="1:13">
      <c r="D13" s="1681"/>
      <c r="E13" s="1682" t="s">
        <v>1379</v>
      </c>
      <c r="F13" s="1683">
        <f>INDEX(Lists!$Z$3:$Z$5,MATCH('9a.PASS'!$B$21,Lists!$X$3:$X$5,0))</f>
        <v>0.60899999999999999</v>
      </c>
      <c r="G13" s="1683">
        <f>INDEX(Lists!$AA$3:$AA$5,MATCH('9a.PASS'!$B$21,Lists!$X$3:$X$5,0))</f>
        <v>0.33600000000000002</v>
      </c>
      <c r="H13" s="1683">
        <f>INDEX(Lists!$AB$3:$AB$5,MATCH('9a.PASS'!$B$21,Lists!$X$3:$X$5,0))</f>
        <v>5.5E-2</v>
      </c>
      <c r="I13" s="1684">
        <f>SUM(F13:H13)</f>
        <v>1</v>
      </c>
    </row>
    <row r="14" spans="1:13">
      <c r="A14" s="1787" t="s">
        <v>1474</v>
      </c>
      <c r="B14" s="1682"/>
      <c r="C14" s="1682"/>
      <c r="D14" s="1685"/>
      <c r="E14" s="1537" t="s">
        <v>1432</v>
      </c>
      <c r="F14" s="1686">
        <f>ROUND($C$19*F13,2)</f>
        <v>0</v>
      </c>
      <c r="G14" s="1686">
        <f>ROUND($C$19*G13,2)</f>
        <v>0</v>
      </c>
      <c r="H14" s="1686">
        <f>ROUND($C$19*H13,2)</f>
        <v>0</v>
      </c>
      <c r="I14" s="1686">
        <f>SUM(F14:H14)</f>
        <v>0</v>
      </c>
    </row>
    <row r="15" spans="1:13">
      <c r="A15" s="1531" t="s">
        <v>1380</v>
      </c>
      <c r="B15" s="1789">
        <v>1.1000000000000001</v>
      </c>
      <c r="C15" s="1687">
        <f>FLOOR(-PV($C$22/12,$C$24*12,$C$10/$B$15/12,0),1000)</f>
        <v>0</v>
      </c>
      <c r="D15" s="1675" t="str">
        <f>IF(B15&lt;1.1,"DSCR &lt; 1.10","")</f>
        <v/>
      </c>
      <c r="E15" s="1531" t="s">
        <v>1381</v>
      </c>
      <c r="F15" s="1688">
        <f>$C$23</f>
        <v>40</v>
      </c>
      <c r="G15" s="1688">
        <f>$C$23</f>
        <v>40</v>
      </c>
      <c r="H15" s="1688">
        <f>$C$23</f>
        <v>40</v>
      </c>
      <c r="I15" s="1688"/>
      <c r="M15" s="1531">
        <f>IF(D15&lt;&gt;"",1,0)</f>
        <v>0</v>
      </c>
    </row>
    <row r="16" spans="1:13">
      <c r="A16" s="1531" t="s">
        <v>1382</v>
      </c>
      <c r="B16" s="1790">
        <v>0.9</v>
      </c>
      <c r="C16" s="1687">
        <f>FLOOR(B16*C12,1000)</f>
        <v>0</v>
      </c>
      <c r="D16" s="1675" t="str">
        <f>IF(B16&gt;0.9,"LTV &gt; 90%","")</f>
        <v/>
      </c>
      <c r="E16" s="1531" t="s">
        <v>1383</v>
      </c>
      <c r="F16" s="1688">
        <f>$C$24</f>
        <v>40</v>
      </c>
      <c r="G16" s="1688">
        <f>$C$24</f>
        <v>40</v>
      </c>
      <c r="H16" s="1688">
        <f>$C$24</f>
        <v>40</v>
      </c>
      <c r="I16" s="1688"/>
      <c r="M16" s="1531">
        <f>IF(D16&lt;&gt;"",1,0)</f>
        <v>0</v>
      </c>
    </row>
    <row r="17" spans="1:13" ht="15.6">
      <c r="A17" s="1531" t="s">
        <v>1384</v>
      </c>
      <c r="B17" s="1790">
        <v>0.8</v>
      </c>
      <c r="C17" s="1689">
        <f>FLOOR(B17*C11,1000)</f>
        <v>0</v>
      </c>
      <c r="D17" s="1675" t="str">
        <f>IF(B17&gt;0.8,"LTC &gt; 80%","")</f>
        <v/>
      </c>
      <c r="E17" s="1531" t="s">
        <v>1385</v>
      </c>
      <c r="F17" s="1690">
        <f>$C$21+1%</f>
        <v>3.8728900000000004E-2</v>
      </c>
      <c r="G17" s="1690">
        <f>ROUND($C$21/3,7)</f>
        <v>9.5762999999999994E-3</v>
      </c>
      <c r="H17" s="1690">
        <f>ROUND($C$21/3,7)</f>
        <v>9.5762999999999994E-3</v>
      </c>
      <c r="I17" s="1690" t="str">
        <f>IFERROR(ROUND(RATE(C23*12,I18/12,-I14,I21)*12,7),"")</f>
        <v/>
      </c>
      <c r="M17" s="1531">
        <f>IF(D17&lt;&gt;"",1,0)</f>
        <v>0</v>
      </c>
    </row>
    <row r="18" spans="1:13">
      <c r="B18" s="1682" t="s">
        <v>1475</v>
      </c>
      <c r="C18" s="1691">
        <f>MIN(C15:C17)</f>
        <v>0</v>
      </c>
      <c r="D18" s="1692"/>
      <c r="E18" s="1531" t="s">
        <v>1410</v>
      </c>
      <c r="F18" s="1693">
        <f>PMT(F17/12,F16*12,-F14,0)*12</f>
        <v>0</v>
      </c>
      <c r="G18" s="1693">
        <f>PMT(G17/12,G16*12,-G14,0)*12</f>
        <v>0</v>
      </c>
      <c r="H18" s="1693">
        <v>0</v>
      </c>
      <c r="I18" s="1693">
        <f>SUM(F18:H18)</f>
        <v>0</v>
      </c>
    </row>
    <row r="19" spans="1:13">
      <c r="B19" s="1694" t="s">
        <v>1477</v>
      </c>
      <c r="C19" s="1791">
        <f>C18</f>
        <v>0</v>
      </c>
      <c r="D19" s="1675" t="str">
        <f>IF(C19&gt;C18,"Actual Loan &gt; Maximum Loan","")</f>
        <v/>
      </c>
      <c r="E19" s="1531" t="s">
        <v>1423</v>
      </c>
      <c r="F19" s="1693">
        <f>F18/12</f>
        <v>0</v>
      </c>
      <c r="G19" s="1693">
        <f t="shared" ref="G19:I19" si="0">G18/12</f>
        <v>0</v>
      </c>
      <c r="H19" s="1693">
        <f t="shared" si="0"/>
        <v>0</v>
      </c>
      <c r="I19" s="1693">
        <f t="shared" si="0"/>
        <v>0</v>
      </c>
      <c r="M19" s="1531">
        <f>IF(D19&lt;&gt;"",1,0)</f>
        <v>0</v>
      </c>
    </row>
    <row r="20" spans="1:13">
      <c r="D20" s="1681"/>
      <c r="E20" s="1531" t="s">
        <v>1387</v>
      </c>
      <c r="F20" s="1693">
        <f>F14-F21</f>
        <v>0</v>
      </c>
      <c r="G20" s="1693">
        <f>G14-G21</f>
        <v>0</v>
      </c>
      <c r="H20" s="1693">
        <f>H14-H21</f>
        <v>0</v>
      </c>
      <c r="I20" s="1693">
        <f>SUM(F20:H20)</f>
        <v>0</v>
      </c>
    </row>
    <row r="21" spans="1:13">
      <c r="A21" s="1531" t="s">
        <v>1389</v>
      </c>
      <c r="B21" s="1792" t="s">
        <v>1405</v>
      </c>
      <c r="C21" s="1695">
        <f>INDEX(Lists!$Y$3:$Y$5,MATCH(B21,Lists!$X$3:$X$5,0))</f>
        <v>2.8728900000000002E-2</v>
      </c>
      <c r="D21" s="1696"/>
      <c r="E21" s="1531" t="s">
        <v>1388</v>
      </c>
      <c r="F21" s="1693">
        <f>ROUND(FV(F17/12,F15*12,F18/12,-F14),2)</f>
        <v>0</v>
      </c>
      <c r="G21" s="1693">
        <f>ROUND(FV(G17/12,G15*12,G18/12,-G14),2)</f>
        <v>0</v>
      </c>
      <c r="H21" s="1693">
        <f>ROUND(FV(H17/12,H15*12,H18/12,-H14),2)</f>
        <v>0</v>
      </c>
      <c r="I21" s="1693">
        <f>SUM(F21:H21)</f>
        <v>0</v>
      </c>
    </row>
    <row r="22" spans="1:13">
      <c r="A22" s="1531" t="s">
        <v>1391</v>
      </c>
      <c r="B22" s="1682"/>
      <c r="C22" s="1695">
        <f>ROUND(RATE($C$24*12,PMT($F$17/12,$C$24*12,-$F$13,0)+PMT($G$17/12,$C$24*12,-$G$13,0),-1,0)*12,7)</f>
        <v>2.57661E-2</v>
      </c>
      <c r="D22" s="1696"/>
      <c r="E22" s="1531" t="s">
        <v>1390</v>
      </c>
      <c r="F22" s="1725" t="str">
        <f>IFERROR($C$10/SUM($F$18:F18),"")</f>
        <v/>
      </c>
      <c r="G22" s="1725" t="str">
        <f>IFERROR($C$10/SUM($F$18:G18),"")</f>
        <v/>
      </c>
      <c r="H22" s="1725" t="str">
        <f>IFERROR($C$10/SUM($F$18:H18),"")</f>
        <v/>
      </c>
      <c r="I22" s="1725" t="str">
        <f>IFERROR($C$10/I18,"")</f>
        <v/>
      </c>
      <c r="J22" s="1669" t="str">
        <f>IFERROR(IF(ROUND(I22,3)&lt;1.1,"DSCR &lt; 1.10",""),"")</f>
        <v/>
      </c>
      <c r="M22" s="1531">
        <f>IF(J22&lt;&gt;"",1,0)</f>
        <v>0</v>
      </c>
    </row>
    <row r="23" spans="1:13">
      <c r="A23" s="1531" t="s">
        <v>1401</v>
      </c>
      <c r="C23" s="1793">
        <v>40</v>
      </c>
      <c r="D23" s="1675" t="str">
        <f>IF(C23&lt;&gt;40,"Loan Term ≠ 40","")</f>
        <v/>
      </c>
      <c r="E23" s="1531" t="s">
        <v>1392</v>
      </c>
      <c r="F23" s="1693">
        <f>IFERROR(F14/$B$7,0)</f>
        <v>0</v>
      </c>
      <c r="G23" s="1693">
        <f>IFERROR(G14/$B$7,0)</f>
        <v>0</v>
      </c>
      <c r="H23" s="1693">
        <f>IFERROR(H14/$B$7,0)</f>
        <v>0</v>
      </c>
      <c r="I23" s="1693">
        <f>IFERROR(I14/$B$7,0)</f>
        <v>0</v>
      </c>
      <c r="M23" s="1531">
        <f>IF(D23&lt;&gt;"",1,0)</f>
        <v>0</v>
      </c>
    </row>
    <row r="24" spans="1:13">
      <c r="A24" s="1531" t="s">
        <v>1402</v>
      </c>
      <c r="C24" s="1793">
        <v>40</v>
      </c>
      <c r="D24" s="1675" t="str">
        <f>IF(C24&lt;&gt;40,"Amortization Term ≠ 40","")</f>
        <v/>
      </c>
      <c r="F24" s="1697"/>
      <c r="G24" s="1697"/>
      <c r="H24" s="1697"/>
      <c r="I24" s="1697"/>
      <c r="M24" s="1531">
        <f>IF(D24&lt;&gt;"",1,0)</f>
        <v>0</v>
      </c>
    </row>
    <row r="25" spans="1:13">
      <c r="F25" s="1697"/>
      <c r="G25" s="1697"/>
      <c r="H25" s="1697"/>
      <c r="I25" s="1697"/>
    </row>
    <row r="26" spans="1:13" ht="15.6">
      <c r="A26" s="1670" t="s">
        <v>1431</v>
      </c>
      <c r="B26" s="1698"/>
      <c r="C26" s="1699"/>
      <c r="D26" s="1700"/>
      <c r="E26" s="1671"/>
      <c r="F26" s="1701"/>
      <c r="G26" s="1701"/>
      <c r="H26" s="1701"/>
      <c r="I26" s="1701"/>
      <c r="J26" s="1671"/>
    </row>
    <row r="27" spans="1:13" ht="15.6">
      <c r="A27" s="1537" t="s">
        <v>1433</v>
      </c>
      <c r="B27" s="1702"/>
      <c r="C27" s="1703"/>
      <c r="D27" s="1704"/>
      <c r="E27" s="1682" t="s">
        <v>1379</v>
      </c>
      <c r="F27" s="1683">
        <v>0</v>
      </c>
      <c r="G27" s="1683">
        <v>1</v>
      </c>
      <c r="H27" s="1683">
        <v>0</v>
      </c>
      <c r="I27" s="1684">
        <f>SUM(F27:H27)</f>
        <v>1</v>
      </c>
    </row>
    <row r="28" spans="1:13">
      <c r="A28" s="1705" t="s">
        <v>1393</v>
      </c>
      <c r="B28" s="1727">
        <v>1.2500000000000001E-2</v>
      </c>
      <c r="C28" s="1726">
        <v>15000</v>
      </c>
      <c r="D28" s="1728" t="s">
        <v>1435</v>
      </c>
      <c r="F28" s="1693">
        <f t="shared" ref="F28:H31" si="1">ROUND($I28*F$27,2)</f>
        <v>0</v>
      </c>
      <c r="G28" s="1693">
        <f t="shared" si="1"/>
        <v>15000</v>
      </c>
      <c r="H28" s="1693">
        <f t="shared" si="1"/>
        <v>0</v>
      </c>
      <c r="I28" s="1693">
        <f>ROUND(MAX(C28,B28*$C$19),2)</f>
        <v>15000</v>
      </c>
    </row>
    <row r="29" spans="1:13">
      <c r="A29" s="1705" t="s">
        <v>1394</v>
      </c>
      <c r="B29" s="1687"/>
      <c r="C29" s="1687">
        <v>15000</v>
      </c>
      <c r="D29" s="1728"/>
      <c r="F29" s="1693">
        <f t="shared" si="1"/>
        <v>0</v>
      </c>
      <c r="G29" s="1693">
        <f t="shared" si="1"/>
        <v>15000</v>
      </c>
      <c r="H29" s="1693">
        <f t="shared" si="1"/>
        <v>0</v>
      </c>
      <c r="I29" s="1693">
        <f>C29</f>
        <v>15000</v>
      </c>
    </row>
    <row r="30" spans="1:13">
      <c r="A30" s="1705" t="s">
        <v>1395</v>
      </c>
      <c r="B30" s="1727">
        <v>5.0000000000000001E-4</v>
      </c>
      <c r="C30" s="1726">
        <v>2500</v>
      </c>
      <c r="D30" s="1728" t="s">
        <v>1435</v>
      </c>
      <c r="F30" s="1693">
        <f t="shared" si="1"/>
        <v>0</v>
      </c>
      <c r="G30" s="1693">
        <f t="shared" si="1"/>
        <v>2500</v>
      </c>
      <c r="H30" s="1693">
        <f t="shared" si="1"/>
        <v>0</v>
      </c>
      <c r="I30" s="1693">
        <f>ROUND(MAX(C30,B30*$C$19),2)</f>
        <v>2500</v>
      </c>
    </row>
    <row r="31" spans="1:13" ht="15.6">
      <c r="A31" s="1705" t="s">
        <v>1396</v>
      </c>
      <c r="C31" s="1687">
        <v>2500</v>
      </c>
      <c r="D31" s="1728"/>
      <c r="F31" s="1707">
        <f t="shared" si="1"/>
        <v>0</v>
      </c>
      <c r="G31" s="1707">
        <f t="shared" si="1"/>
        <v>2500</v>
      </c>
      <c r="H31" s="1707">
        <f t="shared" si="1"/>
        <v>0</v>
      </c>
      <c r="I31" s="1708">
        <f>C31</f>
        <v>2500</v>
      </c>
    </row>
    <row r="32" spans="1:13">
      <c r="D32" s="1729"/>
      <c r="F32" s="1706">
        <f>SUM(F28:F31)</f>
        <v>0</v>
      </c>
      <c r="G32" s="1706">
        <f>SUM(G28:G31)</f>
        <v>35000</v>
      </c>
      <c r="H32" s="1706">
        <f>SUM(H28:H31)</f>
        <v>0</v>
      </c>
      <c r="I32" s="1706">
        <f>SUM(I28:I31)</f>
        <v>35000</v>
      </c>
    </row>
    <row r="33" spans="1:10">
      <c r="D33" s="1729"/>
      <c r="E33" s="1691"/>
      <c r="F33" s="1706"/>
      <c r="G33" s="1706"/>
      <c r="H33" s="1706"/>
      <c r="I33" s="1706"/>
    </row>
    <row r="34" spans="1:10">
      <c r="A34" s="1724" t="s">
        <v>1434</v>
      </c>
      <c r="D34" s="1729"/>
      <c r="E34" s="1682" t="s">
        <v>1379</v>
      </c>
      <c r="F34" s="1683">
        <v>0</v>
      </c>
      <c r="G34" s="1683">
        <v>1</v>
      </c>
      <c r="H34" s="1683">
        <v>0</v>
      </c>
      <c r="I34" s="1684">
        <f>SUM(F34:H34)</f>
        <v>1</v>
      </c>
    </row>
    <row r="35" spans="1:10">
      <c r="A35" s="1705" t="s">
        <v>1398</v>
      </c>
      <c r="C35" s="1687">
        <v>2500</v>
      </c>
      <c r="D35" s="1728" t="s">
        <v>1397</v>
      </c>
      <c r="F35" s="1693">
        <f>ROUND($I35*F$27,2)</f>
        <v>0</v>
      </c>
      <c r="G35" s="1693">
        <f>ROUND($I35*G$34,2)</f>
        <v>2500</v>
      </c>
      <c r="H35" s="1693">
        <f>ROUND($I35*H$34,2)</f>
        <v>0</v>
      </c>
      <c r="I35" s="1693">
        <f>C35</f>
        <v>2500</v>
      </c>
    </row>
    <row r="36" spans="1:10" ht="15.6">
      <c r="A36" s="1705" t="s">
        <v>1399</v>
      </c>
      <c r="C36" s="1687">
        <v>2500</v>
      </c>
      <c r="D36" s="1728" t="s">
        <v>1397</v>
      </c>
      <c r="F36" s="1707">
        <f>ROUND($I36*F$27,2)</f>
        <v>0</v>
      </c>
      <c r="G36" s="1707">
        <f>ROUND($I36*G$34,2)</f>
        <v>2500</v>
      </c>
      <c r="H36" s="1707">
        <f>ROUND($I36*H$34,2)</f>
        <v>0</v>
      </c>
      <c r="I36" s="1707">
        <f>C36</f>
        <v>2500</v>
      </c>
    </row>
    <row r="37" spans="1:10">
      <c r="F37" s="1706">
        <f>SUM(F35:F36)</f>
        <v>0</v>
      </c>
      <c r="G37" s="1706">
        <f t="shared" ref="G37:H37" si="2">SUM(G35:G36)</f>
        <v>5000</v>
      </c>
      <c r="H37" s="1706">
        <f t="shared" si="2"/>
        <v>0</v>
      </c>
      <c r="I37" s="1706">
        <f>SUM(I35:I36)</f>
        <v>5000</v>
      </c>
    </row>
    <row r="38" spans="1:10">
      <c r="F38" s="1697"/>
      <c r="G38" s="1697"/>
      <c r="H38" s="1697"/>
      <c r="I38" s="1697"/>
    </row>
    <row r="39" spans="1:10" ht="15.6">
      <c r="A39" s="1670" t="s">
        <v>1496</v>
      </c>
      <c r="B39" s="1698"/>
      <c r="C39" s="1699"/>
      <c r="D39" s="1833"/>
      <c r="E39" s="1671"/>
      <c r="F39" s="1671"/>
      <c r="G39" s="1671"/>
      <c r="H39" s="1671"/>
      <c r="I39" s="1671"/>
      <c r="J39" s="1671"/>
    </row>
    <row r="40" spans="1:10">
      <c r="A40" s="1531" t="s">
        <v>1493</v>
      </c>
      <c r="B40" s="1709" t="str">
        <f>IF(OR(ISBLANK(F5),ISERROR(DAY(F5))),"",F5)</f>
        <v/>
      </c>
    </row>
    <row r="41" spans="1:10">
      <c r="A41" s="1531" t="s">
        <v>1494</v>
      </c>
      <c r="B41" s="1709" t="str">
        <f>IF(OR(ISBLANK(F5),ISERROR(EOMONTH(F5,0))),"",EOMONTH(F5,0))</f>
        <v/>
      </c>
    </row>
    <row r="42" spans="1:10">
      <c r="A42" s="1531" t="s">
        <v>1495</v>
      </c>
      <c r="B42" s="1834">
        <f>IFERROR(30-DAY(B40)+1,0)</f>
        <v>0</v>
      </c>
    </row>
    <row r="43" spans="1:10">
      <c r="B43" s="1682"/>
      <c r="C43" s="1682"/>
      <c r="D43" s="1682"/>
      <c r="E43" s="1682"/>
      <c r="F43" s="1682"/>
      <c r="G43" s="1682" t="s">
        <v>1414</v>
      </c>
      <c r="H43" s="1682" t="s">
        <v>1414</v>
      </c>
      <c r="I43" s="1682"/>
    </row>
    <row r="44" spans="1:10">
      <c r="B44" s="1829" t="s">
        <v>1499</v>
      </c>
      <c r="C44" s="1829" t="s">
        <v>1385</v>
      </c>
      <c r="D44" s="1829" t="s">
        <v>1497</v>
      </c>
      <c r="E44" s="1829" t="s">
        <v>1495</v>
      </c>
      <c r="F44" s="1829" t="s">
        <v>1498</v>
      </c>
      <c r="G44" s="1829" t="s">
        <v>1418</v>
      </c>
      <c r="H44" s="1829" t="s">
        <v>1419</v>
      </c>
      <c r="I44" s="1829" t="s">
        <v>1420</v>
      </c>
    </row>
    <row r="45" spans="1:10">
      <c r="A45" s="1531" t="s">
        <v>1478</v>
      </c>
      <c r="B45" s="1691">
        <f>F14</f>
        <v>0</v>
      </c>
      <c r="C45" s="1831">
        <f>F17</f>
        <v>3.8728900000000004E-2</v>
      </c>
      <c r="D45" s="1691">
        <f>ROUND(B45*C45/360,2)</f>
        <v>0</v>
      </c>
      <c r="E45" s="1828">
        <f>$B$42</f>
        <v>0</v>
      </c>
      <c r="F45" s="1691">
        <f>D45*E45</f>
        <v>0</v>
      </c>
      <c r="G45" s="1691">
        <f>ROUND(B45*C21/360,2)*E45</f>
        <v>0</v>
      </c>
      <c r="H45" s="1691">
        <f>ROUND(B45*C45/360,2)*E45-G45</f>
        <v>0</v>
      </c>
      <c r="I45" s="1691">
        <f>F45-SUM(G45:H45)</f>
        <v>0</v>
      </c>
    </row>
    <row r="46" spans="1:10">
      <c r="A46" s="1531" t="s">
        <v>1479</v>
      </c>
      <c r="B46" s="1691">
        <f>G14</f>
        <v>0</v>
      </c>
      <c r="C46" s="1831">
        <f>G17</f>
        <v>9.5762999999999994E-3</v>
      </c>
      <c r="D46" s="1691">
        <f t="shared" ref="D46" si="3">ROUND(B46*C46/360,2)</f>
        <v>0</v>
      </c>
      <c r="E46" s="1828">
        <f t="shared" ref="E46:E47" si="4">$B$42</f>
        <v>0</v>
      </c>
      <c r="F46" s="1691">
        <f t="shared" ref="F46:F47" si="5">D46*E46</f>
        <v>0</v>
      </c>
      <c r="G46" s="1691">
        <f>F46-H46</f>
        <v>0</v>
      </c>
      <c r="H46" s="1691">
        <v>0</v>
      </c>
      <c r="I46" s="1691">
        <f t="shared" ref="I46:I47" si="6">F46-SUM(G46:H46)</f>
        <v>0</v>
      </c>
    </row>
    <row r="47" spans="1:10" ht="15.6">
      <c r="A47" s="1531" t="s">
        <v>1480</v>
      </c>
      <c r="B47" s="1830">
        <f>H14</f>
        <v>0</v>
      </c>
      <c r="C47" s="1831">
        <f>H17</f>
        <v>9.5762999999999994E-3</v>
      </c>
      <c r="D47" s="1830">
        <v>0</v>
      </c>
      <c r="E47" s="1828">
        <f t="shared" si="4"/>
        <v>0</v>
      </c>
      <c r="F47" s="1830">
        <f t="shared" si="5"/>
        <v>0</v>
      </c>
      <c r="G47" s="1830">
        <f>F47-H47</f>
        <v>0</v>
      </c>
      <c r="H47" s="1830">
        <v>0</v>
      </c>
      <c r="I47" s="1830">
        <f t="shared" si="6"/>
        <v>0</v>
      </c>
    </row>
    <row r="48" spans="1:10">
      <c r="A48" s="1537" t="s">
        <v>1500</v>
      </c>
      <c r="B48" s="1832">
        <f>SUM(B45:B47)</f>
        <v>0</v>
      </c>
      <c r="C48" s="1537"/>
      <c r="D48" s="1832">
        <f>SUM(D45:D47)</f>
        <v>0</v>
      </c>
      <c r="E48" s="1537"/>
      <c r="F48" s="1832">
        <f>SUM(F45:F47)</f>
        <v>0</v>
      </c>
      <c r="G48" s="1832">
        <f t="shared" ref="G48:I48" si="7">SUM(G45:G47)</f>
        <v>0</v>
      </c>
      <c r="H48" s="1832">
        <f t="shared" si="7"/>
        <v>0</v>
      </c>
      <c r="I48" s="1832">
        <f t="shared" si="7"/>
        <v>0</v>
      </c>
    </row>
    <row r="49"/>
    <row r="50"/>
  </sheetData>
  <sheetProtection algorithmName="SHA-512" hashValue="IFxRBUU/jV+RW1mVms3xr251Dao46Tyvtf4MNF6kALRj9QYbFmiqZDCeRNSaZq9bRsOlQZxILBGSbgK/c5u4ZA==" saltValue="/+uLNMYwdmJoMXJBF70EoA==" spinCount="100000" sheet="1" objects="1" scenarios="1"/>
  <mergeCells count="1">
    <mergeCell ref="A1:J1"/>
  </mergeCells>
  <dataValidations count="9">
    <dataValidation type="custom" allowBlank="1" showInputMessage="1" showErrorMessage="1" promptTitle="Underwritten PASS Loan" prompt="Enter a PASS Loan amount in denominations of $1,000, and less than or equal to the Maximum PASS Loan amount based on DSCR, LTV and LTC." sqref="C19" xr:uid="{E224B55A-51BC-4ABC-AAB1-7966B6602852}">
      <formula1>IF(MOD(C19,1000)=0,TRUE,FALSE)</formula1>
    </dataValidation>
    <dataValidation type="decimal" operator="greaterThanOrEqual" allowBlank="1" showInputMessage="1" showErrorMessage="1" promptTitle="Debt Service Coverage Ratio" prompt="Enter a minimum DSCR.  PASS Program Regulations require a minimum DSCR of 1.10 " sqref="B15" xr:uid="{E2D9AD1B-F256-494F-ADAE-7A72D97786A8}">
      <formula1>1</formula1>
    </dataValidation>
    <dataValidation type="decimal" operator="greaterThanOrEqual" allowBlank="1" showInputMessage="1" showErrorMessage="1" promptTitle="Net Operating Income" prompt="Enter a NOI greater or equal to zero.  This should match the NOI from 6.1stYrOpBudget." sqref="C10" xr:uid="{B5B63764-5C5C-4844-9A35-3EC96A836489}">
      <formula1>0</formula1>
    </dataValidation>
    <dataValidation type="decimal" operator="greaterThanOrEqual" allowBlank="1" showInputMessage="1" showErrorMessage="1" promptTitle="Total Development Cost" prompt="Enter a TDC greater or equal to zero.  This should match the TDC from 4b.PermS&amp;U." sqref="C11" xr:uid="{438B8B76-CA3F-43A9-8D2F-3FE6919FD1B3}">
      <formula1>0</formula1>
    </dataValidation>
    <dataValidation type="decimal" operator="greaterThanOrEqual" allowBlank="1" showInputMessage="1" showErrorMessage="1" promptTitle="Appraised Value" prompt="Enter an appraised value greater or equal to zero." sqref="C12" xr:uid="{E9F444C0-328F-4ED6-9A1C-FDAF981DB474}">
      <formula1>0</formula1>
    </dataValidation>
    <dataValidation type="decimal" operator="greaterThanOrEqual" allowBlank="1" showInputMessage="1" showErrorMessage="1" promptTitle="Loan To Value" prompt="Enter a maximum LTV.  PASS Program Regulations require a maximum LTV of 90%." sqref="B16" xr:uid="{82E0C53D-43E9-4BD6-BA02-6AA85324E36F}">
      <formula1>0</formula1>
    </dataValidation>
    <dataValidation type="decimal" operator="greaterThanOrEqual" allowBlank="1" showInputMessage="1" showErrorMessage="1" promptTitle="Loan To Cost" prompt="Enter a maximum LTC.  PASS Program Regulations require a maximum LTC of 80%." sqref="B17" xr:uid="{1581EB85-B685-4536-A0EC-01EC4D81C179}">
      <formula1>0</formula1>
    </dataValidation>
    <dataValidation type="decimal" operator="greaterThanOrEqual" allowBlank="1" showInputMessage="1" showErrorMessage="1" promptTitle="Loan Term" prompt="Enter the Loan Term in years.  PASS Program Regulations allow up to a 40 year term." sqref="C23" xr:uid="{324EC68A-2DA6-4F92-A511-0E93F92BDB1B}">
      <formula1>0</formula1>
    </dataValidation>
    <dataValidation type="decimal" operator="greaterThanOrEqual" allowBlank="1" showInputMessage="1" showErrorMessage="1" promptTitle="Loan Amortization" prompt="Enter a Loan Amortization in years.  PASS Program Regulations allow up to a 40 year amortization." sqref="C24" xr:uid="{729DDA3F-FBD7-4A47-924C-257ED193AD57}">
      <formula1>0</formula1>
    </dataValidation>
  </dataValidations>
  <pageMargins left="0.7" right="0.7" top="0.75" bottom="0.75" header="0.3" footer="0.3"/>
  <pageSetup scale="57" orientation="landscape" horizontalDpi="1200" verticalDpi="1200" r:id="rId1"/>
  <colBreaks count="1" manualBreakCount="1">
    <brk id="10"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promptTitle="PASS Bond Series" prompt="Select the appropriate PASS Bond Series funding the loans:_x000a_1st Issuance: 2019 Series A_x000a_2nd Issuance: 2020 Series C_x000a_3rd Issuance: 2023 Series X" xr:uid="{7AF781B6-C146-4DDD-A694-E264D8D23A8D}">
          <x14:formula1>
            <xm:f>Lists!$X$3:$X$5</xm:f>
          </x14:formula1>
          <xm:sqref>B21</xm:sqref>
        </x14:dataValidation>
        <x14:dataValidation type="date" allowBlank="1" showInputMessage="1" showErrorMessage="1" promptTitle="Closing Date" prompt="Enter a closing date [MM/DD/YYYY]" xr:uid="{E74CB481-0B66-488C-85C3-698293490C22}">
          <x14:formula1>
            <xm:f>Lists!AC3</xm:f>
          </x14:formula1>
          <x14:formula2>
            <xm:f>Lists!AC4</xm:f>
          </x14:formula2>
          <xm:sqref>F5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26A7A-482C-450E-B5AD-2331D0DD3EB1}">
  <sheetPr codeName="Sheet24">
    <tabColor rgb="FFFFFF99"/>
  </sheetPr>
  <dimension ref="A1:I493"/>
  <sheetViews>
    <sheetView view="pageBreakPreview" zoomScaleNormal="100" zoomScaleSheetLayoutView="100" zoomScalePageLayoutView="70" workbookViewId="0"/>
  </sheetViews>
  <sheetFormatPr defaultColWidth="0" defaultRowHeight="13.8" zeroHeight="1"/>
  <cols>
    <col min="1" max="1" width="22.33203125" style="1711" customWidth="1"/>
    <col min="2" max="8" width="15.44140625" style="1711" customWidth="1"/>
    <col min="9" max="9" width="8.6640625" style="1711" customWidth="1"/>
    <col min="10" max="16384" width="8.6640625" style="1711" hidden="1"/>
  </cols>
  <sheetData>
    <row r="1" spans="1:8">
      <c r="A1" s="319" t="s">
        <v>65</v>
      </c>
      <c r="B1" s="1710" t="str">
        <f>'9a.PASS'!B5</f>
        <v/>
      </c>
    </row>
    <row r="2" spans="1:8">
      <c r="A2" s="319" t="s">
        <v>1424</v>
      </c>
      <c r="B2" s="1710" t="str">
        <f>'9a.PASS'!B6</f>
        <v/>
      </c>
    </row>
    <row r="3" spans="1:8"/>
    <row r="4" spans="1:8">
      <c r="A4" s="1712" t="s">
        <v>1432</v>
      </c>
      <c r="B4" s="1713">
        <f>'9a.PASS'!F14</f>
        <v>0</v>
      </c>
    </row>
    <row r="5" spans="1:8">
      <c r="A5" s="1714" t="s">
        <v>1385</v>
      </c>
      <c r="B5" s="1715">
        <f>'9a.PASS'!F17</f>
        <v>3.8728900000000004E-2</v>
      </c>
    </row>
    <row r="6" spans="1:8">
      <c r="A6" s="1714" t="s">
        <v>1381</v>
      </c>
      <c r="B6" s="1716">
        <f>'9a.PASS'!F15</f>
        <v>40</v>
      </c>
      <c r="D6" s="1717"/>
      <c r="E6" s="1717"/>
    </row>
    <row r="7" spans="1:8">
      <c r="A7" s="1714" t="s">
        <v>1411</v>
      </c>
      <c r="B7" s="1716">
        <f>'9a.PASS'!F16</f>
        <v>40</v>
      </c>
    </row>
    <row r="8" spans="1:8">
      <c r="A8" s="1718" t="s">
        <v>1423</v>
      </c>
      <c r="B8" s="1719">
        <f>ROUND('9a.PASS'!F18/12,2)</f>
        <v>0</v>
      </c>
    </row>
    <row r="9" spans="1:8"/>
    <row r="10" spans="1:8">
      <c r="A10" s="1710" t="s">
        <v>1412</v>
      </c>
    </row>
    <row r="11" spans="1:8">
      <c r="C11" s="1720" t="s">
        <v>1413</v>
      </c>
      <c r="D11" s="1720" t="s">
        <v>572</v>
      </c>
      <c r="E11" s="1720" t="s">
        <v>1414</v>
      </c>
      <c r="F11" s="1720" t="s">
        <v>1414</v>
      </c>
      <c r="G11" s="1720"/>
      <c r="H11" s="1720" t="s">
        <v>1415</v>
      </c>
    </row>
    <row r="12" spans="1:8">
      <c r="A12" s="1721" t="s">
        <v>1416</v>
      </c>
      <c r="B12" s="1721" t="s">
        <v>1422</v>
      </c>
      <c r="C12" s="1721" t="s">
        <v>1417</v>
      </c>
      <c r="D12" s="1721" t="s">
        <v>1386</v>
      </c>
      <c r="E12" s="1721" t="s">
        <v>1418</v>
      </c>
      <c r="F12" s="1721" t="s">
        <v>1419</v>
      </c>
      <c r="G12" s="1721" t="s">
        <v>1420</v>
      </c>
      <c r="H12" s="1721" t="s">
        <v>1417</v>
      </c>
    </row>
    <row r="13" spans="1:8">
      <c r="A13" s="1717">
        <v>1</v>
      </c>
      <c r="B13" s="1722" t="str">
        <f>'9a.PASS'!F6</f>
        <v/>
      </c>
      <c r="C13" s="1723">
        <f>$B$4</f>
        <v>0</v>
      </c>
      <c r="D13" s="1723">
        <f t="shared" ref="D13" si="0">$B$8</f>
        <v>0</v>
      </c>
      <c r="E13" s="1723">
        <f>ROUND(C13*'9a.PASS'!$C$21/12,2)</f>
        <v>0</v>
      </c>
      <c r="F13" s="1723">
        <f>ROUND(C13*$B$5/12,2)-E13</f>
        <v>0</v>
      </c>
      <c r="G13" s="1723">
        <f>D13-SUM(E13:F13)</f>
        <v>0</v>
      </c>
      <c r="H13" s="1723">
        <f>C13-G13</f>
        <v>0</v>
      </c>
    </row>
    <row r="14" spans="1:8">
      <c r="A14" s="1717">
        <f>IF(A13&lt;$B$6*12,A13+1,"")</f>
        <v>2</v>
      </c>
      <c r="B14" s="1722" t="str">
        <f>IFERROR(EDATE(B13,1),"")</f>
        <v/>
      </c>
      <c r="C14" s="1723">
        <f t="shared" ref="C14:C77" si="1">IF(A13&lt;$B$6*12,H13,"")</f>
        <v>0</v>
      </c>
      <c r="D14" s="1723">
        <f t="shared" ref="D14:D77" si="2">IF(A14=$B$6*12,SUM(C14,E14:F14),IF(A13&lt;$B$6*12,$B$8,""))</f>
        <v>0</v>
      </c>
      <c r="E14" s="1723">
        <f>IF(A13&lt;$B$6*12,ROUND(C14*'9a.PASS'!$C$21/12,2),"")</f>
        <v>0</v>
      </c>
      <c r="F14" s="1723">
        <f t="shared" ref="F14:F77" si="3">IF(A13&lt;$B$6*12,ROUND(C14*$B$5/12,2)-E14,"")</f>
        <v>0</v>
      </c>
      <c r="G14" s="1723">
        <f t="shared" ref="G14:G77" si="4">IF(A13&lt;$B$6*12,D14-SUM(E14:F14),"")</f>
        <v>0</v>
      </c>
      <c r="H14" s="1723">
        <f t="shared" ref="H14:H77" si="5">IF(A13&lt;$B$6*12,C14-G14,"")</f>
        <v>0</v>
      </c>
    </row>
    <row r="15" spans="1:8">
      <c r="A15" s="1717">
        <f t="shared" ref="A15:A78" si="6">IF(A14&lt;$B$6*12,A14+1,"")</f>
        <v>3</v>
      </c>
      <c r="B15" s="1722" t="str">
        <f t="shared" ref="B15:B78" si="7">IFERROR(EDATE(B14,1),"")</f>
        <v/>
      </c>
      <c r="C15" s="1723">
        <f t="shared" si="1"/>
        <v>0</v>
      </c>
      <c r="D15" s="1723">
        <f t="shared" si="2"/>
        <v>0</v>
      </c>
      <c r="E15" s="1723">
        <f>IF(A14&lt;$B$6*12,ROUND(C15*'9a.PASS'!$C$21/12,2),"")</f>
        <v>0</v>
      </c>
      <c r="F15" s="1723">
        <f t="shared" si="3"/>
        <v>0</v>
      </c>
      <c r="G15" s="1723">
        <f t="shared" si="4"/>
        <v>0</v>
      </c>
      <c r="H15" s="1723">
        <f t="shared" si="5"/>
        <v>0</v>
      </c>
    </row>
    <row r="16" spans="1:8">
      <c r="A16" s="1717">
        <f t="shared" si="6"/>
        <v>4</v>
      </c>
      <c r="B16" s="1722" t="str">
        <f t="shared" si="7"/>
        <v/>
      </c>
      <c r="C16" s="1723">
        <f t="shared" si="1"/>
        <v>0</v>
      </c>
      <c r="D16" s="1723">
        <f t="shared" si="2"/>
        <v>0</v>
      </c>
      <c r="E16" s="1723">
        <f>IF(A15&lt;$B$6*12,ROUND(C16*'9a.PASS'!$C$21/12,2),"")</f>
        <v>0</v>
      </c>
      <c r="F16" s="1723">
        <f t="shared" si="3"/>
        <v>0</v>
      </c>
      <c r="G16" s="1723">
        <f t="shared" si="4"/>
        <v>0</v>
      </c>
      <c r="H16" s="1723">
        <f t="shared" si="5"/>
        <v>0</v>
      </c>
    </row>
    <row r="17" spans="1:8">
      <c r="A17" s="1717">
        <f t="shared" si="6"/>
        <v>5</v>
      </c>
      <c r="B17" s="1722" t="str">
        <f t="shared" si="7"/>
        <v/>
      </c>
      <c r="C17" s="1723">
        <f t="shared" si="1"/>
        <v>0</v>
      </c>
      <c r="D17" s="1723">
        <f t="shared" si="2"/>
        <v>0</v>
      </c>
      <c r="E17" s="1723">
        <f>IF(A16&lt;$B$6*12,ROUND(C17*'9a.PASS'!$C$21/12,2),"")</f>
        <v>0</v>
      </c>
      <c r="F17" s="1723">
        <f t="shared" si="3"/>
        <v>0</v>
      </c>
      <c r="G17" s="1723">
        <f t="shared" si="4"/>
        <v>0</v>
      </c>
      <c r="H17" s="1723">
        <f t="shared" si="5"/>
        <v>0</v>
      </c>
    </row>
    <row r="18" spans="1:8">
      <c r="A18" s="1717">
        <f t="shared" si="6"/>
        <v>6</v>
      </c>
      <c r="B18" s="1722" t="str">
        <f t="shared" si="7"/>
        <v/>
      </c>
      <c r="C18" s="1723">
        <f t="shared" si="1"/>
        <v>0</v>
      </c>
      <c r="D18" s="1723">
        <f t="shared" si="2"/>
        <v>0</v>
      </c>
      <c r="E18" s="1723">
        <f>IF(A17&lt;$B$6*12,ROUND(C18*'9a.PASS'!$C$21/12,2),"")</f>
        <v>0</v>
      </c>
      <c r="F18" s="1723">
        <f t="shared" si="3"/>
        <v>0</v>
      </c>
      <c r="G18" s="1723">
        <f t="shared" si="4"/>
        <v>0</v>
      </c>
      <c r="H18" s="1723">
        <f t="shared" si="5"/>
        <v>0</v>
      </c>
    </row>
    <row r="19" spans="1:8">
      <c r="A19" s="1717">
        <f t="shared" si="6"/>
        <v>7</v>
      </c>
      <c r="B19" s="1722" t="str">
        <f t="shared" si="7"/>
        <v/>
      </c>
      <c r="C19" s="1723">
        <f t="shared" si="1"/>
        <v>0</v>
      </c>
      <c r="D19" s="1723">
        <f t="shared" si="2"/>
        <v>0</v>
      </c>
      <c r="E19" s="1723">
        <f>IF(A18&lt;$B$6*12,ROUND(C19*'9a.PASS'!$C$21/12,2),"")</f>
        <v>0</v>
      </c>
      <c r="F19" s="1723">
        <f t="shared" si="3"/>
        <v>0</v>
      </c>
      <c r="G19" s="1723">
        <f t="shared" si="4"/>
        <v>0</v>
      </c>
      <c r="H19" s="1723">
        <f t="shared" si="5"/>
        <v>0</v>
      </c>
    </row>
    <row r="20" spans="1:8">
      <c r="A20" s="1717">
        <f t="shared" si="6"/>
        <v>8</v>
      </c>
      <c r="B20" s="1722" t="str">
        <f t="shared" si="7"/>
        <v/>
      </c>
      <c r="C20" s="1723">
        <f t="shared" si="1"/>
        <v>0</v>
      </c>
      <c r="D20" s="1723">
        <f t="shared" si="2"/>
        <v>0</v>
      </c>
      <c r="E20" s="1723">
        <f>IF(A19&lt;$B$6*12,ROUND(C20*'9a.PASS'!$C$21/12,2),"")</f>
        <v>0</v>
      </c>
      <c r="F20" s="1723">
        <f t="shared" si="3"/>
        <v>0</v>
      </c>
      <c r="G20" s="1723">
        <f t="shared" si="4"/>
        <v>0</v>
      </c>
      <c r="H20" s="1723">
        <f t="shared" si="5"/>
        <v>0</v>
      </c>
    </row>
    <row r="21" spans="1:8">
      <c r="A21" s="1717">
        <f t="shared" si="6"/>
        <v>9</v>
      </c>
      <c r="B21" s="1722" t="str">
        <f t="shared" si="7"/>
        <v/>
      </c>
      <c r="C21" s="1723">
        <f t="shared" si="1"/>
        <v>0</v>
      </c>
      <c r="D21" s="1723">
        <f t="shared" si="2"/>
        <v>0</v>
      </c>
      <c r="E21" s="1723">
        <f>IF(A20&lt;$B$6*12,ROUND(C21*'9a.PASS'!$C$21/12,2),"")</f>
        <v>0</v>
      </c>
      <c r="F21" s="1723">
        <f t="shared" si="3"/>
        <v>0</v>
      </c>
      <c r="G21" s="1723">
        <f t="shared" si="4"/>
        <v>0</v>
      </c>
      <c r="H21" s="1723">
        <f t="shared" si="5"/>
        <v>0</v>
      </c>
    </row>
    <row r="22" spans="1:8">
      <c r="A22" s="1717">
        <f t="shared" si="6"/>
        <v>10</v>
      </c>
      <c r="B22" s="1722" t="str">
        <f t="shared" si="7"/>
        <v/>
      </c>
      <c r="C22" s="1723">
        <f t="shared" si="1"/>
        <v>0</v>
      </c>
      <c r="D22" s="1723">
        <f t="shared" si="2"/>
        <v>0</v>
      </c>
      <c r="E22" s="1723">
        <f>IF(A21&lt;$B$6*12,ROUND(C22*'9a.PASS'!$C$21/12,2),"")</f>
        <v>0</v>
      </c>
      <c r="F22" s="1723">
        <f t="shared" si="3"/>
        <v>0</v>
      </c>
      <c r="G22" s="1723">
        <f t="shared" si="4"/>
        <v>0</v>
      </c>
      <c r="H22" s="1723">
        <f t="shared" si="5"/>
        <v>0</v>
      </c>
    </row>
    <row r="23" spans="1:8">
      <c r="A23" s="1717">
        <f t="shared" si="6"/>
        <v>11</v>
      </c>
      <c r="B23" s="1722" t="str">
        <f t="shared" si="7"/>
        <v/>
      </c>
      <c r="C23" s="1723">
        <f t="shared" si="1"/>
        <v>0</v>
      </c>
      <c r="D23" s="1723">
        <f t="shared" si="2"/>
        <v>0</v>
      </c>
      <c r="E23" s="1723">
        <f>IF(A22&lt;$B$6*12,ROUND(C23*'9a.PASS'!$C$21/12,2),"")</f>
        <v>0</v>
      </c>
      <c r="F23" s="1723">
        <f t="shared" si="3"/>
        <v>0</v>
      </c>
      <c r="G23" s="1723">
        <f t="shared" si="4"/>
        <v>0</v>
      </c>
      <c r="H23" s="1723">
        <f t="shared" si="5"/>
        <v>0</v>
      </c>
    </row>
    <row r="24" spans="1:8">
      <c r="A24" s="1717">
        <f t="shared" si="6"/>
        <v>12</v>
      </c>
      <c r="B24" s="1722" t="str">
        <f t="shared" si="7"/>
        <v/>
      </c>
      <c r="C24" s="1723">
        <f t="shared" si="1"/>
        <v>0</v>
      </c>
      <c r="D24" s="1723">
        <f t="shared" si="2"/>
        <v>0</v>
      </c>
      <c r="E24" s="1723">
        <f>IF(A23&lt;$B$6*12,ROUND(C24*'9a.PASS'!$C$21/12,2),"")</f>
        <v>0</v>
      </c>
      <c r="F24" s="1723">
        <f t="shared" si="3"/>
        <v>0</v>
      </c>
      <c r="G24" s="1723">
        <f t="shared" si="4"/>
        <v>0</v>
      </c>
      <c r="H24" s="1723">
        <f t="shared" si="5"/>
        <v>0</v>
      </c>
    </row>
    <row r="25" spans="1:8">
      <c r="A25" s="1717">
        <f t="shared" si="6"/>
        <v>13</v>
      </c>
      <c r="B25" s="1722" t="str">
        <f t="shared" si="7"/>
        <v/>
      </c>
      <c r="C25" s="1723">
        <f t="shared" si="1"/>
        <v>0</v>
      </c>
      <c r="D25" s="1723">
        <f t="shared" si="2"/>
        <v>0</v>
      </c>
      <c r="E25" s="1723">
        <f>IF(A24&lt;$B$6*12,ROUND(C25*'9a.PASS'!$C$21/12,2),"")</f>
        <v>0</v>
      </c>
      <c r="F25" s="1723">
        <f t="shared" si="3"/>
        <v>0</v>
      </c>
      <c r="G25" s="1723">
        <f t="shared" si="4"/>
        <v>0</v>
      </c>
      <c r="H25" s="1723">
        <f t="shared" si="5"/>
        <v>0</v>
      </c>
    </row>
    <row r="26" spans="1:8">
      <c r="A26" s="1717">
        <f t="shared" si="6"/>
        <v>14</v>
      </c>
      <c r="B26" s="1722" t="str">
        <f t="shared" si="7"/>
        <v/>
      </c>
      <c r="C26" s="1723">
        <f t="shared" si="1"/>
        <v>0</v>
      </c>
      <c r="D26" s="1723">
        <f t="shared" si="2"/>
        <v>0</v>
      </c>
      <c r="E26" s="1723">
        <f>IF(A25&lt;$B$6*12,ROUND(C26*'9a.PASS'!$C$21/12,2),"")</f>
        <v>0</v>
      </c>
      <c r="F26" s="1723">
        <f t="shared" si="3"/>
        <v>0</v>
      </c>
      <c r="G26" s="1723">
        <f t="shared" si="4"/>
        <v>0</v>
      </c>
      <c r="H26" s="1723">
        <f t="shared" si="5"/>
        <v>0</v>
      </c>
    </row>
    <row r="27" spans="1:8">
      <c r="A27" s="1717">
        <f t="shared" si="6"/>
        <v>15</v>
      </c>
      <c r="B27" s="1722" t="str">
        <f t="shared" si="7"/>
        <v/>
      </c>
      <c r="C27" s="1723">
        <f t="shared" si="1"/>
        <v>0</v>
      </c>
      <c r="D27" s="1723">
        <f t="shared" si="2"/>
        <v>0</v>
      </c>
      <c r="E27" s="1723">
        <f>IF(A26&lt;$B$6*12,ROUND(C27*'9a.PASS'!$C$21/12,2),"")</f>
        <v>0</v>
      </c>
      <c r="F27" s="1723">
        <f t="shared" si="3"/>
        <v>0</v>
      </c>
      <c r="G27" s="1723">
        <f t="shared" si="4"/>
        <v>0</v>
      </c>
      <c r="H27" s="1723">
        <f t="shared" si="5"/>
        <v>0</v>
      </c>
    </row>
    <row r="28" spans="1:8">
      <c r="A28" s="1717">
        <f t="shared" si="6"/>
        <v>16</v>
      </c>
      <c r="B28" s="1722" t="str">
        <f t="shared" si="7"/>
        <v/>
      </c>
      <c r="C28" s="1723">
        <f t="shared" si="1"/>
        <v>0</v>
      </c>
      <c r="D28" s="1723">
        <f t="shared" si="2"/>
        <v>0</v>
      </c>
      <c r="E28" s="1723">
        <f>IF(A27&lt;$B$6*12,ROUND(C28*'9a.PASS'!$C$21/12,2),"")</f>
        <v>0</v>
      </c>
      <c r="F28" s="1723">
        <f t="shared" si="3"/>
        <v>0</v>
      </c>
      <c r="G28" s="1723">
        <f t="shared" si="4"/>
        <v>0</v>
      </c>
      <c r="H28" s="1723">
        <f t="shared" si="5"/>
        <v>0</v>
      </c>
    </row>
    <row r="29" spans="1:8">
      <c r="A29" s="1717">
        <f t="shared" si="6"/>
        <v>17</v>
      </c>
      <c r="B29" s="1722" t="str">
        <f t="shared" si="7"/>
        <v/>
      </c>
      <c r="C29" s="1723">
        <f t="shared" si="1"/>
        <v>0</v>
      </c>
      <c r="D29" s="1723">
        <f t="shared" si="2"/>
        <v>0</v>
      </c>
      <c r="E29" s="1723">
        <f>IF(A28&lt;$B$6*12,ROUND(C29*'9a.PASS'!$C$21/12,2),"")</f>
        <v>0</v>
      </c>
      <c r="F29" s="1723">
        <f t="shared" si="3"/>
        <v>0</v>
      </c>
      <c r="G29" s="1723">
        <f t="shared" si="4"/>
        <v>0</v>
      </c>
      <c r="H29" s="1723">
        <f t="shared" si="5"/>
        <v>0</v>
      </c>
    </row>
    <row r="30" spans="1:8">
      <c r="A30" s="1717">
        <f t="shared" si="6"/>
        <v>18</v>
      </c>
      <c r="B30" s="1722" t="str">
        <f t="shared" si="7"/>
        <v/>
      </c>
      <c r="C30" s="1723">
        <f t="shared" si="1"/>
        <v>0</v>
      </c>
      <c r="D30" s="1723">
        <f t="shared" si="2"/>
        <v>0</v>
      </c>
      <c r="E30" s="1723">
        <f>IF(A29&lt;$B$6*12,ROUND(C30*'9a.PASS'!$C$21/12,2),"")</f>
        <v>0</v>
      </c>
      <c r="F30" s="1723">
        <f t="shared" si="3"/>
        <v>0</v>
      </c>
      <c r="G30" s="1723">
        <f t="shared" si="4"/>
        <v>0</v>
      </c>
      <c r="H30" s="1723">
        <f t="shared" si="5"/>
        <v>0</v>
      </c>
    </row>
    <row r="31" spans="1:8">
      <c r="A31" s="1717">
        <f t="shared" si="6"/>
        <v>19</v>
      </c>
      <c r="B31" s="1722" t="str">
        <f t="shared" si="7"/>
        <v/>
      </c>
      <c r="C31" s="1723">
        <f t="shared" si="1"/>
        <v>0</v>
      </c>
      <c r="D31" s="1723">
        <f t="shared" si="2"/>
        <v>0</v>
      </c>
      <c r="E31" s="1723">
        <f>IF(A30&lt;$B$6*12,ROUND(C31*'9a.PASS'!$C$21/12,2),"")</f>
        <v>0</v>
      </c>
      <c r="F31" s="1723">
        <f t="shared" si="3"/>
        <v>0</v>
      </c>
      <c r="G31" s="1723">
        <f t="shared" si="4"/>
        <v>0</v>
      </c>
      <c r="H31" s="1723">
        <f t="shared" si="5"/>
        <v>0</v>
      </c>
    </row>
    <row r="32" spans="1:8">
      <c r="A32" s="1717">
        <f t="shared" si="6"/>
        <v>20</v>
      </c>
      <c r="B32" s="1722" t="str">
        <f t="shared" si="7"/>
        <v/>
      </c>
      <c r="C32" s="1723">
        <f t="shared" si="1"/>
        <v>0</v>
      </c>
      <c r="D32" s="1723">
        <f t="shared" si="2"/>
        <v>0</v>
      </c>
      <c r="E32" s="1723">
        <f>IF(A31&lt;$B$6*12,ROUND(C32*'9a.PASS'!$C$21/12,2),"")</f>
        <v>0</v>
      </c>
      <c r="F32" s="1723">
        <f t="shared" si="3"/>
        <v>0</v>
      </c>
      <c r="G32" s="1723">
        <f t="shared" si="4"/>
        <v>0</v>
      </c>
      <c r="H32" s="1723">
        <f t="shared" si="5"/>
        <v>0</v>
      </c>
    </row>
    <row r="33" spans="1:8">
      <c r="A33" s="1717">
        <f t="shared" si="6"/>
        <v>21</v>
      </c>
      <c r="B33" s="1722" t="str">
        <f t="shared" si="7"/>
        <v/>
      </c>
      <c r="C33" s="1723">
        <f t="shared" si="1"/>
        <v>0</v>
      </c>
      <c r="D33" s="1723">
        <f t="shared" si="2"/>
        <v>0</v>
      </c>
      <c r="E33" s="1723">
        <f>IF(A32&lt;$B$6*12,ROUND(C33*'9a.PASS'!$C$21/12,2),"")</f>
        <v>0</v>
      </c>
      <c r="F33" s="1723">
        <f t="shared" si="3"/>
        <v>0</v>
      </c>
      <c r="G33" s="1723">
        <f t="shared" si="4"/>
        <v>0</v>
      </c>
      <c r="H33" s="1723">
        <f t="shared" si="5"/>
        <v>0</v>
      </c>
    </row>
    <row r="34" spans="1:8">
      <c r="A34" s="1717">
        <f t="shared" si="6"/>
        <v>22</v>
      </c>
      <c r="B34" s="1722" t="str">
        <f t="shared" si="7"/>
        <v/>
      </c>
      <c r="C34" s="1723">
        <f t="shared" si="1"/>
        <v>0</v>
      </c>
      <c r="D34" s="1723">
        <f t="shared" si="2"/>
        <v>0</v>
      </c>
      <c r="E34" s="1723">
        <f>IF(A33&lt;$B$6*12,ROUND(C34*'9a.PASS'!$C$21/12,2),"")</f>
        <v>0</v>
      </c>
      <c r="F34" s="1723">
        <f t="shared" si="3"/>
        <v>0</v>
      </c>
      <c r="G34" s="1723">
        <f t="shared" si="4"/>
        <v>0</v>
      </c>
      <c r="H34" s="1723">
        <f t="shared" si="5"/>
        <v>0</v>
      </c>
    </row>
    <row r="35" spans="1:8">
      <c r="A35" s="1717">
        <f t="shared" si="6"/>
        <v>23</v>
      </c>
      <c r="B35" s="1722" t="str">
        <f t="shared" si="7"/>
        <v/>
      </c>
      <c r="C35" s="1723">
        <f t="shared" si="1"/>
        <v>0</v>
      </c>
      <c r="D35" s="1723">
        <f t="shared" si="2"/>
        <v>0</v>
      </c>
      <c r="E35" s="1723">
        <f>IF(A34&lt;$B$6*12,ROUND(C35*'9a.PASS'!$C$21/12,2),"")</f>
        <v>0</v>
      </c>
      <c r="F35" s="1723">
        <f t="shared" si="3"/>
        <v>0</v>
      </c>
      <c r="G35" s="1723">
        <f t="shared" si="4"/>
        <v>0</v>
      </c>
      <c r="H35" s="1723">
        <f t="shared" si="5"/>
        <v>0</v>
      </c>
    </row>
    <row r="36" spans="1:8">
      <c r="A36" s="1717">
        <f t="shared" si="6"/>
        <v>24</v>
      </c>
      <c r="B36" s="1722" t="str">
        <f t="shared" si="7"/>
        <v/>
      </c>
      <c r="C36" s="1723">
        <f t="shared" si="1"/>
        <v>0</v>
      </c>
      <c r="D36" s="1723">
        <f t="shared" si="2"/>
        <v>0</v>
      </c>
      <c r="E36" s="1723">
        <f>IF(A35&lt;$B$6*12,ROUND(C36*'9a.PASS'!$C$21/12,2),"")</f>
        <v>0</v>
      </c>
      <c r="F36" s="1723">
        <f t="shared" si="3"/>
        <v>0</v>
      </c>
      <c r="G36" s="1723">
        <f t="shared" si="4"/>
        <v>0</v>
      </c>
      <c r="H36" s="1723">
        <f t="shared" si="5"/>
        <v>0</v>
      </c>
    </row>
    <row r="37" spans="1:8">
      <c r="A37" s="1717">
        <f t="shared" si="6"/>
        <v>25</v>
      </c>
      <c r="B37" s="1722" t="str">
        <f t="shared" si="7"/>
        <v/>
      </c>
      <c r="C37" s="1723">
        <f t="shared" si="1"/>
        <v>0</v>
      </c>
      <c r="D37" s="1723">
        <f t="shared" si="2"/>
        <v>0</v>
      </c>
      <c r="E37" s="1723">
        <f>IF(A36&lt;$B$6*12,ROUND(C37*'9a.PASS'!$C$21/12,2),"")</f>
        <v>0</v>
      </c>
      <c r="F37" s="1723">
        <f t="shared" si="3"/>
        <v>0</v>
      </c>
      <c r="G37" s="1723">
        <f t="shared" si="4"/>
        <v>0</v>
      </c>
      <c r="H37" s="1723">
        <f t="shared" si="5"/>
        <v>0</v>
      </c>
    </row>
    <row r="38" spans="1:8">
      <c r="A38" s="1717">
        <f t="shared" si="6"/>
        <v>26</v>
      </c>
      <c r="B38" s="1722" t="str">
        <f t="shared" si="7"/>
        <v/>
      </c>
      <c r="C38" s="1723">
        <f t="shared" si="1"/>
        <v>0</v>
      </c>
      <c r="D38" s="1723">
        <f t="shared" si="2"/>
        <v>0</v>
      </c>
      <c r="E38" s="1723">
        <f>IF(A37&lt;$B$6*12,ROUND(C38*'9a.PASS'!$C$21/12,2),"")</f>
        <v>0</v>
      </c>
      <c r="F38" s="1723">
        <f t="shared" si="3"/>
        <v>0</v>
      </c>
      <c r="G38" s="1723">
        <f t="shared" si="4"/>
        <v>0</v>
      </c>
      <c r="H38" s="1723">
        <f t="shared" si="5"/>
        <v>0</v>
      </c>
    </row>
    <row r="39" spans="1:8">
      <c r="A39" s="1717">
        <f t="shared" si="6"/>
        <v>27</v>
      </c>
      <c r="B39" s="1722" t="str">
        <f t="shared" si="7"/>
        <v/>
      </c>
      <c r="C39" s="1723">
        <f t="shared" si="1"/>
        <v>0</v>
      </c>
      <c r="D39" s="1723">
        <f t="shared" si="2"/>
        <v>0</v>
      </c>
      <c r="E39" s="1723">
        <f>IF(A38&lt;$B$6*12,ROUND(C39*'9a.PASS'!$C$21/12,2),"")</f>
        <v>0</v>
      </c>
      <c r="F39" s="1723">
        <f t="shared" si="3"/>
        <v>0</v>
      </c>
      <c r="G39" s="1723">
        <f t="shared" si="4"/>
        <v>0</v>
      </c>
      <c r="H39" s="1723">
        <f t="shared" si="5"/>
        <v>0</v>
      </c>
    </row>
    <row r="40" spans="1:8">
      <c r="A40" s="1717">
        <f t="shared" si="6"/>
        <v>28</v>
      </c>
      <c r="B40" s="1722" t="str">
        <f t="shared" si="7"/>
        <v/>
      </c>
      <c r="C40" s="1723">
        <f t="shared" si="1"/>
        <v>0</v>
      </c>
      <c r="D40" s="1723">
        <f t="shared" si="2"/>
        <v>0</v>
      </c>
      <c r="E40" s="1723">
        <f>IF(A39&lt;$B$6*12,ROUND(C40*'9a.PASS'!$C$21/12,2),"")</f>
        <v>0</v>
      </c>
      <c r="F40" s="1723">
        <f t="shared" si="3"/>
        <v>0</v>
      </c>
      <c r="G40" s="1723">
        <f t="shared" si="4"/>
        <v>0</v>
      </c>
      <c r="H40" s="1723">
        <f t="shared" si="5"/>
        <v>0</v>
      </c>
    </row>
    <row r="41" spans="1:8">
      <c r="A41" s="1717">
        <f t="shared" si="6"/>
        <v>29</v>
      </c>
      <c r="B41" s="1722" t="str">
        <f t="shared" si="7"/>
        <v/>
      </c>
      <c r="C41" s="1723">
        <f t="shared" si="1"/>
        <v>0</v>
      </c>
      <c r="D41" s="1723">
        <f t="shared" si="2"/>
        <v>0</v>
      </c>
      <c r="E41" s="1723">
        <f>IF(A40&lt;$B$6*12,ROUND(C41*'9a.PASS'!$C$21/12,2),"")</f>
        <v>0</v>
      </c>
      <c r="F41" s="1723">
        <f t="shared" si="3"/>
        <v>0</v>
      </c>
      <c r="G41" s="1723">
        <f t="shared" si="4"/>
        <v>0</v>
      </c>
      <c r="H41" s="1723">
        <f t="shared" si="5"/>
        <v>0</v>
      </c>
    </row>
    <row r="42" spans="1:8">
      <c r="A42" s="1717">
        <f t="shared" si="6"/>
        <v>30</v>
      </c>
      <c r="B42" s="1722" t="str">
        <f t="shared" si="7"/>
        <v/>
      </c>
      <c r="C42" s="1723">
        <f t="shared" si="1"/>
        <v>0</v>
      </c>
      <c r="D42" s="1723">
        <f t="shared" si="2"/>
        <v>0</v>
      </c>
      <c r="E42" s="1723">
        <f>IF(A41&lt;$B$6*12,ROUND(C42*'9a.PASS'!$C$21/12,2),"")</f>
        <v>0</v>
      </c>
      <c r="F42" s="1723">
        <f t="shared" si="3"/>
        <v>0</v>
      </c>
      <c r="G42" s="1723">
        <f t="shared" si="4"/>
        <v>0</v>
      </c>
      <c r="H42" s="1723">
        <f t="shared" si="5"/>
        <v>0</v>
      </c>
    </row>
    <row r="43" spans="1:8">
      <c r="A43" s="1717">
        <f t="shared" si="6"/>
        <v>31</v>
      </c>
      <c r="B43" s="1722" t="str">
        <f t="shared" si="7"/>
        <v/>
      </c>
      <c r="C43" s="1723">
        <f t="shared" si="1"/>
        <v>0</v>
      </c>
      <c r="D43" s="1723">
        <f t="shared" si="2"/>
        <v>0</v>
      </c>
      <c r="E43" s="1723">
        <f>IF(A42&lt;$B$6*12,ROUND(C43*'9a.PASS'!$C$21/12,2),"")</f>
        <v>0</v>
      </c>
      <c r="F43" s="1723">
        <f t="shared" si="3"/>
        <v>0</v>
      </c>
      <c r="G43" s="1723">
        <f t="shared" si="4"/>
        <v>0</v>
      </c>
      <c r="H43" s="1723">
        <f t="shared" si="5"/>
        <v>0</v>
      </c>
    </row>
    <row r="44" spans="1:8">
      <c r="A44" s="1717">
        <f t="shared" si="6"/>
        <v>32</v>
      </c>
      <c r="B44" s="1722" t="str">
        <f t="shared" si="7"/>
        <v/>
      </c>
      <c r="C44" s="1723">
        <f t="shared" si="1"/>
        <v>0</v>
      </c>
      <c r="D44" s="1723">
        <f t="shared" si="2"/>
        <v>0</v>
      </c>
      <c r="E44" s="1723">
        <f>IF(A43&lt;$B$6*12,ROUND(C44*'9a.PASS'!$C$21/12,2),"")</f>
        <v>0</v>
      </c>
      <c r="F44" s="1723">
        <f t="shared" si="3"/>
        <v>0</v>
      </c>
      <c r="G44" s="1723">
        <f t="shared" si="4"/>
        <v>0</v>
      </c>
      <c r="H44" s="1723">
        <f t="shared" si="5"/>
        <v>0</v>
      </c>
    </row>
    <row r="45" spans="1:8">
      <c r="A45" s="1717">
        <f t="shared" si="6"/>
        <v>33</v>
      </c>
      <c r="B45" s="1722" t="str">
        <f t="shared" si="7"/>
        <v/>
      </c>
      <c r="C45" s="1723">
        <f t="shared" si="1"/>
        <v>0</v>
      </c>
      <c r="D45" s="1723">
        <f t="shared" si="2"/>
        <v>0</v>
      </c>
      <c r="E45" s="1723">
        <f>IF(A44&lt;$B$6*12,ROUND(C45*'9a.PASS'!$C$21/12,2),"")</f>
        <v>0</v>
      </c>
      <c r="F45" s="1723">
        <f t="shared" si="3"/>
        <v>0</v>
      </c>
      <c r="G45" s="1723">
        <f t="shared" si="4"/>
        <v>0</v>
      </c>
      <c r="H45" s="1723">
        <f t="shared" si="5"/>
        <v>0</v>
      </c>
    </row>
    <row r="46" spans="1:8">
      <c r="A46" s="1717">
        <f t="shared" si="6"/>
        <v>34</v>
      </c>
      <c r="B46" s="1722" t="str">
        <f t="shared" si="7"/>
        <v/>
      </c>
      <c r="C46" s="1723">
        <f t="shared" si="1"/>
        <v>0</v>
      </c>
      <c r="D46" s="1723">
        <f t="shared" si="2"/>
        <v>0</v>
      </c>
      <c r="E46" s="1723">
        <f>IF(A45&lt;$B$6*12,ROUND(C46*'9a.PASS'!$C$21/12,2),"")</f>
        <v>0</v>
      </c>
      <c r="F46" s="1723">
        <f t="shared" si="3"/>
        <v>0</v>
      </c>
      <c r="G46" s="1723">
        <f t="shared" si="4"/>
        <v>0</v>
      </c>
      <c r="H46" s="1723">
        <f t="shared" si="5"/>
        <v>0</v>
      </c>
    </row>
    <row r="47" spans="1:8">
      <c r="A47" s="1717">
        <f t="shared" si="6"/>
        <v>35</v>
      </c>
      <c r="B47" s="1722" t="str">
        <f t="shared" si="7"/>
        <v/>
      </c>
      <c r="C47" s="1723">
        <f t="shared" si="1"/>
        <v>0</v>
      </c>
      <c r="D47" s="1723">
        <f t="shared" si="2"/>
        <v>0</v>
      </c>
      <c r="E47" s="1723">
        <f>IF(A46&lt;$B$6*12,ROUND(C47*'9a.PASS'!$C$21/12,2),"")</f>
        <v>0</v>
      </c>
      <c r="F47" s="1723">
        <f t="shared" si="3"/>
        <v>0</v>
      </c>
      <c r="G47" s="1723">
        <f t="shared" si="4"/>
        <v>0</v>
      </c>
      <c r="H47" s="1723">
        <f t="shared" si="5"/>
        <v>0</v>
      </c>
    </row>
    <row r="48" spans="1:8">
      <c r="A48" s="1717">
        <f t="shared" si="6"/>
        <v>36</v>
      </c>
      <c r="B48" s="1722" t="str">
        <f t="shared" si="7"/>
        <v/>
      </c>
      <c r="C48" s="1723">
        <f t="shared" si="1"/>
        <v>0</v>
      </c>
      <c r="D48" s="1723">
        <f t="shared" si="2"/>
        <v>0</v>
      </c>
      <c r="E48" s="1723">
        <f>IF(A47&lt;$B$6*12,ROUND(C48*'9a.PASS'!$C$21/12,2),"")</f>
        <v>0</v>
      </c>
      <c r="F48" s="1723">
        <f t="shared" si="3"/>
        <v>0</v>
      </c>
      <c r="G48" s="1723">
        <f t="shared" si="4"/>
        <v>0</v>
      </c>
      <c r="H48" s="1723">
        <f t="shared" si="5"/>
        <v>0</v>
      </c>
    </row>
    <row r="49" spans="1:8">
      <c r="A49" s="1717">
        <f t="shared" si="6"/>
        <v>37</v>
      </c>
      <c r="B49" s="1722" t="str">
        <f t="shared" si="7"/>
        <v/>
      </c>
      <c r="C49" s="1723">
        <f t="shared" si="1"/>
        <v>0</v>
      </c>
      <c r="D49" s="1723">
        <f t="shared" si="2"/>
        <v>0</v>
      </c>
      <c r="E49" s="1723">
        <f>IF(A48&lt;$B$6*12,ROUND(C49*'9a.PASS'!$C$21/12,2),"")</f>
        <v>0</v>
      </c>
      <c r="F49" s="1723">
        <f t="shared" si="3"/>
        <v>0</v>
      </c>
      <c r="G49" s="1723">
        <f t="shared" si="4"/>
        <v>0</v>
      </c>
      <c r="H49" s="1723">
        <f t="shared" si="5"/>
        <v>0</v>
      </c>
    </row>
    <row r="50" spans="1:8">
      <c r="A50" s="1717">
        <f t="shared" si="6"/>
        <v>38</v>
      </c>
      <c r="B50" s="1722" t="str">
        <f t="shared" si="7"/>
        <v/>
      </c>
      <c r="C50" s="1723">
        <f t="shared" si="1"/>
        <v>0</v>
      </c>
      <c r="D50" s="1723">
        <f t="shared" si="2"/>
        <v>0</v>
      </c>
      <c r="E50" s="1723">
        <f>IF(A49&lt;$B$6*12,ROUND(C50*'9a.PASS'!$C$21/12,2),"")</f>
        <v>0</v>
      </c>
      <c r="F50" s="1723">
        <f t="shared" si="3"/>
        <v>0</v>
      </c>
      <c r="G50" s="1723">
        <f t="shared" si="4"/>
        <v>0</v>
      </c>
      <c r="H50" s="1723">
        <f t="shared" si="5"/>
        <v>0</v>
      </c>
    </row>
    <row r="51" spans="1:8">
      <c r="A51" s="1717">
        <f t="shared" si="6"/>
        <v>39</v>
      </c>
      <c r="B51" s="1722" t="str">
        <f t="shared" si="7"/>
        <v/>
      </c>
      <c r="C51" s="1723">
        <f t="shared" si="1"/>
        <v>0</v>
      </c>
      <c r="D51" s="1723">
        <f t="shared" si="2"/>
        <v>0</v>
      </c>
      <c r="E51" s="1723">
        <f>IF(A50&lt;$B$6*12,ROUND(C51*'9a.PASS'!$C$21/12,2),"")</f>
        <v>0</v>
      </c>
      <c r="F51" s="1723">
        <f t="shared" si="3"/>
        <v>0</v>
      </c>
      <c r="G51" s="1723">
        <f t="shared" si="4"/>
        <v>0</v>
      </c>
      <c r="H51" s="1723">
        <f t="shared" si="5"/>
        <v>0</v>
      </c>
    </row>
    <row r="52" spans="1:8">
      <c r="A52" s="1717">
        <f t="shared" si="6"/>
        <v>40</v>
      </c>
      <c r="B52" s="1722" t="str">
        <f t="shared" si="7"/>
        <v/>
      </c>
      <c r="C52" s="1723">
        <f t="shared" si="1"/>
        <v>0</v>
      </c>
      <c r="D52" s="1723">
        <f t="shared" si="2"/>
        <v>0</v>
      </c>
      <c r="E52" s="1723">
        <f>IF(A51&lt;$B$6*12,ROUND(C52*'9a.PASS'!$C$21/12,2),"")</f>
        <v>0</v>
      </c>
      <c r="F52" s="1723">
        <f t="shared" si="3"/>
        <v>0</v>
      </c>
      <c r="G52" s="1723">
        <f t="shared" si="4"/>
        <v>0</v>
      </c>
      <c r="H52" s="1723">
        <f t="shared" si="5"/>
        <v>0</v>
      </c>
    </row>
    <row r="53" spans="1:8">
      <c r="A53" s="1717">
        <f t="shared" si="6"/>
        <v>41</v>
      </c>
      <c r="B53" s="1722" t="str">
        <f t="shared" si="7"/>
        <v/>
      </c>
      <c r="C53" s="1723">
        <f t="shared" si="1"/>
        <v>0</v>
      </c>
      <c r="D53" s="1723">
        <f t="shared" si="2"/>
        <v>0</v>
      </c>
      <c r="E53" s="1723">
        <f>IF(A52&lt;$B$6*12,ROUND(C53*'9a.PASS'!$C$21/12,2),"")</f>
        <v>0</v>
      </c>
      <c r="F53" s="1723">
        <f t="shared" si="3"/>
        <v>0</v>
      </c>
      <c r="G53" s="1723">
        <f t="shared" si="4"/>
        <v>0</v>
      </c>
      <c r="H53" s="1723">
        <f t="shared" si="5"/>
        <v>0</v>
      </c>
    </row>
    <row r="54" spans="1:8">
      <c r="A54" s="1717">
        <f t="shared" si="6"/>
        <v>42</v>
      </c>
      <c r="B54" s="1722" t="str">
        <f t="shared" si="7"/>
        <v/>
      </c>
      <c r="C54" s="1723">
        <f t="shared" si="1"/>
        <v>0</v>
      </c>
      <c r="D54" s="1723">
        <f t="shared" si="2"/>
        <v>0</v>
      </c>
      <c r="E54" s="1723">
        <f>IF(A53&lt;$B$6*12,ROUND(C54*'9a.PASS'!$C$21/12,2),"")</f>
        <v>0</v>
      </c>
      <c r="F54" s="1723">
        <f t="shared" si="3"/>
        <v>0</v>
      </c>
      <c r="G54" s="1723">
        <f t="shared" si="4"/>
        <v>0</v>
      </c>
      <c r="H54" s="1723">
        <f t="shared" si="5"/>
        <v>0</v>
      </c>
    </row>
    <row r="55" spans="1:8">
      <c r="A55" s="1717">
        <f t="shared" si="6"/>
        <v>43</v>
      </c>
      <c r="B55" s="1722" t="str">
        <f t="shared" si="7"/>
        <v/>
      </c>
      <c r="C55" s="1723">
        <f t="shared" si="1"/>
        <v>0</v>
      </c>
      <c r="D55" s="1723">
        <f t="shared" si="2"/>
        <v>0</v>
      </c>
      <c r="E55" s="1723">
        <f>IF(A54&lt;$B$6*12,ROUND(C55*'9a.PASS'!$C$21/12,2),"")</f>
        <v>0</v>
      </c>
      <c r="F55" s="1723">
        <f t="shared" si="3"/>
        <v>0</v>
      </c>
      <c r="G55" s="1723">
        <f t="shared" si="4"/>
        <v>0</v>
      </c>
      <c r="H55" s="1723">
        <f t="shared" si="5"/>
        <v>0</v>
      </c>
    </row>
    <row r="56" spans="1:8">
      <c r="A56" s="1717">
        <f t="shared" si="6"/>
        <v>44</v>
      </c>
      <c r="B56" s="1722" t="str">
        <f t="shared" si="7"/>
        <v/>
      </c>
      <c r="C56" s="1723">
        <f t="shared" si="1"/>
        <v>0</v>
      </c>
      <c r="D56" s="1723">
        <f t="shared" si="2"/>
        <v>0</v>
      </c>
      <c r="E56" s="1723">
        <f>IF(A55&lt;$B$6*12,ROUND(C56*'9a.PASS'!$C$21/12,2),"")</f>
        <v>0</v>
      </c>
      <c r="F56" s="1723">
        <f t="shared" si="3"/>
        <v>0</v>
      </c>
      <c r="G56" s="1723">
        <f t="shared" si="4"/>
        <v>0</v>
      </c>
      <c r="H56" s="1723">
        <f t="shared" si="5"/>
        <v>0</v>
      </c>
    </row>
    <row r="57" spans="1:8">
      <c r="A57" s="1717">
        <f t="shared" si="6"/>
        <v>45</v>
      </c>
      <c r="B57" s="1722" t="str">
        <f t="shared" si="7"/>
        <v/>
      </c>
      <c r="C57" s="1723">
        <f t="shared" si="1"/>
        <v>0</v>
      </c>
      <c r="D57" s="1723">
        <f t="shared" si="2"/>
        <v>0</v>
      </c>
      <c r="E57" s="1723">
        <f>IF(A56&lt;$B$6*12,ROUND(C57*'9a.PASS'!$C$21/12,2),"")</f>
        <v>0</v>
      </c>
      <c r="F57" s="1723">
        <f t="shared" si="3"/>
        <v>0</v>
      </c>
      <c r="G57" s="1723">
        <f t="shared" si="4"/>
        <v>0</v>
      </c>
      <c r="H57" s="1723">
        <f t="shared" si="5"/>
        <v>0</v>
      </c>
    </row>
    <row r="58" spans="1:8">
      <c r="A58" s="1717">
        <f t="shared" si="6"/>
        <v>46</v>
      </c>
      <c r="B58" s="1722" t="str">
        <f t="shared" si="7"/>
        <v/>
      </c>
      <c r="C58" s="1723">
        <f t="shared" si="1"/>
        <v>0</v>
      </c>
      <c r="D58" s="1723">
        <f t="shared" si="2"/>
        <v>0</v>
      </c>
      <c r="E58" s="1723">
        <f>IF(A57&lt;$B$6*12,ROUND(C58*'9a.PASS'!$C$21/12,2),"")</f>
        <v>0</v>
      </c>
      <c r="F58" s="1723">
        <f t="shared" si="3"/>
        <v>0</v>
      </c>
      <c r="G58" s="1723">
        <f t="shared" si="4"/>
        <v>0</v>
      </c>
      <c r="H58" s="1723">
        <f t="shared" si="5"/>
        <v>0</v>
      </c>
    </row>
    <row r="59" spans="1:8">
      <c r="A59" s="1717">
        <f t="shared" si="6"/>
        <v>47</v>
      </c>
      <c r="B59" s="1722" t="str">
        <f t="shared" si="7"/>
        <v/>
      </c>
      <c r="C59" s="1723">
        <f t="shared" si="1"/>
        <v>0</v>
      </c>
      <c r="D59" s="1723">
        <f t="shared" si="2"/>
        <v>0</v>
      </c>
      <c r="E59" s="1723">
        <f>IF(A58&lt;$B$6*12,ROUND(C59*'9a.PASS'!$C$21/12,2),"")</f>
        <v>0</v>
      </c>
      <c r="F59" s="1723">
        <f t="shared" si="3"/>
        <v>0</v>
      </c>
      <c r="G59" s="1723">
        <f t="shared" si="4"/>
        <v>0</v>
      </c>
      <c r="H59" s="1723">
        <f t="shared" si="5"/>
        <v>0</v>
      </c>
    </row>
    <row r="60" spans="1:8">
      <c r="A60" s="1717">
        <f t="shared" si="6"/>
        <v>48</v>
      </c>
      <c r="B60" s="1722" t="str">
        <f t="shared" si="7"/>
        <v/>
      </c>
      <c r="C60" s="1723">
        <f t="shared" si="1"/>
        <v>0</v>
      </c>
      <c r="D60" s="1723">
        <f t="shared" si="2"/>
        <v>0</v>
      </c>
      <c r="E60" s="1723">
        <f>IF(A59&lt;$B$6*12,ROUND(C60*'9a.PASS'!$C$21/12,2),"")</f>
        <v>0</v>
      </c>
      <c r="F60" s="1723">
        <f t="shared" si="3"/>
        <v>0</v>
      </c>
      <c r="G60" s="1723">
        <f t="shared" si="4"/>
        <v>0</v>
      </c>
      <c r="H60" s="1723">
        <f t="shared" si="5"/>
        <v>0</v>
      </c>
    </row>
    <row r="61" spans="1:8">
      <c r="A61" s="1717">
        <f t="shared" si="6"/>
        <v>49</v>
      </c>
      <c r="B61" s="1722" t="str">
        <f t="shared" si="7"/>
        <v/>
      </c>
      <c r="C61" s="1723">
        <f t="shared" si="1"/>
        <v>0</v>
      </c>
      <c r="D61" s="1723">
        <f t="shared" si="2"/>
        <v>0</v>
      </c>
      <c r="E61" s="1723">
        <f>IF(A60&lt;$B$6*12,ROUND(C61*'9a.PASS'!$C$21/12,2),"")</f>
        <v>0</v>
      </c>
      <c r="F61" s="1723">
        <f t="shared" si="3"/>
        <v>0</v>
      </c>
      <c r="G61" s="1723">
        <f t="shared" si="4"/>
        <v>0</v>
      </c>
      <c r="H61" s="1723">
        <f t="shared" si="5"/>
        <v>0</v>
      </c>
    </row>
    <row r="62" spans="1:8">
      <c r="A62" s="1717">
        <f t="shared" si="6"/>
        <v>50</v>
      </c>
      <c r="B62" s="1722" t="str">
        <f t="shared" si="7"/>
        <v/>
      </c>
      <c r="C62" s="1723">
        <f t="shared" si="1"/>
        <v>0</v>
      </c>
      <c r="D62" s="1723">
        <f t="shared" si="2"/>
        <v>0</v>
      </c>
      <c r="E62" s="1723">
        <f>IF(A61&lt;$B$6*12,ROUND(C62*'9a.PASS'!$C$21/12,2),"")</f>
        <v>0</v>
      </c>
      <c r="F62" s="1723">
        <f t="shared" si="3"/>
        <v>0</v>
      </c>
      <c r="G62" s="1723">
        <f t="shared" si="4"/>
        <v>0</v>
      </c>
      <c r="H62" s="1723">
        <f t="shared" si="5"/>
        <v>0</v>
      </c>
    </row>
    <row r="63" spans="1:8">
      <c r="A63" s="1717">
        <f t="shared" si="6"/>
        <v>51</v>
      </c>
      <c r="B63" s="1722" t="str">
        <f t="shared" si="7"/>
        <v/>
      </c>
      <c r="C63" s="1723">
        <f t="shared" si="1"/>
        <v>0</v>
      </c>
      <c r="D63" s="1723">
        <f t="shared" si="2"/>
        <v>0</v>
      </c>
      <c r="E63" s="1723">
        <f>IF(A62&lt;$B$6*12,ROUND(C63*'9a.PASS'!$C$21/12,2),"")</f>
        <v>0</v>
      </c>
      <c r="F63" s="1723">
        <f t="shared" si="3"/>
        <v>0</v>
      </c>
      <c r="G63" s="1723">
        <f t="shared" si="4"/>
        <v>0</v>
      </c>
      <c r="H63" s="1723">
        <f t="shared" si="5"/>
        <v>0</v>
      </c>
    </row>
    <row r="64" spans="1:8">
      <c r="A64" s="1717">
        <f t="shared" si="6"/>
        <v>52</v>
      </c>
      <c r="B64" s="1722" t="str">
        <f t="shared" si="7"/>
        <v/>
      </c>
      <c r="C64" s="1723">
        <f t="shared" si="1"/>
        <v>0</v>
      </c>
      <c r="D64" s="1723">
        <f t="shared" si="2"/>
        <v>0</v>
      </c>
      <c r="E64" s="1723">
        <f>IF(A63&lt;$B$6*12,ROUND(C64*'9a.PASS'!$C$21/12,2),"")</f>
        <v>0</v>
      </c>
      <c r="F64" s="1723">
        <f t="shared" si="3"/>
        <v>0</v>
      </c>
      <c r="G64" s="1723">
        <f t="shared" si="4"/>
        <v>0</v>
      </c>
      <c r="H64" s="1723">
        <f t="shared" si="5"/>
        <v>0</v>
      </c>
    </row>
    <row r="65" spans="1:8">
      <c r="A65" s="1717">
        <f t="shared" si="6"/>
        <v>53</v>
      </c>
      <c r="B65" s="1722" t="str">
        <f t="shared" si="7"/>
        <v/>
      </c>
      <c r="C65" s="1723">
        <f t="shared" si="1"/>
        <v>0</v>
      </c>
      <c r="D65" s="1723">
        <f t="shared" si="2"/>
        <v>0</v>
      </c>
      <c r="E65" s="1723">
        <f>IF(A64&lt;$B$6*12,ROUND(C65*'9a.PASS'!$C$21/12,2),"")</f>
        <v>0</v>
      </c>
      <c r="F65" s="1723">
        <f t="shared" si="3"/>
        <v>0</v>
      </c>
      <c r="G65" s="1723">
        <f t="shared" si="4"/>
        <v>0</v>
      </c>
      <c r="H65" s="1723">
        <f t="shared" si="5"/>
        <v>0</v>
      </c>
    </row>
    <row r="66" spans="1:8">
      <c r="A66" s="1717">
        <f t="shared" si="6"/>
        <v>54</v>
      </c>
      <c r="B66" s="1722" t="str">
        <f t="shared" si="7"/>
        <v/>
      </c>
      <c r="C66" s="1723">
        <f t="shared" si="1"/>
        <v>0</v>
      </c>
      <c r="D66" s="1723">
        <f t="shared" si="2"/>
        <v>0</v>
      </c>
      <c r="E66" s="1723">
        <f>IF(A65&lt;$B$6*12,ROUND(C66*'9a.PASS'!$C$21/12,2),"")</f>
        <v>0</v>
      </c>
      <c r="F66" s="1723">
        <f t="shared" si="3"/>
        <v>0</v>
      </c>
      <c r="G66" s="1723">
        <f t="shared" si="4"/>
        <v>0</v>
      </c>
      <c r="H66" s="1723">
        <f t="shared" si="5"/>
        <v>0</v>
      </c>
    </row>
    <row r="67" spans="1:8">
      <c r="A67" s="1717">
        <f t="shared" si="6"/>
        <v>55</v>
      </c>
      <c r="B67" s="1722" t="str">
        <f t="shared" si="7"/>
        <v/>
      </c>
      <c r="C67" s="1723">
        <f t="shared" si="1"/>
        <v>0</v>
      </c>
      <c r="D67" s="1723">
        <f t="shared" si="2"/>
        <v>0</v>
      </c>
      <c r="E67" s="1723">
        <f>IF(A66&lt;$B$6*12,ROUND(C67*'9a.PASS'!$C$21/12,2),"")</f>
        <v>0</v>
      </c>
      <c r="F67" s="1723">
        <f t="shared" si="3"/>
        <v>0</v>
      </c>
      <c r="G67" s="1723">
        <f t="shared" si="4"/>
        <v>0</v>
      </c>
      <c r="H67" s="1723">
        <f t="shared" si="5"/>
        <v>0</v>
      </c>
    </row>
    <row r="68" spans="1:8">
      <c r="A68" s="1717">
        <f t="shared" si="6"/>
        <v>56</v>
      </c>
      <c r="B68" s="1722" t="str">
        <f t="shared" si="7"/>
        <v/>
      </c>
      <c r="C68" s="1723">
        <f t="shared" si="1"/>
        <v>0</v>
      </c>
      <c r="D68" s="1723">
        <f t="shared" si="2"/>
        <v>0</v>
      </c>
      <c r="E68" s="1723">
        <f>IF(A67&lt;$B$6*12,ROUND(C68*'9a.PASS'!$C$21/12,2),"")</f>
        <v>0</v>
      </c>
      <c r="F68" s="1723">
        <f t="shared" si="3"/>
        <v>0</v>
      </c>
      <c r="G68" s="1723">
        <f t="shared" si="4"/>
        <v>0</v>
      </c>
      <c r="H68" s="1723">
        <f t="shared" si="5"/>
        <v>0</v>
      </c>
    </row>
    <row r="69" spans="1:8">
      <c r="A69" s="1717">
        <f t="shared" si="6"/>
        <v>57</v>
      </c>
      <c r="B69" s="1722" t="str">
        <f t="shared" si="7"/>
        <v/>
      </c>
      <c r="C69" s="1723">
        <f t="shared" si="1"/>
        <v>0</v>
      </c>
      <c r="D69" s="1723">
        <f t="shared" si="2"/>
        <v>0</v>
      </c>
      <c r="E69" s="1723">
        <f>IF(A68&lt;$B$6*12,ROUND(C69*'9a.PASS'!$C$21/12,2),"")</f>
        <v>0</v>
      </c>
      <c r="F69" s="1723">
        <f t="shared" si="3"/>
        <v>0</v>
      </c>
      <c r="G69" s="1723">
        <f t="shared" si="4"/>
        <v>0</v>
      </c>
      <c r="H69" s="1723">
        <f t="shared" si="5"/>
        <v>0</v>
      </c>
    </row>
    <row r="70" spans="1:8">
      <c r="A70" s="1717">
        <f t="shared" si="6"/>
        <v>58</v>
      </c>
      <c r="B70" s="1722" t="str">
        <f t="shared" si="7"/>
        <v/>
      </c>
      <c r="C70" s="1723">
        <f t="shared" si="1"/>
        <v>0</v>
      </c>
      <c r="D70" s="1723">
        <f t="shared" si="2"/>
        <v>0</v>
      </c>
      <c r="E70" s="1723">
        <f>IF(A69&lt;$B$6*12,ROUND(C70*'9a.PASS'!$C$21/12,2),"")</f>
        <v>0</v>
      </c>
      <c r="F70" s="1723">
        <f t="shared" si="3"/>
        <v>0</v>
      </c>
      <c r="G70" s="1723">
        <f t="shared" si="4"/>
        <v>0</v>
      </c>
      <c r="H70" s="1723">
        <f t="shared" si="5"/>
        <v>0</v>
      </c>
    </row>
    <row r="71" spans="1:8">
      <c r="A71" s="1717">
        <f t="shared" si="6"/>
        <v>59</v>
      </c>
      <c r="B71" s="1722" t="str">
        <f t="shared" si="7"/>
        <v/>
      </c>
      <c r="C71" s="1723">
        <f t="shared" si="1"/>
        <v>0</v>
      </c>
      <c r="D71" s="1723">
        <f t="shared" si="2"/>
        <v>0</v>
      </c>
      <c r="E71" s="1723">
        <f>IF(A70&lt;$B$6*12,ROUND(C71*'9a.PASS'!$C$21/12,2),"")</f>
        <v>0</v>
      </c>
      <c r="F71" s="1723">
        <f t="shared" si="3"/>
        <v>0</v>
      </c>
      <c r="G71" s="1723">
        <f t="shared" si="4"/>
        <v>0</v>
      </c>
      <c r="H71" s="1723">
        <f t="shared" si="5"/>
        <v>0</v>
      </c>
    </row>
    <row r="72" spans="1:8">
      <c r="A72" s="1717">
        <f t="shared" si="6"/>
        <v>60</v>
      </c>
      <c r="B72" s="1722" t="str">
        <f t="shared" si="7"/>
        <v/>
      </c>
      <c r="C72" s="1723">
        <f t="shared" si="1"/>
        <v>0</v>
      </c>
      <c r="D72" s="1723">
        <f t="shared" si="2"/>
        <v>0</v>
      </c>
      <c r="E72" s="1723">
        <f>IF(A71&lt;$B$6*12,ROUND(C72*'9a.PASS'!$C$21/12,2),"")</f>
        <v>0</v>
      </c>
      <c r="F72" s="1723">
        <f t="shared" si="3"/>
        <v>0</v>
      </c>
      <c r="G72" s="1723">
        <f t="shared" si="4"/>
        <v>0</v>
      </c>
      <c r="H72" s="1723">
        <f t="shared" si="5"/>
        <v>0</v>
      </c>
    </row>
    <row r="73" spans="1:8">
      <c r="A73" s="1717">
        <f t="shared" si="6"/>
        <v>61</v>
      </c>
      <c r="B73" s="1722" t="str">
        <f t="shared" si="7"/>
        <v/>
      </c>
      <c r="C73" s="1723">
        <f t="shared" si="1"/>
        <v>0</v>
      </c>
      <c r="D73" s="1723">
        <f t="shared" si="2"/>
        <v>0</v>
      </c>
      <c r="E73" s="1723">
        <f>IF(A72&lt;$B$6*12,ROUND(C73*'9a.PASS'!$C$21/12,2),"")</f>
        <v>0</v>
      </c>
      <c r="F73" s="1723">
        <f t="shared" si="3"/>
        <v>0</v>
      </c>
      <c r="G73" s="1723">
        <f t="shared" si="4"/>
        <v>0</v>
      </c>
      <c r="H73" s="1723">
        <f t="shared" si="5"/>
        <v>0</v>
      </c>
    </row>
    <row r="74" spans="1:8">
      <c r="A74" s="1717">
        <f t="shared" si="6"/>
        <v>62</v>
      </c>
      <c r="B74" s="1722" t="str">
        <f t="shared" si="7"/>
        <v/>
      </c>
      <c r="C74" s="1723">
        <f t="shared" si="1"/>
        <v>0</v>
      </c>
      <c r="D74" s="1723">
        <f t="shared" si="2"/>
        <v>0</v>
      </c>
      <c r="E74" s="1723">
        <f>IF(A73&lt;$B$6*12,ROUND(C74*'9a.PASS'!$C$21/12,2),"")</f>
        <v>0</v>
      </c>
      <c r="F74" s="1723">
        <f t="shared" si="3"/>
        <v>0</v>
      </c>
      <c r="G74" s="1723">
        <f t="shared" si="4"/>
        <v>0</v>
      </c>
      <c r="H74" s="1723">
        <f t="shared" si="5"/>
        <v>0</v>
      </c>
    </row>
    <row r="75" spans="1:8">
      <c r="A75" s="1717">
        <f t="shared" si="6"/>
        <v>63</v>
      </c>
      <c r="B75" s="1722" t="str">
        <f t="shared" si="7"/>
        <v/>
      </c>
      <c r="C75" s="1723">
        <f t="shared" si="1"/>
        <v>0</v>
      </c>
      <c r="D75" s="1723">
        <f t="shared" si="2"/>
        <v>0</v>
      </c>
      <c r="E75" s="1723">
        <f>IF(A74&lt;$B$6*12,ROUND(C75*'9a.PASS'!$C$21/12,2),"")</f>
        <v>0</v>
      </c>
      <c r="F75" s="1723">
        <f t="shared" si="3"/>
        <v>0</v>
      </c>
      <c r="G75" s="1723">
        <f t="shared" si="4"/>
        <v>0</v>
      </c>
      <c r="H75" s="1723">
        <f t="shared" si="5"/>
        <v>0</v>
      </c>
    </row>
    <row r="76" spans="1:8">
      <c r="A76" s="1717">
        <f t="shared" si="6"/>
        <v>64</v>
      </c>
      <c r="B76" s="1722" t="str">
        <f t="shared" si="7"/>
        <v/>
      </c>
      <c r="C76" s="1723">
        <f t="shared" si="1"/>
        <v>0</v>
      </c>
      <c r="D76" s="1723">
        <f t="shared" si="2"/>
        <v>0</v>
      </c>
      <c r="E76" s="1723">
        <f>IF(A75&lt;$B$6*12,ROUND(C76*'9a.PASS'!$C$21/12,2),"")</f>
        <v>0</v>
      </c>
      <c r="F76" s="1723">
        <f t="shared" si="3"/>
        <v>0</v>
      </c>
      <c r="G76" s="1723">
        <f t="shared" si="4"/>
        <v>0</v>
      </c>
      <c r="H76" s="1723">
        <f t="shared" si="5"/>
        <v>0</v>
      </c>
    </row>
    <row r="77" spans="1:8">
      <c r="A77" s="1717">
        <f t="shared" si="6"/>
        <v>65</v>
      </c>
      <c r="B77" s="1722" t="str">
        <f t="shared" si="7"/>
        <v/>
      </c>
      <c r="C77" s="1723">
        <f t="shared" si="1"/>
        <v>0</v>
      </c>
      <c r="D77" s="1723">
        <f t="shared" si="2"/>
        <v>0</v>
      </c>
      <c r="E77" s="1723">
        <f>IF(A76&lt;$B$6*12,ROUND(C77*'9a.PASS'!$C$21/12,2),"")</f>
        <v>0</v>
      </c>
      <c r="F77" s="1723">
        <f t="shared" si="3"/>
        <v>0</v>
      </c>
      <c r="G77" s="1723">
        <f t="shared" si="4"/>
        <v>0</v>
      </c>
      <c r="H77" s="1723">
        <f t="shared" si="5"/>
        <v>0</v>
      </c>
    </row>
    <row r="78" spans="1:8">
      <c r="A78" s="1717">
        <f t="shared" si="6"/>
        <v>66</v>
      </c>
      <c r="B78" s="1722" t="str">
        <f t="shared" si="7"/>
        <v/>
      </c>
      <c r="C78" s="1723">
        <f t="shared" ref="C78:C141" si="8">IF(A77&lt;$B$6*12,H77,"")</f>
        <v>0</v>
      </c>
      <c r="D78" s="1723">
        <f t="shared" ref="D78:D141" si="9">IF(A78=$B$6*12,SUM(C78,E78:F78),IF(A77&lt;$B$6*12,$B$8,""))</f>
        <v>0</v>
      </c>
      <c r="E78" s="1723">
        <f>IF(A77&lt;$B$6*12,ROUND(C78*'9a.PASS'!$C$21/12,2),"")</f>
        <v>0</v>
      </c>
      <c r="F78" s="1723">
        <f t="shared" ref="F78:F141" si="10">IF(A77&lt;$B$6*12,ROUND(C78*$B$5/12,2)-E78,"")</f>
        <v>0</v>
      </c>
      <c r="G78" s="1723">
        <f t="shared" ref="G78:G141" si="11">IF(A77&lt;$B$6*12,D78-SUM(E78:F78),"")</f>
        <v>0</v>
      </c>
      <c r="H78" s="1723">
        <f t="shared" ref="H78:H141" si="12">IF(A77&lt;$B$6*12,C78-G78,"")</f>
        <v>0</v>
      </c>
    </row>
    <row r="79" spans="1:8">
      <c r="A79" s="1717">
        <f t="shared" ref="A79:A142" si="13">IF(A78&lt;$B$6*12,A78+1,"")</f>
        <v>67</v>
      </c>
      <c r="B79" s="1722" t="str">
        <f t="shared" ref="B79:B142" si="14">IFERROR(EDATE(B78,1),"")</f>
        <v/>
      </c>
      <c r="C79" s="1723">
        <f t="shared" si="8"/>
        <v>0</v>
      </c>
      <c r="D79" s="1723">
        <f t="shared" si="9"/>
        <v>0</v>
      </c>
      <c r="E79" s="1723">
        <f>IF(A78&lt;$B$6*12,ROUND(C79*'9a.PASS'!$C$21/12,2),"")</f>
        <v>0</v>
      </c>
      <c r="F79" s="1723">
        <f t="shared" si="10"/>
        <v>0</v>
      </c>
      <c r="G79" s="1723">
        <f t="shared" si="11"/>
        <v>0</v>
      </c>
      <c r="H79" s="1723">
        <f t="shared" si="12"/>
        <v>0</v>
      </c>
    </row>
    <row r="80" spans="1:8">
      <c r="A80" s="1717">
        <f t="shared" si="13"/>
        <v>68</v>
      </c>
      <c r="B80" s="1722" t="str">
        <f t="shared" si="14"/>
        <v/>
      </c>
      <c r="C80" s="1723">
        <f t="shared" si="8"/>
        <v>0</v>
      </c>
      <c r="D80" s="1723">
        <f t="shared" si="9"/>
        <v>0</v>
      </c>
      <c r="E80" s="1723">
        <f>IF(A79&lt;$B$6*12,ROUND(C80*'9a.PASS'!$C$21/12,2),"")</f>
        <v>0</v>
      </c>
      <c r="F80" s="1723">
        <f t="shared" si="10"/>
        <v>0</v>
      </c>
      <c r="G80" s="1723">
        <f t="shared" si="11"/>
        <v>0</v>
      </c>
      <c r="H80" s="1723">
        <f t="shared" si="12"/>
        <v>0</v>
      </c>
    </row>
    <row r="81" spans="1:8">
      <c r="A81" s="1717">
        <f t="shared" si="13"/>
        <v>69</v>
      </c>
      <c r="B81" s="1722" t="str">
        <f t="shared" si="14"/>
        <v/>
      </c>
      <c r="C81" s="1723">
        <f t="shared" si="8"/>
        <v>0</v>
      </c>
      <c r="D81" s="1723">
        <f t="shared" si="9"/>
        <v>0</v>
      </c>
      <c r="E81" s="1723">
        <f>IF(A80&lt;$B$6*12,ROUND(C81*'9a.PASS'!$C$21/12,2),"")</f>
        <v>0</v>
      </c>
      <c r="F81" s="1723">
        <f t="shared" si="10"/>
        <v>0</v>
      </c>
      <c r="G81" s="1723">
        <f t="shared" si="11"/>
        <v>0</v>
      </c>
      <c r="H81" s="1723">
        <f t="shared" si="12"/>
        <v>0</v>
      </c>
    </row>
    <row r="82" spans="1:8">
      <c r="A82" s="1717">
        <f t="shared" si="13"/>
        <v>70</v>
      </c>
      <c r="B82" s="1722" t="str">
        <f t="shared" si="14"/>
        <v/>
      </c>
      <c r="C82" s="1723">
        <f t="shared" si="8"/>
        <v>0</v>
      </c>
      <c r="D82" s="1723">
        <f t="shared" si="9"/>
        <v>0</v>
      </c>
      <c r="E82" s="1723">
        <f>IF(A81&lt;$B$6*12,ROUND(C82*'9a.PASS'!$C$21/12,2),"")</f>
        <v>0</v>
      </c>
      <c r="F82" s="1723">
        <f t="shared" si="10"/>
        <v>0</v>
      </c>
      <c r="G82" s="1723">
        <f t="shared" si="11"/>
        <v>0</v>
      </c>
      <c r="H82" s="1723">
        <f t="shared" si="12"/>
        <v>0</v>
      </c>
    </row>
    <row r="83" spans="1:8">
      <c r="A83" s="1717">
        <f t="shared" si="13"/>
        <v>71</v>
      </c>
      <c r="B83" s="1722" t="str">
        <f t="shared" si="14"/>
        <v/>
      </c>
      <c r="C83" s="1723">
        <f t="shared" si="8"/>
        <v>0</v>
      </c>
      <c r="D83" s="1723">
        <f t="shared" si="9"/>
        <v>0</v>
      </c>
      <c r="E83" s="1723">
        <f>IF(A82&lt;$B$6*12,ROUND(C83*'9a.PASS'!$C$21/12,2),"")</f>
        <v>0</v>
      </c>
      <c r="F83" s="1723">
        <f t="shared" si="10"/>
        <v>0</v>
      </c>
      <c r="G83" s="1723">
        <f t="shared" si="11"/>
        <v>0</v>
      </c>
      <c r="H83" s="1723">
        <f t="shared" si="12"/>
        <v>0</v>
      </c>
    </row>
    <row r="84" spans="1:8">
      <c r="A84" s="1717">
        <f t="shared" si="13"/>
        <v>72</v>
      </c>
      <c r="B84" s="1722" t="str">
        <f t="shared" si="14"/>
        <v/>
      </c>
      <c r="C84" s="1723">
        <f t="shared" si="8"/>
        <v>0</v>
      </c>
      <c r="D84" s="1723">
        <f t="shared" si="9"/>
        <v>0</v>
      </c>
      <c r="E84" s="1723">
        <f>IF(A83&lt;$B$6*12,ROUND(C84*'9a.PASS'!$C$21/12,2),"")</f>
        <v>0</v>
      </c>
      <c r="F84" s="1723">
        <f t="shared" si="10"/>
        <v>0</v>
      </c>
      <c r="G84" s="1723">
        <f t="shared" si="11"/>
        <v>0</v>
      </c>
      <c r="H84" s="1723">
        <f t="shared" si="12"/>
        <v>0</v>
      </c>
    </row>
    <row r="85" spans="1:8">
      <c r="A85" s="1717">
        <f t="shared" si="13"/>
        <v>73</v>
      </c>
      <c r="B85" s="1722" t="str">
        <f t="shared" si="14"/>
        <v/>
      </c>
      <c r="C85" s="1723">
        <f t="shared" si="8"/>
        <v>0</v>
      </c>
      <c r="D85" s="1723">
        <f t="shared" si="9"/>
        <v>0</v>
      </c>
      <c r="E85" s="1723">
        <f>IF(A84&lt;$B$6*12,ROUND(C85*'9a.PASS'!$C$21/12,2),"")</f>
        <v>0</v>
      </c>
      <c r="F85" s="1723">
        <f t="shared" si="10"/>
        <v>0</v>
      </c>
      <c r="G85" s="1723">
        <f t="shared" si="11"/>
        <v>0</v>
      </c>
      <c r="H85" s="1723">
        <f t="shared" si="12"/>
        <v>0</v>
      </c>
    </row>
    <row r="86" spans="1:8">
      <c r="A86" s="1717">
        <f t="shared" si="13"/>
        <v>74</v>
      </c>
      <c r="B86" s="1722" t="str">
        <f t="shared" si="14"/>
        <v/>
      </c>
      <c r="C86" s="1723">
        <f t="shared" si="8"/>
        <v>0</v>
      </c>
      <c r="D86" s="1723">
        <f t="shared" si="9"/>
        <v>0</v>
      </c>
      <c r="E86" s="1723">
        <f>IF(A85&lt;$B$6*12,ROUND(C86*'9a.PASS'!$C$21/12,2),"")</f>
        <v>0</v>
      </c>
      <c r="F86" s="1723">
        <f t="shared" si="10"/>
        <v>0</v>
      </c>
      <c r="G86" s="1723">
        <f t="shared" si="11"/>
        <v>0</v>
      </c>
      <c r="H86" s="1723">
        <f t="shared" si="12"/>
        <v>0</v>
      </c>
    </row>
    <row r="87" spans="1:8">
      <c r="A87" s="1717">
        <f t="shared" si="13"/>
        <v>75</v>
      </c>
      <c r="B87" s="1722" t="str">
        <f t="shared" si="14"/>
        <v/>
      </c>
      <c r="C87" s="1723">
        <f t="shared" si="8"/>
        <v>0</v>
      </c>
      <c r="D87" s="1723">
        <f t="shared" si="9"/>
        <v>0</v>
      </c>
      <c r="E87" s="1723">
        <f>IF(A86&lt;$B$6*12,ROUND(C87*'9a.PASS'!$C$21/12,2),"")</f>
        <v>0</v>
      </c>
      <c r="F87" s="1723">
        <f t="shared" si="10"/>
        <v>0</v>
      </c>
      <c r="G87" s="1723">
        <f t="shared" si="11"/>
        <v>0</v>
      </c>
      <c r="H87" s="1723">
        <f t="shared" si="12"/>
        <v>0</v>
      </c>
    </row>
    <row r="88" spans="1:8">
      <c r="A88" s="1717">
        <f t="shared" si="13"/>
        <v>76</v>
      </c>
      <c r="B88" s="1722" t="str">
        <f t="shared" si="14"/>
        <v/>
      </c>
      <c r="C88" s="1723">
        <f t="shared" si="8"/>
        <v>0</v>
      </c>
      <c r="D88" s="1723">
        <f t="shared" si="9"/>
        <v>0</v>
      </c>
      <c r="E88" s="1723">
        <f>IF(A87&lt;$B$6*12,ROUND(C88*'9a.PASS'!$C$21/12,2),"")</f>
        <v>0</v>
      </c>
      <c r="F88" s="1723">
        <f t="shared" si="10"/>
        <v>0</v>
      </c>
      <c r="G88" s="1723">
        <f t="shared" si="11"/>
        <v>0</v>
      </c>
      <c r="H88" s="1723">
        <f t="shared" si="12"/>
        <v>0</v>
      </c>
    </row>
    <row r="89" spans="1:8">
      <c r="A89" s="1717">
        <f t="shared" si="13"/>
        <v>77</v>
      </c>
      <c r="B89" s="1722" t="str">
        <f t="shared" si="14"/>
        <v/>
      </c>
      <c r="C89" s="1723">
        <f t="shared" si="8"/>
        <v>0</v>
      </c>
      <c r="D89" s="1723">
        <f t="shared" si="9"/>
        <v>0</v>
      </c>
      <c r="E89" s="1723">
        <f>IF(A88&lt;$B$6*12,ROUND(C89*'9a.PASS'!$C$21/12,2),"")</f>
        <v>0</v>
      </c>
      <c r="F89" s="1723">
        <f t="shared" si="10"/>
        <v>0</v>
      </c>
      <c r="G89" s="1723">
        <f t="shared" si="11"/>
        <v>0</v>
      </c>
      <c r="H89" s="1723">
        <f t="shared" si="12"/>
        <v>0</v>
      </c>
    </row>
    <row r="90" spans="1:8">
      <c r="A90" s="1717">
        <f t="shared" si="13"/>
        <v>78</v>
      </c>
      <c r="B90" s="1722" t="str">
        <f t="shared" si="14"/>
        <v/>
      </c>
      <c r="C90" s="1723">
        <f t="shared" si="8"/>
        <v>0</v>
      </c>
      <c r="D90" s="1723">
        <f t="shared" si="9"/>
        <v>0</v>
      </c>
      <c r="E90" s="1723">
        <f>IF(A89&lt;$B$6*12,ROUND(C90*'9a.PASS'!$C$21/12,2),"")</f>
        <v>0</v>
      </c>
      <c r="F90" s="1723">
        <f t="shared" si="10"/>
        <v>0</v>
      </c>
      <c r="G90" s="1723">
        <f t="shared" si="11"/>
        <v>0</v>
      </c>
      <c r="H90" s="1723">
        <f t="shared" si="12"/>
        <v>0</v>
      </c>
    </row>
    <row r="91" spans="1:8">
      <c r="A91" s="1717">
        <f t="shared" si="13"/>
        <v>79</v>
      </c>
      <c r="B91" s="1722" t="str">
        <f t="shared" si="14"/>
        <v/>
      </c>
      <c r="C91" s="1723">
        <f t="shared" si="8"/>
        <v>0</v>
      </c>
      <c r="D91" s="1723">
        <f t="shared" si="9"/>
        <v>0</v>
      </c>
      <c r="E91" s="1723">
        <f>IF(A90&lt;$B$6*12,ROUND(C91*'9a.PASS'!$C$21/12,2),"")</f>
        <v>0</v>
      </c>
      <c r="F91" s="1723">
        <f t="shared" si="10"/>
        <v>0</v>
      </c>
      <c r="G91" s="1723">
        <f t="shared" si="11"/>
        <v>0</v>
      </c>
      <c r="H91" s="1723">
        <f t="shared" si="12"/>
        <v>0</v>
      </c>
    </row>
    <row r="92" spans="1:8">
      <c r="A92" s="1717">
        <f t="shared" si="13"/>
        <v>80</v>
      </c>
      <c r="B92" s="1722" t="str">
        <f t="shared" si="14"/>
        <v/>
      </c>
      <c r="C92" s="1723">
        <f t="shared" si="8"/>
        <v>0</v>
      </c>
      <c r="D92" s="1723">
        <f t="shared" si="9"/>
        <v>0</v>
      </c>
      <c r="E92" s="1723">
        <f>IF(A91&lt;$B$6*12,ROUND(C92*'9a.PASS'!$C$21/12,2),"")</f>
        <v>0</v>
      </c>
      <c r="F92" s="1723">
        <f t="shared" si="10"/>
        <v>0</v>
      </c>
      <c r="G92" s="1723">
        <f t="shared" si="11"/>
        <v>0</v>
      </c>
      <c r="H92" s="1723">
        <f t="shared" si="12"/>
        <v>0</v>
      </c>
    </row>
    <row r="93" spans="1:8">
      <c r="A93" s="1717">
        <f t="shared" si="13"/>
        <v>81</v>
      </c>
      <c r="B93" s="1722" t="str">
        <f t="shared" si="14"/>
        <v/>
      </c>
      <c r="C93" s="1723">
        <f t="shared" si="8"/>
        <v>0</v>
      </c>
      <c r="D93" s="1723">
        <f t="shared" si="9"/>
        <v>0</v>
      </c>
      <c r="E93" s="1723">
        <f>IF(A92&lt;$B$6*12,ROUND(C93*'9a.PASS'!$C$21/12,2),"")</f>
        <v>0</v>
      </c>
      <c r="F93" s="1723">
        <f t="shared" si="10"/>
        <v>0</v>
      </c>
      <c r="G93" s="1723">
        <f t="shared" si="11"/>
        <v>0</v>
      </c>
      <c r="H93" s="1723">
        <f t="shared" si="12"/>
        <v>0</v>
      </c>
    </row>
    <row r="94" spans="1:8">
      <c r="A94" s="1717">
        <f t="shared" si="13"/>
        <v>82</v>
      </c>
      <c r="B94" s="1722" t="str">
        <f t="shared" si="14"/>
        <v/>
      </c>
      <c r="C94" s="1723">
        <f t="shared" si="8"/>
        <v>0</v>
      </c>
      <c r="D94" s="1723">
        <f t="shared" si="9"/>
        <v>0</v>
      </c>
      <c r="E94" s="1723">
        <f>IF(A93&lt;$B$6*12,ROUND(C94*'9a.PASS'!$C$21/12,2),"")</f>
        <v>0</v>
      </c>
      <c r="F94" s="1723">
        <f t="shared" si="10"/>
        <v>0</v>
      </c>
      <c r="G94" s="1723">
        <f t="shared" si="11"/>
        <v>0</v>
      </c>
      <c r="H94" s="1723">
        <f t="shared" si="12"/>
        <v>0</v>
      </c>
    </row>
    <row r="95" spans="1:8">
      <c r="A95" s="1717">
        <f t="shared" si="13"/>
        <v>83</v>
      </c>
      <c r="B95" s="1722" t="str">
        <f t="shared" si="14"/>
        <v/>
      </c>
      <c r="C95" s="1723">
        <f t="shared" si="8"/>
        <v>0</v>
      </c>
      <c r="D95" s="1723">
        <f t="shared" si="9"/>
        <v>0</v>
      </c>
      <c r="E95" s="1723">
        <f>IF(A94&lt;$B$6*12,ROUND(C95*'9a.PASS'!$C$21/12,2),"")</f>
        <v>0</v>
      </c>
      <c r="F95" s="1723">
        <f t="shared" si="10"/>
        <v>0</v>
      </c>
      <c r="G95" s="1723">
        <f t="shared" si="11"/>
        <v>0</v>
      </c>
      <c r="H95" s="1723">
        <f t="shared" si="12"/>
        <v>0</v>
      </c>
    </row>
    <row r="96" spans="1:8">
      <c r="A96" s="1717">
        <f t="shared" si="13"/>
        <v>84</v>
      </c>
      <c r="B96" s="1722" t="str">
        <f t="shared" si="14"/>
        <v/>
      </c>
      <c r="C96" s="1723">
        <f t="shared" si="8"/>
        <v>0</v>
      </c>
      <c r="D96" s="1723">
        <f t="shared" si="9"/>
        <v>0</v>
      </c>
      <c r="E96" s="1723">
        <f>IF(A95&lt;$B$6*12,ROUND(C96*'9a.PASS'!$C$21/12,2),"")</f>
        <v>0</v>
      </c>
      <c r="F96" s="1723">
        <f t="shared" si="10"/>
        <v>0</v>
      </c>
      <c r="G96" s="1723">
        <f t="shared" si="11"/>
        <v>0</v>
      </c>
      <c r="H96" s="1723">
        <f t="shared" si="12"/>
        <v>0</v>
      </c>
    </row>
    <row r="97" spans="1:8">
      <c r="A97" s="1717">
        <f t="shared" si="13"/>
        <v>85</v>
      </c>
      <c r="B97" s="1722" t="str">
        <f t="shared" si="14"/>
        <v/>
      </c>
      <c r="C97" s="1723">
        <f t="shared" si="8"/>
        <v>0</v>
      </c>
      <c r="D97" s="1723">
        <f t="shared" si="9"/>
        <v>0</v>
      </c>
      <c r="E97" s="1723">
        <f>IF(A96&lt;$B$6*12,ROUND(C97*'9a.PASS'!$C$21/12,2),"")</f>
        <v>0</v>
      </c>
      <c r="F97" s="1723">
        <f t="shared" si="10"/>
        <v>0</v>
      </c>
      <c r="G97" s="1723">
        <f t="shared" si="11"/>
        <v>0</v>
      </c>
      <c r="H97" s="1723">
        <f t="shared" si="12"/>
        <v>0</v>
      </c>
    </row>
    <row r="98" spans="1:8">
      <c r="A98" s="1717">
        <f t="shared" si="13"/>
        <v>86</v>
      </c>
      <c r="B98" s="1722" t="str">
        <f t="shared" si="14"/>
        <v/>
      </c>
      <c r="C98" s="1723">
        <f t="shared" si="8"/>
        <v>0</v>
      </c>
      <c r="D98" s="1723">
        <f t="shared" si="9"/>
        <v>0</v>
      </c>
      <c r="E98" s="1723">
        <f>IF(A97&lt;$B$6*12,ROUND(C98*'9a.PASS'!$C$21/12,2),"")</f>
        <v>0</v>
      </c>
      <c r="F98" s="1723">
        <f t="shared" si="10"/>
        <v>0</v>
      </c>
      <c r="G98" s="1723">
        <f t="shared" si="11"/>
        <v>0</v>
      </c>
      <c r="H98" s="1723">
        <f t="shared" si="12"/>
        <v>0</v>
      </c>
    </row>
    <row r="99" spans="1:8">
      <c r="A99" s="1717">
        <f t="shared" si="13"/>
        <v>87</v>
      </c>
      <c r="B99" s="1722" t="str">
        <f t="shared" si="14"/>
        <v/>
      </c>
      <c r="C99" s="1723">
        <f t="shared" si="8"/>
        <v>0</v>
      </c>
      <c r="D99" s="1723">
        <f t="shared" si="9"/>
        <v>0</v>
      </c>
      <c r="E99" s="1723">
        <f>IF(A98&lt;$B$6*12,ROUND(C99*'9a.PASS'!$C$21/12,2),"")</f>
        <v>0</v>
      </c>
      <c r="F99" s="1723">
        <f t="shared" si="10"/>
        <v>0</v>
      </c>
      <c r="G99" s="1723">
        <f t="shared" si="11"/>
        <v>0</v>
      </c>
      <c r="H99" s="1723">
        <f t="shared" si="12"/>
        <v>0</v>
      </c>
    </row>
    <row r="100" spans="1:8">
      <c r="A100" s="1717">
        <f t="shared" si="13"/>
        <v>88</v>
      </c>
      <c r="B100" s="1722" t="str">
        <f t="shared" si="14"/>
        <v/>
      </c>
      <c r="C100" s="1723">
        <f t="shared" si="8"/>
        <v>0</v>
      </c>
      <c r="D100" s="1723">
        <f t="shared" si="9"/>
        <v>0</v>
      </c>
      <c r="E100" s="1723">
        <f>IF(A99&lt;$B$6*12,ROUND(C100*'9a.PASS'!$C$21/12,2),"")</f>
        <v>0</v>
      </c>
      <c r="F100" s="1723">
        <f t="shared" si="10"/>
        <v>0</v>
      </c>
      <c r="G100" s="1723">
        <f t="shared" si="11"/>
        <v>0</v>
      </c>
      <c r="H100" s="1723">
        <f t="shared" si="12"/>
        <v>0</v>
      </c>
    </row>
    <row r="101" spans="1:8">
      <c r="A101" s="1717">
        <f t="shared" si="13"/>
        <v>89</v>
      </c>
      <c r="B101" s="1722" t="str">
        <f t="shared" si="14"/>
        <v/>
      </c>
      <c r="C101" s="1723">
        <f t="shared" si="8"/>
        <v>0</v>
      </c>
      <c r="D101" s="1723">
        <f t="shared" si="9"/>
        <v>0</v>
      </c>
      <c r="E101" s="1723">
        <f>IF(A100&lt;$B$6*12,ROUND(C101*'9a.PASS'!$C$21/12,2),"")</f>
        <v>0</v>
      </c>
      <c r="F101" s="1723">
        <f t="shared" si="10"/>
        <v>0</v>
      </c>
      <c r="G101" s="1723">
        <f t="shared" si="11"/>
        <v>0</v>
      </c>
      <c r="H101" s="1723">
        <f t="shared" si="12"/>
        <v>0</v>
      </c>
    </row>
    <row r="102" spans="1:8">
      <c r="A102" s="1717">
        <f t="shared" si="13"/>
        <v>90</v>
      </c>
      <c r="B102" s="1722" t="str">
        <f t="shared" si="14"/>
        <v/>
      </c>
      <c r="C102" s="1723">
        <f t="shared" si="8"/>
        <v>0</v>
      </c>
      <c r="D102" s="1723">
        <f t="shared" si="9"/>
        <v>0</v>
      </c>
      <c r="E102" s="1723">
        <f>IF(A101&lt;$B$6*12,ROUND(C102*'9a.PASS'!$C$21/12,2),"")</f>
        <v>0</v>
      </c>
      <c r="F102" s="1723">
        <f t="shared" si="10"/>
        <v>0</v>
      </c>
      <c r="G102" s="1723">
        <f t="shared" si="11"/>
        <v>0</v>
      </c>
      <c r="H102" s="1723">
        <f t="shared" si="12"/>
        <v>0</v>
      </c>
    </row>
    <row r="103" spans="1:8">
      <c r="A103" s="1717">
        <f t="shared" si="13"/>
        <v>91</v>
      </c>
      <c r="B103" s="1722" t="str">
        <f t="shared" si="14"/>
        <v/>
      </c>
      <c r="C103" s="1723">
        <f t="shared" si="8"/>
        <v>0</v>
      </c>
      <c r="D103" s="1723">
        <f t="shared" si="9"/>
        <v>0</v>
      </c>
      <c r="E103" s="1723">
        <f>IF(A102&lt;$B$6*12,ROUND(C103*'9a.PASS'!$C$21/12,2),"")</f>
        <v>0</v>
      </c>
      <c r="F103" s="1723">
        <f t="shared" si="10"/>
        <v>0</v>
      </c>
      <c r="G103" s="1723">
        <f t="shared" si="11"/>
        <v>0</v>
      </c>
      <c r="H103" s="1723">
        <f t="shared" si="12"/>
        <v>0</v>
      </c>
    </row>
    <row r="104" spans="1:8">
      <c r="A104" s="1717">
        <f t="shared" si="13"/>
        <v>92</v>
      </c>
      <c r="B104" s="1722" t="str">
        <f t="shared" si="14"/>
        <v/>
      </c>
      <c r="C104" s="1723">
        <f t="shared" si="8"/>
        <v>0</v>
      </c>
      <c r="D104" s="1723">
        <f t="shared" si="9"/>
        <v>0</v>
      </c>
      <c r="E104" s="1723">
        <f>IF(A103&lt;$B$6*12,ROUND(C104*'9a.PASS'!$C$21/12,2),"")</f>
        <v>0</v>
      </c>
      <c r="F104" s="1723">
        <f t="shared" si="10"/>
        <v>0</v>
      </c>
      <c r="G104" s="1723">
        <f t="shared" si="11"/>
        <v>0</v>
      </c>
      <c r="H104" s="1723">
        <f t="shared" si="12"/>
        <v>0</v>
      </c>
    </row>
    <row r="105" spans="1:8">
      <c r="A105" s="1717">
        <f t="shared" si="13"/>
        <v>93</v>
      </c>
      <c r="B105" s="1722" t="str">
        <f t="shared" si="14"/>
        <v/>
      </c>
      <c r="C105" s="1723">
        <f t="shared" si="8"/>
        <v>0</v>
      </c>
      <c r="D105" s="1723">
        <f t="shared" si="9"/>
        <v>0</v>
      </c>
      <c r="E105" s="1723">
        <f>IF(A104&lt;$B$6*12,ROUND(C105*'9a.PASS'!$C$21/12,2),"")</f>
        <v>0</v>
      </c>
      <c r="F105" s="1723">
        <f t="shared" si="10"/>
        <v>0</v>
      </c>
      <c r="G105" s="1723">
        <f t="shared" si="11"/>
        <v>0</v>
      </c>
      <c r="H105" s="1723">
        <f t="shared" si="12"/>
        <v>0</v>
      </c>
    </row>
    <row r="106" spans="1:8">
      <c r="A106" s="1717">
        <f t="shared" si="13"/>
        <v>94</v>
      </c>
      <c r="B106" s="1722" t="str">
        <f t="shared" si="14"/>
        <v/>
      </c>
      <c r="C106" s="1723">
        <f t="shared" si="8"/>
        <v>0</v>
      </c>
      <c r="D106" s="1723">
        <f t="shared" si="9"/>
        <v>0</v>
      </c>
      <c r="E106" s="1723">
        <f>IF(A105&lt;$B$6*12,ROUND(C106*'9a.PASS'!$C$21/12,2),"")</f>
        <v>0</v>
      </c>
      <c r="F106" s="1723">
        <f t="shared" si="10"/>
        <v>0</v>
      </c>
      <c r="G106" s="1723">
        <f t="shared" si="11"/>
        <v>0</v>
      </c>
      <c r="H106" s="1723">
        <f t="shared" si="12"/>
        <v>0</v>
      </c>
    </row>
    <row r="107" spans="1:8">
      <c r="A107" s="1717">
        <f t="shared" si="13"/>
        <v>95</v>
      </c>
      <c r="B107" s="1722" t="str">
        <f t="shared" si="14"/>
        <v/>
      </c>
      <c r="C107" s="1723">
        <f t="shared" si="8"/>
        <v>0</v>
      </c>
      <c r="D107" s="1723">
        <f t="shared" si="9"/>
        <v>0</v>
      </c>
      <c r="E107" s="1723">
        <f>IF(A106&lt;$B$6*12,ROUND(C107*'9a.PASS'!$C$21/12,2),"")</f>
        <v>0</v>
      </c>
      <c r="F107" s="1723">
        <f t="shared" si="10"/>
        <v>0</v>
      </c>
      <c r="G107" s="1723">
        <f t="shared" si="11"/>
        <v>0</v>
      </c>
      <c r="H107" s="1723">
        <f t="shared" si="12"/>
        <v>0</v>
      </c>
    </row>
    <row r="108" spans="1:8">
      <c r="A108" s="1717">
        <f t="shared" si="13"/>
        <v>96</v>
      </c>
      <c r="B108" s="1722" t="str">
        <f t="shared" si="14"/>
        <v/>
      </c>
      <c r="C108" s="1723">
        <f t="shared" si="8"/>
        <v>0</v>
      </c>
      <c r="D108" s="1723">
        <f t="shared" si="9"/>
        <v>0</v>
      </c>
      <c r="E108" s="1723">
        <f>IF(A107&lt;$B$6*12,ROUND(C108*'9a.PASS'!$C$21/12,2),"")</f>
        <v>0</v>
      </c>
      <c r="F108" s="1723">
        <f t="shared" si="10"/>
        <v>0</v>
      </c>
      <c r="G108" s="1723">
        <f t="shared" si="11"/>
        <v>0</v>
      </c>
      <c r="H108" s="1723">
        <f t="shared" si="12"/>
        <v>0</v>
      </c>
    </row>
    <row r="109" spans="1:8">
      <c r="A109" s="1717">
        <f t="shared" si="13"/>
        <v>97</v>
      </c>
      <c r="B109" s="1722" t="str">
        <f t="shared" si="14"/>
        <v/>
      </c>
      <c r="C109" s="1723">
        <f t="shared" si="8"/>
        <v>0</v>
      </c>
      <c r="D109" s="1723">
        <f t="shared" si="9"/>
        <v>0</v>
      </c>
      <c r="E109" s="1723">
        <f>IF(A108&lt;$B$6*12,ROUND(C109*'9a.PASS'!$C$21/12,2),"")</f>
        <v>0</v>
      </c>
      <c r="F109" s="1723">
        <f t="shared" si="10"/>
        <v>0</v>
      </c>
      <c r="G109" s="1723">
        <f t="shared" si="11"/>
        <v>0</v>
      </c>
      <c r="H109" s="1723">
        <f t="shared" si="12"/>
        <v>0</v>
      </c>
    </row>
    <row r="110" spans="1:8">
      <c r="A110" s="1717">
        <f t="shared" si="13"/>
        <v>98</v>
      </c>
      <c r="B110" s="1722" t="str">
        <f t="shared" si="14"/>
        <v/>
      </c>
      <c r="C110" s="1723">
        <f t="shared" si="8"/>
        <v>0</v>
      </c>
      <c r="D110" s="1723">
        <f t="shared" si="9"/>
        <v>0</v>
      </c>
      <c r="E110" s="1723">
        <f>IF(A109&lt;$B$6*12,ROUND(C110*'9a.PASS'!$C$21/12,2),"")</f>
        <v>0</v>
      </c>
      <c r="F110" s="1723">
        <f t="shared" si="10"/>
        <v>0</v>
      </c>
      <c r="G110" s="1723">
        <f t="shared" si="11"/>
        <v>0</v>
      </c>
      <c r="H110" s="1723">
        <f t="shared" si="12"/>
        <v>0</v>
      </c>
    </row>
    <row r="111" spans="1:8">
      <c r="A111" s="1717">
        <f t="shared" si="13"/>
        <v>99</v>
      </c>
      <c r="B111" s="1722" t="str">
        <f t="shared" si="14"/>
        <v/>
      </c>
      <c r="C111" s="1723">
        <f t="shared" si="8"/>
        <v>0</v>
      </c>
      <c r="D111" s="1723">
        <f t="shared" si="9"/>
        <v>0</v>
      </c>
      <c r="E111" s="1723">
        <f>IF(A110&lt;$B$6*12,ROUND(C111*'9a.PASS'!$C$21/12,2),"")</f>
        <v>0</v>
      </c>
      <c r="F111" s="1723">
        <f t="shared" si="10"/>
        <v>0</v>
      </c>
      <c r="G111" s="1723">
        <f t="shared" si="11"/>
        <v>0</v>
      </c>
      <c r="H111" s="1723">
        <f t="shared" si="12"/>
        <v>0</v>
      </c>
    </row>
    <row r="112" spans="1:8">
      <c r="A112" s="1717">
        <f t="shared" si="13"/>
        <v>100</v>
      </c>
      <c r="B112" s="1722" t="str">
        <f t="shared" si="14"/>
        <v/>
      </c>
      <c r="C112" s="1723">
        <f t="shared" si="8"/>
        <v>0</v>
      </c>
      <c r="D112" s="1723">
        <f t="shared" si="9"/>
        <v>0</v>
      </c>
      <c r="E112" s="1723">
        <f>IF(A111&lt;$B$6*12,ROUND(C112*'9a.PASS'!$C$21/12,2),"")</f>
        <v>0</v>
      </c>
      <c r="F112" s="1723">
        <f t="shared" si="10"/>
        <v>0</v>
      </c>
      <c r="G112" s="1723">
        <f t="shared" si="11"/>
        <v>0</v>
      </c>
      <c r="H112" s="1723">
        <f t="shared" si="12"/>
        <v>0</v>
      </c>
    </row>
    <row r="113" spans="1:8">
      <c r="A113" s="1717">
        <f t="shared" si="13"/>
        <v>101</v>
      </c>
      <c r="B113" s="1722" t="str">
        <f t="shared" si="14"/>
        <v/>
      </c>
      <c r="C113" s="1723">
        <f t="shared" si="8"/>
        <v>0</v>
      </c>
      <c r="D113" s="1723">
        <f t="shared" si="9"/>
        <v>0</v>
      </c>
      <c r="E113" s="1723">
        <f>IF(A112&lt;$B$6*12,ROUND(C113*'9a.PASS'!$C$21/12,2),"")</f>
        <v>0</v>
      </c>
      <c r="F113" s="1723">
        <f t="shared" si="10"/>
        <v>0</v>
      </c>
      <c r="G113" s="1723">
        <f t="shared" si="11"/>
        <v>0</v>
      </c>
      <c r="H113" s="1723">
        <f t="shared" si="12"/>
        <v>0</v>
      </c>
    </row>
    <row r="114" spans="1:8">
      <c r="A114" s="1717">
        <f t="shared" si="13"/>
        <v>102</v>
      </c>
      <c r="B114" s="1722" t="str">
        <f t="shared" si="14"/>
        <v/>
      </c>
      <c r="C114" s="1723">
        <f t="shared" si="8"/>
        <v>0</v>
      </c>
      <c r="D114" s="1723">
        <f t="shared" si="9"/>
        <v>0</v>
      </c>
      <c r="E114" s="1723">
        <f>IF(A113&lt;$B$6*12,ROUND(C114*'9a.PASS'!$C$21/12,2),"")</f>
        <v>0</v>
      </c>
      <c r="F114" s="1723">
        <f t="shared" si="10"/>
        <v>0</v>
      </c>
      <c r="G114" s="1723">
        <f t="shared" si="11"/>
        <v>0</v>
      </c>
      <c r="H114" s="1723">
        <f t="shared" si="12"/>
        <v>0</v>
      </c>
    </row>
    <row r="115" spans="1:8">
      <c r="A115" s="1717">
        <f t="shared" si="13"/>
        <v>103</v>
      </c>
      <c r="B115" s="1722" t="str">
        <f t="shared" si="14"/>
        <v/>
      </c>
      <c r="C115" s="1723">
        <f t="shared" si="8"/>
        <v>0</v>
      </c>
      <c r="D115" s="1723">
        <f t="shared" si="9"/>
        <v>0</v>
      </c>
      <c r="E115" s="1723">
        <f>IF(A114&lt;$B$6*12,ROUND(C115*'9a.PASS'!$C$21/12,2),"")</f>
        <v>0</v>
      </c>
      <c r="F115" s="1723">
        <f t="shared" si="10"/>
        <v>0</v>
      </c>
      <c r="G115" s="1723">
        <f t="shared" si="11"/>
        <v>0</v>
      </c>
      <c r="H115" s="1723">
        <f t="shared" si="12"/>
        <v>0</v>
      </c>
    </row>
    <row r="116" spans="1:8">
      <c r="A116" s="1717">
        <f t="shared" si="13"/>
        <v>104</v>
      </c>
      <c r="B116" s="1722" t="str">
        <f t="shared" si="14"/>
        <v/>
      </c>
      <c r="C116" s="1723">
        <f t="shared" si="8"/>
        <v>0</v>
      </c>
      <c r="D116" s="1723">
        <f t="shared" si="9"/>
        <v>0</v>
      </c>
      <c r="E116" s="1723">
        <f>IF(A115&lt;$B$6*12,ROUND(C116*'9a.PASS'!$C$21/12,2),"")</f>
        <v>0</v>
      </c>
      <c r="F116" s="1723">
        <f t="shared" si="10"/>
        <v>0</v>
      </c>
      <c r="G116" s="1723">
        <f t="shared" si="11"/>
        <v>0</v>
      </c>
      <c r="H116" s="1723">
        <f t="shared" si="12"/>
        <v>0</v>
      </c>
    </row>
    <row r="117" spans="1:8">
      <c r="A117" s="1717">
        <f t="shared" si="13"/>
        <v>105</v>
      </c>
      <c r="B117" s="1722" t="str">
        <f t="shared" si="14"/>
        <v/>
      </c>
      <c r="C117" s="1723">
        <f t="shared" si="8"/>
        <v>0</v>
      </c>
      <c r="D117" s="1723">
        <f t="shared" si="9"/>
        <v>0</v>
      </c>
      <c r="E117" s="1723">
        <f>IF(A116&lt;$B$6*12,ROUND(C117*'9a.PASS'!$C$21/12,2),"")</f>
        <v>0</v>
      </c>
      <c r="F117" s="1723">
        <f t="shared" si="10"/>
        <v>0</v>
      </c>
      <c r="G117" s="1723">
        <f t="shared" si="11"/>
        <v>0</v>
      </c>
      <c r="H117" s="1723">
        <f t="shared" si="12"/>
        <v>0</v>
      </c>
    </row>
    <row r="118" spans="1:8">
      <c r="A118" s="1717">
        <f t="shared" si="13"/>
        <v>106</v>
      </c>
      <c r="B118" s="1722" t="str">
        <f t="shared" si="14"/>
        <v/>
      </c>
      <c r="C118" s="1723">
        <f t="shared" si="8"/>
        <v>0</v>
      </c>
      <c r="D118" s="1723">
        <f t="shared" si="9"/>
        <v>0</v>
      </c>
      <c r="E118" s="1723">
        <f>IF(A117&lt;$B$6*12,ROUND(C118*'9a.PASS'!$C$21/12,2),"")</f>
        <v>0</v>
      </c>
      <c r="F118" s="1723">
        <f t="shared" si="10"/>
        <v>0</v>
      </c>
      <c r="G118" s="1723">
        <f t="shared" si="11"/>
        <v>0</v>
      </c>
      <c r="H118" s="1723">
        <f t="shared" si="12"/>
        <v>0</v>
      </c>
    </row>
    <row r="119" spans="1:8">
      <c r="A119" s="1717">
        <f t="shared" si="13"/>
        <v>107</v>
      </c>
      <c r="B119" s="1722" t="str">
        <f t="shared" si="14"/>
        <v/>
      </c>
      <c r="C119" s="1723">
        <f t="shared" si="8"/>
        <v>0</v>
      </c>
      <c r="D119" s="1723">
        <f t="shared" si="9"/>
        <v>0</v>
      </c>
      <c r="E119" s="1723">
        <f>IF(A118&lt;$B$6*12,ROUND(C119*'9a.PASS'!$C$21/12,2),"")</f>
        <v>0</v>
      </c>
      <c r="F119" s="1723">
        <f t="shared" si="10"/>
        <v>0</v>
      </c>
      <c r="G119" s="1723">
        <f t="shared" si="11"/>
        <v>0</v>
      </c>
      <c r="H119" s="1723">
        <f t="shared" si="12"/>
        <v>0</v>
      </c>
    </row>
    <row r="120" spans="1:8">
      <c r="A120" s="1717">
        <f t="shared" si="13"/>
        <v>108</v>
      </c>
      <c r="B120" s="1722" t="str">
        <f t="shared" si="14"/>
        <v/>
      </c>
      <c r="C120" s="1723">
        <f t="shared" si="8"/>
        <v>0</v>
      </c>
      <c r="D120" s="1723">
        <f t="shared" si="9"/>
        <v>0</v>
      </c>
      <c r="E120" s="1723">
        <f>IF(A119&lt;$B$6*12,ROUND(C120*'9a.PASS'!$C$21/12,2),"")</f>
        <v>0</v>
      </c>
      <c r="F120" s="1723">
        <f t="shared" si="10"/>
        <v>0</v>
      </c>
      <c r="G120" s="1723">
        <f t="shared" si="11"/>
        <v>0</v>
      </c>
      <c r="H120" s="1723">
        <f t="shared" si="12"/>
        <v>0</v>
      </c>
    </row>
    <row r="121" spans="1:8">
      <c r="A121" s="1717">
        <f t="shared" si="13"/>
        <v>109</v>
      </c>
      <c r="B121" s="1722" t="str">
        <f t="shared" si="14"/>
        <v/>
      </c>
      <c r="C121" s="1723">
        <f t="shared" si="8"/>
        <v>0</v>
      </c>
      <c r="D121" s="1723">
        <f t="shared" si="9"/>
        <v>0</v>
      </c>
      <c r="E121" s="1723">
        <f>IF(A120&lt;$B$6*12,ROUND(C121*'9a.PASS'!$C$21/12,2),"")</f>
        <v>0</v>
      </c>
      <c r="F121" s="1723">
        <f t="shared" si="10"/>
        <v>0</v>
      </c>
      <c r="G121" s="1723">
        <f t="shared" si="11"/>
        <v>0</v>
      </c>
      <c r="H121" s="1723">
        <f t="shared" si="12"/>
        <v>0</v>
      </c>
    </row>
    <row r="122" spans="1:8">
      <c r="A122" s="1717">
        <f t="shared" si="13"/>
        <v>110</v>
      </c>
      <c r="B122" s="1722" t="str">
        <f t="shared" si="14"/>
        <v/>
      </c>
      <c r="C122" s="1723">
        <f t="shared" si="8"/>
        <v>0</v>
      </c>
      <c r="D122" s="1723">
        <f t="shared" si="9"/>
        <v>0</v>
      </c>
      <c r="E122" s="1723">
        <f>IF(A121&lt;$B$6*12,ROUND(C122*'9a.PASS'!$C$21/12,2),"")</f>
        <v>0</v>
      </c>
      <c r="F122" s="1723">
        <f t="shared" si="10"/>
        <v>0</v>
      </c>
      <c r="G122" s="1723">
        <f t="shared" si="11"/>
        <v>0</v>
      </c>
      <c r="H122" s="1723">
        <f t="shared" si="12"/>
        <v>0</v>
      </c>
    </row>
    <row r="123" spans="1:8">
      <c r="A123" s="1717">
        <f t="shared" si="13"/>
        <v>111</v>
      </c>
      <c r="B123" s="1722" t="str">
        <f t="shared" si="14"/>
        <v/>
      </c>
      <c r="C123" s="1723">
        <f t="shared" si="8"/>
        <v>0</v>
      </c>
      <c r="D123" s="1723">
        <f t="shared" si="9"/>
        <v>0</v>
      </c>
      <c r="E123" s="1723">
        <f>IF(A122&lt;$B$6*12,ROUND(C123*'9a.PASS'!$C$21/12,2),"")</f>
        <v>0</v>
      </c>
      <c r="F123" s="1723">
        <f t="shared" si="10"/>
        <v>0</v>
      </c>
      <c r="G123" s="1723">
        <f t="shared" si="11"/>
        <v>0</v>
      </c>
      <c r="H123" s="1723">
        <f t="shared" si="12"/>
        <v>0</v>
      </c>
    </row>
    <row r="124" spans="1:8">
      <c r="A124" s="1717">
        <f t="shared" si="13"/>
        <v>112</v>
      </c>
      <c r="B124" s="1722" t="str">
        <f t="shared" si="14"/>
        <v/>
      </c>
      <c r="C124" s="1723">
        <f t="shared" si="8"/>
        <v>0</v>
      </c>
      <c r="D124" s="1723">
        <f t="shared" si="9"/>
        <v>0</v>
      </c>
      <c r="E124" s="1723">
        <f>IF(A123&lt;$B$6*12,ROUND(C124*'9a.PASS'!$C$21/12,2),"")</f>
        <v>0</v>
      </c>
      <c r="F124" s="1723">
        <f t="shared" si="10"/>
        <v>0</v>
      </c>
      <c r="G124" s="1723">
        <f t="shared" si="11"/>
        <v>0</v>
      </c>
      <c r="H124" s="1723">
        <f t="shared" si="12"/>
        <v>0</v>
      </c>
    </row>
    <row r="125" spans="1:8">
      <c r="A125" s="1717">
        <f t="shared" si="13"/>
        <v>113</v>
      </c>
      <c r="B125" s="1722" t="str">
        <f t="shared" si="14"/>
        <v/>
      </c>
      <c r="C125" s="1723">
        <f t="shared" si="8"/>
        <v>0</v>
      </c>
      <c r="D125" s="1723">
        <f t="shared" si="9"/>
        <v>0</v>
      </c>
      <c r="E125" s="1723">
        <f>IF(A124&lt;$B$6*12,ROUND(C125*'9a.PASS'!$C$21/12,2),"")</f>
        <v>0</v>
      </c>
      <c r="F125" s="1723">
        <f t="shared" si="10"/>
        <v>0</v>
      </c>
      <c r="G125" s="1723">
        <f t="shared" si="11"/>
        <v>0</v>
      </c>
      <c r="H125" s="1723">
        <f t="shared" si="12"/>
        <v>0</v>
      </c>
    </row>
    <row r="126" spans="1:8">
      <c r="A126" s="1717">
        <f t="shared" si="13"/>
        <v>114</v>
      </c>
      <c r="B126" s="1722" t="str">
        <f t="shared" si="14"/>
        <v/>
      </c>
      <c r="C126" s="1723">
        <f t="shared" si="8"/>
        <v>0</v>
      </c>
      <c r="D126" s="1723">
        <f t="shared" si="9"/>
        <v>0</v>
      </c>
      <c r="E126" s="1723">
        <f>IF(A125&lt;$B$6*12,ROUND(C126*'9a.PASS'!$C$21/12,2),"")</f>
        <v>0</v>
      </c>
      <c r="F126" s="1723">
        <f t="shared" si="10"/>
        <v>0</v>
      </c>
      <c r="G126" s="1723">
        <f t="shared" si="11"/>
        <v>0</v>
      </c>
      <c r="H126" s="1723">
        <f t="shared" si="12"/>
        <v>0</v>
      </c>
    </row>
    <row r="127" spans="1:8">
      <c r="A127" s="1717">
        <f t="shared" si="13"/>
        <v>115</v>
      </c>
      <c r="B127" s="1722" t="str">
        <f t="shared" si="14"/>
        <v/>
      </c>
      <c r="C127" s="1723">
        <f t="shared" si="8"/>
        <v>0</v>
      </c>
      <c r="D127" s="1723">
        <f t="shared" si="9"/>
        <v>0</v>
      </c>
      <c r="E127" s="1723">
        <f>IF(A126&lt;$B$6*12,ROUND(C127*'9a.PASS'!$C$21/12,2),"")</f>
        <v>0</v>
      </c>
      <c r="F127" s="1723">
        <f t="shared" si="10"/>
        <v>0</v>
      </c>
      <c r="G127" s="1723">
        <f t="shared" si="11"/>
        <v>0</v>
      </c>
      <c r="H127" s="1723">
        <f t="shared" si="12"/>
        <v>0</v>
      </c>
    </row>
    <row r="128" spans="1:8">
      <c r="A128" s="1717">
        <f t="shared" si="13"/>
        <v>116</v>
      </c>
      <c r="B128" s="1722" t="str">
        <f t="shared" si="14"/>
        <v/>
      </c>
      <c r="C128" s="1723">
        <f t="shared" si="8"/>
        <v>0</v>
      </c>
      <c r="D128" s="1723">
        <f t="shared" si="9"/>
        <v>0</v>
      </c>
      <c r="E128" s="1723">
        <f>IF(A127&lt;$B$6*12,ROUND(C128*'9a.PASS'!$C$21/12,2),"")</f>
        <v>0</v>
      </c>
      <c r="F128" s="1723">
        <f t="shared" si="10"/>
        <v>0</v>
      </c>
      <c r="G128" s="1723">
        <f t="shared" si="11"/>
        <v>0</v>
      </c>
      <c r="H128" s="1723">
        <f t="shared" si="12"/>
        <v>0</v>
      </c>
    </row>
    <row r="129" spans="1:8">
      <c r="A129" s="1717">
        <f t="shared" si="13"/>
        <v>117</v>
      </c>
      <c r="B129" s="1722" t="str">
        <f t="shared" si="14"/>
        <v/>
      </c>
      <c r="C129" s="1723">
        <f t="shared" si="8"/>
        <v>0</v>
      </c>
      <c r="D129" s="1723">
        <f t="shared" si="9"/>
        <v>0</v>
      </c>
      <c r="E129" s="1723">
        <f>IF(A128&lt;$B$6*12,ROUND(C129*'9a.PASS'!$C$21/12,2),"")</f>
        <v>0</v>
      </c>
      <c r="F129" s="1723">
        <f t="shared" si="10"/>
        <v>0</v>
      </c>
      <c r="G129" s="1723">
        <f t="shared" si="11"/>
        <v>0</v>
      </c>
      <c r="H129" s="1723">
        <f t="shared" si="12"/>
        <v>0</v>
      </c>
    </row>
    <row r="130" spans="1:8">
      <c r="A130" s="1717">
        <f t="shared" si="13"/>
        <v>118</v>
      </c>
      <c r="B130" s="1722" t="str">
        <f t="shared" si="14"/>
        <v/>
      </c>
      <c r="C130" s="1723">
        <f t="shared" si="8"/>
        <v>0</v>
      </c>
      <c r="D130" s="1723">
        <f t="shared" si="9"/>
        <v>0</v>
      </c>
      <c r="E130" s="1723">
        <f>IF(A129&lt;$B$6*12,ROUND(C130*'9a.PASS'!$C$21/12,2),"")</f>
        <v>0</v>
      </c>
      <c r="F130" s="1723">
        <f t="shared" si="10"/>
        <v>0</v>
      </c>
      <c r="G130" s="1723">
        <f t="shared" si="11"/>
        <v>0</v>
      </c>
      <c r="H130" s="1723">
        <f t="shared" si="12"/>
        <v>0</v>
      </c>
    </row>
    <row r="131" spans="1:8">
      <c r="A131" s="1717">
        <f t="shared" si="13"/>
        <v>119</v>
      </c>
      <c r="B131" s="1722" t="str">
        <f t="shared" si="14"/>
        <v/>
      </c>
      <c r="C131" s="1723">
        <f t="shared" si="8"/>
        <v>0</v>
      </c>
      <c r="D131" s="1723">
        <f t="shared" si="9"/>
        <v>0</v>
      </c>
      <c r="E131" s="1723">
        <f>IF(A130&lt;$B$6*12,ROUND(C131*'9a.PASS'!$C$21/12,2),"")</f>
        <v>0</v>
      </c>
      <c r="F131" s="1723">
        <f t="shared" si="10"/>
        <v>0</v>
      </c>
      <c r="G131" s="1723">
        <f t="shared" si="11"/>
        <v>0</v>
      </c>
      <c r="H131" s="1723">
        <f t="shared" si="12"/>
        <v>0</v>
      </c>
    </row>
    <row r="132" spans="1:8">
      <c r="A132" s="1717">
        <f t="shared" si="13"/>
        <v>120</v>
      </c>
      <c r="B132" s="1722" t="str">
        <f t="shared" si="14"/>
        <v/>
      </c>
      <c r="C132" s="1723">
        <f t="shared" si="8"/>
        <v>0</v>
      </c>
      <c r="D132" s="1723">
        <f t="shared" si="9"/>
        <v>0</v>
      </c>
      <c r="E132" s="1723">
        <f>IF(A131&lt;$B$6*12,ROUND(C132*'9a.PASS'!$C$21/12,2),"")</f>
        <v>0</v>
      </c>
      <c r="F132" s="1723">
        <f t="shared" si="10"/>
        <v>0</v>
      </c>
      <c r="G132" s="1723">
        <f t="shared" si="11"/>
        <v>0</v>
      </c>
      <c r="H132" s="1723">
        <f t="shared" si="12"/>
        <v>0</v>
      </c>
    </row>
    <row r="133" spans="1:8">
      <c r="A133" s="1717">
        <f t="shared" si="13"/>
        <v>121</v>
      </c>
      <c r="B133" s="1722" t="str">
        <f t="shared" si="14"/>
        <v/>
      </c>
      <c r="C133" s="1723">
        <f t="shared" si="8"/>
        <v>0</v>
      </c>
      <c r="D133" s="1723">
        <f t="shared" si="9"/>
        <v>0</v>
      </c>
      <c r="E133" s="1723">
        <f>IF(A132&lt;$B$6*12,ROUND(C133*'9a.PASS'!$C$21/12,2),"")</f>
        <v>0</v>
      </c>
      <c r="F133" s="1723">
        <f t="shared" si="10"/>
        <v>0</v>
      </c>
      <c r="G133" s="1723">
        <f t="shared" si="11"/>
        <v>0</v>
      </c>
      <c r="H133" s="1723">
        <f t="shared" si="12"/>
        <v>0</v>
      </c>
    </row>
    <row r="134" spans="1:8">
      <c r="A134" s="1717">
        <f t="shared" si="13"/>
        <v>122</v>
      </c>
      <c r="B134" s="1722" t="str">
        <f t="shared" si="14"/>
        <v/>
      </c>
      <c r="C134" s="1723">
        <f t="shared" si="8"/>
        <v>0</v>
      </c>
      <c r="D134" s="1723">
        <f t="shared" si="9"/>
        <v>0</v>
      </c>
      <c r="E134" s="1723">
        <f>IF(A133&lt;$B$6*12,ROUND(C134*'9a.PASS'!$C$21/12,2),"")</f>
        <v>0</v>
      </c>
      <c r="F134" s="1723">
        <f t="shared" si="10"/>
        <v>0</v>
      </c>
      <c r="G134" s="1723">
        <f t="shared" si="11"/>
        <v>0</v>
      </c>
      <c r="H134" s="1723">
        <f t="shared" si="12"/>
        <v>0</v>
      </c>
    </row>
    <row r="135" spans="1:8">
      <c r="A135" s="1717">
        <f t="shared" si="13"/>
        <v>123</v>
      </c>
      <c r="B135" s="1722" t="str">
        <f t="shared" si="14"/>
        <v/>
      </c>
      <c r="C135" s="1723">
        <f t="shared" si="8"/>
        <v>0</v>
      </c>
      <c r="D135" s="1723">
        <f t="shared" si="9"/>
        <v>0</v>
      </c>
      <c r="E135" s="1723">
        <f>IF(A134&lt;$B$6*12,ROUND(C135*'9a.PASS'!$C$21/12,2),"")</f>
        <v>0</v>
      </c>
      <c r="F135" s="1723">
        <f t="shared" si="10"/>
        <v>0</v>
      </c>
      <c r="G135" s="1723">
        <f t="shared" si="11"/>
        <v>0</v>
      </c>
      <c r="H135" s="1723">
        <f t="shared" si="12"/>
        <v>0</v>
      </c>
    </row>
    <row r="136" spans="1:8">
      <c r="A136" s="1717">
        <f t="shared" si="13"/>
        <v>124</v>
      </c>
      <c r="B136" s="1722" t="str">
        <f t="shared" si="14"/>
        <v/>
      </c>
      <c r="C136" s="1723">
        <f t="shared" si="8"/>
        <v>0</v>
      </c>
      <c r="D136" s="1723">
        <f t="shared" si="9"/>
        <v>0</v>
      </c>
      <c r="E136" s="1723">
        <f>IF(A135&lt;$B$6*12,ROUND(C136*'9a.PASS'!$C$21/12,2),"")</f>
        <v>0</v>
      </c>
      <c r="F136" s="1723">
        <f t="shared" si="10"/>
        <v>0</v>
      </c>
      <c r="G136" s="1723">
        <f t="shared" si="11"/>
        <v>0</v>
      </c>
      <c r="H136" s="1723">
        <f t="shared" si="12"/>
        <v>0</v>
      </c>
    </row>
    <row r="137" spans="1:8">
      <c r="A137" s="1717">
        <f t="shared" si="13"/>
        <v>125</v>
      </c>
      <c r="B137" s="1722" t="str">
        <f t="shared" si="14"/>
        <v/>
      </c>
      <c r="C137" s="1723">
        <f t="shared" si="8"/>
        <v>0</v>
      </c>
      <c r="D137" s="1723">
        <f t="shared" si="9"/>
        <v>0</v>
      </c>
      <c r="E137" s="1723">
        <f>IF(A136&lt;$B$6*12,ROUND(C137*'9a.PASS'!$C$21/12,2),"")</f>
        <v>0</v>
      </c>
      <c r="F137" s="1723">
        <f t="shared" si="10"/>
        <v>0</v>
      </c>
      <c r="G137" s="1723">
        <f t="shared" si="11"/>
        <v>0</v>
      </c>
      <c r="H137" s="1723">
        <f t="shared" si="12"/>
        <v>0</v>
      </c>
    </row>
    <row r="138" spans="1:8">
      <c r="A138" s="1717">
        <f t="shared" si="13"/>
        <v>126</v>
      </c>
      <c r="B138" s="1722" t="str">
        <f t="shared" si="14"/>
        <v/>
      </c>
      <c r="C138" s="1723">
        <f t="shared" si="8"/>
        <v>0</v>
      </c>
      <c r="D138" s="1723">
        <f t="shared" si="9"/>
        <v>0</v>
      </c>
      <c r="E138" s="1723">
        <f>IF(A137&lt;$B$6*12,ROUND(C138*'9a.PASS'!$C$21/12,2),"")</f>
        <v>0</v>
      </c>
      <c r="F138" s="1723">
        <f t="shared" si="10"/>
        <v>0</v>
      </c>
      <c r="G138" s="1723">
        <f t="shared" si="11"/>
        <v>0</v>
      </c>
      <c r="H138" s="1723">
        <f t="shared" si="12"/>
        <v>0</v>
      </c>
    </row>
    <row r="139" spans="1:8">
      <c r="A139" s="1717">
        <f t="shared" si="13"/>
        <v>127</v>
      </c>
      <c r="B139" s="1722" t="str">
        <f t="shared" si="14"/>
        <v/>
      </c>
      <c r="C139" s="1723">
        <f t="shared" si="8"/>
        <v>0</v>
      </c>
      <c r="D139" s="1723">
        <f t="shared" si="9"/>
        <v>0</v>
      </c>
      <c r="E139" s="1723">
        <f>IF(A138&lt;$B$6*12,ROUND(C139*'9a.PASS'!$C$21/12,2),"")</f>
        <v>0</v>
      </c>
      <c r="F139" s="1723">
        <f t="shared" si="10"/>
        <v>0</v>
      </c>
      <c r="G139" s="1723">
        <f t="shared" si="11"/>
        <v>0</v>
      </c>
      <c r="H139" s="1723">
        <f t="shared" si="12"/>
        <v>0</v>
      </c>
    </row>
    <row r="140" spans="1:8">
      <c r="A140" s="1717">
        <f t="shared" si="13"/>
        <v>128</v>
      </c>
      <c r="B140" s="1722" t="str">
        <f t="shared" si="14"/>
        <v/>
      </c>
      <c r="C140" s="1723">
        <f t="shared" si="8"/>
        <v>0</v>
      </c>
      <c r="D140" s="1723">
        <f t="shared" si="9"/>
        <v>0</v>
      </c>
      <c r="E140" s="1723">
        <f>IF(A139&lt;$B$6*12,ROUND(C140*'9a.PASS'!$C$21/12,2),"")</f>
        <v>0</v>
      </c>
      <c r="F140" s="1723">
        <f t="shared" si="10"/>
        <v>0</v>
      </c>
      <c r="G140" s="1723">
        <f t="shared" si="11"/>
        <v>0</v>
      </c>
      <c r="H140" s="1723">
        <f t="shared" si="12"/>
        <v>0</v>
      </c>
    </row>
    <row r="141" spans="1:8">
      <c r="A141" s="1717">
        <f t="shared" si="13"/>
        <v>129</v>
      </c>
      <c r="B141" s="1722" t="str">
        <f t="shared" si="14"/>
        <v/>
      </c>
      <c r="C141" s="1723">
        <f t="shared" si="8"/>
        <v>0</v>
      </c>
      <c r="D141" s="1723">
        <f t="shared" si="9"/>
        <v>0</v>
      </c>
      <c r="E141" s="1723">
        <f>IF(A140&lt;$B$6*12,ROUND(C141*'9a.PASS'!$C$21/12,2),"")</f>
        <v>0</v>
      </c>
      <c r="F141" s="1723">
        <f t="shared" si="10"/>
        <v>0</v>
      </c>
      <c r="G141" s="1723">
        <f t="shared" si="11"/>
        <v>0</v>
      </c>
      <c r="H141" s="1723">
        <f t="shared" si="12"/>
        <v>0</v>
      </c>
    </row>
    <row r="142" spans="1:8">
      <c r="A142" s="1717">
        <f t="shared" si="13"/>
        <v>130</v>
      </c>
      <c r="B142" s="1722" t="str">
        <f t="shared" si="14"/>
        <v/>
      </c>
      <c r="C142" s="1723">
        <f t="shared" ref="C142:C205" si="15">IF(A141&lt;$B$6*12,H141,"")</f>
        <v>0</v>
      </c>
      <c r="D142" s="1723">
        <f t="shared" ref="D142:D205" si="16">IF(A142=$B$6*12,SUM(C142,E142:F142),IF(A141&lt;$B$6*12,$B$8,""))</f>
        <v>0</v>
      </c>
      <c r="E142" s="1723">
        <f>IF(A141&lt;$B$6*12,ROUND(C142*'9a.PASS'!$C$21/12,2),"")</f>
        <v>0</v>
      </c>
      <c r="F142" s="1723">
        <f t="shared" ref="F142:F205" si="17">IF(A141&lt;$B$6*12,ROUND(C142*$B$5/12,2)-E142,"")</f>
        <v>0</v>
      </c>
      <c r="G142" s="1723">
        <f t="shared" ref="G142:G205" si="18">IF(A141&lt;$B$6*12,D142-SUM(E142:F142),"")</f>
        <v>0</v>
      </c>
      <c r="H142" s="1723">
        <f t="shared" ref="H142:H205" si="19">IF(A141&lt;$B$6*12,C142-G142,"")</f>
        <v>0</v>
      </c>
    </row>
    <row r="143" spans="1:8">
      <c r="A143" s="1717">
        <f t="shared" ref="A143:A206" si="20">IF(A142&lt;$B$6*12,A142+1,"")</f>
        <v>131</v>
      </c>
      <c r="B143" s="1722" t="str">
        <f t="shared" ref="B143:B206" si="21">IFERROR(EDATE(B142,1),"")</f>
        <v/>
      </c>
      <c r="C143" s="1723">
        <f t="shared" si="15"/>
        <v>0</v>
      </c>
      <c r="D143" s="1723">
        <f t="shared" si="16"/>
        <v>0</v>
      </c>
      <c r="E143" s="1723">
        <f>IF(A142&lt;$B$6*12,ROUND(C143*'9a.PASS'!$C$21/12,2),"")</f>
        <v>0</v>
      </c>
      <c r="F143" s="1723">
        <f t="shared" si="17"/>
        <v>0</v>
      </c>
      <c r="G143" s="1723">
        <f t="shared" si="18"/>
        <v>0</v>
      </c>
      <c r="H143" s="1723">
        <f t="shared" si="19"/>
        <v>0</v>
      </c>
    </row>
    <row r="144" spans="1:8">
      <c r="A144" s="1717">
        <f t="shared" si="20"/>
        <v>132</v>
      </c>
      <c r="B144" s="1722" t="str">
        <f t="shared" si="21"/>
        <v/>
      </c>
      <c r="C144" s="1723">
        <f t="shared" si="15"/>
        <v>0</v>
      </c>
      <c r="D144" s="1723">
        <f t="shared" si="16"/>
        <v>0</v>
      </c>
      <c r="E144" s="1723">
        <f>IF(A143&lt;$B$6*12,ROUND(C144*'9a.PASS'!$C$21/12,2),"")</f>
        <v>0</v>
      </c>
      <c r="F144" s="1723">
        <f t="shared" si="17"/>
        <v>0</v>
      </c>
      <c r="G144" s="1723">
        <f t="shared" si="18"/>
        <v>0</v>
      </c>
      <c r="H144" s="1723">
        <f t="shared" si="19"/>
        <v>0</v>
      </c>
    </row>
    <row r="145" spans="1:8">
      <c r="A145" s="1717">
        <f t="shared" si="20"/>
        <v>133</v>
      </c>
      <c r="B145" s="1722" t="str">
        <f t="shared" si="21"/>
        <v/>
      </c>
      <c r="C145" s="1723">
        <f t="shared" si="15"/>
        <v>0</v>
      </c>
      <c r="D145" s="1723">
        <f t="shared" si="16"/>
        <v>0</v>
      </c>
      <c r="E145" s="1723">
        <f>IF(A144&lt;$B$6*12,ROUND(C145*'9a.PASS'!$C$21/12,2),"")</f>
        <v>0</v>
      </c>
      <c r="F145" s="1723">
        <f t="shared" si="17"/>
        <v>0</v>
      </c>
      <c r="G145" s="1723">
        <f t="shared" si="18"/>
        <v>0</v>
      </c>
      <c r="H145" s="1723">
        <f t="shared" si="19"/>
        <v>0</v>
      </c>
    </row>
    <row r="146" spans="1:8">
      <c r="A146" s="1717">
        <f t="shared" si="20"/>
        <v>134</v>
      </c>
      <c r="B146" s="1722" t="str">
        <f t="shared" si="21"/>
        <v/>
      </c>
      <c r="C146" s="1723">
        <f t="shared" si="15"/>
        <v>0</v>
      </c>
      <c r="D146" s="1723">
        <f t="shared" si="16"/>
        <v>0</v>
      </c>
      <c r="E146" s="1723">
        <f>IF(A145&lt;$B$6*12,ROUND(C146*'9a.PASS'!$C$21/12,2),"")</f>
        <v>0</v>
      </c>
      <c r="F146" s="1723">
        <f t="shared" si="17"/>
        <v>0</v>
      </c>
      <c r="G146" s="1723">
        <f t="shared" si="18"/>
        <v>0</v>
      </c>
      <c r="H146" s="1723">
        <f t="shared" si="19"/>
        <v>0</v>
      </c>
    </row>
    <row r="147" spans="1:8">
      <c r="A147" s="1717">
        <f t="shared" si="20"/>
        <v>135</v>
      </c>
      <c r="B147" s="1722" t="str">
        <f t="shared" si="21"/>
        <v/>
      </c>
      <c r="C147" s="1723">
        <f t="shared" si="15"/>
        <v>0</v>
      </c>
      <c r="D147" s="1723">
        <f t="shared" si="16"/>
        <v>0</v>
      </c>
      <c r="E147" s="1723">
        <f>IF(A146&lt;$B$6*12,ROUND(C147*'9a.PASS'!$C$21/12,2),"")</f>
        <v>0</v>
      </c>
      <c r="F147" s="1723">
        <f t="shared" si="17"/>
        <v>0</v>
      </c>
      <c r="G147" s="1723">
        <f t="shared" si="18"/>
        <v>0</v>
      </c>
      <c r="H147" s="1723">
        <f t="shared" si="19"/>
        <v>0</v>
      </c>
    </row>
    <row r="148" spans="1:8">
      <c r="A148" s="1717">
        <f t="shared" si="20"/>
        <v>136</v>
      </c>
      <c r="B148" s="1722" t="str">
        <f t="shared" si="21"/>
        <v/>
      </c>
      <c r="C148" s="1723">
        <f t="shared" si="15"/>
        <v>0</v>
      </c>
      <c r="D148" s="1723">
        <f t="shared" si="16"/>
        <v>0</v>
      </c>
      <c r="E148" s="1723">
        <f>IF(A147&lt;$B$6*12,ROUND(C148*'9a.PASS'!$C$21/12,2),"")</f>
        <v>0</v>
      </c>
      <c r="F148" s="1723">
        <f t="shared" si="17"/>
        <v>0</v>
      </c>
      <c r="G148" s="1723">
        <f t="shared" si="18"/>
        <v>0</v>
      </c>
      <c r="H148" s="1723">
        <f t="shared" si="19"/>
        <v>0</v>
      </c>
    </row>
    <row r="149" spans="1:8">
      <c r="A149" s="1717">
        <f t="shared" si="20"/>
        <v>137</v>
      </c>
      <c r="B149" s="1722" t="str">
        <f t="shared" si="21"/>
        <v/>
      </c>
      <c r="C149" s="1723">
        <f t="shared" si="15"/>
        <v>0</v>
      </c>
      <c r="D149" s="1723">
        <f t="shared" si="16"/>
        <v>0</v>
      </c>
      <c r="E149" s="1723">
        <f>IF(A148&lt;$B$6*12,ROUND(C149*'9a.PASS'!$C$21/12,2),"")</f>
        <v>0</v>
      </c>
      <c r="F149" s="1723">
        <f t="shared" si="17"/>
        <v>0</v>
      </c>
      <c r="G149" s="1723">
        <f t="shared" si="18"/>
        <v>0</v>
      </c>
      <c r="H149" s="1723">
        <f t="shared" si="19"/>
        <v>0</v>
      </c>
    </row>
    <row r="150" spans="1:8">
      <c r="A150" s="1717">
        <f t="shared" si="20"/>
        <v>138</v>
      </c>
      <c r="B150" s="1722" t="str">
        <f t="shared" si="21"/>
        <v/>
      </c>
      <c r="C150" s="1723">
        <f t="shared" si="15"/>
        <v>0</v>
      </c>
      <c r="D150" s="1723">
        <f t="shared" si="16"/>
        <v>0</v>
      </c>
      <c r="E150" s="1723">
        <f>IF(A149&lt;$B$6*12,ROUND(C150*'9a.PASS'!$C$21/12,2),"")</f>
        <v>0</v>
      </c>
      <c r="F150" s="1723">
        <f t="shared" si="17"/>
        <v>0</v>
      </c>
      <c r="G150" s="1723">
        <f t="shared" si="18"/>
        <v>0</v>
      </c>
      <c r="H150" s="1723">
        <f t="shared" si="19"/>
        <v>0</v>
      </c>
    </row>
    <row r="151" spans="1:8">
      <c r="A151" s="1717">
        <f t="shared" si="20"/>
        <v>139</v>
      </c>
      <c r="B151" s="1722" t="str">
        <f t="shared" si="21"/>
        <v/>
      </c>
      <c r="C151" s="1723">
        <f t="shared" si="15"/>
        <v>0</v>
      </c>
      <c r="D151" s="1723">
        <f t="shared" si="16"/>
        <v>0</v>
      </c>
      <c r="E151" s="1723">
        <f>IF(A150&lt;$B$6*12,ROUND(C151*'9a.PASS'!$C$21/12,2),"")</f>
        <v>0</v>
      </c>
      <c r="F151" s="1723">
        <f t="shared" si="17"/>
        <v>0</v>
      </c>
      <c r="G151" s="1723">
        <f t="shared" si="18"/>
        <v>0</v>
      </c>
      <c r="H151" s="1723">
        <f t="shared" si="19"/>
        <v>0</v>
      </c>
    </row>
    <row r="152" spans="1:8">
      <c r="A152" s="1717">
        <f t="shared" si="20"/>
        <v>140</v>
      </c>
      <c r="B152" s="1722" t="str">
        <f t="shared" si="21"/>
        <v/>
      </c>
      <c r="C152" s="1723">
        <f t="shared" si="15"/>
        <v>0</v>
      </c>
      <c r="D152" s="1723">
        <f t="shared" si="16"/>
        <v>0</v>
      </c>
      <c r="E152" s="1723">
        <f>IF(A151&lt;$B$6*12,ROUND(C152*'9a.PASS'!$C$21/12,2),"")</f>
        <v>0</v>
      </c>
      <c r="F152" s="1723">
        <f t="shared" si="17"/>
        <v>0</v>
      </c>
      <c r="G152" s="1723">
        <f t="shared" si="18"/>
        <v>0</v>
      </c>
      <c r="H152" s="1723">
        <f t="shared" si="19"/>
        <v>0</v>
      </c>
    </row>
    <row r="153" spans="1:8">
      <c r="A153" s="1717">
        <f t="shared" si="20"/>
        <v>141</v>
      </c>
      <c r="B153" s="1722" t="str">
        <f t="shared" si="21"/>
        <v/>
      </c>
      <c r="C153" s="1723">
        <f t="shared" si="15"/>
        <v>0</v>
      </c>
      <c r="D153" s="1723">
        <f t="shared" si="16"/>
        <v>0</v>
      </c>
      <c r="E153" s="1723">
        <f>IF(A152&lt;$B$6*12,ROUND(C153*'9a.PASS'!$C$21/12,2),"")</f>
        <v>0</v>
      </c>
      <c r="F153" s="1723">
        <f t="shared" si="17"/>
        <v>0</v>
      </c>
      <c r="G153" s="1723">
        <f t="shared" si="18"/>
        <v>0</v>
      </c>
      <c r="H153" s="1723">
        <f t="shared" si="19"/>
        <v>0</v>
      </c>
    </row>
    <row r="154" spans="1:8">
      <c r="A154" s="1717">
        <f t="shared" si="20"/>
        <v>142</v>
      </c>
      <c r="B154" s="1722" t="str">
        <f t="shared" si="21"/>
        <v/>
      </c>
      <c r="C154" s="1723">
        <f t="shared" si="15"/>
        <v>0</v>
      </c>
      <c r="D154" s="1723">
        <f t="shared" si="16"/>
        <v>0</v>
      </c>
      <c r="E154" s="1723">
        <f>IF(A153&lt;$B$6*12,ROUND(C154*'9a.PASS'!$C$21/12,2),"")</f>
        <v>0</v>
      </c>
      <c r="F154" s="1723">
        <f t="shared" si="17"/>
        <v>0</v>
      </c>
      <c r="G154" s="1723">
        <f t="shared" si="18"/>
        <v>0</v>
      </c>
      <c r="H154" s="1723">
        <f t="shared" si="19"/>
        <v>0</v>
      </c>
    </row>
    <row r="155" spans="1:8">
      <c r="A155" s="1717">
        <f t="shared" si="20"/>
        <v>143</v>
      </c>
      <c r="B155" s="1722" t="str">
        <f t="shared" si="21"/>
        <v/>
      </c>
      <c r="C155" s="1723">
        <f t="shared" si="15"/>
        <v>0</v>
      </c>
      <c r="D155" s="1723">
        <f t="shared" si="16"/>
        <v>0</v>
      </c>
      <c r="E155" s="1723">
        <f>IF(A154&lt;$B$6*12,ROUND(C155*'9a.PASS'!$C$21/12,2),"")</f>
        <v>0</v>
      </c>
      <c r="F155" s="1723">
        <f t="shared" si="17"/>
        <v>0</v>
      </c>
      <c r="G155" s="1723">
        <f t="shared" si="18"/>
        <v>0</v>
      </c>
      <c r="H155" s="1723">
        <f t="shared" si="19"/>
        <v>0</v>
      </c>
    </row>
    <row r="156" spans="1:8">
      <c r="A156" s="1717">
        <f t="shared" si="20"/>
        <v>144</v>
      </c>
      <c r="B156" s="1722" t="str">
        <f t="shared" si="21"/>
        <v/>
      </c>
      <c r="C156" s="1723">
        <f t="shared" si="15"/>
        <v>0</v>
      </c>
      <c r="D156" s="1723">
        <f t="shared" si="16"/>
        <v>0</v>
      </c>
      <c r="E156" s="1723">
        <f>IF(A155&lt;$B$6*12,ROUND(C156*'9a.PASS'!$C$21/12,2),"")</f>
        <v>0</v>
      </c>
      <c r="F156" s="1723">
        <f t="shared" si="17"/>
        <v>0</v>
      </c>
      <c r="G156" s="1723">
        <f t="shared" si="18"/>
        <v>0</v>
      </c>
      <c r="H156" s="1723">
        <f t="shared" si="19"/>
        <v>0</v>
      </c>
    </row>
    <row r="157" spans="1:8">
      <c r="A157" s="1717">
        <f t="shared" si="20"/>
        <v>145</v>
      </c>
      <c r="B157" s="1722" t="str">
        <f t="shared" si="21"/>
        <v/>
      </c>
      <c r="C157" s="1723">
        <f t="shared" si="15"/>
        <v>0</v>
      </c>
      <c r="D157" s="1723">
        <f t="shared" si="16"/>
        <v>0</v>
      </c>
      <c r="E157" s="1723">
        <f>IF(A156&lt;$B$6*12,ROUND(C157*'9a.PASS'!$C$21/12,2),"")</f>
        <v>0</v>
      </c>
      <c r="F157" s="1723">
        <f t="shared" si="17"/>
        <v>0</v>
      </c>
      <c r="G157" s="1723">
        <f t="shared" si="18"/>
        <v>0</v>
      </c>
      <c r="H157" s="1723">
        <f t="shared" si="19"/>
        <v>0</v>
      </c>
    </row>
    <row r="158" spans="1:8">
      <c r="A158" s="1717">
        <f t="shared" si="20"/>
        <v>146</v>
      </c>
      <c r="B158" s="1722" t="str">
        <f t="shared" si="21"/>
        <v/>
      </c>
      <c r="C158" s="1723">
        <f t="shared" si="15"/>
        <v>0</v>
      </c>
      <c r="D158" s="1723">
        <f t="shared" si="16"/>
        <v>0</v>
      </c>
      <c r="E158" s="1723">
        <f>IF(A157&lt;$B$6*12,ROUND(C158*'9a.PASS'!$C$21/12,2),"")</f>
        <v>0</v>
      </c>
      <c r="F158" s="1723">
        <f t="shared" si="17"/>
        <v>0</v>
      </c>
      <c r="G158" s="1723">
        <f t="shared" si="18"/>
        <v>0</v>
      </c>
      <c r="H158" s="1723">
        <f t="shared" si="19"/>
        <v>0</v>
      </c>
    </row>
    <row r="159" spans="1:8">
      <c r="A159" s="1717">
        <f t="shared" si="20"/>
        <v>147</v>
      </c>
      <c r="B159" s="1722" t="str">
        <f t="shared" si="21"/>
        <v/>
      </c>
      <c r="C159" s="1723">
        <f t="shared" si="15"/>
        <v>0</v>
      </c>
      <c r="D159" s="1723">
        <f t="shared" si="16"/>
        <v>0</v>
      </c>
      <c r="E159" s="1723">
        <f>IF(A158&lt;$B$6*12,ROUND(C159*'9a.PASS'!$C$21/12,2),"")</f>
        <v>0</v>
      </c>
      <c r="F159" s="1723">
        <f t="shared" si="17"/>
        <v>0</v>
      </c>
      <c r="G159" s="1723">
        <f t="shared" si="18"/>
        <v>0</v>
      </c>
      <c r="H159" s="1723">
        <f t="shared" si="19"/>
        <v>0</v>
      </c>
    </row>
    <row r="160" spans="1:8">
      <c r="A160" s="1717">
        <f t="shared" si="20"/>
        <v>148</v>
      </c>
      <c r="B160" s="1722" t="str">
        <f t="shared" si="21"/>
        <v/>
      </c>
      <c r="C160" s="1723">
        <f t="shared" si="15"/>
        <v>0</v>
      </c>
      <c r="D160" s="1723">
        <f t="shared" si="16"/>
        <v>0</v>
      </c>
      <c r="E160" s="1723">
        <f>IF(A159&lt;$B$6*12,ROUND(C160*'9a.PASS'!$C$21/12,2),"")</f>
        <v>0</v>
      </c>
      <c r="F160" s="1723">
        <f t="shared" si="17"/>
        <v>0</v>
      </c>
      <c r="G160" s="1723">
        <f t="shared" si="18"/>
        <v>0</v>
      </c>
      <c r="H160" s="1723">
        <f t="shared" si="19"/>
        <v>0</v>
      </c>
    </row>
    <row r="161" spans="1:8">
      <c r="A161" s="1717">
        <f t="shared" si="20"/>
        <v>149</v>
      </c>
      <c r="B161" s="1722" t="str">
        <f t="shared" si="21"/>
        <v/>
      </c>
      <c r="C161" s="1723">
        <f t="shared" si="15"/>
        <v>0</v>
      </c>
      <c r="D161" s="1723">
        <f t="shared" si="16"/>
        <v>0</v>
      </c>
      <c r="E161" s="1723">
        <f>IF(A160&lt;$B$6*12,ROUND(C161*'9a.PASS'!$C$21/12,2),"")</f>
        <v>0</v>
      </c>
      <c r="F161" s="1723">
        <f t="shared" si="17"/>
        <v>0</v>
      </c>
      <c r="G161" s="1723">
        <f t="shared" si="18"/>
        <v>0</v>
      </c>
      <c r="H161" s="1723">
        <f t="shared" si="19"/>
        <v>0</v>
      </c>
    </row>
    <row r="162" spans="1:8">
      <c r="A162" s="1717">
        <f t="shared" si="20"/>
        <v>150</v>
      </c>
      <c r="B162" s="1722" t="str">
        <f t="shared" si="21"/>
        <v/>
      </c>
      <c r="C162" s="1723">
        <f t="shared" si="15"/>
        <v>0</v>
      </c>
      <c r="D162" s="1723">
        <f t="shared" si="16"/>
        <v>0</v>
      </c>
      <c r="E162" s="1723">
        <f>IF(A161&lt;$B$6*12,ROUND(C162*'9a.PASS'!$C$21/12,2),"")</f>
        <v>0</v>
      </c>
      <c r="F162" s="1723">
        <f t="shared" si="17"/>
        <v>0</v>
      </c>
      <c r="G162" s="1723">
        <f t="shared" si="18"/>
        <v>0</v>
      </c>
      <c r="H162" s="1723">
        <f t="shared" si="19"/>
        <v>0</v>
      </c>
    </row>
    <row r="163" spans="1:8">
      <c r="A163" s="1717">
        <f t="shared" si="20"/>
        <v>151</v>
      </c>
      <c r="B163" s="1722" t="str">
        <f t="shared" si="21"/>
        <v/>
      </c>
      <c r="C163" s="1723">
        <f t="shared" si="15"/>
        <v>0</v>
      </c>
      <c r="D163" s="1723">
        <f t="shared" si="16"/>
        <v>0</v>
      </c>
      <c r="E163" s="1723">
        <f>IF(A162&lt;$B$6*12,ROUND(C163*'9a.PASS'!$C$21/12,2),"")</f>
        <v>0</v>
      </c>
      <c r="F163" s="1723">
        <f t="shared" si="17"/>
        <v>0</v>
      </c>
      <c r="G163" s="1723">
        <f t="shared" si="18"/>
        <v>0</v>
      </c>
      <c r="H163" s="1723">
        <f t="shared" si="19"/>
        <v>0</v>
      </c>
    </row>
    <row r="164" spans="1:8">
      <c r="A164" s="1717">
        <f t="shared" si="20"/>
        <v>152</v>
      </c>
      <c r="B164" s="1722" t="str">
        <f t="shared" si="21"/>
        <v/>
      </c>
      <c r="C164" s="1723">
        <f t="shared" si="15"/>
        <v>0</v>
      </c>
      <c r="D164" s="1723">
        <f t="shared" si="16"/>
        <v>0</v>
      </c>
      <c r="E164" s="1723">
        <f>IF(A163&lt;$B$6*12,ROUND(C164*'9a.PASS'!$C$21/12,2),"")</f>
        <v>0</v>
      </c>
      <c r="F164" s="1723">
        <f t="shared" si="17"/>
        <v>0</v>
      </c>
      <c r="G164" s="1723">
        <f t="shared" si="18"/>
        <v>0</v>
      </c>
      <c r="H164" s="1723">
        <f t="shared" si="19"/>
        <v>0</v>
      </c>
    </row>
    <row r="165" spans="1:8">
      <c r="A165" s="1717">
        <f t="shared" si="20"/>
        <v>153</v>
      </c>
      <c r="B165" s="1722" t="str">
        <f t="shared" si="21"/>
        <v/>
      </c>
      <c r="C165" s="1723">
        <f t="shared" si="15"/>
        <v>0</v>
      </c>
      <c r="D165" s="1723">
        <f t="shared" si="16"/>
        <v>0</v>
      </c>
      <c r="E165" s="1723">
        <f>IF(A164&lt;$B$6*12,ROUND(C165*'9a.PASS'!$C$21/12,2),"")</f>
        <v>0</v>
      </c>
      <c r="F165" s="1723">
        <f t="shared" si="17"/>
        <v>0</v>
      </c>
      <c r="G165" s="1723">
        <f t="shared" si="18"/>
        <v>0</v>
      </c>
      <c r="H165" s="1723">
        <f t="shared" si="19"/>
        <v>0</v>
      </c>
    </row>
    <row r="166" spans="1:8">
      <c r="A166" s="1717">
        <f t="shared" si="20"/>
        <v>154</v>
      </c>
      <c r="B166" s="1722" t="str">
        <f t="shared" si="21"/>
        <v/>
      </c>
      <c r="C166" s="1723">
        <f t="shared" si="15"/>
        <v>0</v>
      </c>
      <c r="D166" s="1723">
        <f t="shared" si="16"/>
        <v>0</v>
      </c>
      <c r="E166" s="1723">
        <f>IF(A165&lt;$B$6*12,ROUND(C166*'9a.PASS'!$C$21/12,2),"")</f>
        <v>0</v>
      </c>
      <c r="F166" s="1723">
        <f t="shared" si="17"/>
        <v>0</v>
      </c>
      <c r="G166" s="1723">
        <f t="shared" si="18"/>
        <v>0</v>
      </c>
      <c r="H166" s="1723">
        <f t="shared" si="19"/>
        <v>0</v>
      </c>
    </row>
    <row r="167" spans="1:8">
      <c r="A167" s="1717">
        <f t="shared" si="20"/>
        <v>155</v>
      </c>
      <c r="B167" s="1722" t="str">
        <f t="shared" si="21"/>
        <v/>
      </c>
      <c r="C167" s="1723">
        <f t="shared" si="15"/>
        <v>0</v>
      </c>
      <c r="D167" s="1723">
        <f t="shared" si="16"/>
        <v>0</v>
      </c>
      <c r="E167" s="1723">
        <f>IF(A166&lt;$B$6*12,ROUND(C167*'9a.PASS'!$C$21/12,2),"")</f>
        <v>0</v>
      </c>
      <c r="F167" s="1723">
        <f t="shared" si="17"/>
        <v>0</v>
      </c>
      <c r="G167" s="1723">
        <f t="shared" si="18"/>
        <v>0</v>
      </c>
      <c r="H167" s="1723">
        <f t="shared" si="19"/>
        <v>0</v>
      </c>
    </row>
    <row r="168" spans="1:8">
      <c r="A168" s="1717">
        <f t="shared" si="20"/>
        <v>156</v>
      </c>
      <c r="B168" s="1722" t="str">
        <f t="shared" si="21"/>
        <v/>
      </c>
      <c r="C168" s="1723">
        <f t="shared" si="15"/>
        <v>0</v>
      </c>
      <c r="D168" s="1723">
        <f t="shared" si="16"/>
        <v>0</v>
      </c>
      <c r="E168" s="1723">
        <f>IF(A167&lt;$B$6*12,ROUND(C168*'9a.PASS'!$C$21/12,2),"")</f>
        <v>0</v>
      </c>
      <c r="F168" s="1723">
        <f t="shared" si="17"/>
        <v>0</v>
      </c>
      <c r="G168" s="1723">
        <f t="shared" si="18"/>
        <v>0</v>
      </c>
      <c r="H168" s="1723">
        <f t="shared" si="19"/>
        <v>0</v>
      </c>
    </row>
    <row r="169" spans="1:8">
      <c r="A169" s="1717">
        <f t="shared" si="20"/>
        <v>157</v>
      </c>
      <c r="B169" s="1722" t="str">
        <f t="shared" si="21"/>
        <v/>
      </c>
      <c r="C169" s="1723">
        <f t="shared" si="15"/>
        <v>0</v>
      </c>
      <c r="D169" s="1723">
        <f t="shared" si="16"/>
        <v>0</v>
      </c>
      <c r="E169" s="1723">
        <f>IF(A168&lt;$B$6*12,ROUND(C169*'9a.PASS'!$C$21/12,2),"")</f>
        <v>0</v>
      </c>
      <c r="F169" s="1723">
        <f t="shared" si="17"/>
        <v>0</v>
      </c>
      <c r="G169" s="1723">
        <f t="shared" si="18"/>
        <v>0</v>
      </c>
      <c r="H169" s="1723">
        <f t="shared" si="19"/>
        <v>0</v>
      </c>
    </row>
    <row r="170" spans="1:8">
      <c r="A170" s="1717">
        <f t="shared" si="20"/>
        <v>158</v>
      </c>
      <c r="B170" s="1722" t="str">
        <f t="shared" si="21"/>
        <v/>
      </c>
      <c r="C170" s="1723">
        <f t="shared" si="15"/>
        <v>0</v>
      </c>
      <c r="D170" s="1723">
        <f t="shared" si="16"/>
        <v>0</v>
      </c>
      <c r="E170" s="1723">
        <f>IF(A169&lt;$B$6*12,ROUND(C170*'9a.PASS'!$C$21/12,2),"")</f>
        <v>0</v>
      </c>
      <c r="F170" s="1723">
        <f t="shared" si="17"/>
        <v>0</v>
      </c>
      <c r="G170" s="1723">
        <f t="shared" si="18"/>
        <v>0</v>
      </c>
      <c r="H170" s="1723">
        <f t="shared" si="19"/>
        <v>0</v>
      </c>
    </row>
    <row r="171" spans="1:8">
      <c r="A171" s="1717">
        <f t="shared" si="20"/>
        <v>159</v>
      </c>
      <c r="B171" s="1722" t="str">
        <f t="shared" si="21"/>
        <v/>
      </c>
      <c r="C171" s="1723">
        <f t="shared" si="15"/>
        <v>0</v>
      </c>
      <c r="D171" s="1723">
        <f t="shared" si="16"/>
        <v>0</v>
      </c>
      <c r="E171" s="1723">
        <f>IF(A170&lt;$B$6*12,ROUND(C171*'9a.PASS'!$C$21/12,2),"")</f>
        <v>0</v>
      </c>
      <c r="F171" s="1723">
        <f t="shared" si="17"/>
        <v>0</v>
      </c>
      <c r="G171" s="1723">
        <f t="shared" si="18"/>
        <v>0</v>
      </c>
      <c r="H171" s="1723">
        <f t="shared" si="19"/>
        <v>0</v>
      </c>
    </row>
    <row r="172" spans="1:8">
      <c r="A172" s="1717">
        <f t="shared" si="20"/>
        <v>160</v>
      </c>
      <c r="B172" s="1722" t="str">
        <f t="shared" si="21"/>
        <v/>
      </c>
      <c r="C172" s="1723">
        <f t="shared" si="15"/>
        <v>0</v>
      </c>
      <c r="D172" s="1723">
        <f t="shared" si="16"/>
        <v>0</v>
      </c>
      <c r="E172" s="1723">
        <f>IF(A171&lt;$B$6*12,ROUND(C172*'9a.PASS'!$C$21/12,2),"")</f>
        <v>0</v>
      </c>
      <c r="F172" s="1723">
        <f t="shared" si="17"/>
        <v>0</v>
      </c>
      <c r="G172" s="1723">
        <f t="shared" si="18"/>
        <v>0</v>
      </c>
      <c r="H172" s="1723">
        <f t="shared" si="19"/>
        <v>0</v>
      </c>
    </row>
    <row r="173" spans="1:8">
      <c r="A173" s="1717">
        <f t="shared" si="20"/>
        <v>161</v>
      </c>
      <c r="B173" s="1722" t="str">
        <f t="shared" si="21"/>
        <v/>
      </c>
      <c r="C173" s="1723">
        <f t="shared" si="15"/>
        <v>0</v>
      </c>
      <c r="D173" s="1723">
        <f t="shared" si="16"/>
        <v>0</v>
      </c>
      <c r="E173" s="1723">
        <f>IF(A172&lt;$B$6*12,ROUND(C173*'9a.PASS'!$C$21/12,2),"")</f>
        <v>0</v>
      </c>
      <c r="F173" s="1723">
        <f t="shared" si="17"/>
        <v>0</v>
      </c>
      <c r="G173" s="1723">
        <f t="shared" si="18"/>
        <v>0</v>
      </c>
      <c r="H173" s="1723">
        <f t="shared" si="19"/>
        <v>0</v>
      </c>
    </row>
    <row r="174" spans="1:8">
      <c r="A174" s="1717">
        <f t="shared" si="20"/>
        <v>162</v>
      </c>
      <c r="B174" s="1722" t="str">
        <f t="shared" si="21"/>
        <v/>
      </c>
      <c r="C174" s="1723">
        <f t="shared" si="15"/>
        <v>0</v>
      </c>
      <c r="D174" s="1723">
        <f t="shared" si="16"/>
        <v>0</v>
      </c>
      <c r="E174" s="1723">
        <f>IF(A173&lt;$B$6*12,ROUND(C174*'9a.PASS'!$C$21/12,2),"")</f>
        <v>0</v>
      </c>
      <c r="F174" s="1723">
        <f t="shared" si="17"/>
        <v>0</v>
      </c>
      <c r="G174" s="1723">
        <f t="shared" si="18"/>
        <v>0</v>
      </c>
      <c r="H174" s="1723">
        <f t="shared" si="19"/>
        <v>0</v>
      </c>
    </row>
    <row r="175" spans="1:8">
      <c r="A175" s="1717">
        <f t="shared" si="20"/>
        <v>163</v>
      </c>
      <c r="B175" s="1722" t="str">
        <f t="shared" si="21"/>
        <v/>
      </c>
      <c r="C175" s="1723">
        <f t="shared" si="15"/>
        <v>0</v>
      </c>
      <c r="D175" s="1723">
        <f t="shared" si="16"/>
        <v>0</v>
      </c>
      <c r="E175" s="1723">
        <f>IF(A174&lt;$B$6*12,ROUND(C175*'9a.PASS'!$C$21/12,2),"")</f>
        <v>0</v>
      </c>
      <c r="F175" s="1723">
        <f t="shared" si="17"/>
        <v>0</v>
      </c>
      <c r="G175" s="1723">
        <f t="shared" si="18"/>
        <v>0</v>
      </c>
      <c r="H175" s="1723">
        <f t="shared" si="19"/>
        <v>0</v>
      </c>
    </row>
    <row r="176" spans="1:8">
      <c r="A176" s="1717">
        <f t="shared" si="20"/>
        <v>164</v>
      </c>
      <c r="B176" s="1722" t="str">
        <f t="shared" si="21"/>
        <v/>
      </c>
      <c r="C176" s="1723">
        <f t="shared" si="15"/>
        <v>0</v>
      </c>
      <c r="D176" s="1723">
        <f t="shared" si="16"/>
        <v>0</v>
      </c>
      <c r="E176" s="1723">
        <f>IF(A175&lt;$B$6*12,ROUND(C176*'9a.PASS'!$C$21/12,2),"")</f>
        <v>0</v>
      </c>
      <c r="F176" s="1723">
        <f t="shared" si="17"/>
        <v>0</v>
      </c>
      <c r="G176" s="1723">
        <f t="shared" si="18"/>
        <v>0</v>
      </c>
      <c r="H176" s="1723">
        <f t="shared" si="19"/>
        <v>0</v>
      </c>
    </row>
    <row r="177" spans="1:8">
      <c r="A177" s="1717">
        <f t="shared" si="20"/>
        <v>165</v>
      </c>
      <c r="B177" s="1722" t="str">
        <f t="shared" si="21"/>
        <v/>
      </c>
      <c r="C177" s="1723">
        <f t="shared" si="15"/>
        <v>0</v>
      </c>
      <c r="D177" s="1723">
        <f t="shared" si="16"/>
        <v>0</v>
      </c>
      <c r="E177" s="1723">
        <f>IF(A176&lt;$B$6*12,ROUND(C177*'9a.PASS'!$C$21/12,2),"")</f>
        <v>0</v>
      </c>
      <c r="F177" s="1723">
        <f t="shared" si="17"/>
        <v>0</v>
      </c>
      <c r="G177" s="1723">
        <f t="shared" si="18"/>
        <v>0</v>
      </c>
      <c r="H177" s="1723">
        <f t="shared" si="19"/>
        <v>0</v>
      </c>
    </row>
    <row r="178" spans="1:8">
      <c r="A178" s="1717">
        <f t="shared" si="20"/>
        <v>166</v>
      </c>
      <c r="B178" s="1722" t="str">
        <f t="shared" si="21"/>
        <v/>
      </c>
      <c r="C178" s="1723">
        <f t="shared" si="15"/>
        <v>0</v>
      </c>
      <c r="D178" s="1723">
        <f t="shared" si="16"/>
        <v>0</v>
      </c>
      <c r="E178" s="1723">
        <f>IF(A177&lt;$B$6*12,ROUND(C178*'9a.PASS'!$C$21/12,2),"")</f>
        <v>0</v>
      </c>
      <c r="F178" s="1723">
        <f t="shared" si="17"/>
        <v>0</v>
      </c>
      <c r="G178" s="1723">
        <f t="shared" si="18"/>
        <v>0</v>
      </c>
      <c r="H178" s="1723">
        <f t="shared" si="19"/>
        <v>0</v>
      </c>
    </row>
    <row r="179" spans="1:8">
      <c r="A179" s="1717">
        <f t="shared" si="20"/>
        <v>167</v>
      </c>
      <c r="B179" s="1722" t="str">
        <f t="shared" si="21"/>
        <v/>
      </c>
      <c r="C179" s="1723">
        <f t="shared" si="15"/>
        <v>0</v>
      </c>
      <c r="D179" s="1723">
        <f t="shared" si="16"/>
        <v>0</v>
      </c>
      <c r="E179" s="1723">
        <f>IF(A178&lt;$B$6*12,ROUND(C179*'9a.PASS'!$C$21/12,2),"")</f>
        <v>0</v>
      </c>
      <c r="F179" s="1723">
        <f t="shared" si="17"/>
        <v>0</v>
      </c>
      <c r="G179" s="1723">
        <f t="shared" si="18"/>
        <v>0</v>
      </c>
      <c r="H179" s="1723">
        <f t="shared" si="19"/>
        <v>0</v>
      </c>
    </row>
    <row r="180" spans="1:8">
      <c r="A180" s="1717">
        <f t="shared" si="20"/>
        <v>168</v>
      </c>
      <c r="B180" s="1722" t="str">
        <f t="shared" si="21"/>
        <v/>
      </c>
      <c r="C180" s="1723">
        <f t="shared" si="15"/>
        <v>0</v>
      </c>
      <c r="D180" s="1723">
        <f t="shared" si="16"/>
        <v>0</v>
      </c>
      <c r="E180" s="1723">
        <f>IF(A179&lt;$B$6*12,ROUND(C180*'9a.PASS'!$C$21/12,2),"")</f>
        <v>0</v>
      </c>
      <c r="F180" s="1723">
        <f t="shared" si="17"/>
        <v>0</v>
      </c>
      <c r="G180" s="1723">
        <f t="shared" si="18"/>
        <v>0</v>
      </c>
      <c r="H180" s="1723">
        <f t="shared" si="19"/>
        <v>0</v>
      </c>
    </row>
    <row r="181" spans="1:8">
      <c r="A181" s="1717">
        <f t="shared" si="20"/>
        <v>169</v>
      </c>
      <c r="B181" s="1722" t="str">
        <f t="shared" si="21"/>
        <v/>
      </c>
      <c r="C181" s="1723">
        <f t="shared" si="15"/>
        <v>0</v>
      </c>
      <c r="D181" s="1723">
        <f t="shared" si="16"/>
        <v>0</v>
      </c>
      <c r="E181" s="1723">
        <f>IF(A180&lt;$B$6*12,ROUND(C181*'9a.PASS'!$C$21/12,2),"")</f>
        <v>0</v>
      </c>
      <c r="F181" s="1723">
        <f t="shared" si="17"/>
        <v>0</v>
      </c>
      <c r="G181" s="1723">
        <f t="shared" si="18"/>
        <v>0</v>
      </c>
      <c r="H181" s="1723">
        <f t="shared" si="19"/>
        <v>0</v>
      </c>
    </row>
    <row r="182" spans="1:8">
      <c r="A182" s="1717">
        <f t="shared" si="20"/>
        <v>170</v>
      </c>
      <c r="B182" s="1722" t="str">
        <f t="shared" si="21"/>
        <v/>
      </c>
      <c r="C182" s="1723">
        <f t="shared" si="15"/>
        <v>0</v>
      </c>
      <c r="D182" s="1723">
        <f t="shared" si="16"/>
        <v>0</v>
      </c>
      <c r="E182" s="1723">
        <f>IF(A181&lt;$B$6*12,ROUND(C182*'9a.PASS'!$C$21/12,2),"")</f>
        <v>0</v>
      </c>
      <c r="F182" s="1723">
        <f t="shared" si="17"/>
        <v>0</v>
      </c>
      <c r="G182" s="1723">
        <f t="shared" si="18"/>
        <v>0</v>
      </c>
      <c r="H182" s="1723">
        <f t="shared" si="19"/>
        <v>0</v>
      </c>
    </row>
    <row r="183" spans="1:8">
      <c r="A183" s="1717">
        <f t="shared" si="20"/>
        <v>171</v>
      </c>
      <c r="B183" s="1722" t="str">
        <f t="shared" si="21"/>
        <v/>
      </c>
      <c r="C183" s="1723">
        <f t="shared" si="15"/>
        <v>0</v>
      </c>
      <c r="D183" s="1723">
        <f t="shared" si="16"/>
        <v>0</v>
      </c>
      <c r="E183" s="1723">
        <f>IF(A182&lt;$B$6*12,ROUND(C183*'9a.PASS'!$C$21/12,2),"")</f>
        <v>0</v>
      </c>
      <c r="F183" s="1723">
        <f t="shared" si="17"/>
        <v>0</v>
      </c>
      <c r="G183" s="1723">
        <f t="shared" si="18"/>
        <v>0</v>
      </c>
      <c r="H183" s="1723">
        <f t="shared" si="19"/>
        <v>0</v>
      </c>
    </row>
    <row r="184" spans="1:8">
      <c r="A184" s="1717">
        <f t="shared" si="20"/>
        <v>172</v>
      </c>
      <c r="B184" s="1722" t="str">
        <f t="shared" si="21"/>
        <v/>
      </c>
      <c r="C184" s="1723">
        <f t="shared" si="15"/>
        <v>0</v>
      </c>
      <c r="D184" s="1723">
        <f t="shared" si="16"/>
        <v>0</v>
      </c>
      <c r="E184" s="1723">
        <f>IF(A183&lt;$B$6*12,ROUND(C184*'9a.PASS'!$C$21/12,2),"")</f>
        <v>0</v>
      </c>
      <c r="F184" s="1723">
        <f t="shared" si="17"/>
        <v>0</v>
      </c>
      <c r="G184" s="1723">
        <f t="shared" si="18"/>
        <v>0</v>
      </c>
      <c r="H184" s="1723">
        <f t="shared" si="19"/>
        <v>0</v>
      </c>
    </row>
    <row r="185" spans="1:8">
      <c r="A185" s="1717">
        <f t="shared" si="20"/>
        <v>173</v>
      </c>
      <c r="B185" s="1722" t="str">
        <f t="shared" si="21"/>
        <v/>
      </c>
      <c r="C185" s="1723">
        <f t="shared" si="15"/>
        <v>0</v>
      </c>
      <c r="D185" s="1723">
        <f t="shared" si="16"/>
        <v>0</v>
      </c>
      <c r="E185" s="1723">
        <f>IF(A184&lt;$B$6*12,ROUND(C185*'9a.PASS'!$C$21/12,2),"")</f>
        <v>0</v>
      </c>
      <c r="F185" s="1723">
        <f t="shared" si="17"/>
        <v>0</v>
      </c>
      <c r="G185" s="1723">
        <f t="shared" si="18"/>
        <v>0</v>
      </c>
      <c r="H185" s="1723">
        <f t="shared" si="19"/>
        <v>0</v>
      </c>
    </row>
    <row r="186" spans="1:8">
      <c r="A186" s="1717">
        <f t="shared" si="20"/>
        <v>174</v>
      </c>
      <c r="B186" s="1722" t="str">
        <f t="shared" si="21"/>
        <v/>
      </c>
      <c r="C186" s="1723">
        <f t="shared" si="15"/>
        <v>0</v>
      </c>
      <c r="D186" s="1723">
        <f t="shared" si="16"/>
        <v>0</v>
      </c>
      <c r="E186" s="1723">
        <f>IF(A185&lt;$B$6*12,ROUND(C186*'9a.PASS'!$C$21/12,2),"")</f>
        <v>0</v>
      </c>
      <c r="F186" s="1723">
        <f t="shared" si="17"/>
        <v>0</v>
      </c>
      <c r="G186" s="1723">
        <f t="shared" si="18"/>
        <v>0</v>
      </c>
      <c r="H186" s="1723">
        <f t="shared" si="19"/>
        <v>0</v>
      </c>
    </row>
    <row r="187" spans="1:8">
      <c r="A187" s="1717">
        <f t="shared" si="20"/>
        <v>175</v>
      </c>
      <c r="B187" s="1722" t="str">
        <f t="shared" si="21"/>
        <v/>
      </c>
      <c r="C187" s="1723">
        <f t="shared" si="15"/>
        <v>0</v>
      </c>
      <c r="D187" s="1723">
        <f t="shared" si="16"/>
        <v>0</v>
      </c>
      <c r="E187" s="1723">
        <f>IF(A186&lt;$B$6*12,ROUND(C187*'9a.PASS'!$C$21/12,2),"")</f>
        <v>0</v>
      </c>
      <c r="F187" s="1723">
        <f t="shared" si="17"/>
        <v>0</v>
      </c>
      <c r="G187" s="1723">
        <f t="shared" si="18"/>
        <v>0</v>
      </c>
      <c r="H187" s="1723">
        <f t="shared" si="19"/>
        <v>0</v>
      </c>
    </row>
    <row r="188" spans="1:8">
      <c r="A188" s="1717">
        <f t="shared" si="20"/>
        <v>176</v>
      </c>
      <c r="B188" s="1722" t="str">
        <f t="shared" si="21"/>
        <v/>
      </c>
      <c r="C188" s="1723">
        <f t="shared" si="15"/>
        <v>0</v>
      </c>
      <c r="D188" s="1723">
        <f t="shared" si="16"/>
        <v>0</v>
      </c>
      <c r="E188" s="1723">
        <f>IF(A187&lt;$B$6*12,ROUND(C188*'9a.PASS'!$C$21/12,2),"")</f>
        <v>0</v>
      </c>
      <c r="F188" s="1723">
        <f t="shared" si="17"/>
        <v>0</v>
      </c>
      <c r="G188" s="1723">
        <f t="shared" si="18"/>
        <v>0</v>
      </c>
      <c r="H188" s="1723">
        <f t="shared" si="19"/>
        <v>0</v>
      </c>
    </row>
    <row r="189" spans="1:8">
      <c r="A189" s="1717">
        <f t="shared" si="20"/>
        <v>177</v>
      </c>
      <c r="B189" s="1722" t="str">
        <f t="shared" si="21"/>
        <v/>
      </c>
      <c r="C189" s="1723">
        <f t="shared" si="15"/>
        <v>0</v>
      </c>
      <c r="D189" s="1723">
        <f t="shared" si="16"/>
        <v>0</v>
      </c>
      <c r="E189" s="1723">
        <f>IF(A188&lt;$B$6*12,ROUND(C189*'9a.PASS'!$C$21/12,2),"")</f>
        <v>0</v>
      </c>
      <c r="F189" s="1723">
        <f t="shared" si="17"/>
        <v>0</v>
      </c>
      <c r="G189" s="1723">
        <f t="shared" si="18"/>
        <v>0</v>
      </c>
      <c r="H189" s="1723">
        <f t="shared" si="19"/>
        <v>0</v>
      </c>
    </row>
    <row r="190" spans="1:8">
      <c r="A190" s="1717">
        <f t="shared" si="20"/>
        <v>178</v>
      </c>
      <c r="B190" s="1722" t="str">
        <f t="shared" si="21"/>
        <v/>
      </c>
      <c r="C190" s="1723">
        <f t="shared" si="15"/>
        <v>0</v>
      </c>
      <c r="D190" s="1723">
        <f t="shared" si="16"/>
        <v>0</v>
      </c>
      <c r="E190" s="1723">
        <f>IF(A189&lt;$B$6*12,ROUND(C190*'9a.PASS'!$C$21/12,2),"")</f>
        <v>0</v>
      </c>
      <c r="F190" s="1723">
        <f t="shared" si="17"/>
        <v>0</v>
      </c>
      <c r="G190" s="1723">
        <f t="shared" si="18"/>
        <v>0</v>
      </c>
      <c r="H190" s="1723">
        <f t="shared" si="19"/>
        <v>0</v>
      </c>
    </row>
    <row r="191" spans="1:8">
      <c r="A191" s="1717">
        <f t="shared" si="20"/>
        <v>179</v>
      </c>
      <c r="B191" s="1722" t="str">
        <f t="shared" si="21"/>
        <v/>
      </c>
      <c r="C191" s="1723">
        <f t="shared" si="15"/>
        <v>0</v>
      </c>
      <c r="D191" s="1723">
        <f t="shared" si="16"/>
        <v>0</v>
      </c>
      <c r="E191" s="1723">
        <f>IF(A190&lt;$B$6*12,ROUND(C191*'9a.PASS'!$C$21/12,2),"")</f>
        <v>0</v>
      </c>
      <c r="F191" s="1723">
        <f t="shared" si="17"/>
        <v>0</v>
      </c>
      <c r="G191" s="1723">
        <f t="shared" si="18"/>
        <v>0</v>
      </c>
      <c r="H191" s="1723">
        <f t="shared" si="19"/>
        <v>0</v>
      </c>
    </row>
    <row r="192" spans="1:8">
      <c r="A192" s="1717">
        <f t="shared" si="20"/>
        <v>180</v>
      </c>
      <c r="B192" s="1722" t="str">
        <f t="shared" si="21"/>
        <v/>
      </c>
      <c r="C192" s="1723">
        <f t="shared" si="15"/>
        <v>0</v>
      </c>
      <c r="D192" s="1723">
        <f t="shared" si="16"/>
        <v>0</v>
      </c>
      <c r="E192" s="1723">
        <f>IF(A191&lt;$B$6*12,ROUND(C192*'9a.PASS'!$C$21/12,2),"")</f>
        <v>0</v>
      </c>
      <c r="F192" s="1723">
        <f t="shared" si="17"/>
        <v>0</v>
      </c>
      <c r="G192" s="1723">
        <f t="shared" si="18"/>
        <v>0</v>
      </c>
      <c r="H192" s="1723">
        <f t="shared" si="19"/>
        <v>0</v>
      </c>
    </row>
    <row r="193" spans="1:8">
      <c r="A193" s="1717">
        <f t="shared" si="20"/>
        <v>181</v>
      </c>
      <c r="B193" s="1722" t="str">
        <f t="shared" si="21"/>
        <v/>
      </c>
      <c r="C193" s="1723">
        <f t="shared" si="15"/>
        <v>0</v>
      </c>
      <c r="D193" s="1723">
        <f t="shared" si="16"/>
        <v>0</v>
      </c>
      <c r="E193" s="1723">
        <f>IF(A192&lt;$B$6*12,ROUND(C193*'9a.PASS'!$C$21/12,2),"")</f>
        <v>0</v>
      </c>
      <c r="F193" s="1723">
        <f t="shared" si="17"/>
        <v>0</v>
      </c>
      <c r="G193" s="1723">
        <f t="shared" si="18"/>
        <v>0</v>
      </c>
      <c r="H193" s="1723">
        <f t="shared" si="19"/>
        <v>0</v>
      </c>
    </row>
    <row r="194" spans="1:8">
      <c r="A194" s="1717">
        <f t="shared" si="20"/>
        <v>182</v>
      </c>
      <c r="B194" s="1722" t="str">
        <f t="shared" si="21"/>
        <v/>
      </c>
      <c r="C194" s="1723">
        <f t="shared" si="15"/>
        <v>0</v>
      </c>
      <c r="D194" s="1723">
        <f t="shared" si="16"/>
        <v>0</v>
      </c>
      <c r="E194" s="1723">
        <f>IF(A193&lt;$B$6*12,ROUND(C194*'9a.PASS'!$C$21/12,2),"")</f>
        <v>0</v>
      </c>
      <c r="F194" s="1723">
        <f t="shared" si="17"/>
        <v>0</v>
      </c>
      <c r="G194" s="1723">
        <f t="shared" si="18"/>
        <v>0</v>
      </c>
      <c r="H194" s="1723">
        <f t="shared" si="19"/>
        <v>0</v>
      </c>
    </row>
    <row r="195" spans="1:8">
      <c r="A195" s="1717">
        <f t="shared" si="20"/>
        <v>183</v>
      </c>
      <c r="B195" s="1722" t="str">
        <f t="shared" si="21"/>
        <v/>
      </c>
      <c r="C195" s="1723">
        <f t="shared" si="15"/>
        <v>0</v>
      </c>
      <c r="D195" s="1723">
        <f t="shared" si="16"/>
        <v>0</v>
      </c>
      <c r="E195" s="1723">
        <f>IF(A194&lt;$B$6*12,ROUND(C195*'9a.PASS'!$C$21/12,2),"")</f>
        <v>0</v>
      </c>
      <c r="F195" s="1723">
        <f t="shared" si="17"/>
        <v>0</v>
      </c>
      <c r="G195" s="1723">
        <f t="shared" si="18"/>
        <v>0</v>
      </c>
      <c r="H195" s="1723">
        <f t="shared" si="19"/>
        <v>0</v>
      </c>
    </row>
    <row r="196" spans="1:8">
      <c r="A196" s="1717">
        <f t="shared" si="20"/>
        <v>184</v>
      </c>
      <c r="B196" s="1722" t="str">
        <f t="shared" si="21"/>
        <v/>
      </c>
      <c r="C196" s="1723">
        <f t="shared" si="15"/>
        <v>0</v>
      </c>
      <c r="D196" s="1723">
        <f t="shared" si="16"/>
        <v>0</v>
      </c>
      <c r="E196" s="1723">
        <f>IF(A195&lt;$B$6*12,ROUND(C196*'9a.PASS'!$C$21/12,2),"")</f>
        <v>0</v>
      </c>
      <c r="F196" s="1723">
        <f t="shared" si="17"/>
        <v>0</v>
      </c>
      <c r="G196" s="1723">
        <f t="shared" si="18"/>
        <v>0</v>
      </c>
      <c r="H196" s="1723">
        <f t="shared" si="19"/>
        <v>0</v>
      </c>
    </row>
    <row r="197" spans="1:8">
      <c r="A197" s="1717">
        <f t="shared" si="20"/>
        <v>185</v>
      </c>
      <c r="B197" s="1722" t="str">
        <f t="shared" si="21"/>
        <v/>
      </c>
      <c r="C197" s="1723">
        <f t="shared" si="15"/>
        <v>0</v>
      </c>
      <c r="D197" s="1723">
        <f t="shared" si="16"/>
        <v>0</v>
      </c>
      <c r="E197" s="1723">
        <f>IF(A196&lt;$B$6*12,ROUND(C197*'9a.PASS'!$C$21/12,2),"")</f>
        <v>0</v>
      </c>
      <c r="F197" s="1723">
        <f t="shared" si="17"/>
        <v>0</v>
      </c>
      <c r="G197" s="1723">
        <f t="shared" si="18"/>
        <v>0</v>
      </c>
      <c r="H197" s="1723">
        <f t="shared" si="19"/>
        <v>0</v>
      </c>
    </row>
    <row r="198" spans="1:8">
      <c r="A198" s="1717">
        <f t="shared" si="20"/>
        <v>186</v>
      </c>
      <c r="B198" s="1722" t="str">
        <f t="shared" si="21"/>
        <v/>
      </c>
      <c r="C198" s="1723">
        <f t="shared" si="15"/>
        <v>0</v>
      </c>
      <c r="D198" s="1723">
        <f t="shared" si="16"/>
        <v>0</v>
      </c>
      <c r="E198" s="1723">
        <f>IF(A197&lt;$B$6*12,ROUND(C198*'9a.PASS'!$C$21/12,2),"")</f>
        <v>0</v>
      </c>
      <c r="F198" s="1723">
        <f t="shared" si="17"/>
        <v>0</v>
      </c>
      <c r="G198" s="1723">
        <f t="shared" si="18"/>
        <v>0</v>
      </c>
      <c r="H198" s="1723">
        <f t="shared" si="19"/>
        <v>0</v>
      </c>
    </row>
    <row r="199" spans="1:8">
      <c r="A199" s="1717">
        <f t="shared" si="20"/>
        <v>187</v>
      </c>
      <c r="B199" s="1722" t="str">
        <f t="shared" si="21"/>
        <v/>
      </c>
      <c r="C199" s="1723">
        <f t="shared" si="15"/>
        <v>0</v>
      </c>
      <c r="D199" s="1723">
        <f t="shared" si="16"/>
        <v>0</v>
      </c>
      <c r="E199" s="1723">
        <f>IF(A198&lt;$B$6*12,ROUND(C199*'9a.PASS'!$C$21/12,2),"")</f>
        <v>0</v>
      </c>
      <c r="F199" s="1723">
        <f t="shared" si="17"/>
        <v>0</v>
      </c>
      <c r="G199" s="1723">
        <f t="shared" si="18"/>
        <v>0</v>
      </c>
      <c r="H199" s="1723">
        <f t="shared" si="19"/>
        <v>0</v>
      </c>
    </row>
    <row r="200" spans="1:8">
      <c r="A200" s="1717">
        <f t="shared" si="20"/>
        <v>188</v>
      </c>
      <c r="B200" s="1722" t="str">
        <f t="shared" si="21"/>
        <v/>
      </c>
      <c r="C200" s="1723">
        <f t="shared" si="15"/>
        <v>0</v>
      </c>
      <c r="D200" s="1723">
        <f t="shared" si="16"/>
        <v>0</v>
      </c>
      <c r="E200" s="1723">
        <f>IF(A199&lt;$B$6*12,ROUND(C200*'9a.PASS'!$C$21/12,2),"")</f>
        <v>0</v>
      </c>
      <c r="F200" s="1723">
        <f t="shared" si="17"/>
        <v>0</v>
      </c>
      <c r="G200" s="1723">
        <f t="shared" si="18"/>
        <v>0</v>
      </c>
      <c r="H200" s="1723">
        <f t="shared" si="19"/>
        <v>0</v>
      </c>
    </row>
    <row r="201" spans="1:8">
      <c r="A201" s="1717">
        <f t="shared" si="20"/>
        <v>189</v>
      </c>
      <c r="B201" s="1722" t="str">
        <f t="shared" si="21"/>
        <v/>
      </c>
      <c r="C201" s="1723">
        <f t="shared" si="15"/>
        <v>0</v>
      </c>
      <c r="D201" s="1723">
        <f t="shared" si="16"/>
        <v>0</v>
      </c>
      <c r="E201" s="1723">
        <f>IF(A200&lt;$B$6*12,ROUND(C201*'9a.PASS'!$C$21/12,2),"")</f>
        <v>0</v>
      </c>
      <c r="F201" s="1723">
        <f t="shared" si="17"/>
        <v>0</v>
      </c>
      <c r="G201" s="1723">
        <f t="shared" si="18"/>
        <v>0</v>
      </c>
      <c r="H201" s="1723">
        <f t="shared" si="19"/>
        <v>0</v>
      </c>
    </row>
    <row r="202" spans="1:8">
      <c r="A202" s="1717">
        <f t="shared" si="20"/>
        <v>190</v>
      </c>
      <c r="B202" s="1722" t="str">
        <f t="shared" si="21"/>
        <v/>
      </c>
      <c r="C202" s="1723">
        <f t="shared" si="15"/>
        <v>0</v>
      </c>
      <c r="D202" s="1723">
        <f t="shared" si="16"/>
        <v>0</v>
      </c>
      <c r="E202" s="1723">
        <f>IF(A201&lt;$B$6*12,ROUND(C202*'9a.PASS'!$C$21/12,2),"")</f>
        <v>0</v>
      </c>
      <c r="F202" s="1723">
        <f t="shared" si="17"/>
        <v>0</v>
      </c>
      <c r="G202" s="1723">
        <f t="shared" si="18"/>
        <v>0</v>
      </c>
      <c r="H202" s="1723">
        <f t="shared" si="19"/>
        <v>0</v>
      </c>
    </row>
    <row r="203" spans="1:8">
      <c r="A203" s="1717">
        <f t="shared" si="20"/>
        <v>191</v>
      </c>
      <c r="B203" s="1722" t="str">
        <f t="shared" si="21"/>
        <v/>
      </c>
      <c r="C203" s="1723">
        <f t="shared" si="15"/>
        <v>0</v>
      </c>
      <c r="D203" s="1723">
        <f t="shared" si="16"/>
        <v>0</v>
      </c>
      <c r="E203" s="1723">
        <f>IF(A202&lt;$B$6*12,ROUND(C203*'9a.PASS'!$C$21/12,2),"")</f>
        <v>0</v>
      </c>
      <c r="F203" s="1723">
        <f t="shared" si="17"/>
        <v>0</v>
      </c>
      <c r="G203" s="1723">
        <f t="shared" si="18"/>
        <v>0</v>
      </c>
      <c r="H203" s="1723">
        <f t="shared" si="19"/>
        <v>0</v>
      </c>
    </row>
    <row r="204" spans="1:8">
      <c r="A204" s="1717">
        <f t="shared" si="20"/>
        <v>192</v>
      </c>
      <c r="B204" s="1722" t="str">
        <f t="shared" si="21"/>
        <v/>
      </c>
      <c r="C204" s="1723">
        <f t="shared" si="15"/>
        <v>0</v>
      </c>
      <c r="D204" s="1723">
        <f t="shared" si="16"/>
        <v>0</v>
      </c>
      <c r="E204" s="1723">
        <f>IF(A203&lt;$B$6*12,ROUND(C204*'9a.PASS'!$C$21/12,2),"")</f>
        <v>0</v>
      </c>
      <c r="F204" s="1723">
        <f t="shared" si="17"/>
        <v>0</v>
      </c>
      <c r="G204" s="1723">
        <f t="shared" si="18"/>
        <v>0</v>
      </c>
      <c r="H204" s="1723">
        <f t="shared" si="19"/>
        <v>0</v>
      </c>
    </row>
    <row r="205" spans="1:8">
      <c r="A205" s="1717">
        <f t="shared" si="20"/>
        <v>193</v>
      </c>
      <c r="B205" s="1722" t="str">
        <f t="shared" si="21"/>
        <v/>
      </c>
      <c r="C205" s="1723">
        <f t="shared" si="15"/>
        <v>0</v>
      </c>
      <c r="D205" s="1723">
        <f t="shared" si="16"/>
        <v>0</v>
      </c>
      <c r="E205" s="1723">
        <f>IF(A204&lt;$B$6*12,ROUND(C205*'9a.PASS'!$C$21/12,2),"")</f>
        <v>0</v>
      </c>
      <c r="F205" s="1723">
        <f t="shared" si="17"/>
        <v>0</v>
      </c>
      <c r="G205" s="1723">
        <f t="shared" si="18"/>
        <v>0</v>
      </c>
      <c r="H205" s="1723">
        <f t="shared" si="19"/>
        <v>0</v>
      </c>
    </row>
    <row r="206" spans="1:8">
      <c r="A206" s="1717">
        <f t="shared" si="20"/>
        <v>194</v>
      </c>
      <c r="B206" s="1722" t="str">
        <f t="shared" si="21"/>
        <v/>
      </c>
      <c r="C206" s="1723">
        <f t="shared" ref="C206:C269" si="22">IF(A205&lt;$B$6*12,H205,"")</f>
        <v>0</v>
      </c>
      <c r="D206" s="1723">
        <f t="shared" ref="D206:D269" si="23">IF(A206=$B$6*12,SUM(C206,E206:F206),IF(A205&lt;$B$6*12,$B$8,""))</f>
        <v>0</v>
      </c>
      <c r="E206" s="1723">
        <f>IF(A205&lt;$B$6*12,ROUND(C206*'9a.PASS'!$C$21/12,2),"")</f>
        <v>0</v>
      </c>
      <c r="F206" s="1723">
        <f t="shared" ref="F206:F269" si="24">IF(A205&lt;$B$6*12,ROUND(C206*$B$5/12,2)-E206,"")</f>
        <v>0</v>
      </c>
      <c r="G206" s="1723">
        <f t="shared" ref="G206:G269" si="25">IF(A205&lt;$B$6*12,D206-SUM(E206:F206),"")</f>
        <v>0</v>
      </c>
      <c r="H206" s="1723">
        <f t="shared" ref="H206:H269" si="26">IF(A205&lt;$B$6*12,C206-G206,"")</f>
        <v>0</v>
      </c>
    </row>
    <row r="207" spans="1:8">
      <c r="A207" s="1717">
        <f t="shared" ref="A207:A270" si="27">IF(A206&lt;$B$6*12,A206+1,"")</f>
        <v>195</v>
      </c>
      <c r="B207" s="1722" t="str">
        <f t="shared" ref="B207:B270" si="28">IFERROR(EDATE(B206,1),"")</f>
        <v/>
      </c>
      <c r="C207" s="1723">
        <f t="shared" si="22"/>
        <v>0</v>
      </c>
      <c r="D207" s="1723">
        <f t="shared" si="23"/>
        <v>0</v>
      </c>
      <c r="E207" s="1723">
        <f>IF(A206&lt;$B$6*12,ROUND(C207*'9a.PASS'!$C$21/12,2),"")</f>
        <v>0</v>
      </c>
      <c r="F207" s="1723">
        <f t="shared" si="24"/>
        <v>0</v>
      </c>
      <c r="G207" s="1723">
        <f t="shared" si="25"/>
        <v>0</v>
      </c>
      <c r="H207" s="1723">
        <f t="shared" si="26"/>
        <v>0</v>
      </c>
    </row>
    <row r="208" spans="1:8">
      <c r="A208" s="1717">
        <f t="shared" si="27"/>
        <v>196</v>
      </c>
      <c r="B208" s="1722" t="str">
        <f t="shared" si="28"/>
        <v/>
      </c>
      <c r="C208" s="1723">
        <f t="shared" si="22"/>
        <v>0</v>
      </c>
      <c r="D208" s="1723">
        <f t="shared" si="23"/>
        <v>0</v>
      </c>
      <c r="E208" s="1723">
        <f>IF(A207&lt;$B$6*12,ROUND(C208*'9a.PASS'!$C$21/12,2),"")</f>
        <v>0</v>
      </c>
      <c r="F208" s="1723">
        <f t="shared" si="24"/>
        <v>0</v>
      </c>
      <c r="G208" s="1723">
        <f t="shared" si="25"/>
        <v>0</v>
      </c>
      <c r="H208" s="1723">
        <f t="shared" si="26"/>
        <v>0</v>
      </c>
    </row>
    <row r="209" spans="1:8">
      <c r="A209" s="1717">
        <f t="shared" si="27"/>
        <v>197</v>
      </c>
      <c r="B209" s="1722" t="str">
        <f t="shared" si="28"/>
        <v/>
      </c>
      <c r="C209" s="1723">
        <f t="shared" si="22"/>
        <v>0</v>
      </c>
      <c r="D209" s="1723">
        <f t="shared" si="23"/>
        <v>0</v>
      </c>
      <c r="E209" s="1723">
        <f>IF(A208&lt;$B$6*12,ROUND(C209*'9a.PASS'!$C$21/12,2),"")</f>
        <v>0</v>
      </c>
      <c r="F209" s="1723">
        <f t="shared" si="24"/>
        <v>0</v>
      </c>
      <c r="G209" s="1723">
        <f t="shared" si="25"/>
        <v>0</v>
      </c>
      <c r="H209" s="1723">
        <f t="shared" si="26"/>
        <v>0</v>
      </c>
    </row>
    <row r="210" spans="1:8">
      <c r="A210" s="1717">
        <f t="shared" si="27"/>
        <v>198</v>
      </c>
      <c r="B210" s="1722" t="str">
        <f t="shared" si="28"/>
        <v/>
      </c>
      <c r="C210" s="1723">
        <f t="shared" si="22"/>
        <v>0</v>
      </c>
      <c r="D210" s="1723">
        <f t="shared" si="23"/>
        <v>0</v>
      </c>
      <c r="E210" s="1723">
        <f>IF(A209&lt;$B$6*12,ROUND(C210*'9a.PASS'!$C$21/12,2),"")</f>
        <v>0</v>
      </c>
      <c r="F210" s="1723">
        <f t="shared" si="24"/>
        <v>0</v>
      </c>
      <c r="G210" s="1723">
        <f t="shared" si="25"/>
        <v>0</v>
      </c>
      <c r="H210" s="1723">
        <f t="shared" si="26"/>
        <v>0</v>
      </c>
    </row>
    <row r="211" spans="1:8">
      <c r="A211" s="1717">
        <f t="shared" si="27"/>
        <v>199</v>
      </c>
      <c r="B211" s="1722" t="str">
        <f t="shared" si="28"/>
        <v/>
      </c>
      <c r="C211" s="1723">
        <f t="shared" si="22"/>
        <v>0</v>
      </c>
      <c r="D211" s="1723">
        <f t="shared" si="23"/>
        <v>0</v>
      </c>
      <c r="E211" s="1723">
        <f>IF(A210&lt;$B$6*12,ROUND(C211*'9a.PASS'!$C$21/12,2),"")</f>
        <v>0</v>
      </c>
      <c r="F211" s="1723">
        <f t="shared" si="24"/>
        <v>0</v>
      </c>
      <c r="G211" s="1723">
        <f t="shared" si="25"/>
        <v>0</v>
      </c>
      <c r="H211" s="1723">
        <f t="shared" si="26"/>
        <v>0</v>
      </c>
    </row>
    <row r="212" spans="1:8">
      <c r="A212" s="1717">
        <f t="shared" si="27"/>
        <v>200</v>
      </c>
      <c r="B212" s="1722" t="str">
        <f t="shared" si="28"/>
        <v/>
      </c>
      <c r="C212" s="1723">
        <f t="shared" si="22"/>
        <v>0</v>
      </c>
      <c r="D212" s="1723">
        <f t="shared" si="23"/>
        <v>0</v>
      </c>
      <c r="E212" s="1723">
        <f>IF(A211&lt;$B$6*12,ROUND(C212*'9a.PASS'!$C$21/12,2),"")</f>
        <v>0</v>
      </c>
      <c r="F212" s="1723">
        <f t="shared" si="24"/>
        <v>0</v>
      </c>
      <c r="G212" s="1723">
        <f t="shared" si="25"/>
        <v>0</v>
      </c>
      <c r="H212" s="1723">
        <f t="shared" si="26"/>
        <v>0</v>
      </c>
    </row>
    <row r="213" spans="1:8">
      <c r="A213" s="1717">
        <f t="shared" si="27"/>
        <v>201</v>
      </c>
      <c r="B213" s="1722" t="str">
        <f t="shared" si="28"/>
        <v/>
      </c>
      <c r="C213" s="1723">
        <f t="shared" si="22"/>
        <v>0</v>
      </c>
      <c r="D213" s="1723">
        <f t="shared" si="23"/>
        <v>0</v>
      </c>
      <c r="E213" s="1723">
        <f>IF(A212&lt;$B$6*12,ROUND(C213*'9a.PASS'!$C$21/12,2),"")</f>
        <v>0</v>
      </c>
      <c r="F213" s="1723">
        <f t="shared" si="24"/>
        <v>0</v>
      </c>
      <c r="G213" s="1723">
        <f t="shared" si="25"/>
        <v>0</v>
      </c>
      <c r="H213" s="1723">
        <f t="shared" si="26"/>
        <v>0</v>
      </c>
    </row>
    <row r="214" spans="1:8">
      <c r="A214" s="1717">
        <f t="shared" si="27"/>
        <v>202</v>
      </c>
      <c r="B214" s="1722" t="str">
        <f t="shared" si="28"/>
        <v/>
      </c>
      <c r="C214" s="1723">
        <f t="shared" si="22"/>
        <v>0</v>
      </c>
      <c r="D214" s="1723">
        <f t="shared" si="23"/>
        <v>0</v>
      </c>
      <c r="E214" s="1723">
        <f>IF(A213&lt;$B$6*12,ROUND(C214*'9a.PASS'!$C$21/12,2),"")</f>
        <v>0</v>
      </c>
      <c r="F214" s="1723">
        <f t="shared" si="24"/>
        <v>0</v>
      </c>
      <c r="G214" s="1723">
        <f t="shared" si="25"/>
        <v>0</v>
      </c>
      <c r="H214" s="1723">
        <f t="shared" si="26"/>
        <v>0</v>
      </c>
    </row>
    <row r="215" spans="1:8">
      <c r="A215" s="1717">
        <f t="shared" si="27"/>
        <v>203</v>
      </c>
      <c r="B215" s="1722" t="str">
        <f t="shared" si="28"/>
        <v/>
      </c>
      <c r="C215" s="1723">
        <f t="shared" si="22"/>
        <v>0</v>
      </c>
      <c r="D215" s="1723">
        <f t="shared" si="23"/>
        <v>0</v>
      </c>
      <c r="E215" s="1723">
        <f>IF(A214&lt;$B$6*12,ROUND(C215*'9a.PASS'!$C$21/12,2),"")</f>
        <v>0</v>
      </c>
      <c r="F215" s="1723">
        <f t="shared" si="24"/>
        <v>0</v>
      </c>
      <c r="G215" s="1723">
        <f t="shared" si="25"/>
        <v>0</v>
      </c>
      <c r="H215" s="1723">
        <f t="shared" si="26"/>
        <v>0</v>
      </c>
    </row>
    <row r="216" spans="1:8">
      <c r="A216" s="1717">
        <f t="shared" si="27"/>
        <v>204</v>
      </c>
      <c r="B216" s="1722" t="str">
        <f t="shared" si="28"/>
        <v/>
      </c>
      <c r="C216" s="1723">
        <f t="shared" si="22"/>
        <v>0</v>
      </c>
      <c r="D216" s="1723">
        <f t="shared" si="23"/>
        <v>0</v>
      </c>
      <c r="E216" s="1723">
        <f>IF(A215&lt;$B$6*12,ROUND(C216*'9a.PASS'!$C$21/12,2),"")</f>
        <v>0</v>
      </c>
      <c r="F216" s="1723">
        <f t="shared" si="24"/>
        <v>0</v>
      </c>
      <c r="G216" s="1723">
        <f t="shared" si="25"/>
        <v>0</v>
      </c>
      <c r="H216" s="1723">
        <f t="shared" si="26"/>
        <v>0</v>
      </c>
    </row>
    <row r="217" spans="1:8">
      <c r="A217" s="1717">
        <f t="shared" si="27"/>
        <v>205</v>
      </c>
      <c r="B217" s="1722" t="str">
        <f t="shared" si="28"/>
        <v/>
      </c>
      <c r="C217" s="1723">
        <f t="shared" si="22"/>
        <v>0</v>
      </c>
      <c r="D217" s="1723">
        <f t="shared" si="23"/>
        <v>0</v>
      </c>
      <c r="E217" s="1723">
        <f>IF(A216&lt;$B$6*12,ROUND(C217*'9a.PASS'!$C$21/12,2),"")</f>
        <v>0</v>
      </c>
      <c r="F217" s="1723">
        <f t="shared" si="24"/>
        <v>0</v>
      </c>
      <c r="G217" s="1723">
        <f t="shared" si="25"/>
        <v>0</v>
      </c>
      <c r="H217" s="1723">
        <f t="shared" si="26"/>
        <v>0</v>
      </c>
    </row>
    <row r="218" spans="1:8">
      <c r="A218" s="1717">
        <f t="shared" si="27"/>
        <v>206</v>
      </c>
      <c r="B218" s="1722" t="str">
        <f t="shared" si="28"/>
        <v/>
      </c>
      <c r="C218" s="1723">
        <f t="shared" si="22"/>
        <v>0</v>
      </c>
      <c r="D218" s="1723">
        <f t="shared" si="23"/>
        <v>0</v>
      </c>
      <c r="E218" s="1723">
        <f>IF(A217&lt;$B$6*12,ROUND(C218*'9a.PASS'!$C$21/12,2),"")</f>
        <v>0</v>
      </c>
      <c r="F218" s="1723">
        <f t="shared" si="24"/>
        <v>0</v>
      </c>
      <c r="G218" s="1723">
        <f t="shared" si="25"/>
        <v>0</v>
      </c>
      <c r="H218" s="1723">
        <f t="shared" si="26"/>
        <v>0</v>
      </c>
    </row>
    <row r="219" spans="1:8">
      <c r="A219" s="1717">
        <f t="shared" si="27"/>
        <v>207</v>
      </c>
      <c r="B219" s="1722" t="str">
        <f t="shared" si="28"/>
        <v/>
      </c>
      <c r="C219" s="1723">
        <f t="shared" si="22"/>
        <v>0</v>
      </c>
      <c r="D219" s="1723">
        <f t="shared" si="23"/>
        <v>0</v>
      </c>
      <c r="E219" s="1723">
        <f>IF(A218&lt;$B$6*12,ROUND(C219*'9a.PASS'!$C$21/12,2),"")</f>
        <v>0</v>
      </c>
      <c r="F219" s="1723">
        <f t="shared" si="24"/>
        <v>0</v>
      </c>
      <c r="G219" s="1723">
        <f t="shared" si="25"/>
        <v>0</v>
      </c>
      <c r="H219" s="1723">
        <f t="shared" si="26"/>
        <v>0</v>
      </c>
    </row>
    <row r="220" spans="1:8">
      <c r="A220" s="1717">
        <f t="shared" si="27"/>
        <v>208</v>
      </c>
      <c r="B220" s="1722" t="str">
        <f t="shared" si="28"/>
        <v/>
      </c>
      <c r="C220" s="1723">
        <f t="shared" si="22"/>
        <v>0</v>
      </c>
      <c r="D220" s="1723">
        <f t="shared" si="23"/>
        <v>0</v>
      </c>
      <c r="E220" s="1723">
        <f>IF(A219&lt;$B$6*12,ROUND(C220*'9a.PASS'!$C$21/12,2),"")</f>
        <v>0</v>
      </c>
      <c r="F220" s="1723">
        <f t="shared" si="24"/>
        <v>0</v>
      </c>
      <c r="G220" s="1723">
        <f t="shared" si="25"/>
        <v>0</v>
      </c>
      <c r="H220" s="1723">
        <f t="shared" si="26"/>
        <v>0</v>
      </c>
    </row>
    <row r="221" spans="1:8">
      <c r="A221" s="1717">
        <f t="shared" si="27"/>
        <v>209</v>
      </c>
      <c r="B221" s="1722" t="str">
        <f t="shared" si="28"/>
        <v/>
      </c>
      <c r="C221" s="1723">
        <f t="shared" si="22"/>
        <v>0</v>
      </c>
      <c r="D221" s="1723">
        <f t="shared" si="23"/>
        <v>0</v>
      </c>
      <c r="E221" s="1723">
        <f>IF(A220&lt;$B$6*12,ROUND(C221*'9a.PASS'!$C$21/12,2),"")</f>
        <v>0</v>
      </c>
      <c r="F221" s="1723">
        <f t="shared" si="24"/>
        <v>0</v>
      </c>
      <c r="G221" s="1723">
        <f t="shared" si="25"/>
        <v>0</v>
      </c>
      <c r="H221" s="1723">
        <f t="shared" si="26"/>
        <v>0</v>
      </c>
    </row>
    <row r="222" spans="1:8">
      <c r="A222" s="1717">
        <f t="shared" si="27"/>
        <v>210</v>
      </c>
      <c r="B222" s="1722" t="str">
        <f t="shared" si="28"/>
        <v/>
      </c>
      <c r="C222" s="1723">
        <f t="shared" si="22"/>
        <v>0</v>
      </c>
      <c r="D222" s="1723">
        <f t="shared" si="23"/>
        <v>0</v>
      </c>
      <c r="E222" s="1723">
        <f>IF(A221&lt;$B$6*12,ROUND(C222*'9a.PASS'!$C$21/12,2),"")</f>
        <v>0</v>
      </c>
      <c r="F222" s="1723">
        <f t="shared" si="24"/>
        <v>0</v>
      </c>
      <c r="G222" s="1723">
        <f t="shared" si="25"/>
        <v>0</v>
      </c>
      <c r="H222" s="1723">
        <f t="shared" si="26"/>
        <v>0</v>
      </c>
    </row>
    <row r="223" spans="1:8">
      <c r="A223" s="1717">
        <f t="shared" si="27"/>
        <v>211</v>
      </c>
      <c r="B223" s="1722" t="str">
        <f t="shared" si="28"/>
        <v/>
      </c>
      <c r="C223" s="1723">
        <f t="shared" si="22"/>
        <v>0</v>
      </c>
      <c r="D223" s="1723">
        <f t="shared" si="23"/>
        <v>0</v>
      </c>
      <c r="E223" s="1723">
        <f>IF(A222&lt;$B$6*12,ROUND(C223*'9a.PASS'!$C$21/12,2),"")</f>
        <v>0</v>
      </c>
      <c r="F223" s="1723">
        <f t="shared" si="24"/>
        <v>0</v>
      </c>
      <c r="G223" s="1723">
        <f t="shared" si="25"/>
        <v>0</v>
      </c>
      <c r="H223" s="1723">
        <f t="shared" si="26"/>
        <v>0</v>
      </c>
    </row>
    <row r="224" spans="1:8">
      <c r="A224" s="1717">
        <f t="shared" si="27"/>
        <v>212</v>
      </c>
      <c r="B224" s="1722" t="str">
        <f t="shared" si="28"/>
        <v/>
      </c>
      <c r="C224" s="1723">
        <f t="shared" si="22"/>
        <v>0</v>
      </c>
      <c r="D224" s="1723">
        <f t="shared" si="23"/>
        <v>0</v>
      </c>
      <c r="E224" s="1723">
        <f>IF(A223&lt;$B$6*12,ROUND(C224*'9a.PASS'!$C$21/12,2),"")</f>
        <v>0</v>
      </c>
      <c r="F224" s="1723">
        <f t="shared" si="24"/>
        <v>0</v>
      </c>
      <c r="G224" s="1723">
        <f t="shared" si="25"/>
        <v>0</v>
      </c>
      <c r="H224" s="1723">
        <f t="shared" si="26"/>
        <v>0</v>
      </c>
    </row>
    <row r="225" spans="1:8">
      <c r="A225" s="1717">
        <f t="shared" si="27"/>
        <v>213</v>
      </c>
      <c r="B225" s="1722" t="str">
        <f t="shared" si="28"/>
        <v/>
      </c>
      <c r="C225" s="1723">
        <f t="shared" si="22"/>
        <v>0</v>
      </c>
      <c r="D225" s="1723">
        <f t="shared" si="23"/>
        <v>0</v>
      </c>
      <c r="E225" s="1723">
        <f>IF(A224&lt;$B$6*12,ROUND(C225*'9a.PASS'!$C$21/12,2),"")</f>
        <v>0</v>
      </c>
      <c r="F225" s="1723">
        <f t="shared" si="24"/>
        <v>0</v>
      </c>
      <c r="G225" s="1723">
        <f t="shared" si="25"/>
        <v>0</v>
      </c>
      <c r="H225" s="1723">
        <f t="shared" si="26"/>
        <v>0</v>
      </c>
    </row>
    <row r="226" spans="1:8">
      <c r="A226" s="1717">
        <f t="shared" si="27"/>
        <v>214</v>
      </c>
      <c r="B226" s="1722" t="str">
        <f t="shared" si="28"/>
        <v/>
      </c>
      <c r="C226" s="1723">
        <f t="shared" si="22"/>
        <v>0</v>
      </c>
      <c r="D226" s="1723">
        <f t="shared" si="23"/>
        <v>0</v>
      </c>
      <c r="E226" s="1723">
        <f>IF(A225&lt;$B$6*12,ROUND(C226*'9a.PASS'!$C$21/12,2),"")</f>
        <v>0</v>
      </c>
      <c r="F226" s="1723">
        <f t="shared" si="24"/>
        <v>0</v>
      </c>
      <c r="G226" s="1723">
        <f t="shared" si="25"/>
        <v>0</v>
      </c>
      <c r="H226" s="1723">
        <f t="shared" si="26"/>
        <v>0</v>
      </c>
    </row>
    <row r="227" spans="1:8">
      <c r="A227" s="1717">
        <f t="shared" si="27"/>
        <v>215</v>
      </c>
      <c r="B227" s="1722" t="str">
        <f t="shared" si="28"/>
        <v/>
      </c>
      <c r="C227" s="1723">
        <f t="shared" si="22"/>
        <v>0</v>
      </c>
      <c r="D227" s="1723">
        <f t="shared" si="23"/>
        <v>0</v>
      </c>
      <c r="E227" s="1723">
        <f>IF(A226&lt;$B$6*12,ROUND(C227*'9a.PASS'!$C$21/12,2),"")</f>
        <v>0</v>
      </c>
      <c r="F227" s="1723">
        <f t="shared" si="24"/>
        <v>0</v>
      </c>
      <c r="G227" s="1723">
        <f t="shared" si="25"/>
        <v>0</v>
      </c>
      <c r="H227" s="1723">
        <f t="shared" si="26"/>
        <v>0</v>
      </c>
    </row>
    <row r="228" spans="1:8">
      <c r="A228" s="1717">
        <f t="shared" si="27"/>
        <v>216</v>
      </c>
      <c r="B228" s="1722" t="str">
        <f t="shared" si="28"/>
        <v/>
      </c>
      <c r="C228" s="1723">
        <f t="shared" si="22"/>
        <v>0</v>
      </c>
      <c r="D228" s="1723">
        <f t="shared" si="23"/>
        <v>0</v>
      </c>
      <c r="E228" s="1723">
        <f>IF(A227&lt;$B$6*12,ROUND(C228*'9a.PASS'!$C$21/12,2),"")</f>
        <v>0</v>
      </c>
      <c r="F228" s="1723">
        <f t="shared" si="24"/>
        <v>0</v>
      </c>
      <c r="G228" s="1723">
        <f t="shared" si="25"/>
        <v>0</v>
      </c>
      <c r="H228" s="1723">
        <f t="shared" si="26"/>
        <v>0</v>
      </c>
    </row>
    <row r="229" spans="1:8">
      <c r="A229" s="1717">
        <f t="shared" si="27"/>
        <v>217</v>
      </c>
      <c r="B229" s="1722" t="str">
        <f t="shared" si="28"/>
        <v/>
      </c>
      <c r="C229" s="1723">
        <f t="shared" si="22"/>
        <v>0</v>
      </c>
      <c r="D229" s="1723">
        <f t="shared" si="23"/>
        <v>0</v>
      </c>
      <c r="E229" s="1723">
        <f>IF(A228&lt;$B$6*12,ROUND(C229*'9a.PASS'!$C$21/12,2),"")</f>
        <v>0</v>
      </c>
      <c r="F229" s="1723">
        <f t="shared" si="24"/>
        <v>0</v>
      </c>
      <c r="G229" s="1723">
        <f t="shared" si="25"/>
        <v>0</v>
      </c>
      <c r="H229" s="1723">
        <f t="shared" si="26"/>
        <v>0</v>
      </c>
    </row>
    <row r="230" spans="1:8">
      <c r="A230" s="1717">
        <f t="shared" si="27"/>
        <v>218</v>
      </c>
      <c r="B230" s="1722" t="str">
        <f t="shared" si="28"/>
        <v/>
      </c>
      <c r="C230" s="1723">
        <f t="shared" si="22"/>
        <v>0</v>
      </c>
      <c r="D230" s="1723">
        <f t="shared" si="23"/>
        <v>0</v>
      </c>
      <c r="E230" s="1723">
        <f>IF(A229&lt;$B$6*12,ROUND(C230*'9a.PASS'!$C$21/12,2),"")</f>
        <v>0</v>
      </c>
      <c r="F230" s="1723">
        <f t="shared" si="24"/>
        <v>0</v>
      </c>
      <c r="G230" s="1723">
        <f t="shared" si="25"/>
        <v>0</v>
      </c>
      <c r="H230" s="1723">
        <f t="shared" si="26"/>
        <v>0</v>
      </c>
    </row>
    <row r="231" spans="1:8">
      <c r="A231" s="1717">
        <f t="shared" si="27"/>
        <v>219</v>
      </c>
      <c r="B231" s="1722" t="str">
        <f t="shared" si="28"/>
        <v/>
      </c>
      <c r="C231" s="1723">
        <f t="shared" si="22"/>
        <v>0</v>
      </c>
      <c r="D231" s="1723">
        <f t="shared" si="23"/>
        <v>0</v>
      </c>
      <c r="E231" s="1723">
        <f>IF(A230&lt;$B$6*12,ROUND(C231*'9a.PASS'!$C$21/12,2),"")</f>
        <v>0</v>
      </c>
      <c r="F231" s="1723">
        <f t="shared" si="24"/>
        <v>0</v>
      </c>
      <c r="G231" s="1723">
        <f t="shared" si="25"/>
        <v>0</v>
      </c>
      <c r="H231" s="1723">
        <f t="shared" si="26"/>
        <v>0</v>
      </c>
    </row>
    <row r="232" spans="1:8">
      <c r="A232" s="1717">
        <f t="shared" si="27"/>
        <v>220</v>
      </c>
      <c r="B232" s="1722" t="str">
        <f t="shared" si="28"/>
        <v/>
      </c>
      <c r="C232" s="1723">
        <f t="shared" si="22"/>
        <v>0</v>
      </c>
      <c r="D232" s="1723">
        <f t="shared" si="23"/>
        <v>0</v>
      </c>
      <c r="E232" s="1723">
        <f>IF(A231&lt;$B$6*12,ROUND(C232*'9a.PASS'!$C$21/12,2),"")</f>
        <v>0</v>
      </c>
      <c r="F232" s="1723">
        <f t="shared" si="24"/>
        <v>0</v>
      </c>
      <c r="G232" s="1723">
        <f t="shared" si="25"/>
        <v>0</v>
      </c>
      <c r="H232" s="1723">
        <f t="shared" si="26"/>
        <v>0</v>
      </c>
    </row>
    <row r="233" spans="1:8">
      <c r="A233" s="1717">
        <f t="shared" si="27"/>
        <v>221</v>
      </c>
      <c r="B233" s="1722" t="str">
        <f t="shared" si="28"/>
        <v/>
      </c>
      <c r="C233" s="1723">
        <f t="shared" si="22"/>
        <v>0</v>
      </c>
      <c r="D233" s="1723">
        <f t="shared" si="23"/>
        <v>0</v>
      </c>
      <c r="E233" s="1723">
        <f>IF(A232&lt;$B$6*12,ROUND(C233*'9a.PASS'!$C$21/12,2),"")</f>
        <v>0</v>
      </c>
      <c r="F233" s="1723">
        <f t="shared" si="24"/>
        <v>0</v>
      </c>
      <c r="G233" s="1723">
        <f t="shared" si="25"/>
        <v>0</v>
      </c>
      <c r="H233" s="1723">
        <f t="shared" si="26"/>
        <v>0</v>
      </c>
    </row>
    <row r="234" spans="1:8">
      <c r="A234" s="1717">
        <f t="shared" si="27"/>
        <v>222</v>
      </c>
      <c r="B234" s="1722" t="str">
        <f t="shared" si="28"/>
        <v/>
      </c>
      <c r="C234" s="1723">
        <f t="shared" si="22"/>
        <v>0</v>
      </c>
      <c r="D234" s="1723">
        <f t="shared" si="23"/>
        <v>0</v>
      </c>
      <c r="E234" s="1723">
        <f>IF(A233&lt;$B$6*12,ROUND(C234*'9a.PASS'!$C$21/12,2),"")</f>
        <v>0</v>
      </c>
      <c r="F234" s="1723">
        <f t="shared" si="24"/>
        <v>0</v>
      </c>
      <c r="G234" s="1723">
        <f t="shared" si="25"/>
        <v>0</v>
      </c>
      <c r="H234" s="1723">
        <f t="shared" si="26"/>
        <v>0</v>
      </c>
    </row>
    <row r="235" spans="1:8">
      <c r="A235" s="1717">
        <f t="shared" si="27"/>
        <v>223</v>
      </c>
      <c r="B235" s="1722" t="str">
        <f t="shared" si="28"/>
        <v/>
      </c>
      <c r="C235" s="1723">
        <f t="shared" si="22"/>
        <v>0</v>
      </c>
      <c r="D235" s="1723">
        <f t="shared" si="23"/>
        <v>0</v>
      </c>
      <c r="E235" s="1723">
        <f>IF(A234&lt;$B$6*12,ROUND(C235*'9a.PASS'!$C$21/12,2),"")</f>
        <v>0</v>
      </c>
      <c r="F235" s="1723">
        <f t="shared" si="24"/>
        <v>0</v>
      </c>
      <c r="G235" s="1723">
        <f t="shared" si="25"/>
        <v>0</v>
      </c>
      <c r="H235" s="1723">
        <f t="shared" si="26"/>
        <v>0</v>
      </c>
    </row>
    <row r="236" spans="1:8">
      <c r="A236" s="1717">
        <f t="shared" si="27"/>
        <v>224</v>
      </c>
      <c r="B236" s="1722" t="str">
        <f t="shared" si="28"/>
        <v/>
      </c>
      <c r="C236" s="1723">
        <f t="shared" si="22"/>
        <v>0</v>
      </c>
      <c r="D236" s="1723">
        <f t="shared" si="23"/>
        <v>0</v>
      </c>
      <c r="E236" s="1723">
        <f>IF(A235&lt;$B$6*12,ROUND(C236*'9a.PASS'!$C$21/12,2),"")</f>
        <v>0</v>
      </c>
      <c r="F236" s="1723">
        <f t="shared" si="24"/>
        <v>0</v>
      </c>
      <c r="G236" s="1723">
        <f t="shared" si="25"/>
        <v>0</v>
      </c>
      <c r="H236" s="1723">
        <f t="shared" si="26"/>
        <v>0</v>
      </c>
    </row>
    <row r="237" spans="1:8">
      <c r="A237" s="1717">
        <f t="shared" si="27"/>
        <v>225</v>
      </c>
      <c r="B237" s="1722" t="str">
        <f t="shared" si="28"/>
        <v/>
      </c>
      <c r="C237" s="1723">
        <f t="shared" si="22"/>
        <v>0</v>
      </c>
      <c r="D237" s="1723">
        <f t="shared" si="23"/>
        <v>0</v>
      </c>
      <c r="E237" s="1723">
        <f>IF(A236&lt;$B$6*12,ROUND(C237*'9a.PASS'!$C$21/12,2),"")</f>
        <v>0</v>
      </c>
      <c r="F237" s="1723">
        <f t="shared" si="24"/>
        <v>0</v>
      </c>
      <c r="G237" s="1723">
        <f t="shared" si="25"/>
        <v>0</v>
      </c>
      <c r="H237" s="1723">
        <f t="shared" si="26"/>
        <v>0</v>
      </c>
    </row>
    <row r="238" spans="1:8">
      <c r="A238" s="1717">
        <f t="shared" si="27"/>
        <v>226</v>
      </c>
      <c r="B238" s="1722" t="str">
        <f t="shared" si="28"/>
        <v/>
      </c>
      <c r="C238" s="1723">
        <f t="shared" si="22"/>
        <v>0</v>
      </c>
      <c r="D238" s="1723">
        <f t="shared" si="23"/>
        <v>0</v>
      </c>
      <c r="E238" s="1723">
        <f>IF(A237&lt;$B$6*12,ROUND(C238*'9a.PASS'!$C$21/12,2),"")</f>
        <v>0</v>
      </c>
      <c r="F238" s="1723">
        <f t="shared" si="24"/>
        <v>0</v>
      </c>
      <c r="G238" s="1723">
        <f t="shared" si="25"/>
        <v>0</v>
      </c>
      <c r="H238" s="1723">
        <f t="shared" si="26"/>
        <v>0</v>
      </c>
    </row>
    <row r="239" spans="1:8">
      <c r="A239" s="1717">
        <f t="shared" si="27"/>
        <v>227</v>
      </c>
      <c r="B239" s="1722" t="str">
        <f t="shared" si="28"/>
        <v/>
      </c>
      <c r="C239" s="1723">
        <f t="shared" si="22"/>
        <v>0</v>
      </c>
      <c r="D239" s="1723">
        <f t="shared" si="23"/>
        <v>0</v>
      </c>
      <c r="E239" s="1723">
        <f>IF(A238&lt;$B$6*12,ROUND(C239*'9a.PASS'!$C$21/12,2),"")</f>
        <v>0</v>
      </c>
      <c r="F239" s="1723">
        <f t="shared" si="24"/>
        <v>0</v>
      </c>
      <c r="G239" s="1723">
        <f t="shared" si="25"/>
        <v>0</v>
      </c>
      <c r="H239" s="1723">
        <f t="shared" si="26"/>
        <v>0</v>
      </c>
    </row>
    <row r="240" spans="1:8">
      <c r="A240" s="1717">
        <f t="shared" si="27"/>
        <v>228</v>
      </c>
      <c r="B240" s="1722" t="str">
        <f t="shared" si="28"/>
        <v/>
      </c>
      <c r="C240" s="1723">
        <f t="shared" si="22"/>
        <v>0</v>
      </c>
      <c r="D240" s="1723">
        <f t="shared" si="23"/>
        <v>0</v>
      </c>
      <c r="E240" s="1723">
        <f>IF(A239&lt;$B$6*12,ROUND(C240*'9a.PASS'!$C$21/12,2),"")</f>
        <v>0</v>
      </c>
      <c r="F240" s="1723">
        <f t="shared" si="24"/>
        <v>0</v>
      </c>
      <c r="G240" s="1723">
        <f t="shared" si="25"/>
        <v>0</v>
      </c>
      <c r="H240" s="1723">
        <f t="shared" si="26"/>
        <v>0</v>
      </c>
    </row>
    <row r="241" spans="1:8">
      <c r="A241" s="1717">
        <f t="shared" si="27"/>
        <v>229</v>
      </c>
      <c r="B241" s="1722" t="str">
        <f t="shared" si="28"/>
        <v/>
      </c>
      <c r="C241" s="1723">
        <f t="shared" si="22"/>
        <v>0</v>
      </c>
      <c r="D241" s="1723">
        <f t="shared" si="23"/>
        <v>0</v>
      </c>
      <c r="E241" s="1723">
        <f>IF(A240&lt;$B$6*12,ROUND(C241*'9a.PASS'!$C$21/12,2),"")</f>
        <v>0</v>
      </c>
      <c r="F241" s="1723">
        <f t="shared" si="24"/>
        <v>0</v>
      </c>
      <c r="G241" s="1723">
        <f t="shared" si="25"/>
        <v>0</v>
      </c>
      <c r="H241" s="1723">
        <f t="shared" si="26"/>
        <v>0</v>
      </c>
    </row>
    <row r="242" spans="1:8">
      <c r="A242" s="1717">
        <f t="shared" si="27"/>
        <v>230</v>
      </c>
      <c r="B242" s="1722" t="str">
        <f t="shared" si="28"/>
        <v/>
      </c>
      <c r="C242" s="1723">
        <f t="shared" si="22"/>
        <v>0</v>
      </c>
      <c r="D242" s="1723">
        <f t="shared" si="23"/>
        <v>0</v>
      </c>
      <c r="E242" s="1723">
        <f>IF(A241&lt;$B$6*12,ROUND(C242*'9a.PASS'!$C$21/12,2),"")</f>
        <v>0</v>
      </c>
      <c r="F242" s="1723">
        <f t="shared" si="24"/>
        <v>0</v>
      </c>
      <c r="G242" s="1723">
        <f t="shared" si="25"/>
        <v>0</v>
      </c>
      <c r="H242" s="1723">
        <f t="shared" si="26"/>
        <v>0</v>
      </c>
    </row>
    <row r="243" spans="1:8">
      <c r="A243" s="1717">
        <f t="shared" si="27"/>
        <v>231</v>
      </c>
      <c r="B243" s="1722" t="str">
        <f t="shared" si="28"/>
        <v/>
      </c>
      <c r="C243" s="1723">
        <f t="shared" si="22"/>
        <v>0</v>
      </c>
      <c r="D243" s="1723">
        <f t="shared" si="23"/>
        <v>0</v>
      </c>
      <c r="E243" s="1723">
        <f>IF(A242&lt;$B$6*12,ROUND(C243*'9a.PASS'!$C$21/12,2),"")</f>
        <v>0</v>
      </c>
      <c r="F243" s="1723">
        <f t="shared" si="24"/>
        <v>0</v>
      </c>
      <c r="G243" s="1723">
        <f t="shared" si="25"/>
        <v>0</v>
      </c>
      <c r="H243" s="1723">
        <f t="shared" si="26"/>
        <v>0</v>
      </c>
    </row>
    <row r="244" spans="1:8">
      <c r="A244" s="1717">
        <f t="shared" si="27"/>
        <v>232</v>
      </c>
      <c r="B244" s="1722" t="str">
        <f t="shared" si="28"/>
        <v/>
      </c>
      <c r="C244" s="1723">
        <f t="shared" si="22"/>
        <v>0</v>
      </c>
      <c r="D244" s="1723">
        <f t="shared" si="23"/>
        <v>0</v>
      </c>
      <c r="E244" s="1723">
        <f>IF(A243&lt;$B$6*12,ROUND(C244*'9a.PASS'!$C$21/12,2),"")</f>
        <v>0</v>
      </c>
      <c r="F244" s="1723">
        <f t="shared" si="24"/>
        <v>0</v>
      </c>
      <c r="G244" s="1723">
        <f t="shared" si="25"/>
        <v>0</v>
      </c>
      <c r="H244" s="1723">
        <f t="shared" si="26"/>
        <v>0</v>
      </c>
    </row>
    <row r="245" spans="1:8">
      <c r="A245" s="1717">
        <f t="shared" si="27"/>
        <v>233</v>
      </c>
      <c r="B245" s="1722" t="str">
        <f t="shared" si="28"/>
        <v/>
      </c>
      <c r="C245" s="1723">
        <f t="shared" si="22"/>
        <v>0</v>
      </c>
      <c r="D245" s="1723">
        <f t="shared" si="23"/>
        <v>0</v>
      </c>
      <c r="E245" s="1723">
        <f>IF(A244&lt;$B$6*12,ROUND(C245*'9a.PASS'!$C$21/12,2),"")</f>
        <v>0</v>
      </c>
      <c r="F245" s="1723">
        <f t="shared" si="24"/>
        <v>0</v>
      </c>
      <c r="G245" s="1723">
        <f t="shared" si="25"/>
        <v>0</v>
      </c>
      <c r="H245" s="1723">
        <f t="shared" si="26"/>
        <v>0</v>
      </c>
    </row>
    <row r="246" spans="1:8">
      <c r="A246" s="1717">
        <f t="shared" si="27"/>
        <v>234</v>
      </c>
      <c r="B246" s="1722" t="str">
        <f t="shared" si="28"/>
        <v/>
      </c>
      <c r="C246" s="1723">
        <f t="shared" si="22"/>
        <v>0</v>
      </c>
      <c r="D246" s="1723">
        <f t="shared" si="23"/>
        <v>0</v>
      </c>
      <c r="E246" s="1723">
        <f>IF(A245&lt;$B$6*12,ROUND(C246*'9a.PASS'!$C$21/12,2),"")</f>
        <v>0</v>
      </c>
      <c r="F246" s="1723">
        <f t="shared" si="24"/>
        <v>0</v>
      </c>
      <c r="G246" s="1723">
        <f t="shared" si="25"/>
        <v>0</v>
      </c>
      <c r="H246" s="1723">
        <f t="shared" si="26"/>
        <v>0</v>
      </c>
    </row>
    <row r="247" spans="1:8">
      <c r="A247" s="1717">
        <f t="shared" si="27"/>
        <v>235</v>
      </c>
      <c r="B247" s="1722" t="str">
        <f t="shared" si="28"/>
        <v/>
      </c>
      <c r="C247" s="1723">
        <f t="shared" si="22"/>
        <v>0</v>
      </c>
      <c r="D247" s="1723">
        <f t="shared" si="23"/>
        <v>0</v>
      </c>
      <c r="E247" s="1723">
        <f>IF(A246&lt;$B$6*12,ROUND(C247*'9a.PASS'!$C$21/12,2),"")</f>
        <v>0</v>
      </c>
      <c r="F247" s="1723">
        <f t="shared" si="24"/>
        <v>0</v>
      </c>
      <c r="G247" s="1723">
        <f t="shared" si="25"/>
        <v>0</v>
      </c>
      <c r="H247" s="1723">
        <f t="shared" si="26"/>
        <v>0</v>
      </c>
    </row>
    <row r="248" spans="1:8">
      <c r="A248" s="1717">
        <f t="shared" si="27"/>
        <v>236</v>
      </c>
      <c r="B248" s="1722" t="str">
        <f t="shared" si="28"/>
        <v/>
      </c>
      <c r="C248" s="1723">
        <f t="shared" si="22"/>
        <v>0</v>
      </c>
      <c r="D248" s="1723">
        <f t="shared" si="23"/>
        <v>0</v>
      </c>
      <c r="E248" s="1723">
        <f>IF(A247&lt;$B$6*12,ROUND(C248*'9a.PASS'!$C$21/12,2),"")</f>
        <v>0</v>
      </c>
      <c r="F248" s="1723">
        <f t="shared" si="24"/>
        <v>0</v>
      </c>
      <c r="G248" s="1723">
        <f t="shared" si="25"/>
        <v>0</v>
      </c>
      <c r="H248" s="1723">
        <f t="shared" si="26"/>
        <v>0</v>
      </c>
    </row>
    <row r="249" spans="1:8">
      <c r="A249" s="1717">
        <f t="shared" si="27"/>
        <v>237</v>
      </c>
      <c r="B249" s="1722" t="str">
        <f t="shared" si="28"/>
        <v/>
      </c>
      <c r="C249" s="1723">
        <f t="shared" si="22"/>
        <v>0</v>
      </c>
      <c r="D249" s="1723">
        <f t="shared" si="23"/>
        <v>0</v>
      </c>
      <c r="E249" s="1723">
        <f>IF(A248&lt;$B$6*12,ROUND(C249*'9a.PASS'!$C$21/12,2),"")</f>
        <v>0</v>
      </c>
      <c r="F249" s="1723">
        <f t="shared" si="24"/>
        <v>0</v>
      </c>
      <c r="G249" s="1723">
        <f t="shared" si="25"/>
        <v>0</v>
      </c>
      <c r="H249" s="1723">
        <f t="shared" si="26"/>
        <v>0</v>
      </c>
    </row>
    <row r="250" spans="1:8">
      <c r="A250" s="1717">
        <f t="shared" si="27"/>
        <v>238</v>
      </c>
      <c r="B250" s="1722" t="str">
        <f t="shared" si="28"/>
        <v/>
      </c>
      <c r="C250" s="1723">
        <f t="shared" si="22"/>
        <v>0</v>
      </c>
      <c r="D250" s="1723">
        <f t="shared" si="23"/>
        <v>0</v>
      </c>
      <c r="E250" s="1723">
        <f>IF(A249&lt;$B$6*12,ROUND(C250*'9a.PASS'!$C$21/12,2),"")</f>
        <v>0</v>
      </c>
      <c r="F250" s="1723">
        <f t="shared" si="24"/>
        <v>0</v>
      </c>
      <c r="G250" s="1723">
        <f t="shared" si="25"/>
        <v>0</v>
      </c>
      <c r="H250" s="1723">
        <f t="shared" si="26"/>
        <v>0</v>
      </c>
    </row>
    <row r="251" spans="1:8">
      <c r="A251" s="1717">
        <f t="shared" si="27"/>
        <v>239</v>
      </c>
      <c r="B251" s="1722" t="str">
        <f t="shared" si="28"/>
        <v/>
      </c>
      <c r="C251" s="1723">
        <f t="shared" si="22"/>
        <v>0</v>
      </c>
      <c r="D251" s="1723">
        <f t="shared" si="23"/>
        <v>0</v>
      </c>
      <c r="E251" s="1723">
        <f>IF(A250&lt;$B$6*12,ROUND(C251*'9a.PASS'!$C$21/12,2),"")</f>
        <v>0</v>
      </c>
      <c r="F251" s="1723">
        <f t="shared" si="24"/>
        <v>0</v>
      </c>
      <c r="G251" s="1723">
        <f t="shared" si="25"/>
        <v>0</v>
      </c>
      <c r="H251" s="1723">
        <f t="shared" si="26"/>
        <v>0</v>
      </c>
    </row>
    <row r="252" spans="1:8">
      <c r="A252" s="1717">
        <f t="shared" si="27"/>
        <v>240</v>
      </c>
      <c r="B252" s="1722" t="str">
        <f t="shared" si="28"/>
        <v/>
      </c>
      <c r="C252" s="1723">
        <f t="shared" si="22"/>
        <v>0</v>
      </c>
      <c r="D252" s="1723">
        <f t="shared" si="23"/>
        <v>0</v>
      </c>
      <c r="E252" s="1723">
        <f>IF(A251&lt;$B$6*12,ROUND(C252*'9a.PASS'!$C$21/12,2),"")</f>
        <v>0</v>
      </c>
      <c r="F252" s="1723">
        <f t="shared" si="24"/>
        <v>0</v>
      </c>
      <c r="G252" s="1723">
        <f t="shared" si="25"/>
        <v>0</v>
      </c>
      <c r="H252" s="1723">
        <f t="shared" si="26"/>
        <v>0</v>
      </c>
    </row>
    <row r="253" spans="1:8">
      <c r="A253" s="1717">
        <f t="shared" si="27"/>
        <v>241</v>
      </c>
      <c r="B253" s="1722" t="str">
        <f t="shared" si="28"/>
        <v/>
      </c>
      <c r="C253" s="1723">
        <f t="shared" si="22"/>
        <v>0</v>
      </c>
      <c r="D253" s="1723">
        <f t="shared" si="23"/>
        <v>0</v>
      </c>
      <c r="E253" s="1723">
        <f>IF(A252&lt;$B$6*12,ROUND(C253*'9a.PASS'!$C$21/12,2),"")</f>
        <v>0</v>
      </c>
      <c r="F253" s="1723">
        <f t="shared" si="24"/>
        <v>0</v>
      </c>
      <c r="G253" s="1723">
        <f t="shared" si="25"/>
        <v>0</v>
      </c>
      <c r="H253" s="1723">
        <f t="shared" si="26"/>
        <v>0</v>
      </c>
    </row>
    <row r="254" spans="1:8">
      <c r="A254" s="1717">
        <f t="shared" si="27"/>
        <v>242</v>
      </c>
      <c r="B254" s="1722" t="str">
        <f t="shared" si="28"/>
        <v/>
      </c>
      <c r="C254" s="1723">
        <f t="shared" si="22"/>
        <v>0</v>
      </c>
      <c r="D254" s="1723">
        <f t="shared" si="23"/>
        <v>0</v>
      </c>
      <c r="E254" s="1723">
        <f>IF(A253&lt;$B$6*12,ROUND(C254*'9a.PASS'!$C$21/12,2),"")</f>
        <v>0</v>
      </c>
      <c r="F254" s="1723">
        <f t="shared" si="24"/>
        <v>0</v>
      </c>
      <c r="G254" s="1723">
        <f t="shared" si="25"/>
        <v>0</v>
      </c>
      <c r="H254" s="1723">
        <f t="shared" si="26"/>
        <v>0</v>
      </c>
    </row>
    <row r="255" spans="1:8">
      <c r="A255" s="1717">
        <f t="shared" si="27"/>
        <v>243</v>
      </c>
      <c r="B255" s="1722" t="str">
        <f t="shared" si="28"/>
        <v/>
      </c>
      <c r="C255" s="1723">
        <f t="shared" si="22"/>
        <v>0</v>
      </c>
      <c r="D255" s="1723">
        <f t="shared" si="23"/>
        <v>0</v>
      </c>
      <c r="E255" s="1723">
        <f>IF(A254&lt;$B$6*12,ROUND(C255*'9a.PASS'!$C$21/12,2),"")</f>
        <v>0</v>
      </c>
      <c r="F255" s="1723">
        <f t="shared" si="24"/>
        <v>0</v>
      </c>
      <c r="G255" s="1723">
        <f t="shared" si="25"/>
        <v>0</v>
      </c>
      <c r="H255" s="1723">
        <f t="shared" si="26"/>
        <v>0</v>
      </c>
    </row>
    <row r="256" spans="1:8">
      <c r="A256" s="1717">
        <f t="shared" si="27"/>
        <v>244</v>
      </c>
      <c r="B256" s="1722" t="str">
        <f t="shared" si="28"/>
        <v/>
      </c>
      <c r="C256" s="1723">
        <f t="shared" si="22"/>
        <v>0</v>
      </c>
      <c r="D256" s="1723">
        <f t="shared" si="23"/>
        <v>0</v>
      </c>
      <c r="E256" s="1723">
        <f>IF(A255&lt;$B$6*12,ROUND(C256*'9a.PASS'!$C$21/12,2),"")</f>
        <v>0</v>
      </c>
      <c r="F256" s="1723">
        <f t="shared" si="24"/>
        <v>0</v>
      </c>
      <c r="G256" s="1723">
        <f t="shared" si="25"/>
        <v>0</v>
      </c>
      <c r="H256" s="1723">
        <f t="shared" si="26"/>
        <v>0</v>
      </c>
    </row>
    <row r="257" spans="1:8">
      <c r="A257" s="1717">
        <f t="shared" si="27"/>
        <v>245</v>
      </c>
      <c r="B257" s="1722" t="str">
        <f t="shared" si="28"/>
        <v/>
      </c>
      <c r="C257" s="1723">
        <f t="shared" si="22"/>
        <v>0</v>
      </c>
      <c r="D257" s="1723">
        <f t="shared" si="23"/>
        <v>0</v>
      </c>
      <c r="E257" s="1723">
        <f>IF(A256&lt;$B$6*12,ROUND(C257*'9a.PASS'!$C$21/12,2),"")</f>
        <v>0</v>
      </c>
      <c r="F257" s="1723">
        <f t="shared" si="24"/>
        <v>0</v>
      </c>
      <c r="G257" s="1723">
        <f t="shared" si="25"/>
        <v>0</v>
      </c>
      <c r="H257" s="1723">
        <f t="shared" si="26"/>
        <v>0</v>
      </c>
    </row>
    <row r="258" spans="1:8">
      <c r="A258" s="1717">
        <f t="shared" si="27"/>
        <v>246</v>
      </c>
      <c r="B258" s="1722" t="str">
        <f t="shared" si="28"/>
        <v/>
      </c>
      <c r="C258" s="1723">
        <f t="shared" si="22"/>
        <v>0</v>
      </c>
      <c r="D258" s="1723">
        <f t="shared" si="23"/>
        <v>0</v>
      </c>
      <c r="E258" s="1723">
        <f>IF(A257&lt;$B$6*12,ROUND(C258*'9a.PASS'!$C$21/12,2),"")</f>
        <v>0</v>
      </c>
      <c r="F258" s="1723">
        <f t="shared" si="24"/>
        <v>0</v>
      </c>
      <c r="G258" s="1723">
        <f t="shared" si="25"/>
        <v>0</v>
      </c>
      <c r="H258" s="1723">
        <f t="shared" si="26"/>
        <v>0</v>
      </c>
    </row>
    <row r="259" spans="1:8">
      <c r="A259" s="1717">
        <f t="shared" si="27"/>
        <v>247</v>
      </c>
      <c r="B259" s="1722" t="str">
        <f t="shared" si="28"/>
        <v/>
      </c>
      <c r="C259" s="1723">
        <f t="shared" si="22"/>
        <v>0</v>
      </c>
      <c r="D259" s="1723">
        <f t="shared" si="23"/>
        <v>0</v>
      </c>
      <c r="E259" s="1723">
        <f>IF(A258&lt;$B$6*12,ROUND(C259*'9a.PASS'!$C$21/12,2),"")</f>
        <v>0</v>
      </c>
      <c r="F259" s="1723">
        <f t="shared" si="24"/>
        <v>0</v>
      </c>
      <c r="G259" s="1723">
        <f t="shared" si="25"/>
        <v>0</v>
      </c>
      <c r="H259" s="1723">
        <f t="shared" si="26"/>
        <v>0</v>
      </c>
    </row>
    <row r="260" spans="1:8">
      <c r="A260" s="1717">
        <f t="shared" si="27"/>
        <v>248</v>
      </c>
      <c r="B260" s="1722" t="str">
        <f t="shared" si="28"/>
        <v/>
      </c>
      <c r="C260" s="1723">
        <f t="shared" si="22"/>
        <v>0</v>
      </c>
      <c r="D260" s="1723">
        <f t="shared" si="23"/>
        <v>0</v>
      </c>
      <c r="E260" s="1723">
        <f>IF(A259&lt;$B$6*12,ROUND(C260*'9a.PASS'!$C$21/12,2),"")</f>
        <v>0</v>
      </c>
      <c r="F260" s="1723">
        <f t="shared" si="24"/>
        <v>0</v>
      </c>
      <c r="G260" s="1723">
        <f t="shared" si="25"/>
        <v>0</v>
      </c>
      <c r="H260" s="1723">
        <f t="shared" si="26"/>
        <v>0</v>
      </c>
    </row>
    <row r="261" spans="1:8">
      <c r="A261" s="1717">
        <f t="shared" si="27"/>
        <v>249</v>
      </c>
      <c r="B261" s="1722" t="str">
        <f t="shared" si="28"/>
        <v/>
      </c>
      <c r="C261" s="1723">
        <f t="shared" si="22"/>
        <v>0</v>
      </c>
      <c r="D261" s="1723">
        <f t="shared" si="23"/>
        <v>0</v>
      </c>
      <c r="E261" s="1723">
        <f>IF(A260&lt;$B$6*12,ROUND(C261*'9a.PASS'!$C$21/12,2),"")</f>
        <v>0</v>
      </c>
      <c r="F261" s="1723">
        <f t="shared" si="24"/>
        <v>0</v>
      </c>
      <c r="G261" s="1723">
        <f t="shared" si="25"/>
        <v>0</v>
      </c>
      <c r="H261" s="1723">
        <f t="shared" si="26"/>
        <v>0</v>
      </c>
    </row>
    <row r="262" spans="1:8">
      <c r="A262" s="1717">
        <f t="shared" si="27"/>
        <v>250</v>
      </c>
      <c r="B262" s="1722" t="str">
        <f t="shared" si="28"/>
        <v/>
      </c>
      <c r="C262" s="1723">
        <f t="shared" si="22"/>
        <v>0</v>
      </c>
      <c r="D262" s="1723">
        <f t="shared" si="23"/>
        <v>0</v>
      </c>
      <c r="E262" s="1723">
        <f>IF(A261&lt;$B$6*12,ROUND(C262*'9a.PASS'!$C$21/12,2),"")</f>
        <v>0</v>
      </c>
      <c r="F262" s="1723">
        <f t="shared" si="24"/>
        <v>0</v>
      </c>
      <c r="G262" s="1723">
        <f t="shared" si="25"/>
        <v>0</v>
      </c>
      <c r="H262" s="1723">
        <f t="shared" si="26"/>
        <v>0</v>
      </c>
    </row>
    <row r="263" spans="1:8">
      <c r="A263" s="1717">
        <f t="shared" si="27"/>
        <v>251</v>
      </c>
      <c r="B263" s="1722" t="str">
        <f t="shared" si="28"/>
        <v/>
      </c>
      <c r="C263" s="1723">
        <f t="shared" si="22"/>
        <v>0</v>
      </c>
      <c r="D263" s="1723">
        <f t="shared" si="23"/>
        <v>0</v>
      </c>
      <c r="E263" s="1723">
        <f>IF(A262&lt;$B$6*12,ROUND(C263*'9a.PASS'!$C$21/12,2),"")</f>
        <v>0</v>
      </c>
      <c r="F263" s="1723">
        <f t="shared" si="24"/>
        <v>0</v>
      </c>
      <c r="G263" s="1723">
        <f t="shared" si="25"/>
        <v>0</v>
      </c>
      <c r="H263" s="1723">
        <f t="shared" si="26"/>
        <v>0</v>
      </c>
    </row>
    <row r="264" spans="1:8">
      <c r="A264" s="1717">
        <f t="shared" si="27"/>
        <v>252</v>
      </c>
      <c r="B264" s="1722" t="str">
        <f t="shared" si="28"/>
        <v/>
      </c>
      <c r="C264" s="1723">
        <f t="shared" si="22"/>
        <v>0</v>
      </c>
      <c r="D264" s="1723">
        <f t="shared" si="23"/>
        <v>0</v>
      </c>
      <c r="E264" s="1723">
        <f>IF(A263&lt;$B$6*12,ROUND(C264*'9a.PASS'!$C$21/12,2),"")</f>
        <v>0</v>
      </c>
      <c r="F264" s="1723">
        <f t="shared" si="24"/>
        <v>0</v>
      </c>
      <c r="G264" s="1723">
        <f t="shared" si="25"/>
        <v>0</v>
      </c>
      <c r="H264" s="1723">
        <f t="shared" si="26"/>
        <v>0</v>
      </c>
    </row>
    <row r="265" spans="1:8">
      <c r="A265" s="1717">
        <f t="shared" si="27"/>
        <v>253</v>
      </c>
      <c r="B265" s="1722" t="str">
        <f t="shared" si="28"/>
        <v/>
      </c>
      <c r="C265" s="1723">
        <f t="shared" si="22"/>
        <v>0</v>
      </c>
      <c r="D265" s="1723">
        <f t="shared" si="23"/>
        <v>0</v>
      </c>
      <c r="E265" s="1723">
        <f>IF(A264&lt;$B$6*12,ROUND(C265*'9a.PASS'!$C$21/12,2),"")</f>
        <v>0</v>
      </c>
      <c r="F265" s="1723">
        <f t="shared" si="24"/>
        <v>0</v>
      </c>
      <c r="G265" s="1723">
        <f t="shared" si="25"/>
        <v>0</v>
      </c>
      <c r="H265" s="1723">
        <f t="shared" si="26"/>
        <v>0</v>
      </c>
    </row>
    <row r="266" spans="1:8">
      <c r="A266" s="1717">
        <f t="shared" si="27"/>
        <v>254</v>
      </c>
      <c r="B266" s="1722" t="str">
        <f t="shared" si="28"/>
        <v/>
      </c>
      <c r="C266" s="1723">
        <f t="shared" si="22"/>
        <v>0</v>
      </c>
      <c r="D266" s="1723">
        <f t="shared" si="23"/>
        <v>0</v>
      </c>
      <c r="E266" s="1723">
        <f>IF(A265&lt;$B$6*12,ROUND(C266*'9a.PASS'!$C$21/12,2),"")</f>
        <v>0</v>
      </c>
      <c r="F266" s="1723">
        <f t="shared" si="24"/>
        <v>0</v>
      </c>
      <c r="G266" s="1723">
        <f t="shared" si="25"/>
        <v>0</v>
      </c>
      <c r="H266" s="1723">
        <f t="shared" si="26"/>
        <v>0</v>
      </c>
    </row>
    <row r="267" spans="1:8">
      <c r="A267" s="1717">
        <f t="shared" si="27"/>
        <v>255</v>
      </c>
      <c r="B267" s="1722" t="str">
        <f t="shared" si="28"/>
        <v/>
      </c>
      <c r="C267" s="1723">
        <f t="shared" si="22"/>
        <v>0</v>
      </c>
      <c r="D267" s="1723">
        <f t="shared" si="23"/>
        <v>0</v>
      </c>
      <c r="E267" s="1723">
        <f>IF(A266&lt;$B$6*12,ROUND(C267*'9a.PASS'!$C$21/12,2),"")</f>
        <v>0</v>
      </c>
      <c r="F267" s="1723">
        <f t="shared" si="24"/>
        <v>0</v>
      </c>
      <c r="G267" s="1723">
        <f t="shared" si="25"/>
        <v>0</v>
      </c>
      <c r="H267" s="1723">
        <f t="shared" si="26"/>
        <v>0</v>
      </c>
    </row>
    <row r="268" spans="1:8">
      <c r="A268" s="1717">
        <f t="shared" si="27"/>
        <v>256</v>
      </c>
      <c r="B268" s="1722" t="str">
        <f t="shared" si="28"/>
        <v/>
      </c>
      <c r="C268" s="1723">
        <f t="shared" si="22"/>
        <v>0</v>
      </c>
      <c r="D268" s="1723">
        <f t="shared" si="23"/>
        <v>0</v>
      </c>
      <c r="E268" s="1723">
        <f>IF(A267&lt;$B$6*12,ROUND(C268*'9a.PASS'!$C$21/12,2),"")</f>
        <v>0</v>
      </c>
      <c r="F268" s="1723">
        <f t="shared" si="24"/>
        <v>0</v>
      </c>
      <c r="G268" s="1723">
        <f t="shared" si="25"/>
        <v>0</v>
      </c>
      <c r="H268" s="1723">
        <f t="shared" si="26"/>
        <v>0</v>
      </c>
    </row>
    <row r="269" spans="1:8">
      <c r="A269" s="1717">
        <f t="shared" si="27"/>
        <v>257</v>
      </c>
      <c r="B269" s="1722" t="str">
        <f t="shared" si="28"/>
        <v/>
      </c>
      <c r="C269" s="1723">
        <f t="shared" si="22"/>
        <v>0</v>
      </c>
      <c r="D269" s="1723">
        <f t="shared" si="23"/>
        <v>0</v>
      </c>
      <c r="E269" s="1723">
        <f>IF(A268&lt;$B$6*12,ROUND(C269*'9a.PASS'!$C$21/12,2),"")</f>
        <v>0</v>
      </c>
      <c r="F269" s="1723">
        <f t="shared" si="24"/>
        <v>0</v>
      </c>
      <c r="G269" s="1723">
        <f t="shared" si="25"/>
        <v>0</v>
      </c>
      <c r="H269" s="1723">
        <f t="shared" si="26"/>
        <v>0</v>
      </c>
    </row>
    <row r="270" spans="1:8">
      <c r="A270" s="1717">
        <f t="shared" si="27"/>
        <v>258</v>
      </c>
      <c r="B270" s="1722" t="str">
        <f t="shared" si="28"/>
        <v/>
      </c>
      <c r="C270" s="1723">
        <f t="shared" ref="C270:C333" si="29">IF(A269&lt;$B$6*12,H269,"")</f>
        <v>0</v>
      </c>
      <c r="D270" s="1723">
        <f t="shared" ref="D270:D333" si="30">IF(A270=$B$6*12,SUM(C270,E270:F270),IF(A269&lt;$B$6*12,$B$8,""))</f>
        <v>0</v>
      </c>
      <c r="E270" s="1723">
        <f>IF(A269&lt;$B$6*12,ROUND(C270*'9a.PASS'!$C$21/12,2),"")</f>
        <v>0</v>
      </c>
      <c r="F270" s="1723">
        <f t="shared" ref="F270:F333" si="31">IF(A269&lt;$B$6*12,ROUND(C270*$B$5/12,2)-E270,"")</f>
        <v>0</v>
      </c>
      <c r="G270" s="1723">
        <f t="shared" ref="G270:G333" si="32">IF(A269&lt;$B$6*12,D270-SUM(E270:F270),"")</f>
        <v>0</v>
      </c>
      <c r="H270" s="1723">
        <f t="shared" ref="H270:H333" si="33">IF(A269&lt;$B$6*12,C270-G270,"")</f>
        <v>0</v>
      </c>
    </row>
    <row r="271" spans="1:8">
      <c r="A271" s="1717">
        <f t="shared" ref="A271:A334" si="34">IF(A270&lt;$B$6*12,A270+1,"")</f>
        <v>259</v>
      </c>
      <c r="B271" s="1722" t="str">
        <f t="shared" ref="B271:B334" si="35">IFERROR(EDATE(B270,1),"")</f>
        <v/>
      </c>
      <c r="C271" s="1723">
        <f t="shared" si="29"/>
        <v>0</v>
      </c>
      <c r="D271" s="1723">
        <f t="shared" si="30"/>
        <v>0</v>
      </c>
      <c r="E271" s="1723">
        <f>IF(A270&lt;$B$6*12,ROUND(C271*'9a.PASS'!$C$21/12,2),"")</f>
        <v>0</v>
      </c>
      <c r="F271" s="1723">
        <f t="shared" si="31"/>
        <v>0</v>
      </c>
      <c r="G271" s="1723">
        <f t="shared" si="32"/>
        <v>0</v>
      </c>
      <c r="H271" s="1723">
        <f t="shared" si="33"/>
        <v>0</v>
      </c>
    </row>
    <row r="272" spans="1:8">
      <c r="A272" s="1717">
        <f t="shared" si="34"/>
        <v>260</v>
      </c>
      <c r="B272" s="1722" t="str">
        <f t="shared" si="35"/>
        <v/>
      </c>
      <c r="C272" s="1723">
        <f t="shared" si="29"/>
        <v>0</v>
      </c>
      <c r="D272" s="1723">
        <f t="shared" si="30"/>
        <v>0</v>
      </c>
      <c r="E272" s="1723">
        <f>IF(A271&lt;$B$6*12,ROUND(C272*'9a.PASS'!$C$21/12,2),"")</f>
        <v>0</v>
      </c>
      <c r="F272" s="1723">
        <f t="shared" si="31"/>
        <v>0</v>
      </c>
      <c r="G272" s="1723">
        <f t="shared" si="32"/>
        <v>0</v>
      </c>
      <c r="H272" s="1723">
        <f t="shared" si="33"/>
        <v>0</v>
      </c>
    </row>
    <row r="273" spans="1:8">
      <c r="A273" s="1717">
        <f t="shared" si="34"/>
        <v>261</v>
      </c>
      <c r="B273" s="1722" t="str">
        <f t="shared" si="35"/>
        <v/>
      </c>
      <c r="C273" s="1723">
        <f t="shared" si="29"/>
        <v>0</v>
      </c>
      <c r="D273" s="1723">
        <f t="shared" si="30"/>
        <v>0</v>
      </c>
      <c r="E273" s="1723">
        <f>IF(A272&lt;$B$6*12,ROUND(C273*'9a.PASS'!$C$21/12,2),"")</f>
        <v>0</v>
      </c>
      <c r="F273" s="1723">
        <f t="shared" si="31"/>
        <v>0</v>
      </c>
      <c r="G273" s="1723">
        <f t="shared" si="32"/>
        <v>0</v>
      </c>
      <c r="H273" s="1723">
        <f t="shared" si="33"/>
        <v>0</v>
      </c>
    </row>
    <row r="274" spans="1:8">
      <c r="A274" s="1717">
        <f t="shared" si="34"/>
        <v>262</v>
      </c>
      <c r="B274" s="1722" t="str">
        <f t="shared" si="35"/>
        <v/>
      </c>
      <c r="C274" s="1723">
        <f t="shared" si="29"/>
        <v>0</v>
      </c>
      <c r="D274" s="1723">
        <f t="shared" si="30"/>
        <v>0</v>
      </c>
      <c r="E274" s="1723">
        <f>IF(A273&lt;$B$6*12,ROUND(C274*'9a.PASS'!$C$21/12,2),"")</f>
        <v>0</v>
      </c>
      <c r="F274" s="1723">
        <f t="shared" si="31"/>
        <v>0</v>
      </c>
      <c r="G274" s="1723">
        <f t="shared" si="32"/>
        <v>0</v>
      </c>
      <c r="H274" s="1723">
        <f t="shared" si="33"/>
        <v>0</v>
      </c>
    </row>
    <row r="275" spans="1:8">
      <c r="A275" s="1717">
        <f t="shared" si="34"/>
        <v>263</v>
      </c>
      <c r="B275" s="1722" t="str">
        <f t="shared" si="35"/>
        <v/>
      </c>
      <c r="C275" s="1723">
        <f t="shared" si="29"/>
        <v>0</v>
      </c>
      <c r="D275" s="1723">
        <f t="shared" si="30"/>
        <v>0</v>
      </c>
      <c r="E275" s="1723">
        <f>IF(A274&lt;$B$6*12,ROUND(C275*'9a.PASS'!$C$21/12,2),"")</f>
        <v>0</v>
      </c>
      <c r="F275" s="1723">
        <f t="shared" si="31"/>
        <v>0</v>
      </c>
      <c r="G275" s="1723">
        <f t="shared" si="32"/>
        <v>0</v>
      </c>
      <c r="H275" s="1723">
        <f t="shared" si="33"/>
        <v>0</v>
      </c>
    </row>
    <row r="276" spans="1:8">
      <c r="A276" s="1717">
        <f t="shared" si="34"/>
        <v>264</v>
      </c>
      <c r="B276" s="1722" t="str">
        <f t="shared" si="35"/>
        <v/>
      </c>
      <c r="C276" s="1723">
        <f t="shared" si="29"/>
        <v>0</v>
      </c>
      <c r="D276" s="1723">
        <f t="shared" si="30"/>
        <v>0</v>
      </c>
      <c r="E276" s="1723">
        <f>IF(A275&lt;$B$6*12,ROUND(C276*'9a.PASS'!$C$21/12,2),"")</f>
        <v>0</v>
      </c>
      <c r="F276" s="1723">
        <f t="shared" si="31"/>
        <v>0</v>
      </c>
      <c r="G276" s="1723">
        <f t="shared" si="32"/>
        <v>0</v>
      </c>
      <c r="H276" s="1723">
        <f t="shared" si="33"/>
        <v>0</v>
      </c>
    </row>
    <row r="277" spans="1:8">
      <c r="A277" s="1717">
        <f t="shared" si="34"/>
        <v>265</v>
      </c>
      <c r="B277" s="1722" t="str">
        <f t="shared" si="35"/>
        <v/>
      </c>
      <c r="C277" s="1723">
        <f t="shared" si="29"/>
        <v>0</v>
      </c>
      <c r="D277" s="1723">
        <f t="shared" si="30"/>
        <v>0</v>
      </c>
      <c r="E277" s="1723">
        <f>IF(A276&lt;$B$6*12,ROUND(C277*'9a.PASS'!$C$21/12,2),"")</f>
        <v>0</v>
      </c>
      <c r="F277" s="1723">
        <f t="shared" si="31"/>
        <v>0</v>
      </c>
      <c r="G277" s="1723">
        <f t="shared" si="32"/>
        <v>0</v>
      </c>
      <c r="H277" s="1723">
        <f t="shared" si="33"/>
        <v>0</v>
      </c>
    </row>
    <row r="278" spans="1:8">
      <c r="A278" s="1717">
        <f t="shared" si="34"/>
        <v>266</v>
      </c>
      <c r="B278" s="1722" t="str">
        <f t="shared" si="35"/>
        <v/>
      </c>
      <c r="C278" s="1723">
        <f t="shared" si="29"/>
        <v>0</v>
      </c>
      <c r="D278" s="1723">
        <f t="shared" si="30"/>
        <v>0</v>
      </c>
      <c r="E278" s="1723">
        <f>IF(A277&lt;$B$6*12,ROUND(C278*'9a.PASS'!$C$21/12,2),"")</f>
        <v>0</v>
      </c>
      <c r="F278" s="1723">
        <f t="shared" si="31"/>
        <v>0</v>
      </c>
      <c r="G278" s="1723">
        <f t="shared" si="32"/>
        <v>0</v>
      </c>
      <c r="H278" s="1723">
        <f t="shared" si="33"/>
        <v>0</v>
      </c>
    </row>
    <row r="279" spans="1:8">
      <c r="A279" s="1717">
        <f t="shared" si="34"/>
        <v>267</v>
      </c>
      <c r="B279" s="1722" t="str">
        <f t="shared" si="35"/>
        <v/>
      </c>
      <c r="C279" s="1723">
        <f t="shared" si="29"/>
        <v>0</v>
      </c>
      <c r="D279" s="1723">
        <f t="shared" si="30"/>
        <v>0</v>
      </c>
      <c r="E279" s="1723">
        <f>IF(A278&lt;$B$6*12,ROUND(C279*'9a.PASS'!$C$21/12,2),"")</f>
        <v>0</v>
      </c>
      <c r="F279" s="1723">
        <f t="shared" si="31"/>
        <v>0</v>
      </c>
      <c r="G279" s="1723">
        <f t="shared" si="32"/>
        <v>0</v>
      </c>
      <c r="H279" s="1723">
        <f t="shared" si="33"/>
        <v>0</v>
      </c>
    </row>
    <row r="280" spans="1:8">
      <c r="A280" s="1717">
        <f t="shared" si="34"/>
        <v>268</v>
      </c>
      <c r="B280" s="1722" t="str">
        <f t="shared" si="35"/>
        <v/>
      </c>
      <c r="C280" s="1723">
        <f t="shared" si="29"/>
        <v>0</v>
      </c>
      <c r="D280" s="1723">
        <f t="shared" si="30"/>
        <v>0</v>
      </c>
      <c r="E280" s="1723">
        <f>IF(A279&lt;$B$6*12,ROUND(C280*'9a.PASS'!$C$21/12,2),"")</f>
        <v>0</v>
      </c>
      <c r="F280" s="1723">
        <f t="shared" si="31"/>
        <v>0</v>
      </c>
      <c r="G280" s="1723">
        <f t="shared" si="32"/>
        <v>0</v>
      </c>
      <c r="H280" s="1723">
        <f t="shared" si="33"/>
        <v>0</v>
      </c>
    </row>
    <row r="281" spans="1:8">
      <c r="A281" s="1717">
        <f t="shared" si="34"/>
        <v>269</v>
      </c>
      <c r="B281" s="1722" t="str">
        <f t="shared" si="35"/>
        <v/>
      </c>
      <c r="C281" s="1723">
        <f t="shared" si="29"/>
        <v>0</v>
      </c>
      <c r="D281" s="1723">
        <f t="shared" si="30"/>
        <v>0</v>
      </c>
      <c r="E281" s="1723">
        <f>IF(A280&lt;$B$6*12,ROUND(C281*'9a.PASS'!$C$21/12,2),"")</f>
        <v>0</v>
      </c>
      <c r="F281" s="1723">
        <f t="shared" si="31"/>
        <v>0</v>
      </c>
      <c r="G281" s="1723">
        <f t="shared" si="32"/>
        <v>0</v>
      </c>
      <c r="H281" s="1723">
        <f t="shared" si="33"/>
        <v>0</v>
      </c>
    </row>
    <row r="282" spans="1:8">
      <c r="A282" s="1717">
        <f t="shared" si="34"/>
        <v>270</v>
      </c>
      <c r="B282" s="1722" t="str">
        <f t="shared" si="35"/>
        <v/>
      </c>
      <c r="C282" s="1723">
        <f t="shared" si="29"/>
        <v>0</v>
      </c>
      <c r="D282" s="1723">
        <f t="shared" si="30"/>
        <v>0</v>
      </c>
      <c r="E282" s="1723">
        <f>IF(A281&lt;$B$6*12,ROUND(C282*'9a.PASS'!$C$21/12,2),"")</f>
        <v>0</v>
      </c>
      <c r="F282" s="1723">
        <f t="shared" si="31"/>
        <v>0</v>
      </c>
      <c r="G282" s="1723">
        <f t="shared" si="32"/>
        <v>0</v>
      </c>
      <c r="H282" s="1723">
        <f t="shared" si="33"/>
        <v>0</v>
      </c>
    </row>
    <row r="283" spans="1:8">
      <c r="A283" s="1717">
        <f t="shared" si="34"/>
        <v>271</v>
      </c>
      <c r="B283" s="1722" t="str">
        <f t="shared" si="35"/>
        <v/>
      </c>
      <c r="C283" s="1723">
        <f t="shared" si="29"/>
        <v>0</v>
      </c>
      <c r="D283" s="1723">
        <f t="shared" si="30"/>
        <v>0</v>
      </c>
      <c r="E283" s="1723">
        <f>IF(A282&lt;$B$6*12,ROUND(C283*'9a.PASS'!$C$21/12,2),"")</f>
        <v>0</v>
      </c>
      <c r="F283" s="1723">
        <f t="shared" si="31"/>
        <v>0</v>
      </c>
      <c r="G283" s="1723">
        <f t="shared" si="32"/>
        <v>0</v>
      </c>
      <c r="H283" s="1723">
        <f t="shared" si="33"/>
        <v>0</v>
      </c>
    </row>
    <row r="284" spans="1:8">
      <c r="A284" s="1717">
        <f t="shared" si="34"/>
        <v>272</v>
      </c>
      <c r="B284" s="1722" t="str">
        <f t="shared" si="35"/>
        <v/>
      </c>
      <c r="C284" s="1723">
        <f t="shared" si="29"/>
        <v>0</v>
      </c>
      <c r="D284" s="1723">
        <f t="shared" si="30"/>
        <v>0</v>
      </c>
      <c r="E284" s="1723">
        <f>IF(A283&lt;$B$6*12,ROUND(C284*'9a.PASS'!$C$21/12,2),"")</f>
        <v>0</v>
      </c>
      <c r="F284" s="1723">
        <f t="shared" si="31"/>
        <v>0</v>
      </c>
      <c r="G284" s="1723">
        <f t="shared" si="32"/>
        <v>0</v>
      </c>
      <c r="H284" s="1723">
        <f t="shared" si="33"/>
        <v>0</v>
      </c>
    </row>
    <row r="285" spans="1:8">
      <c r="A285" s="1717">
        <f t="shared" si="34"/>
        <v>273</v>
      </c>
      <c r="B285" s="1722" t="str">
        <f t="shared" si="35"/>
        <v/>
      </c>
      <c r="C285" s="1723">
        <f t="shared" si="29"/>
        <v>0</v>
      </c>
      <c r="D285" s="1723">
        <f t="shared" si="30"/>
        <v>0</v>
      </c>
      <c r="E285" s="1723">
        <f>IF(A284&lt;$B$6*12,ROUND(C285*'9a.PASS'!$C$21/12,2),"")</f>
        <v>0</v>
      </c>
      <c r="F285" s="1723">
        <f t="shared" si="31"/>
        <v>0</v>
      </c>
      <c r="G285" s="1723">
        <f t="shared" si="32"/>
        <v>0</v>
      </c>
      <c r="H285" s="1723">
        <f t="shared" si="33"/>
        <v>0</v>
      </c>
    </row>
    <row r="286" spans="1:8">
      <c r="A286" s="1717">
        <f t="shared" si="34"/>
        <v>274</v>
      </c>
      <c r="B286" s="1722" t="str">
        <f t="shared" si="35"/>
        <v/>
      </c>
      <c r="C286" s="1723">
        <f t="shared" si="29"/>
        <v>0</v>
      </c>
      <c r="D286" s="1723">
        <f t="shared" si="30"/>
        <v>0</v>
      </c>
      <c r="E286" s="1723">
        <f>IF(A285&lt;$B$6*12,ROUND(C286*'9a.PASS'!$C$21/12,2),"")</f>
        <v>0</v>
      </c>
      <c r="F286" s="1723">
        <f t="shared" si="31"/>
        <v>0</v>
      </c>
      <c r="G286" s="1723">
        <f t="shared" si="32"/>
        <v>0</v>
      </c>
      <c r="H286" s="1723">
        <f t="shared" si="33"/>
        <v>0</v>
      </c>
    </row>
    <row r="287" spans="1:8">
      <c r="A287" s="1717">
        <f t="shared" si="34"/>
        <v>275</v>
      </c>
      <c r="B287" s="1722" t="str">
        <f t="shared" si="35"/>
        <v/>
      </c>
      <c r="C287" s="1723">
        <f t="shared" si="29"/>
        <v>0</v>
      </c>
      <c r="D287" s="1723">
        <f t="shared" si="30"/>
        <v>0</v>
      </c>
      <c r="E287" s="1723">
        <f>IF(A286&lt;$B$6*12,ROUND(C287*'9a.PASS'!$C$21/12,2),"")</f>
        <v>0</v>
      </c>
      <c r="F287" s="1723">
        <f t="shared" si="31"/>
        <v>0</v>
      </c>
      <c r="G287" s="1723">
        <f t="shared" si="32"/>
        <v>0</v>
      </c>
      <c r="H287" s="1723">
        <f t="shared" si="33"/>
        <v>0</v>
      </c>
    </row>
    <row r="288" spans="1:8">
      <c r="A288" s="1717">
        <f t="shared" si="34"/>
        <v>276</v>
      </c>
      <c r="B288" s="1722" t="str">
        <f t="shared" si="35"/>
        <v/>
      </c>
      <c r="C288" s="1723">
        <f t="shared" si="29"/>
        <v>0</v>
      </c>
      <c r="D288" s="1723">
        <f t="shared" si="30"/>
        <v>0</v>
      </c>
      <c r="E288" s="1723">
        <f>IF(A287&lt;$B$6*12,ROUND(C288*'9a.PASS'!$C$21/12,2),"")</f>
        <v>0</v>
      </c>
      <c r="F288" s="1723">
        <f t="shared" si="31"/>
        <v>0</v>
      </c>
      <c r="G288" s="1723">
        <f t="shared" si="32"/>
        <v>0</v>
      </c>
      <c r="H288" s="1723">
        <f t="shared" si="33"/>
        <v>0</v>
      </c>
    </row>
    <row r="289" spans="1:8">
      <c r="A289" s="1717">
        <f t="shared" si="34"/>
        <v>277</v>
      </c>
      <c r="B289" s="1722" t="str">
        <f t="shared" si="35"/>
        <v/>
      </c>
      <c r="C289" s="1723">
        <f t="shared" si="29"/>
        <v>0</v>
      </c>
      <c r="D289" s="1723">
        <f t="shared" si="30"/>
        <v>0</v>
      </c>
      <c r="E289" s="1723">
        <f>IF(A288&lt;$B$6*12,ROUND(C289*'9a.PASS'!$C$21/12,2),"")</f>
        <v>0</v>
      </c>
      <c r="F289" s="1723">
        <f t="shared" si="31"/>
        <v>0</v>
      </c>
      <c r="G289" s="1723">
        <f t="shared" si="32"/>
        <v>0</v>
      </c>
      <c r="H289" s="1723">
        <f t="shared" si="33"/>
        <v>0</v>
      </c>
    </row>
    <row r="290" spans="1:8">
      <c r="A290" s="1717">
        <f t="shared" si="34"/>
        <v>278</v>
      </c>
      <c r="B290" s="1722" t="str">
        <f t="shared" si="35"/>
        <v/>
      </c>
      <c r="C290" s="1723">
        <f t="shared" si="29"/>
        <v>0</v>
      </c>
      <c r="D290" s="1723">
        <f t="shared" si="30"/>
        <v>0</v>
      </c>
      <c r="E290" s="1723">
        <f>IF(A289&lt;$B$6*12,ROUND(C290*'9a.PASS'!$C$21/12,2),"")</f>
        <v>0</v>
      </c>
      <c r="F290" s="1723">
        <f t="shared" si="31"/>
        <v>0</v>
      </c>
      <c r="G290" s="1723">
        <f t="shared" si="32"/>
        <v>0</v>
      </c>
      <c r="H290" s="1723">
        <f t="shared" si="33"/>
        <v>0</v>
      </c>
    </row>
    <row r="291" spans="1:8">
      <c r="A291" s="1717">
        <f t="shared" si="34"/>
        <v>279</v>
      </c>
      <c r="B291" s="1722" t="str">
        <f t="shared" si="35"/>
        <v/>
      </c>
      <c r="C291" s="1723">
        <f t="shared" si="29"/>
        <v>0</v>
      </c>
      <c r="D291" s="1723">
        <f t="shared" si="30"/>
        <v>0</v>
      </c>
      <c r="E291" s="1723">
        <f>IF(A290&lt;$B$6*12,ROUND(C291*'9a.PASS'!$C$21/12,2),"")</f>
        <v>0</v>
      </c>
      <c r="F291" s="1723">
        <f t="shared" si="31"/>
        <v>0</v>
      </c>
      <c r="G291" s="1723">
        <f t="shared" si="32"/>
        <v>0</v>
      </c>
      <c r="H291" s="1723">
        <f t="shared" si="33"/>
        <v>0</v>
      </c>
    </row>
    <row r="292" spans="1:8">
      <c r="A292" s="1717">
        <f t="shared" si="34"/>
        <v>280</v>
      </c>
      <c r="B292" s="1722" t="str">
        <f t="shared" si="35"/>
        <v/>
      </c>
      <c r="C292" s="1723">
        <f t="shared" si="29"/>
        <v>0</v>
      </c>
      <c r="D292" s="1723">
        <f t="shared" si="30"/>
        <v>0</v>
      </c>
      <c r="E292" s="1723">
        <f>IF(A291&lt;$B$6*12,ROUND(C292*'9a.PASS'!$C$21/12,2),"")</f>
        <v>0</v>
      </c>
      <c r="F292" s="1723">
        <f t="shared" si="31"/>
        <v>0</v>
      </c>
      <c r="G292" s="1723">
        <f t="shared" si="32"/>
        <v>0</v>
      </c>
      <c r="H292" s="1723">
        <f t="shared" si="33"/>
        <v>0</v>
      </c>
    </row>
    <row r="293" spans="1:8">
      <c r="A293" s="1717">
        <f t="shared" si="34"/>
        <v>281</v>
      </c>
      <c r="B293" s="1722" t="str">
        <f t="shared" si="35"/>
        <v/>
      </c>
      <c r="C293" s="1723">
        <f t="shared" si="29"/>
        <v>0</v>
      </c>
      <c r="D293" s="1723">
        <f t="shared" si="30"/>
        <v>0</v>
      </c>
      <c r="E293" s="1723">
        <f>IF(A292&lt;$B$6*12,ROUND(C293*'9a.PASS'!$C$21/12,2),"")</f>
        <v>0</v>
      </c>
      <c r="F293" s="1723">
        <f t="shared" si="31"/>
        <v>0</v>
      </c>
      <c r="G293" s="1723">
        <f t="shared" si="32"/>
        <v>0</v>
      </c>
      <c r="H293" s="1723">
        <f t="shared" si="33"/>
        <v>0</v>
      </c>
    </row>
    <row r="294" spans="1:8">
      <c r="A294" s="1717">
        <f t="shared" si="34"/>
        <v>282</v>
      </c>
      <c r="B294" s="1722" t="str">
        <f t="shared" si="35"/>
        <v/>
      </c>
      <c r="C294" s="1723">
        <f t="shared" si="29"/>
        <v>0</v>
      </c>
      <c r="D294" s="1723">
        <f t="shared" si="30"/>
        <v>0</v>
      </c>
      <c r="E294" s="1723">
        <f>IF(A293&lt;$B$6*12,ROUND(C294*'9a.PASS'!$C$21/12,2),"")</f>
        <v>0</v>
      </c>
      <c r="F294" s="1723">
        <f t="shared" si="31"/>
        <v>0</v>
      </c>
      <c r="G294" s="1723">
        <f t="shared" si="32"/>
        <v>0</v>
      </c>
      <c r="H294" s="1723">
        <f t="shared" si="33"/>
        <v>0</v>
      </c>
    </row>
    <row r="295" spans="1:8">
      <c r="A295" s="1717">
        <f t="shared" si="34"/>
        <v>283</v>
      </c>
      <c r="B295" s="1722" t="str">
        <f t="shared" si="35"/>
        <v/>
      </c>
      <c r="C295" s="1723">
        <f t="shared" si="29"/>
        <v>0</v>
      </c>
      <c r="D295" s="1723">
        <f t="shared" si="30"/>
        <v>0</v>
      </c>
      <c r="E295" s="1723">
        <f>IF(A294&lt;$B$6*12,ROUND(C295*'9a.PASS'!$C$21/12,2),"")</f>
        <v>0</v>
      </c>
      <c r="F295" s="1723">
        <f t="shared" si="31"/>
        <v>0</v>
      </c>
      <c r="G295" s="1723">
        <f t="shared" si="32"/>
        <v>0</v>
      </c>
      <c r="H295" s="1723">
        <f t="shared" si="33"/>
        <v>0</v>
      </c>
    </row>
    <row r="296" spans="1:8">
      <c r="A296" s="1717">
        <f t="shared" si="34"/>
        <v>284</v>
      </c>
      <c r="B296" s="1722" t="str">
        <f t="shared" si="35"/>
        <v/>
      </c>
      <c r="C296" s="1723">
        <f t="shared" si="29"/>
        <v>0</v>
      </c>
      <c r="D296" s="1723">
        <f t="shared" si="30"/>
        <v>0</v>
      </c>
      <c r="E296" s="1723">
        <f>IF(A295&lt;$B$6*12,ROUND(C296*'9a.PASS'!$C$21/12,2),"")</f>
        <v>0</v>
      </c>
      <c r="F296" s="1723">
        <f t="shared" si="31"/>
        <v>0</v>
      </c>
      <c r="G296" s="1723">
        <f t="shared" si="32"/>
        <v>0</v>
      </c>
      <c r="H296" s="1723">
        <f t="shared" si="33"/>
        <v>0</v>
      </c>
    </row>
    <row r="297" spans="1:8">
      <c r="A297" s="1717">
        <f t="shared" si="34"/>
        <v>285</v>
      </c>
      <c r="B297" s="1722" t="str">
        <f t="shared" si="35"/>
        <v/>
      </c>
      <c r="C297" s="1723">
        <f t="shared" si="29"/>
        <v>0</v>
      </c>
      <c r="D297" s="1723">
        <f t="shared" si="30"/>
        <v>0</v>
      </c>
      <c r="E297" s="1723">
        <f>IF(A296&lt;$B$6*12,ROUND(C297*'9a.PASS'!$C$21/12,2),"")</f>
        <v>0</v>
      </c>
      <c r="F297" s="1723">
        <f t="shared" si="31"/>
        <v>0</v>
      </c>
      <c r="G297" s="1723">
        <f t="shared" si="32"/>
        <v>0</v>
      </c>
      <c r="H297" s="1723">
        <f t="shared" si="33"/>
        <v>0</v>
      </c>
    </row>
    <row r="298" spans="1:8">
      <c r="A298" s="1717">
        <f t="shared" si="34"/>
        <v>286</v>
      </c>
      <c r="B298" s="1722" t="str">
        <f t="shared" si="35"/>
        <v/>
      </c>
      <c r="C298" s="1723">
        <f t="shared" si="29"/>
        <v>0</v>
      </c>
      <c r="D298" s="1723">
        <f t="shared" si="30"/>
        <v>0</v>
      </c>
      <c r="E298" s="1723">
        <f>IF(A297&lt;$B$6*12,ROUND(C298*'9a.PASS'!$C$21/12,2),"")</f>
        <v>0</v>
      </c>
      <c r="F298" s="1723">
        <f t="shared" si="31"/>
        <v>0</v>
      </c>
      <c r="G298" s="1723">
        <f t="shared" si="32"/>
        <v>0</v>
      </c>
      <c r="H298" s="1723">
        <f t="shared" si="33"/>
        <v>0</v>
      </c>
    </row>
    <row r="299" spans="1:8">
      <c r="A299" s="1717">
        <f t="shared" si="34"/>
        <v>287</v>
      </c>
      <c r="B299" s="1722" t="str">
        <f t="shared" si="35"/>
        <v/>
      </c>
      <c r="C299" s="1723">
        <f t="shared" si="29"/>
        <v>0</v>
      </c>
      <c r="D299" s="1723">
        <f t="shared" si="30"/>
        <v>0</v>
      </c>
      <c r="E299" s="1723">
        <f>IF(A298&lt;$B$6*12,ROUND(C299*'9a.PASS'!$C$21/12,2),"")</f>
        <v>0</v>
      </c>
      <c r="F299" s="1723">
        <f t="shared" si="31"/>
        <v>0</v>
      </c>
      <c r="G299" s="1723">
        <f t="shared" si="32"/>
        <v>0</v>
      </c>
      <c r="H299" s="1723">
        <f t="shared" si="33"/>
        <v>0</v>
      </c>
    </row>
    <row r="300" spans="1:8">
      <c r="A300" s="1717">
        <f t="shared" si="34"/>
        <v>288</v>
      </c>
      <c r="B300" s="1722" t="str">
        <f t="shared" si="35"/>
        <v/>
      </c>
      <c r="C300" s="1723">
        <f t="shared" si="29"/>
        <v>0</v>
      </c>
      <c r="D300" s="1723">
        <f t="shared" si="30"/>
        <v>0</v>
      </c>
      <c r="E300" s="1723">
        <f>IF(A299&lt;$B$6*12,ROUND(C300*'9a.PASS'!$C$21/12,2),"")</f>
        <v>0</v>
      </c>
      <c r="F300" s="1723">
        <f t="shared" si="31"/>
        <v>0</v>
      </c>
      <c r="G300" s="1723">
        <f t="shared" si="32"/>
        <v>0</v>
      </c>
      <c r="H300" s="1723">
        <f t="shared" si="33"/>
        <v>0</v>
      </c>
    </row>
    <row r="301" spans="1:8">
      <c r="A301" s="1717">
        <f t="shared" si="34"/>
        <v>289</v>
      </c>
      <c r="B301" s="1722" t="str">
        <f t="shared" si="35"/>
        <v/>
      </c>
      <c r="C301" s="1723">
        <f t="shared" si="29"/>
        <v>0</v>
      </c>
      <c r="D301" s="1723">
        <f t="shared" si="30"/>
        <v>0</v>
      </c>
      <c r="E301" s="1723">
        <f>IF(A300&lt;$B$6*12,ROUND(C301*'9a.PASS'!$C$21/12,2),"")</f>
        <v>0</v>
      </c>
      <c r="F301" s="1723">
        <f t="shared" si="31"/>
        <v>0</v>
      </c>
      <c r="G301" s="1723">
        <f t="shared" si="32"/>
        <v>0</v>
      </c>
      <c r="H301" s="1723">
        <f t="shared" si="33"/>
        <v>0</v>
      </c>
    </row>
    <row r="302" spans="1:8">
      <c r="A302" s="1717">
        <f t="shared" si="34"/>
        <v>290</v>
      </c>
      <c r="B302" s="1722" t="str">
        <f t="shared" si="35"/>
        <v/>
      </c>
      <c r="C302" s="1723">
        <f t="shared" si="29"/>
        <v>0</v>
      </c>
      <c r="D302" s="1723">
        <f t="shared" si="30"/>
        <v>0</v>
      </c>
      <c r="E302" s="1723">
        <f>IF(A301&lt;$B$6*12,ROUND(C302*'9a.PASS'!$C$21/12,2),"")</f>
        <v>0</v>
      </c>
      <c r="F302" s="1723">
        <f t="shared" si="31"/>
        <v>0</v>
      </c>
      <c r="G302" s="1723">
        <f t="shared" si="32"/>
        <v>0</v>
      </c>
      <c r="H302" s="1723">
        <f t="shared" si="33"/>
        <v>0</v>
      </c>
    </row>
    <row r="303" spans="1:8">
      <c r="A303" s="1717">
        <f t="shared" si="34"/>
        <v>291</v>
      </c>
      <c r="B303" s="1722" t="str">
        <f t="shared" si="35"/>
        <v/>
      </c>
      <c r="C303" s="1723">
        <f t="shared" si="29"/>
        <v>0</v>
      </c>
      <c r="D303" s="1723">
        <f t="shared" si="30"/>
        <v>0</v>
      </c>
      <c r="E303" s="1723">
        <f>IF(A302&lt;$B$6*12,ROUND(C303*'9a.PASS'!$C$21/12,2),"")</f>
        <v>0</v>
      </c>
      <c r="F303" s="1723">
        <f t="shared" si="31"/>
        <v>0</v>
      </c>
      <c r="G303" s="1723">
        <f t="shared" si="32"/>
        <v>0</v>
      </c>
      <c r="H303" s="1723">
        <f t="shared" si="33"/>
        <v>0</v>
      </c>
    </row>
    <row r="304" spans="1:8">
      <c r="A304" s="1717">
        <f t="shared" si="34"/>
        <v>292</v>
      </c>
      <c r="B304" s="1722" t="str">
        <f t="shared" si="35"/>
        <v/>
      </c>
      <c r="C304" s="1723">
        <f t="shared" si="29"/>
        <v>0</v>
      </c>
      <c r="D304" s="1723">
        <f t="shared" si="30"/>
        <v>0</v>
      </c>
      <c r="E304" s="1723">
        <f>IF(A303&lt;$B$6*12,ROUND(C304*'9a.PASS'!$C$21/12,2),"")</f>
        <v>0</v>
      </c>
      <c r="F304" s="1723">
        <f t="shared" si="31"/>
        <v>0</v>
      </c>
      <c r="G304" s="1723">
        <f t="shared" si="32"/>
        <v>0</v>
      </c>
      <c r="H304" s="1723">
        <f t="shared" si="33"/>
        <v>0</v>
      </c>
    </row>
    <row r="305" spans="1:8">
      <c r="A305" s="1717">
        <f t="shared" si="34"/>
        <v>293</v>
      </c>
      <c r="B305" s="1722" t="str">
        <f t="shared" si="35"/>
        <v/>
      </c>
      <c r="C305" s="1723">
        <f t="shared" si="29"/>
        <v>0</v>
      </c>
      <c r="D305" s="1723">
        <f t="shared" si="30"/>
        <v>0</v>
      </c>
      <c r="E305" s="1723">
        <f>IF(A304&lt;$B$6*12,ROUND(C305*'9a.PASS'!$C$21/12,2),"")</f>
        <v>0</v>
      </c>
      <c r="F305" s="1723">
        <f t="shared" si="31"/>
        <v>0</v>
      </c>
      <c r="G305" s="1723">
        <f t="shared" si="32"/>
        <v>0</v>
      </c>
      <c r="H305" s="1723">
        <f t="shared" si="33"/>
        <v>0</v>
      </c>
    </row>
    <row r="306" spans="1:8">
      <c r="A306" s="1717">
        <f t="shared" si="34"/>
        <v>294</v>
      </c>
      <c r="B306" s="1722" t="str">
        <f t="shared" si="35"/>
        <v/>
      </c>
      <c r="C306" s="1723">
        <f t="shared" si="29"/>
        <v>0</v>
      </c>
      <c r="D306" s="1723">
        <f t="shared" si="30"/>
        <v>0</v>
      </c>
      <c r="E306" s="1723">
        <f>IF(A305&lt;$B$6*12,ROUND(C306*'9a.PASS'!$C$21/12,2),"")</f>
        <v>0</v>
      </c>
      <c r="F306" s="1723">
        <f t="shared" si="31"/>
        <v>0</v>
      </c>
      <c r="G306" s="1723">
        <f t="shared" si="32"/>
        <v>0</v>
      </c>
      <c r="H306" s="1723">
        <f t="shared" si="33"/>
        <v>0</v>
      </c>
    </row>
    <row r="307" spans="1:8">
      <c r="A307" s="1717">
        <f t="shared" si="34"/>
        <v>295</v>
      </c>
      <c r="B307" s="1722" t="str">
        <f t="shared" si="35"/>
        <v/>
      </c>
      <c r="C307" s="1723">
        <f t="shared" si="29"/>
        <v>0</v>
      </c>
      <c r="D307" s="1723">
        <f t="shared" si="30"/>
        <v>0</v>
      </c>
      <c r="E307" s="1723">
        <f>IF(A306&lt;$B$6*12,ROUND(C307*'9a.PASS'!$C$21/12,2),"")</f>
        <v>0</v>
      </c>
      <c r="F307" s="1723">
        <f t="shared" si="31"/>
        <v>0</v>
      </c>
      <c r="G307" s="1723">
        <f t="shared" si="32"/>
        <v>0</v>
      </c>
      <c r="H307" s="1723">
        <f t="shared" si="33"/>
        <v>0</v>
      </c>
    </row>
    <row r="308" spans="1:8">
      <c r="A308" s="1717">
        <f t="shared" si="34"/>
        <v>296</v>
      </c>
      <c r="B308" s="1722" t="str">
        <f t="shared" si="35"/>
        <v/>
      </c>
      <c r="C308" s="1723">
        <f t="shared" si="29"/>
        <v>0</v>
      </c>
      <c r="D308" s="1723">
        <f t="shared" si="30"/>
        <v>0</v>
      </c>
      <c r="E308" s="1723">
        <f>IF(A307&lt;$B$6*12,ROUND(C308*'9a.PASS'!$C$21/12,2),"")</f>
        <v>0</v>
      </c>
      <c r="F308" s="1723">
        <f t="shared" si="31"/>
        <v>0</v>
      </c>
      <c r="G308" s="1723">
        <f t="shared" si="32"/>
        <v>0</v>
      </c>
      <c r="H308" s="1723">
        <f t="shared" si="33"/>
        <v>0</v>
      </c>
    </row>
    <row r="309" spans="1:8">
      <c r="A309" s="1717">
        <f t="shared" si="34"/>
        <v>297</v>
      </c>
      <c r="B309" s="1722" t="str">
        <f t="shared" si="35"/>
        <v/>
      </c>
      <c r="C309" s="1723">
        <f t="shared" si="29"/>
        <v>0</v>
      </c>
      <c r="D309" s="1723">
        <f t="shared" si="30"/>
        <v>0</v>
      </c>
      <c r="E309" s="1723">
        <f>IF(A308&lt;$B$6*12,ROUND(C309*'9a.PASS'!$C$21/12,2),"")</f>
        <v>0</v>
      </c>
      <c r="F309" s="1723">
        <f t="shared" si="31"/>
        <v>0</v>
      </c>
      <c r="G309" s="1723">
        <f t="shared" si="32"/>
        <v>0</v>
      </c>
      <c r="H309" s="1723">
        <f t="shared" si="33"/>
        <v>0</v>
      </c>
    </row>
    <row r="310" spans="1:8">
      <c r="A310" s="1717">
        <f t="shared" si="34"/>
        <v>298</v>
      </c>
      <c r="B310" s="1722" t="str">
        <f t="shared" si="35"/>
        <v/>
      </c>
      <c r="C310" s="1723">
        <f t="shared" si="29"/>
        <v>0</v>
      </c>
      <c r="D310" s="1723">
        <f t="shared" si="30"/>
        <v>0</v>
      </c>
      <c r="E310" s="1723">
        <f>IF(A309&lt;$B$6*12,ROUND(C310*'9a.PASS'!$C$21/12,2),"")</f>
        <v>0</v>
      </c>
      <c r="F310" s="1723">
        <f t="shared" si="31"/>
        <v>0</v>
      </c>
      <c r="G310" s="1723">
        <f t="shared" si="32"/>
        <v>0</v>
      </c>
      <c r="H310" s="1723">
        <f t="shared" si="33"/>
        <v>0</v>
      </c>
    </row>
    <row r="311" spans="1:8">
      <c r="A311" s="1717">
        <f t="shared" si="34"/>
        <v>299</v>
      </c>
      <c r="B311" s="1722" t="str">
        <f t="shared" si="35"/>
        <v/>
      </c>
      <c r="C311" s="1723">
        <f t="shared" si="29"/>
        <v>0</v>
      </c>
      <c r="D311" s="1723">
        <f t="shared" si="30"/>
        <v>0</v>
      </c>
      <c r="E311" s="1723">
        <f>IF(A310&lt;$B$6*12,ROUND(C311*'9a.PASS'!$C$21/12,2),"")</f>
        <v>0</v>
      </c>
      <c r="F311" s="1723">
        <f t="shared" si="31"/>
        <v>0</v>
      </c>
      <c r="G311" s="1723">
        <f t="shared" si="32"/>
        <v>0</v>
      </c>
      <c r="H311" s="1723">
        <f t="shared" si="33"/>
        <v>0</v>
      </c>
    </row>
    <row r="312" spans="1:8">
      <c r="A312" s="1717">
        <f t="shared" si="34"/>
        <v>300</v>
      </c>
      <c r="B312" s="1722" t="str">
        <f t="shared" si="35"/>
        <v/>
      </c>
      <c r="C312" s="1723">
        <f t="shared" si="29"/>
        <v>0</v>
      </c>
      <c r="D312" s="1723">
        <f t="shared" si="30"/>
        <v>0</v>
      </c>
      <c r="E312" s="1723">
        <f>IF(A311&lt;$B$6*12,ROUND(C312*'9a.PASS'!$C$21/12,2),"")</f>
        <v>0</v>
      </c>
      <c r="F312" s="1723">
        <f t="shared" si="31"/>
        <v>0</v>
      </c>
      <c r="G312" s="1723">
        <f t="shared" si="32"/>
        <v>0</v>
      </c>
      <c r="H312" s="1723">
        <f t="shared" si="33"/>
        <v>0</v>
      </c>
    </row>
    <row r="313" spans="1:8">
      <c r="A313" s="1717">
        <f t="shared" si="34"/>
        <v>301</v>
      </c>
      <c r="B313" s="1722" t="str">
        <f t="shared" si="35"/>
        <v/>
      </c>
      <c r="C313" s="1723">
        <f t="shared" si="29"/>
        <v>0</v>
      </c>
      <c r="D313" s="1723">
        <f t="shared" si="30"/>
        <v>0</v>
      </c>
      <c r="E313" s="1723">
        <f>IF(A312&lt;$B$6*12,ROUND(C313*'9a.PASS'!$C$21/12,2),"")</f>
        <v>0</v>
      </c>
      <c r="F313" s="1723">
        <f t="shared" si="31"/>
        <v>0</v>
      </c>
      <c r="G313" s="1723">
        <f t="shared" si="32"/>
        <v>0</v>
      </c>
      <c r="H313" s="1723">
        <f t="shared" si="33"/>
        <v>0</v>
      </c>
    </row>
    <row r="314" spans="1:8">
      <c r="A314" s="1717">
        <f t="shared" si="34"/>
        <v>302</v>
      </c>
      <c r="B314" s="1722" t="str">
        <f t="shared" si="35"/>
        <v/>
      </c>
      <c r="C314" s="1723">
        <f t="shared" si="29"/>
        <v>0</v>
      </c>
      <c r="D314" s="1723">
        <f t="shared" si="30"/>
        <v>0</v>
      </c>
      <c r="E314" s="1723">
        <f>IF(A313&lt;$B$6*12,ROUND(C314*'9a.PASS'!$C$21/12,2),"")</f>
        <v>0</v>
      </c>
      <c r="F314" s="1723">
        <f t="shared" si="31"/>
        <v>0</v>
      </c>
      <c r="G314" s="1723">
        <f t="shared" si="32"/>
        <v>0</v>
      </c>
      <c r="H314" s="1723">
        <f t="shared" si="33"/>
        <v>0</v>
      </c>
    </row>
    <row r="315" spans="1:8">
      <c r="A315" s="1717">
        <f t="shared" si="34"/>
        <v>303</v>
      </c>
      <c r="B315" s="1722" t="str">
        <f t="shared" si="35"/>
        <v/>
      </c>
      <c r="C315" s="1723">
        <f t="shared" si="29"/>
        <v>0</v>
      </c>
      <c r="D315" s="1723">
        <f t="shared" si="30"/>
        <v>0</v>
      </c>
      <c r="E315" s="1723">
        <f>IF(A314&lt;$B$6*12,ROUND(C315*'9a.PASS'!$C$21/12,2),"")</f>
        <v>0</v>
      </c>
      <c r="F315" s="1723">
        <f t="shared" si="31"/>
        <v>0</v>
      </c>
      <c r="G315" s="1723">
        <f t="shared" si="32"/>
        <v>0</v>
      </c>
      <c r="H315" s="1723">
        <f t="shared" si="33"/>
        <v>0</v>
      </c>
    </row>
    <row r="316" spans="1:8">
      <c r="A316" s="1717">
        <f t="shared" si="34"/>
        <v>304</v>
      </c>
      <c r="B316" s="1722" t="str">
        <f t="shared" si="35"/>
        <v/>
      </c>
      <c r="C316" s="1723">
        <f t="shared" si="29"/>
        <v>0</v>
      </c>
      <c r="D316" s="1723">
        <f t="shared" si="30"/>
        <v>0</v>
      </c>
      <c r="E316" s="1723">
        <f>IF(A315&lt;$B$6*12,ROUND(C316*'9a.PASS'!$C$21/12,2),"")</f>
        <v>0</v>
      </c>
      <c r="F316" s="1723">
        <f t="shared" si="31"/>
        <v>0</v>
      </c>
      <c r="G316" s="1723">
        <f t="shared" si="32"/>
        <v>0</v>
      </c>
      <c r="H316" s="1723">
        <f t="shared" si="33"/>
        <v>0</v>
      </c>
    </row>
    <row r="317" spans="1:8">
      <c r="A317" s="1717">
        <f t="shared" si="34"/>
        <v>305</v>
      </c>
      <c r="B317" s="1722" t="str">
        <f t="shared" si="35"/>
        <v/>
      </c>
      <c r="C317" s="1723">
        <f t="shared" si="29"/>
        <v>0</v>
      </c>
      <c r="D317" s="1723">
        <f t="shared" si="30"/>
        <v>0</v>
      </c>
      <c r="E317" s="1723">
        <f>IF(A316&lt;$B$6*12,ROUND(C317*'9a.PASS'!$C$21/12,2),"")</f>
        <v>0</v>
      </c>
      <c r="F317" s="1723">
        <f t="shared" si="31"/>
        <v>0</v>
      </c>
      <c r="G317" s="1723">
        <f t="shared" si="32"/>
        <v>0</v>
      </c>
      <c r="H317" s="1723">
        <f t="shared" si="33"/>
        <v>0</v>
      </c>
    </row>
    <row r="318" spans="1:8">
      <c r="A318" s="1717">
        <f t="shared" si="34"/>
        <v>306</v>
      </c>
      <c r="B318" s="1722" t="str">
        <f t="shared" si="35"/>
        <v/>
      </c>
      <c r="C318" s="1723">
        <f t="shared" si="29"/>
        <v>0</v>
      </c>
      <c r="D318" s="1723">
        <f t="shared" si="30"/>
        <v>0</v>
      </c>
      <c r="E318" s="1723">
        <f>IF(A317&lt;$B$6*12,ROUND(C318*'9a.PASS'!$C$21/12,2),"")</f>
        <v>0</v>
      </c>
      <c r="F318" s="1723">
        <f t="shared" si="31"/>
        <v>0</v>
      </c>
      <c r="G318" s="1723">
        <f t="shared" si="32"/>
        <v>0</v>
      </c>
      <c r="H318" s="1723">
        <f t="shared" si="33"/>
        <v>0</v>
      </c>
    </row>
    <row r="319" spans="1:8">
      <c r="A319" s="1717">
        <f t="shared" si="34"/>
        <v>307</v>
      </c>
      <c r="B319" s="1722" t="str">
        <f t="shared" si="35"/>
        <v/>
      </c>
      <c r="C319" s="1723">
        <f t="shared" si="29"/>
        <v>0</v>
      </c>
      <c r="D319" s="1723">
        <f t="shared" si="30"/>
        <v>0</v>
      </c>
      <c r="E319" s="1723">
        <f>IF(A318&lt;$B$6*12,ROUND(C319*'9a.PASS'!$C$21/12,2),"")</f>
        <v>0</v>
      </c>
      <c r="F319" s="1723">
        <f t="shared" si="31"/>
        <v>0</v>
      </c>
      <c r="G319" s="1723">
        <f t="shared" si="32"/>
        <v>0</v>
      </c>
      <c r="H319" s="1723">
        <f t="shared" si="33"/>
        <v>0</v>
      </c>
    </row>
    <row r="320" spans="1:8">
      <c r="A320" s="1717">
        <f t="shared" si="34"/>
        <v>308</v>
      </c>
      <c r="B320" s="1722" t="str">
        <f t="shared" si="35"/>
        <v/>
      </c>
      <c r="C320" s="1723">
        <f t="shared" si="29"/>
        <v>0</v>
      </c>
      <c r="D320" s="1723">
        <f t="shared" si="30"/>
        <v>0</v>
      </c>
      <c r="E320" s="1723">
        <f>IF(A319&lt;$B$6*12,ROUND(C320*'9a.PASS'!$C$21/12,2),"")</f>
        <v>0</v>
      </c>
      <c r="F320" s="1723">
        <f t="shared" si="31"/>
        <v>0</v>
      </c>
      <c r="G320" s="1723">
        <f t="shared" si="32"/>
        <v>0</v>
      </c>
      <c r="H320" s="1723">
        <f t="shared" si="33"/>
        <v>0</v>
      </c>
    </row>
    <row r="321" spans="1:8">
      <c r="A321" s="1717">
        <f t="shared" si="34"/>
        <v>309</v>
      </c>
      <c r="B321" s="1722" t="str">
        <f t="shared" si="35"/>
        <v/>
      </c>
      <c r="C321" s="1723">
        <f t="shared" si="29"/>
        <v>0</v>
      </c>
      <c r="D321" s="1723">
        <f t="shared" si="30"/>
        <v>0</v>
      </c>
      <c r="E321" s="1723">
        <f>IF(A320&lt;$B$6*12,ROUND(C321*'9a.PASS'!$C$21/12,2),"")</f>
        <v>0</v>
      </c>
      <c r="F321" s="1723">
        <f t="shared" si="31"/>
        <v>0</v>
      </c>
      <c r="G321" s="1723">
        <f t="shared" si="32"/>
        <v>0</v>
      </c>
      <c r="H321" s="1723">
        <f t="shared" si="33"/>
        <v>0</v>
      </c>
    </row>
    <row r="322" spans="1:8">
      <c r="A322" s="1717">
        <f t="shared" si="34"/>
        <v>310</v>
      </c>
      <c r="B322" s="1722" t="str">
        <f t="shared" si="35"/>
        <v/>
      </c>
      <c r="C322" s="1723">
        <f t="shared" si="29"/>
        <v>0</v>
      </c>
      <c r="D322" s="1723">
        <f t="shared" si="30"/>
        <v>0</v>
      </c>
      <c r="E322" s="1723">
        <f>IF(A321&lt;$B$6*12,ROUND(C322*'9a.PASS'!$C$21/12,2),"")</f>
        <v>0</v>
      </c>
      <c r="F322" s="1723">
        <f t="shared" si="31"/>
        <v>0</v>
      </c>
      <c r="G322" s="1723">
        <f t="shared" si="32"/>
        <v>0</v>
      </c>
      <c r="H322" s="1723">
        <f t="shared" si="33"/>
        <v>0</v>
      </c>
    </row>
    <row r="323" spans="1:8">
      <c r="A323" s="1717">
        <f t="shared" si="34"/>
        <v>311</v>
      </c>
      <c r="B323" s="1722" t="str">
        <f t="shared" si="35"/>
        <v/>
      </c>
      <c r="C323" s="1723">
        <f t="shared" si="29"/>
        <v>0</v>
      </c>
      <c r="D323" s="1723">
        <f t="shared" si="30"/>
        <v>0</v>
      </c>
      <c r="E323" s="1723">
        <f>IF(A322&lt;$B$6*12,ROUND(C323*'9a.PASS'!$C$21/12,2),"")</f>
        <v>0</v>
      </c>
      <c r="F323" s="1723">
        <f t="shared" si="31"/>
        <v>0</v>
      </c>
      <c r="G323" s="1723">
        <f t="shared" si="32"/>
        <v>0</v>
      </c>
      <c r="H323" s="1723">
        <f t="shared" si="33"/>
        <v>0</v>
      </c>
    </row>
    <row r="324" spans="1:8">
      <c r="A324" s="1717">
        <f t="shared" si="34"/>
        <v>312</v>
      </c>
      <c r="B324" s="1722" t="str">
        <f t="shared" si="35"/>
        <v/>
      </c>
      <c r="C324" s="1723">
        <f t="shared" si="29"/>
        <v>0</v>
      </c>
      <c r="D324" s="1723">
        <f t="shared" si="30"/>
        <v>0</v>
      </c>
      <c r="E324" s="1723">
        <f>IF(A323&lt;$B$6*12,ROUND(C324*'9a.PASS'!$C$21/12,2),"")</f>
        <v>0</v>
      </c>
      <c r="F324" s="1723">
        <f t="shared" si="31"/>
        <v>0</v>
      </c>
      <c r="G324" s="1723">
        <f t="shared" si="32"/>
        <v>0</v>
      </c>
      <c r="H324" s="1723">
        <f t="shared" si="33"/>
        <v>0</v>
      </c>
    </row>
    <row r="325" spans="1:8">
      <c r="A325" s="1717">
        <f t="shared" si="34"/>
        <v>313</v>
      </c>
      <c r="B325" s="1722" t="str">
        <f t="shared" si="35"/>
        <v/>
      </c>
      <c r="C325" s="1723">
        <f t="shared" si="29"/>
        <v>0</v>
      </c>
      <c r="D325" s="1723">
        <f t="shared" si="30"/>
        <v>0</v>
      </c>
      <c r="E325" s="1723">
        <f>IF(A324&lt;$B$6*12,ROUND(C325*'9a.PASS'!$C$21/12,2),"")</f>
        <v>0</v>
      </c>
      <c r="F325" s="1723">
        <f t="shared" si="31"/>
        <v>0</v>
      </c>
      <c r="G325" s="1723">
        <f t="shared" si="32"/>
        <v>0</v>
      </c>
      <c r="H325" s="1723">
        <f t="shared" si="33"/>
        <v>0</v>
      </c>
    </row>
    <row r="326" spans="1:8">
      <c r="A326" s="1717">
        <f t="shared" si="34"/>
        <v>314</v>
      </c>
      <c r="B326" s="1722" t="str">
        <f t="shared" si="35"/>
        <v/>
      </c>
      <c r="C326" s="1723">
        <f t="shared" si="29"/>
        <v>0</v>
      </c>
      <c r="D326" s="1723">
        <f t="shared" si="30"/>
        <v>0</v>
      </c>
      <c r="E326" s="1723">
        <f>IF(A325&lt;$B$6*12,ROUND(C326*'9a.PASS'!$C$21/12,2),"")</f>
        <v>0</v>
      </c>
      <c r="F326" s="1723">
        <f t="shared" si="31"/>
        <v>0</v>
      </c>
      <c r="G326" s="1723">
        <f t="shared" si="32"/>
        <v>0</v>
      </c>
      <c r="H326" s="1723">
        <f t="shared" si="33"/>
        <v>0</v>
      </c>
    </row>
    <row r="327" spans="1:8">
      <c r="A327" s="1717">
        <f t="shared" si="34"/>
        <v>315</v>
      </c>
      <c r="B327" s="1722" t="str">
        <f t="shared" si="35"/>
        <v/>
      </c>
      <c r="C327" s="1723">
        <f t="shared" si="29"/>
        <v>0</v>
      </c>
      <c r="D327" s="1723">
        <f t="shared" si="30"/>
        <v>0</v>
      </c>
      <c r="E327" s="1723">
        <f>IF(A326&lt;$B$6*12,ROUND(C327*'9a.PASS'!$C$21/12,2),"")</f>
        <v>0</v>
      </c>
      <c r="F327" s="1723">
        <f t="shared" si="31"/>
        <v>0</v>
      </c>
      <c r="G327" s="1723">
        <f t="shared" si="32"/>
        <v>0</v>
      </c>
      <c r="H327" s="1723">
        <f t="shared" si="33"/>
        <v>0</v>
      </c>
    </row>
    <row r="328" spans="1:8">
      <c r="A328" s="1717">
        <f t="shared" si="34"/>
        <v>316</v>
      </c>
      <c r="B328" s="1722" t="str">
        <f t="shared" si="35"/>
        <v/>
      </c>
      <c r="C328" s="1723">
        <f t="shared" si="29"/>
        <v>0</v>
      </c>
      <c r="D328" s="1723">
        <f t="shared" si="30"/>
        <v>0</v>
      </c>
      <c r="E328" s="1723">
        <f>IF(A327&lt;$B$6*12,ROUND(C328*'9a.PASS'!$C$21/12,2),"")</f>
        <v>0</v>
      </c>
      <c r="F328" s="1723">
        <f t="shared" si="31"/>
        <v>0</v>
      </c>
      <c r="G328" s="1723">
        <f t="shared" si="32"/>
        <v>0</v>
      </c>
      <c r="H328" s="1723">
        <f t="shared" si="33"/>
        <v>0</v>
      </c>
    </row>
    <row r="329" spans="1:8">
      <c r="A329" s="1717">
        <f t="shared" si="34"/>
        <v>317</v>
      </c>
      <c r="B329" s="1722" t="str">
        <f t="shared" si="35"/>
        <v/>
      </c>
      <c r="C329" s="1723">
        <f t="shared" si="29"/>
        <v>0</v>
      </c>
      <c r="D329" s="1723">
        <f t="shared" si="30"/>
        <v>0</v>
      </c>
      <c r="E329" s="1723">
        <f>IF(A328&lt;$B$6*12,ROUND(C329*'9a.PASS'!$C$21/12,2),"")</f>
        <v>0</v>
      </c>
      <c r="F329" s="1723">
        <f t="shared" si="31"/>
        <v>0</v>
      </c>
      <c r="G329" s="1723">
        <f t="shared" si="32"/>
        <v>0</v>
      </c>
      <c r="H329" s="1723">
        <f t="shared" si="33"/>
        <v>0</v>
      </c>
    </row>
    <row r="330" spans="1:8">
      <c r="A330" s="1717">
        <f t="shared" si="34"/>
        <v>318</v>
      </c>
      <c r="B330" s="1722" t="str">
        <f t="shared" si="35"/>
        <v/>
      </c>
      <c r="C330" s="1723">
        <f t="shared" si="29"/>
        <v>0</v>
      </c>
      <c r="D330" s="1723">
        <f t="shared" si="30"/>
        <v>0</v>
      </c>
      <c r="E330" s="1723">
        <f>IF(A329&lt;$B$6*12,ROUND(C330*'9a.PASS'!$C$21/12,2),"")</f>
        <v>0</v>
      </c>
      <c r="F330" s="1723">
        <f t="shared" si="31"/>
        <v>0</v>
      </c>
      <c r="G330" s="1723">
        <f t="shared" si="32"/>
        <v>0</v>
      </c>
      <c r="H330" s="1723">
        <f t="shared" si="33"/>
        <v>0</v>
      </c>
    </row>
    <row r="331" spans="1:8">
      <c r="A331" s="1717">
        <f t="shared" si="34"/>
        <v>319</v>
      </c>
      <c r="B331" s="1722" t="str">
        <f t="shared" si="35"/>
        <v/>
      </c>
      <c r="C331" s="1723">
        <f t="shared" si="29"/>
        <v>0</v>
      </c>
      <c r="D331" s="1723">
        <f t="shared" si="30"/>
        <v>0</v>
      </c>
      <c r="E331" s="1723">
        <f>IF(A330&lt;$B$6*12,ROUND(C331*'9a.PASS'!$C$21/12,2),"")</f>
        <v>0</v>
      </c>
      <c r="F331" s="1723">
        <f t="shared" si="31"/>
        <v>0</v>
      </c>
      <c r="G331" s="1723">
        <f t="shared" si="32"/>
        <v>0</v>
      </c>
      <c r="H331" s="1723">
        <f t="shared" si="33"/>
        <v>0</v>
      </c>
    </row>
    <row r="332" spans="1:8">
      <c r="A332" s="1717">
        <f t="shared" si="34"/>
        <v>320</v>
      </c>
      <c r="B332" s="1722" t="str">
        <f t="shared" si="35"/>
        <v/>
      </c>
      <c r="C332" s="1723">
        <f t="shared" si="29"/>
        <v>0</v>
      </c>
      <c r="D332" s="1723">
        <f t="shared" si="30"/>
        <v>0</v>
      </c>
      <c r="E332" s="1723">
        <f>IF(A331&lt;$B$6*12,ROUND(C332*'9a.PASS'!$C$21/12,2),"")</f>
        <v>0</v>
      </c>
      <c r="F332" s="1723">
        <f t="shared" si="31"/>
        <v>0</v>
      </c>
      <c r="G332" s="1723">
        <f t="shared" si="32"/>
        <v>0</v>
      </c>
      <c r="H332" s="1723">
        <f t="shared" si="33"/>
        <v>0</v>
      </c>
    </row>
    <row r="333" spans="1:8">
      <c r="A333" s="1717">
        <f t="shared" si="34"/>
        <v>321</v>
      </c>
      <c r="B333" s="1722" t="str">
        <f t="shared" si="35"/>
        <v/>
      </c>
      <c r="C333" s="1723">
        <f t="shared" si="29"/>
        <v>0</v>
      </c>
      <c r="D333" s="1723">
        <f t="shared" si="30"/>
        <v>0</v>
      </c>
      <c r="E333" s="1723">
        <f>IF(A332&lt;$B$6*12,ROUND(C333*'9a.PASS'!$C$21/12,2),"")</f>
        <v>0</v>
      </c>
      <c r="F333" s="1723">
        <f t="shared" si="31"/>
        <v>0</v>
      </c>
      <c r="G333" s="1723">
        <f t="shared" si="32"/>
        <v>0</v>
      </c>
      <c r="H333" s="1723">
        <f t="shared" si="33"/>
        <v>0</v>
      </c>
    </row>
    <row r="334" spans="1:8">
      <c r="A334" s="1717">
        <f t="shared" si="34"/>
        <v>322</v>
      </c>
      <c r="B334" s="1722" t="str">
        <f t="shared" si="35"/>
        <v/>
      </c>
      <c r="C334" s="1723">
        <f t="shared" ref="C334:C397" si="36">IF(A333&lt;$B$6*12,H333,"")</f>
        <v>0</v>
      </c>
      <c r="D334" s="1723">
        <f t="shared" ref="D334:D397" si="37">IF(A334=$B$6*12,SUM(C334,E334:F334),IF(A333&lt;$B$6*12,$B$8,""))</f>
        <v>0</v>
      </c>
      <c r="E334" s="1723">
        <f>IF(A333&lt;$B$6*12,ROUND(C334*'9a.PASS'!$C$21/12,2),"")</f>
        <v>0</v>
      </c>
      <c r="F334" s="1723">
        <f t="shared" ref="F334:F397" si="38">IF(A333&lt;$B$6*12,ROUND(C334*$B$5/12,2)-E334,"")</f>
        <v>0</v>
      </c>
      <c r="G334" s="1723">
        <f t="shared" ref="G334:G397" si="39">IF(A333&lt;$B$6*12,D334-SUM(E334:F334),"")</f>
        <v>0</v>
      </c>
      <c r="H334" s="1723">
        <f t="shared" ref="H334:H397" si="40">IF(A333&lt;$B$6*12,C334-G334,"")</f>
        <v>0</v>
      </c>
    </row>
    <row r="335" spans="1:8">
      <c r="A335" s="1717">
        <f t="shared" ref="A335:A398" si="41">IF(A334&lt;$B$6*12,A334+1,"")</f>
        <v>323</v>
      </c>
      <c r="B335" s="1722" t="str">
        <f t="shared" ref="B335:B398" si="42">IFERROR(EDATE(B334,1),"")</f>
        <v/>
      </c>
      <c r="C335" s="1723">
        <f t="shared" si="36"/>
        <v>0</v>
      </c>
      <c r="D335" s="1723">
        <f t="shared" si="37"/>
        <v>0</v>
      </c>
      <c r="E335" s="1723">
        <f>IF(A334&lt;$B$6*12,ROUND(C335*'9a.PASS'!$C$21/12,2),"")</f>
        <v>0</v>
      </c>
      <c r="F335" s="1723">
        <f t="shared" si="38"/>
        <v>0</v>
      </c>
      <c r="G335" s="1723">
        <f t="shared" si="39"/>
        <v>0</v>
      </c>
      <c r="H335" s="1723">
        <f t="shared" si="40"/>
        <v>0</v>
      </c>
    </row>
    <row r="336" spans="1:8">
      <c r="A336" s="1717">
        <f t="shared" si="41"/>
        <v>324</v>
      </c>
      <c r="B336" s="1722" t="str">
        <f t="shared" si="42"/>
        <v/>
      </c>
      <c r="C336" s="1723">
        <f t="shared" si="36"/>
        <v>0</v>
      </c>
      <c r="D336" s="1723">
        <f t="shared" si="37"/>
        <v>0</v>
      </c>
      <c r="E336" s="1723">
        <f>IF(A335&lt;$B$6*12,ROUND(C336*'9a.PASS'!$C$21/12,2),"")</f>
        <v>0</v>
      </c>
      <c r="F336" s="1723">
        <f t="shared" si="38"/>
        <v>0</v>
      </c>
      <c r="G336" s="1723">
        <f t="shared" si="39"/>
        <v>0</v>
      </c>
      <c r="H336" s="1723">
        <f t="shared" si="40"/>
        <v>0</v>
      </c>
    </row>
    <row r="337" spans="1:8">
      <c r="A337" s="1717">
        <f t="shared" si="41"/>
        <v>325</v>
      </c>
      <c r="B337" s="1722" t="str">
        <f t="shared" si="42"/>
        <v/>
      </c>
      <c r="C337" s="1723">
        <f t="shared" si="36"/>
        <v>0</v>
      </c>
      <c r="D337" s="1723">
        <f t="shared" si="37"/>
        <v>0</v>
      </c>
      <c r="E337" s="1723">
        <f>IF(A336&lt;$B$6*12,ROUND(C337*'9a.PASS'!$C$21/12,2),"")</f>
        <v>0</v>
      </c>
      <c r="F337" s="1723">
        <f t="shared" si="38"/>
        <v>0</v>
      </c>
      <c r="G337" s="1723">
        <f t="shared" si="39"/>
        <v>0</v>
      </c>
      <c r="H337" s="1723">
        <f t="shared" si="40"/>
        <v>0</v>
      </c>
    </row>
    <row r="338" spans="1:8">
      <c r="A338" s="1717">
        <f t="shared" si="41"/>
        <v>326</v>
      </c>
      <c r="B338" s="1722" t="str">
        <f t="shared" si="42"/>
        <v/>
      </c>
      <c r="C338" s="1723">
        <f t="shared" si="36"/>
        <v>0</v>
      </c>
      <c r="D338" s="1723">
        <f t="shared" si="37"/>
        <v>0</v>
      </c>
      <c r="E338" s="1723">
        <f>IF(A337&lt;$B$6*12,ROUND(C338*'9a.PASS'!$C$21/12,2),"")</f>
        <v>0</v>
      </c>
      <c r="F338" s="1723">
        <f t="shared" si="38"/>
        <v>0</v>
      </c>
      <c r="G338" s="1723">
        <f t="shared" si="39"/>
        <v>0</v>
      </c>
      <c r="H338" s="1723">
        <f t="shared" si="40"/>
        <v>0</v>
      </c>
    </row>
    <row r="339" spans="1:8">
      <c r="A339" s="1717">
        <f t="shared" si="41"/>
        <v>327</v>
      </c>
      <c r="B339" s="1722" t="str">
        <f t="shared" si="42"/>
        <v/>
      </c>
      <c r="C339" s="1723">
        <f t="shared" si="36"/>
        <v>0</v>
      </c>
      <c r="D339" s="1723">
        <f t="shared" si="37"/>
        <v>0</v>
      </c>
      <c r="E339" s="1723">
        <f>IF(A338&lt;$B$6*12,ROUND(C339*'9a.PASS'!$C$21/12,2),"")</f>
        <v>0</v>
      </c>
      <c r="F339" s="1723">
        <f t="shared" si="38"/>
        <v>0</v>
      </c>
      <c r="G339" s="1723">
        <f t="shared" si="39"/>
        <v>0</v>
      </c>
      <c r="H339" s="1723">
        <f t="shared" si="40"/>
        <v>0</v>
      </c>
    </row>
    <row r="340" spans="1:8">
      <c r="A340" s="1717">
        <f t="shared" si="41"/>
        <v>328</v>
      </c>
      <c r="B340" s="1722" t="str">
        <f t="shared" si="42"/>
        <v/>
      </c>
      <c r="C340" s="1723">
        <f t="shared" si="36"/>
        <v>0</v>
      </c>
      <c r="D340" s="1723">
        <f t="shared" si="37"/>
        <v>0</v>
      </c>
      <c r="E340" s="1723">
        <f>IF(A339&lt;$B$6*12,ROUND(C340*'9a.PASS'!$C$21/12,2),"")</f>
        <v>0</v>
      </c>
      <c r="F340" s="1723">
        <f t="shared" si="38"/>
        <v>0</v>
      </c>
      <c r="G340" s="1723">
        <f t="shared" si="39"/>
        <v>0</v>
      </c>
      <c r="H340" s="1723">
        <f t="shared" si="40"/>
        <v>0</v>
      </c>
    </row>
    <row r="341" spans="1:8">
      <c r="A341" s="1717">
        <f t="shared" si="41"/>
        <v>329</v>
      </c>
      <c r="B341" s="1722" t="str">
        <f t="shared" si="42"/>
        <v/>
      </c>
      <c r="C341" s="1723">
        <f t="shared" si="36"/>
        <v>0</v>
      </c>
      <c r="D341" s="1723">
        <f t="shared" si="37"/>
        <v>0</v>
      </c>
      <c r="E341" s="1723">
        <f>IF(A340&lt;$B$6*12,ROUND(C341*'9a.PASS'!$C$21/12,2),"")</f>
        <v>0</v>
      </c>
      <c r="F341" s="1723">
        <f t="shared" si="38"/>
        <v>0</v>
      </c>
      <c r="G341" s="1723">
        <f t="shared" si="39"/>
        <v>0</v>
      </c>
      <c r="H341" s="1723">
        <f t="shared" si="40"/>
        <v>0</v>
      </c>
    </row>
    <row r="342" spans="1:8">
      <c r="A342" s="1717">
        <f t="shared" si="41"/>
        <v>330</v>
      </c>
      <c r="B342" s="1722" t="str">
        <f t="shared" si="42"/>
        <v/>
      </c>
      <c r="C342" s="1723">
        <f t="shared" si="36"/>
        <v>0</v>
      </c>
      <c r="D342" s="1723">
        <f t="shared" si="37"/>
        <v>0</v>
      </c>
      <c r="E342" s="1723">
        <f>IF(A341&lt;$B$6*12,ROUND(C342*'9a.PASS'!$C$21/12,2),"")</f>
        <v>0</v>
      </c>
      <c r="F342" s="1723">
        <f t="shared" si="38"/>
        <v>0</v>
      </c>
      <c r="G342" s="1723">
        <f t="shared" si="39"/>
        <v>0</v>
      </c>
      <c r="H342" s="1723">
        <f t="shared" si="40"/>
        <v>0</v>
      </c>
    </row>
    <row r="343" spans="1:8">
      <c r="A343" s="1717">
        <f t="shared" si="41"/>
        <v>331</v>
      </c>
      <c r="B343" s="1722" t="str">
        <f t="shared" si="42"/>
        <v/>
      </c>
      <c r="C343" s="1723">
        <f t="shared" si="36"/>
        <v>0</v>
      </c>
      <c r="D343" s="1723">
        <f t="shared" si="37"/>
        <v>0</v>
      </c>
      <c r="E343" s="1723">
        <f>IF(A342&lt;$B$6*12,ROUND(C343*'9a.PASS'!$C$21/12,2),"")</f>
        <v>0</v>
      </c>
      <c r="F343" s="1723">
        <f t="shared" si="38"/>
        <v>0</v>
      </c>
      <c r="G343" s="1723">
        <f t="shared" si="39"/>
        <v>0</v>
      </c>
      <c r="H343" s="1723">
        <f t="shared" si="40"/>
        <v>0</v>
      </c>
    </row>
    <row r="344" spans="1:8">
      <c r="A344" s="1717">
        <f t="shared" si="41"/>
        <v>332</v>
      </c>
      <c r="B344" s="1722" t="str">
        <f t="shared" si="42"/>
        <v/>
      </c>
      <c r="C344" s="1723">
        <f t="shared" si="36"/>
        <v>0</v>
      </c>
      <c r="D344" s="1723">
        <f t="shared" si="37"/>
        <v>0</v>
      </c>
      <c r="E344" s="1723">
        <f>IF(A343&lt;$B$6*12,ROUND(C344*'9a.PASS'!$C$21/12,2),"")</f>
        <v>0</v>
      </c>
      <c r="F344" s="1723">
        <f t="shared" si="38"/>
        <v>0</v>
      </c>
      <c r="G344" s="1723">
        <f t="shared" si="39"/>
        <v>0</v>
      </c>
      <c r="H344" s="1723">
        <f t="shared" si="40"/>
        <v>0</v>
      </c>
    </row>
    <row r="345" spans="1:8">
      <c r="A345" s="1717">
        <f t="shared" si="41"/>
        <v>333</v>
      </c>
      <c r="B345" s="1722" t="str">
        <f t="shared" si="42"/>
        <v/>
      </c>
      <c r="C345" s="1723">
        <f t="shared" si="36"/>
        <v>0</v>
      </c>
      <c r="D345" s="1723">
        <f t="shared" si="37"/>
        <v>0</v>
      </c>
      <c r="E345" s="1723">
        <f>IF(A344&lt;$B$6*12,ROUND(C345*'9a.PASS'!$C$21/12,2),"")</f>
        <v>0</v>
      </c>
      <c r="F345" s="1723">
        <f t="shared" si="38"/>
        <v>0</v>
      </c>
      <c r="G345" s="1723">
        <f t="shared" si="39"/>
        <v>0</v>
      </c>
      <c r="H345" s="1723">
        <f t="shared" si="40"/>
        <v>0</v>
      </c>
    </row>
    <row r="346" spans="1:8">
      <c r="A346" s="1717">
        <f t="shared" si="41"/>
        <v>334</v>
      </c>
      <c r="B346" s="1722" t="str">
        <f t="shared" si="42"/>
        <v/>
      </c>
      <c r="C346" s="1723">
        <f t="shared" si="36"/>
        <v>0</v>
      </c>
      <c r="D346" s="1723">
        <f t="shared" si="37"/>
        <v>0</v>
      </c>
      <c r="E346" s="1723">
        <f>IF(A345&lt;$B$6*12,ROUND(C346*'9a.PASS'!$C$21/12,2),"")</f>
        <v>0</v>
      </c>
      <c r="F346" s="1723">
        <f t="shared" si="38"/>
        <v>0</v>
      </c>
      <c r="G346" s="1723">
        <f t="shared" si="39"/>
        <v>0</v>
      </c>
      <c r="H346" s="1723">
        <f t="shared" si="40"/>
        <v>0</v>
      </c>
    </row>
    <row r="347" spans="1:8">
      <c r="A347" s="1717">
        <f t="shared" si="41"/>
        <v>335</v>
      </c>
      <c r="B347" s="1722" t="str">
        <f t="shared" si="42"/>
        <v/>
      </c>
      <c r="C347" s="1723">
        <f t="shared" si="36"/>
        <v>0</v>
      </c>
      <c r="D347" s="1723">
        <f t="shared" si="37"/>
        <v>0</v>
      </c>
      <c r="E347" s="1723">
        <f>IF(A346&lt;$B$6*12,ROUND(C347*'9a.PASS'!$C$21/12,2),"")</f>
        <v>0</v>
      </c>
      <c r="F347" s="1723">
        <f t="shared" si="38"/>
        <v>0</v>
      </c>
      <c r="G347" s="1723">
        <f t="shared" si="39"/>
        <v>0</v>
      </c>
      <c r="H347" s="1723">
        <f t="shared" si="40"/>
        <v>0</v>
      </c>
    </row>
    <row r="348" spans="1:8">
      <c r="A348" s="1717">
        <f t="shared" si="41"/>
        <v>336</v>
      </c>
      <c r="B348" s="1722" t="str">
        <f t="shared" si="42"/>
        <v/>
      </c>
      <c r="C348" s="1723">
        <f t="shared" si="36"/>
        <v>0</v>
      </c>
      <c r="D348" s="1723">
        <f t="shared" si="37"/>
        <v>0</v>
      </c>
      <c r="E348" s="1723">
        <f>IF(A347&lt;$B$6*12,ROUND(C348*'9a.PASS'!$C$21/12,2),"")</f>
        <v>0</v>
      </c>
      <c r="F348" s="1723">
        <f t="shared" si="38"/>
        <v>0</v>
      </c>
      <c r="G348" s="1723">
        <f t="shared" si="39"/>
        <v>0</v>
      </c>
      <c r="H348" s="1723">
        <f t="shared" si="40"/>
        <v>0</v>
      </c>
    </row>
    <row r="349" spans="1:8">
      <c r="A349" s="1717">
        <f t="shared" si="41"/>
        <v>337</v>
      </c>
      <c r="B349" s="1722" t="str">
        <f t="shared" si="42"/>
        <v/>
      </c>
      <c r="C349" s="1723">
        <f t="shared" si="36"/>
        <v>0</v>
      </c>
      <c r="D349" s="1723">
        <f t="shared" si="37"/>
        <v>0</v>
      </c>
      <c r="E349" s="1723">
        <f>IF(A348&lt;$B$6*12,ROUND(C349*'9a.PASS'!$C$21/12,2),"")</f>
        <v>0</v>
      </c>
      <c r="F349" s="1723">
        <f t="shared" si="38"/>
        <v>0</v>
      </c>
      <c r="G349" s="1723">
        <f t="shared" si="39"/>
        <v>0</v>
      </c>
      <c r="H349" s="1723">
        <f t="shared" si="40"/>
        <v>0</v>
      </c>
    </row>
    <row r="350" spans="1:8">
      <c r="A350" s="1717">
        <f t="shared" si="41"/>
        <v>338</v>
      </c>
      <c r="B350" s="1722" t="str">
        <f t="shared" si="42"/>
        <v/>
      </c>
      <c r="C350" s="1723">
        <f t="shared" si="36"/>
        <v>0</v>
      </c>
      <c r="D350" s="1723">
        <f t="shared" si="37"/>
        <v>0</v>
      </c>
      <c r="E350" s="1723">
        <f>IF(A349&lt;$B$6*12,ROUND(C350*'9a.PASS'!$C$21/12,2),"")</f>
        <v>0</v>
      </c>
      <c r="F350" s="1723">
        <f t="shared" si="38"/>
        <v>0</v>
      </c>
      <c r="G350" s="1723">
        <f t="shared" si="39"/>
        <v>0</v>
      </c>
      <c r="H350" s="1723">
        <f t="shared" si="40"/>
        <v>0</v>
      </c>
    </row>
    <row r="351" spans="1:8">
      <c r="A351" s="1717">
        <f t="shared" si="41"/>
        <v>339</v>
      </c>
      <c r="B351" s="1722" t="str">
        <f t="shared" si="42"/>
        <v/>
      </c>
      <c r="C351" s="1723">
        <f t="shared" si="36"/>
        <v>0</v>
      </c>
      <c r="D351" s="1723">
        <f t="shared" si="37"/>
        <v>0</v>
      </c>
      <c r="E351" s="1723">
        <f>IF(A350&lt;$B$6*12,ROUND(C351*'9a.PASS'!$C$21/12,2),"")</f>
        <v>0</v>
      </c>
      <c r="F351" s="1723">
        <f t="shared" si="38"/>
        <v>0</v>
      </c>
      <c r="G351" s="1723">
        <f t="shared" si="39"/>
        <v>0</v>
      </c>
      <c r="H351" s="1723">
        <f t="shared" si="40"/>
        <v>0</v>
      </c>
    </row>
    <row r="352" spans="1:8">
      <c r="A352" s="1717">
        <f t="shared" si="41"/>
        <v>340</v>
      </c>
      <c r="B352" s="1722" t="str">
        <f t="shared" si="42"/>
        <v/>
      </c>
      <c r="C352" s="1723">
        <f t="shared" si="36"/>
        <v>0</v>
      </c>
      <c r="D352" s="1723">
        <f t="shared" si="37"/>
        <v>0</v>
      </c>
      <c r="E352" s="1723">
        <f>IF(A351&lt;$B$6*12,ROUND(C352*'9a.PASS'!$C$21/12,2),"")</f>
        <v>0</v>
      </c>
      <c r="F352" s="1723">
        <f t="shared" si="38"/>
        <v>0</v>
      </c>
      <c r="G352" s="1723">
        <f t="shared" si="39"/>
        <v>0</v>
      </c>
      <c r="H352" s="1723">
        <f t="shared" si="40"/>
        <v>0</v>
      </c>
    </row>
    <row r="353" spans="1:8">
      <c r="A353" s="1717">
        <f t="shared" si="41"/>
        <v>341</v>
      </c>
      <c r="B353" s="1722" t="str">
        <f t="shared" si="42"/>
        <v/>
      </c>
      <c r="C353" s="1723">
        <f t="shared" si="36"/>
        <v>0</v>
      </c>
      <c r="D353" s="1723">
        <f t="shared" si="37"/>
        <v>0</v>
      </c>
      <c r="E353" s="1723">
        <f>IF(A352&lt;$B$6*12,ROUND(C353*'9a.PASS'!$C$21/12,2),"")</f>
        <v>0</v>
      </c>
      <c r="F353" s="1723">
        <f t="shared" si="38"/>
        <v>0</v>
      </c>
      <c r="G353" s="1723">
        <f t="shared" si="39"/>
        <v>0</v>
      </c>
      <c r="H353" s="1723">
        <f t="shared" si="40"/>
        <v>0</v>
      </c>
    </row>
    <row r="354" spans="1:8">
      <c r="A354" s="1717">
        <f t="shared" si="41"/>
        <v>342</v>
      </c>
      <c r="B354" s="1722" t="str">
        <f t="shared" si="42"/>
        <v/>
      </c>
      <c r="C354" s="1723">
        <f t="shared" si="36"/>
        <v>0</v>
      </c>
      <c r="D354" s="1723">
        <f t="shared" si="37"/>
        <v>0</v>
      </c>
      <c r="E354" s="1723">
        <f>IF(A353&lt;$B$6*12,ROUND(C354*'9a.PASS'!$C$21/12,2),"")</f>
        <v>0</v>
      </c>
      <c r="F354" s="1723">
        <f t="shared" si="38"/>
        <v>0</v>
      </c>
      <c r="G354" s="1723">
        <f t="shared" si="39"/>
        <v>0</v>
      </c>
      <c r="H354" s="1723">
        <f t="shared" si="40"/>
        <v>0</v>
      </c>
    </row>
    <row r="355" spans="1:8">
      <c r="A355" s="1717">
        <f t="shared" si="41"/>
        <v>343</v>
      </c>
      <c r="B355" s="1722" t="str">
        <f t="shared" si="42"/>
        <v/>
      </c>
      <c r="C355" s="1723">
        <f t="shared" si="36"/>
        <v>0</v>
      </c>
      <c r="D355" s="1723">
        <f t="shared" si="37"/>
        <v>0</v>
      </c>
      <c r="E355" s="1723">
        <f>IF(A354&lt;$B$6*12,ROUND(C355*'9a.PASS'!$C$21/12,2),"")</f>
        <v>0</v>
      </c>
      <c r="F355" s="1723">
        <f t="shared" si="38"/>
        <v>0</v>
      </c>
      <c r="G355" s="1723">
        <f t="shared" si="39"/>
        <v>0</v>
      </c>
      <c r="H355" s="1723">
        <f t="shared" si="40"/>
        <v>0</v>
      </c>
    </row>
    <row r="356" spans="1:8">
      <c r="A356" s="1717">
        <f t="shared" si="41"/>
        <v>344</v>
      </c>
      <c r="B356" s="1722" t="str">
        <f t="shared" si="42"/>
        <v/>
      </c>
      <c r="C356" s="1723">
        <f t="shared" si="36"/>
        <v>0</v>
      </c>
      <c r="D356" s="1723">
        <f t="shared" si="37"/>
        <v>0</v>
      </c>
      <c r="E356" s="1723">
        <f>IF(A355&lt;$B$6*12,ROUND(C356*'9a.PASS'!$C$21/12,2),"")</f>
        <v>0</v>
      </c>
      <c r="F356" s="1723">
        <f t="shared" si="38"/>
        <v>0</v>
      </c>
      <c r="G356" s="1723">
        <f t="shared" si="39"/>
        <v>0</v>
      </c>
      <c r="H356" s="1723">
        <f t="shared" si="40"/>
        <v>0</v>
      </c>
    </row>
    <row r="357" spans="1:8">
      <c r="A357" s="1717">
        <f t="shared" si="41"/>
        <v>345</v>
      </c>
      <c r="B357" s="1722" t="str">
        <f t="shared" si="42"/>
        <v/>
      </c>
      <c r="C357" s="1723">
        <f t="shared" si="36"/>
        <v>0</v>
      </c>
      <c r="D357" s="1723">
        <f t="shared" si="37"/>
        <v>0</v>
      </c>
      <c r="E357" s="1723">
        <f>IF(A356&lt;$B$6*12,ROUND(C357*'9a.PASS'!$C$21/12,2),"")</f>
        <v>0</v>
      </c>
      <c r="F357" s="1723">
        <f t="shared" si="38"/>
        <v>0</v>
      </c>
      <c r="G357" s="1723">
        <f t="shared" si="39"/>
        <v>0</v>
      </c>
      <c r="H357" s="1723">
        <f t="shared" si="40"/>
        <v>0</v>
      </c>
    </row>
    <row r="358" spans="1:8">
      <c r="A358" s="1717">
        <f t="shared" si="41"/>
        <v>346</v>
      </c>
      <c r="B358" s="1722" t="str">
        <f t="shared" si="42"/>
        <v/>
      </c>
      <c r="C358" s="1723">
        <f t="shared" si="36"/>
        <v>0</v>
      </c>
      <c r="D358" s="1723">
        <f t="shared" si="37"/>
        <v>0</v>
      </c>
      <c r="E358" s="1723">
        <f>IF(A357&lt;$B$6*12,ROUND(C358*'9a.PASS'!$C$21/12,2),"")</f>
        <v>0</v>
      </c>
      <c r="F358" s="1723">
        <f t="shared" si="38"/>
        <v>0</v>
      </c>
      <c r="G358" s="1723">
        <f t="shared" si="39"/>
        <v>0</v>
      </c>
      <c r="H358" s="1723">
        <f t="shared" si="40"/>
        <v>0</v>
      </c>
    </row>
    <row r="359" spans="1:8">
      <c r="A359" s="1717">
        <f t="shared" si="41"/>
        <v>347</v>
      </c>
      <c r="B359" s="1722" t="str">
        <f t="shared" si="42"/>
        <v/>
      </c>
      <c r="C359" s="1723">
        <f t="shared" si="36"/>
        <v>0</v>
      </c>
      <c r="D359" s="1723">
        <f t="shared" si="37"/>
        <v>0</v>
      </c>
      <c r="E359" s="1723">
        <f>IF(A358&lt;$B$6*12,ROUND(C359*'9a.PASS'!$C$21/12,2),"")</f>
        <v>0</v>
      </c>
      <c r="F359" s="1723">
        <f t="shared" si="38"/>
        <v>0</v>
      </c>
      <c r="G359" s="1723">
        <f t="shared" si="39"/>
        <v>0</v>
      </c>
      <c r="H359" s="1723">
        <f t="shared" si="40"/>
        <v>0</v>
      </c>
    </row>
    <row r="360" spans="1:8">
      <c r="A360" s="1717">
        <f t="shared" si="41"/>
        <v>348</v>
      </c>
      <c r="B360" s="1722" t="str">
        <f t="shared" si="42"/>
        <v/>
      </c>
      <c r="C360" s="1723">
        <f t="shared" si="36"/>
        <v>0</v>
      </c>
      <c r="D360" s="1723">
        <f t="shared" si="37"/>
        <v>0</v>
      </c>
      <c r="E360" s="1723">
        <f>IF(A359&lt;$B$6*12,ROUND(C360*'9a.PASS'!$C$21/12,2),"")</f>
        <v>0</v>
      </c>
      <c r="F360" s="1723">
        <f t="shared" si="38"/>
        <v>0</v>
      </c>
      <c r="G360" s="1723">
        <f t="shared" si="39"/>
        <v>0</v>
      </c>
      <c r="H360" s="1723">
        <f t="shared" si="40"/>
        <v>0</v>
      </c>
    </row>
    <row r="361" spans="1:8">
      <c r="A361" s="1717">
        <f t="shared" si="41"/>
        <v>349</v>
      </c>
      <c r="B361" s="1722" t="str">
        <f t="shared" si="42"/>
        <v/>
      </c>
      <c r="C361" s="1723">
        <f t="shared" si="36"/>
        <v>0</v>
      </c>
      <c r="D361" s="1723">
        <f t="shared" si="37"/>
        <v>0</v>
      </c>
      <c r="E361" s="1723">
        <f>IF(A360&lt;$B$6*12,ROUND(C361*'9a.PASS'!$C$21/12,2),"")</f>
        <v>0</v>
      </c>
      <c r="F361" s="1723">
        <f t="shared" si="38"/>
        <v>0</v>
      </c>
      <c r="G361" s="1723">
        <f t="shared" si="39"/>
        <v>0</v>
      </c>
      <c r="H361" s="1723">
        <f t="shared" si="40"/>
        <v>0</v>
      </c>
    </row>
    <row r="362" spans="1:8">
      <c r="A362" s="1717">
        <f t="shared" si="41"/>
        <v>350</v>
      </c>
      <c r="B362" s="1722" t="str">
        <f t="shared" si="42"/>
        <v/>
      </c>
      <c r="C362" s="1723">
        <f t="shared" si="36"/>
        <v>0</v>
      </c>
      <c r="D362" s="1723">
        <f t="shared" si="37"/>
        <v>0</v>
      </c>
      <c r="E362" s="1723">
        <f>IF(A361&lt;$B$6*12,ROUND(C362*'9a.PASS'!$C$21/12,2),"")</f>
        <v>0</v>
      </c>
      <c r="F362" s="1723">
        <f t="shared" si="38"/>
        <v>0</v>
      </c>
      <c r="G362" s="1723">
        <f t="shared" si="39"/>
        <v>0</v>
      </c>
      <c r="H362" s="1723">
        <f t="shared" si="40"/>
        <v>0</v>
      </c>
    </row>
    <row r="363" spans="1:8">
      <c r="A363" s="1717">
        <f t="shared" si="41"/>
        <v>351</v>
      </c>
      <c r="B363" s="1722" t="str">
        <f t="shared" si="42"/>
        <v/>
      </c>
      <c r="C363" s="1723">
        <f t="shared" si="36"/>
        <v>0</v>
      </c>
      <c r="D363" s="1723">
        <f t="shared" si="37"/>
        <v>0</v>
      </c>
      <c r="E363" s="1723">
        <f>IF(A362&lt;$B$6*12,ROUND(C363*'9a.PASS'!$C$21/12,2),"")</f>
        <v>0</v>
      </c>
      <c r="F363" s="1723">
        <f t="shared" si="38"/>
        <v>0</v>
      </c>
      <c r="G363" s="1723">
        <f t="shared" si="39"/>
        <v>0</v>
      </c>
      <c r="H363" s="1723">
        <f t="shared" si="40"/>
        <v>0</v>
      </c>
    </row>
    <row r="364" spans="1:8">
      <c r="A364" s="1717">
        <f t="shared" si="41"/>
        <v>352</v>
      </c>
      <c r="B364" s="1722" t="str">
        <f t="shared" si="42"/>
        <v/>
      </c>
      <c r="C364" s="1723">
        <f t="shared" si="36"/>
        <v>0</v>
      </c>
      <c r="D364" s="1723">
        <f t="shared" si="37"/>
        <v>0</v>
      </c>
      <c r="E364" s="1723">
        <f>IF(A363&lt;$B$6*12,ROUND(C364*'9a.PASS'!$C$21/12,2),"")</f>
        <v>0</v>
      </c>
      <c r="F364" s="1723">
        <f t="shared" si="38"/>
        <v>0</v>
      </c>
      <c r="G364" s="1723">
        <f t="shared" si="39"/>
        <v>0</v>
      </c>
      <c r="H364" s="1723">
        <f t="shared" si="40"/>
        <v>0</v>
      </c>
    </row>
    <row r="365" spans="1:8">
      <c r="A365" s="1717">
        <f t="shared" si="41"/>
        <v>353</v>
      </c>
      <c r="B365" s="1722" t="str">
        <f t="shared" si="42"/>
        <v/>
      </c>
      <c r="C365" s="1723">
        <f t="shared" si="36"/>
        <v>0</v>
      </c>
      <c r="D365" s="1723">
        <f t="shared" si="37"/>
        <v>0</v>
      </c>
      <c r="E365" s="1723">
        <f>IF(A364&lt;$B$6*12,ROUND(C365*'9a.PASS'!$C$21/12,2),"")</f>
        <v>0</v>
      </c>
      <c r="F365" s="1723">
        <f t="shared" si="38"/>
        <v>0</v>
      </c>
      <c r="G365" s="1723">
        <f t="shared" si="39"/>
        <v>0</v>
      </c>
      <c r="H365" s="1723">
        <f t="shared" si="40"/>
        <v>0</v>
      </c>
    </row>
    <row r="366" spans="1:8">
      <c r="A366" s="1717">
        <f t="shared" si="41"/>
        <v>354</v>
      </c>
      <c r="B366" s="1722" t="str">
        <f t="shared" si="42"/>
        <v/>
      </c>
      <c r="C366" s="1723">
        <f t="shared" si="36"/>
        <v>0</v>
      </c>
      <c r="D366" s="1723">
        <f t="shared" si="37"/>
        <v>0</v>
      </c>
      <c r="E366" s="1723">
        <f>IF(A365&lt;$B$6*12,ROUND(C366*'9a.PASS'!$C$21/12,2),"")</f>
        <v>0</v>
      </c>
      <c r="F366" s="1723">
        <f t="shared" si="38"/>
        <v>0</v>
      </c>
      <c r="G366" s="1723">
        <f t="shared" si="39"/>
        <v>0</v>
      </c>
      <c r="H366" s="1723">
        <f t="shared" si="40"/>
        <v>0</v>
      </c>
    </row>
    <row r="367" spans="1:8">
      <c r="A367" s="1717">
        <f t="shared" si="41"/>
        <v>355</v>
      </c>
      <c r="B367" s="1722" t="str">
        <f t="shared" si="42"/>
        <v/>
      </c>
      <c r="C367" s="1723">
        <f t="shared" si="36"/>
        <v>0</v>
      </c>
      <c r="D367" s="1723">
        <f t="shared" si="37"/>
        <v>0</v>
      </c>
      <c r="E367" s="1723">
        <f>IF(A366&lt;$B$6*12,ROUND(C367*'9a.PASS'!$C$21/12,2),"")</f>
        <v>0</v>
      </c>
      <c r="F367" s="1723">
        <f t="shared" si="38"/>
        <v>0</v>
      </c>
      <c r="G367" s="1723">
        <f t="shared" si="39"/>
        <v>0</v>
      </c>
      <c r="H367" s="1723">
        <f t="shared" si="40"/>
        <v>0</v>
      </c>
    </row>
    <row r="368" spans="1:8">
      <c r="A368" s="1717">
        <f t="shared" si="41"/>
        <v>356</v>
      </c>
      <c r="B368" s="1722" t="str">
        <f t="shared" si="42"/>
        <v/>
      </c>
      <c r="C368" s="1723">
        <f t="shared" si="36"/>
        <v>0</v>
      </c>
      <c r="D368" s="1723">
        <f t="shared" si="37"/>
        <v>0</v>
      </c>
      <c r="E368" s="1723">
        <f>IF(A367&lt;$B$6*12,ROUND(C368*'9a.PASS'!$C$21/12,2),"")</f>
        <v>0</v>
      </c>
      <c r="F368" s="1723">
        <f t="shared" si="38"/>
        <v>0</v>
      </c>
      <c r="G368" s="1723">
        <f t="shared" si="39"/>
        <v>0</v>
      </c>
      <c r="H368" s="1723">
        <f t="shared" si="40"/>
        <v>0</v>
      </c>
    </row>
    <row r="369" spans="1:8">
      <c r="A369" s="1717">
        <f t="shared" si="41"/>
        <v>357</v>
      </c>
      <c r="B369" s="1722" t="str">
        <f t="shared" si="42"/>
        <v/>
      </c>
      <c r="C369" s="1723">
        <f t="shared" si="36"/>
        <v>0</v>
      </c>
      <c r="D369" s="1723">
        <f t="shared" si="37"/>
        <v>0</v>
      </c>
      <c r="E369" s="1723">
        <f>IF(A368&lt;$B$6*12,ROUND(C369*'9a.PASS'!$C$21/12,2),"")</f>
        <v>0</v>
      </c>
      <c r="F369" s="1723">
        <f t="shared" si="38"/>
        <v>0</v>
      </c>
      <c r="G369" s="1723">
        <f t="shared" si="39"/>
        <v>0</v>
      </c>
      <c r="H369" s="1723">
        <f t="shared" si="40"/>
        <v>0</v>
      </c>
    </row>
    <row r="370" spans="1:8">
      <c r="A370" s="1717">
        <f t="shared" si="41"/>
        <v>358</v>
      </c>
      <c r="B370" s="1722" t="str">
        <f t="shared" si="42"/>
        <v/>
      </c>
      <c r="C370" s="1723">
        <f t="shared" si="36"/>
        <v>0</v>
      </c>
      <c r="D370" s="1723">
        <f t="shared" si="37"/>
        <v>0</v>
      </c>
      <c r="E370" s="1723">
        <f>IF(A369&lt;$B$6*12,ROUND(C370*'9a.PASS'!$C$21/12,2),"")</f>
        <v>0</v>
      </c>
      <c r="F370" s="1723">
        <f t="shared" si="38"/>
        <v>0</v>
      </c>
      <c r="G370" s="1723">
        <f t="shared" si="39"/>
        <v>0</v>
      </c>
      <c r="H370" s="1723">
        <f t="shared" si="40"/>
        <v>0</v>
      </c>
    </row>
    <row r="371" spans="1:8">
      <c r="A371" s="1717">
        <f t="shared" si="41"/>
        <v>359</v>
      </c>
      <c r="B371" s="1722" t="str">
        <f t="shared" si="42"/>
        <v/>
      </c>
      <c r="C371" s="1723">
        <f t="shared" si="36"/>
        <v>0</v>
      </c>
      <c r="D371" s="1723">
        <f t="shared" si="37"/>
        <v>0</v>
      </c>
      <c r="E371" s="1723">
        <f>IF(A370&lt;$B$6*12,ROUND(C371*'9a.PASS'!$C$21/12,2),"")</f>
        <v>0</v>
      </c>
      <c r="F371" s="1723">
        <f t="shared" si="38"/>
        <v>0</v>
      </c>
      <c r="G371" s="1723">
        <f t="shared" si="39"/>
        <v>0</v>
      </c>
      <c r="H371" s="1723">
        <f t="shared" si="40"/>
        <v>0</v>
      </c>
    </row>
    <row r="372" spans="1:8">
      <c r="A372" s="1717">
        <f t="shared" si="41"/>
        <v>360</v>
      </c>
      <c r="B372" s="1722" t="str">
        <f t="shared" si="42"/>
        <v/>
      </c>
      <c r="C372" s="1723">
        <f t="shared" si="36"/>
        <v>0</v>
      </c>
      <c r="D372" s="1723">
        <f t="shared" si="37"/>
        <v>0</v>
      </c>
      <c r="E372" s="1723">
        <f>IF(A371&lt;$B$6*12,ROUND(C372*'9a.PASS'!$C$21/12,2),"")</f>
        <v>0</v>
      </c>
      <c r="F372" s="1723">
        <f t="shared" si="38"/>
        <v>0</v>
      </c>
      <c r="G372" s="1723">
        <f t="shared" si="39"/>
        <v>0</v>
      </c>
      <c r="H372" s="1723">
        <f t="shared" si="40"/>
        <v>0</v>
      </c>
    </row>
    <row r="373" spans="1:8">
      <c r="A373" s="1717">
        <f t="shared" si="41"/>
        <v>361</v>
      </c>
      <c r="B373" s="1722" t="str">
        <f t="shared" si="42"/>
        <v/>
      </c>
      <c r="C373" s="1723">
        <f t="shared" si="36"/>
        <v>0</v>
      </c>
      <c r="D373" s="1723">
        <f t="shared" si="37"/>
        <v>0</v>
      </c>
      <c r="E373" s="1723">
        <f>IF(A372&lt;$B$6*12,ROUND(C373*'9a.PASS'!$C$21/12,2),"")</f>
        <v>0</v>
      </c>
      <c r="F373" s="1723">
        <f t="shared" si="38"/>
        <v>0</v>
      </c>
      <c r="G373" s="1723">
        <f t="shared" si="39"/>
        <v>0</v>
      </c>
      <c r="H373" s="1723">
        <f t="shared" si="40"/>
        <v>0</v>
      </c>
    </row>
    <row r="374" spans="1:8">
      <c r="A374" s="1717">
        <f t="shared" si="41"/>
        <v>362</v>
      </c>
      <c r="B374" s="1722" t="str">
        <f t="shared" si="42"/>
        <v/>
      </c>
      <c r="C374" s="1723">
        <f t="shared" si="36"/>
        <v>0</v>
      </c>
      <c r="D374" s="1723">
        <f t="shared" si="37"/>
        <v>0</v>
      </c>
      <c r="E374" s="1723">
        <f>IF(A373&lt;$B$6*12,ROUND(C374*'9a.PASS'!$C$21/12,2),"")</f>
        <v>0</v>
      </c>
      <c r="F374" s="1723">
        <f t="shared" si="38"/>
        <v>0</v>
      </c>
      <c r="G374" s="1723">
        <f t="shared" si="39"/>
        <v>0</v>
      </c>
      <c r="H374" s="1723">
        <f t="shared" si="40"/>
        <v>0</v>
      </c>
    </row>
    <row r="375" spans="1:8">
      <c r="A375" s="1717">
        <f t="shared" si="41"/>
        <v>363</v>
      </c>
      <c r="B375" s="1722" t="str">
        <f t="shared" si="42"/>
        <v/>
      </c>
      <c r="C375" s="1723">
        <f t="shared" si="36"/>
        <v>0</v>
      </c>
      <c r="D375" s="1723">
        <f t="shared" si="37"/>
        <v>0</v>
      </c>
      <c r="E375" s="1723">
        <f>IF(A374&lt;$B$6*12,ROUND(C375*'9a.PASS'!$C$21/12,2),"")</f>
        <v>0</v>
      </c>
      <c r="F375" s="1723">
        <f t="shared" si="38"/>
        <v>0</v>
      </c>
      <c r="G375" s="1723">
        <f t="shared" si="39"/>
        <v>0</v>
      </c>
      <c r="H375" s="1723">
        <f t="shared" si="40"/>
        <v>0</v>
      </c>
    </row>
    <row r="376" spans="1:8">
      <c r="A376" s="1717">
        <f t="shared" si="41"/>
        <v>364</v>
      </c>
      <c r="B376" s="1722" t="str">
        <f t="shared" si="42"/>
        <v/>
      </c>
      <c r="C376" s="1723">
        <f t="shared" si="36"/>
        <v>0</v>
      </c>
      <c r="D376" s="1723">
        <f t="shared" si="37"/>
        <v>0</v>
      </c>
      <c r="E376" s="1723">
        <f>IF(A375&lt;$B$6*12,ROUND(C376*'9a.PASS'!$C$21/12,2),"")</f>
        <v>0</v>
      </c>
      <c r="F376" s="1723">
        <f t="shared" si="38"/>
        <v>0</v>
      </c>
      <c r="G376" s="1723">
        <f t="shared" si="39"/>
        <v>0</v>
      </c>
      <c r="H376" s="1723">
        <f t="shared" si="40"/>
        <v>0</v>
      </c>
    </row>
    <row r="377" spans="1:8">
      <c r="A377" s="1717">
        <f t="shared" si="41"/>
        <v>365</v>
      </c>
      <c r="B377" s="1722" t="str">
        <f t="shared" si="42"/>
        <v/>
      </c>
      <c r="C377" s="1723">
        <f t="shared" si="36"/>
        <v>0</v>
      </c>
      <c r="D377" s="1723">
        <f t="shared" si="37"/>
        <v>0</v>
      </c>
      <c r="E377" s="1723">
        <f>IF(A376&lt;$B$6*12,ROUND(C377*'9a.PASS'!$C$21/12,2),"")</f>
        <v>0</v>
      </c>
      <c r="F377" s="1723">
        <f t="shared" si="38"/>
        <v>0</v>
      </c>
      <c r="G377" s="1723">
        <f t="shared" si="39"/>
        <v>0</v>
      </c>
      <c r="H377" s="1723">
        <f t="shared" si="40"/>
        <v>0</v>
      </c>
    </row>
    <row r="378" spans="1:8">
      <c r="A378" s="1717">
        <f t="shared" si="41"/>
        <v>366</v>
      </c>
      <c r="B378" s="1722" t="str">
        <f t="shared" si="42"/>
        <v/>
      </c>
      <c r="C378" s="1723">
        <f t="shared" si="36"/>
        <v>0</v>
      </c>
      <c r="D378" s="1723">
        <f t="shared" si="37"/>
        <v>0</v>
      </c>
      <c r="E378" s="1723">
        <f>IF(A377&lt;$B$6*12,ROUND(C378*'9a.PASS'!$C$21/12,2),"")</f>
        <v>0</v>
      </c>
      <c r="F378" s="1723">
        <f t="shared" si="38"/>
        <v>0</v>
      </c>
      <c r="G378" s="1723">
        <f t="shared" si="39"/>
        <v>0</v>
      </c>
      <c r="H378" s="1723">
        <f t="shared" si="40"/>
        <v>0</v>
      </c>
    </row>
    <row r="379" spans="1:8">
      <c r="A379" s="1717">
        <f t="shared" si="41"/>
        <v>367</v>
      </c>
      <c r="B379" s="1722" t="str">
        <f t="shared" si="42"/>
        <v/>
      </c>
      <c r="C379" s="1723">
        <f t="shared" si="36"/>
        <v>0</v>
      </c>
      <c r="D379" s="1723">
        <f t="shared" si="37"/>
        <v>0</v>
      </c>
      <c r="E379" s="1723">
        <f>IF(A378&lt;$B$6*12,ROUND(C379*'9a.PASS'!$C$21/12,2),"")</f>
        <v>0</v>
      </c>
      <c r="F379" s="1723">
        <f t="shared" si="38"/>
        <v>0</v>
      </c>
      <c r="G379" s="1723">
        <f t="shared" si="39"/>
        <v>0</v>
      </c>
      <c r="H379" s="1723">
        <f t="shared" si="40"/>
        <v>0</v>
      </c>
    </row>
    <row r="380" spans="1:8">
      <c r="A380" s="1717">
        <f t="shared" si="41"/>
        <v>368</v>
      </c>
      <c r="B380" s="1722" t="str">
        <f t="shared" si="42"/>
        <v/>
      </c>
      <c r="C380" s="1723">
        <f t="shared" si="36"/>
        <v>0</v>
      </c>
      <c r="D380" s="1723">
        <f t="shared" si="37"/>
        <v>0</v>
      </c>
      <c r="E380" s="1723">
        <f>IF(A379&lt;$B$6*12,ROUND(C380*'9a.PASS'!$C$21/12,2),"")</f>
        <v>0</v>
      </c>
      <c r="F380" s="1723">
        <f t="shared" si="38"/>
        <v>0</v>
      </c>
      <c r="G380" s="1723">
        <f t="shared" si="39"/>
        <v>0</v>
      </c>
      <c r="H380" s="1723">
        <f t="shared" si="40"/>
        <v>0</v>
      </c>
    </row>
    <row r="381" spans="1:8">
      <c r="A381" s="1717">
        <f t="shared" si="41"/>
        <v>369</v>
      </c>
      <c r="B381" s="1722" t="str">
        <f t="shared" si="42"/>
        <v/>
      </c>
      <c r="C381" s="1723">
        <f t="shared" si="36"/>
        <v>0</v>
      </c>
      <c r="D381" s="1723">
        <f t="shared" si="37"/>
        <v>0</v>
      </c>
      <c r="E381" s="1723">
        <f>IF(A380&lt;$B$6*12,ROUND(C381*'9a.PASS'!$C$21/12,2),"")</f>
        <v>0</v>
      </c>
      <c r="F381" s="1723">
        <f t="shared" si="38"/>
        <v>0</v>
      </c>
      <c r="G381" s="1723">
        <f t="shared" si="39"/>
        <v>0</v>
      </c>
      <c r="H381" s="1723">
        <f t="shared" si="40"/>
        <v>0</v>
      </c>
    </row>
    <row r="382" spans="1:8">
      <c r="A382" s="1717">
        <f t="shared" si="41"/>
        <v>370</v>
      </c>
      <c r="B382" s="1722" t="str">
        <f t="shared" si="42"/>
        <v/>
      </c>
      <c r="C382" s="1723">
        <f t="shared" si="36"/>
        <v>0</v>
      </c>
      <c r="D382" s="1723">
        <f t="shared" si="37"/>
        <v>0</v>
      </c>
      <c r="E382" s="1723">
        <f>IF(A381&lt;$B$6*12,ROUND(C382*'9a.PASS'!$C$21/12,2),"")</f>
        <v>0</v>
      </c>
      <c r="F382" s="1723">
        <f t="shared" si="38"/>
        <v>0</v>
      </c>
      <c r="G382" s="1723">
        <f t="shared" si="39"/>
        <v>0</v>
      </c>
      <c r="H382" s="1723">
        <f t="shared" si="40"/>
        <v>0</v>
      </c>
    </row>
    <row r="383" spans="1:8">
      <c r="A383" s="1717">
        <f t="shared" si="41"/>
        <v>371</v>
      </c>
      <c r="B383" s="1722" t="str">
        <f t="shared" si="42"/>
        <v/>
      </c>
      <c r="C383" s="1723">
        <f t="shared" si="36"/>
        <v>0</v>
      </c>
      <c r="D383" s="1723">
        <f t="shared" si="37"/>
        <v>0</v>
      </c>
      <c r="E383" s="1723">
        <f>IF(A382&lt;$B$6*12,ROUND(C383*'9a.PASS'!$C$21/12,2),"")</f>
        <v>0</v>
      </c>
      <c r="F383" s="1723">
        <f t="shared" si="38"/>
        <v>0</v>
      </c>
      <c r="G383" s="1723">
        <f t="shared" si="39"/>
        <v>0</v>
      </c>
      <c r="H383" s="1723">
        <f t="shared" si="40"/>
        <v>0</v>
      </c>
    </row>
    <row r="384" spans="1:8">
      <c r="A384" s="1717">
        <f t="shared" si="41"/>
        <v>372</v>
      </c>
      <c r="B384" s="1722" t="str">
        <f t="shared" si="42"/>
        <v/>
      </c>
      <c r="C384" s="1723">
        <f t="shared" si="36"/>
        <v>0</v>
      </c>
      <c r="D384" s="1723">
        <f t="shared" si="37"/>
        <v>0</v>
      </c>
      <c r="E384" s="1723">
        <f>IF(A383&lt;$B$6*12,ROUND(C384*'9a.PASS'!$C$21/12,2),"")</f>
        <v>0</v>
      </c>
      <c r="F384" s="1723">
        <f t="shared" si="38"/>
        <v>0</v>
      </c>
      <c r="G384" s="1723">
        <f t="shared" si="39"/>
        <v>0</v>
      </c>
      <c r="H384" s="1723">
        <f t="shared" si="40"/>
        <v>0</v>
      </c>
    </row>
    <row r="385" spans="1:8">
      <c r="A385" s="1717">
        <f t="shared" si="41"/>
        <v>373</v>
      </c>
      <c r="B385" s="1722" t="str">
        <f t="shared" si="42"/>
        <v/>
      </c>
      <c r="C385" s="1723">
        <f t="shared" si="36"/>
        <v>0</v>
      </c>
      <c r="D385" s="1723">
        <f t="shared" si="37"/>
        <v>0</v>
      </c>
      <c r="E385" s="1723">
        <f>IF(A384&lt;$B$6*12,ROUND(C385*'9a.PASS'!$C$21/12,2),"")</f>
        <v>0</v>
      </c>
      <c r="F385" s="1723">
        <f t="shared" si="38"/>
        <v>0</v>
      </c>
      <c r="G385" s="1723">
        <f t="shared" si="39"/>
        <v>0</v>
      </c>
      <c r="H385" s="1723">
        <f t="shared" si="40"/>
        <v>0</v>
      </c>
    </row>
    <row r="386" spans="1:8">
      <c r="A386" s="1717">
        <f t="shared" si="41"/>
        <v>374</v>
      </c>
      <c r="B386" s="1722" t="str">
        <f t="shared" si="42"/>
        <v/>
      </c>
      <c r="C386" s="1723">
        <f t="shared" si="36"/>
        <v>0</v>
      </c>
      <c r="D386" s="1723">
        <f t="shared" si="37"/>
        <v>0</v>
      </c>
      <c r="E386" s="1723">
        <f>IF(A385&lt;$B$6*12,ROUND(C386*'9a.PASS'!$C$21/12,2),"")</f>
        <v>0</v>
      </c>
      <c r="F386" s="1723">
        <f t="shared" si="38"/>
        <v>0</v>
      </c>
      <c r="G386" s="1723">
        <f t="shared" si="39"/>
        <v>0</v>
      </c>
      <c r="H386" s="1723">
        <f t="shared" si="40"/>
        <v>0</v>
      </c>
    </row>
    <row r="387" spans="1:8">
      <c r="A387" s="1717">
        <f t="shared" si="41"/>
        <v>375</v>
      </c>
      <c r="B387" s="1722" t="str">
        <f t="shared" si="42"/>
        <v/>
      </c>
      <c r="C387" s="1723">
        <f t="shared" si="36"/>
        <v>0</v>
      </c>
      <c r="D387" s="1723">
        <f t="shared" si="37"/>
        <v>0</v>
      </c>
      <c r="E387" s="1723">
        <f>IF(A386&lt;$B$6*12,ROUND(C387*'9a.PASS'!$C$21/12,2),"")</f>
        <v>0</v>
      </c>
      <c r="F387" s="1723">
        <f t="shared" si="38"/>
        <v>0</v>
      </c>
      <c r="G387" s="1723">
        <f t="shared" si="39"/>
        <v>0</v>
      </c>
      <c r="H387" s="1723">
        <f t="shared" si="40"/>
        <v>0</v>
      </c>
    </row>
    <row r="388" spans="1:8">
      <c r="A388" s="1717">
        <f t="shared" si="41"/>
        <v>376</v>
      </c>
      <c r="B388" s="1722" t="str">
        <f t="shared" si="42"/>
        <v/>
      </c>
      <c r="C388" s="1723">
        <f t="shared" si="36"/>
        <v>0</v>
      </c>
      <c r="D388" s="1723">
        <f t="shared" si="37"/>
        <v>0</v>
      </c>
      <c r="E388" s="1723">
        <f>IF(A387&lt;$B$6*12,ROUND(C388*'9a.PASS'!$C$21/12,2),"")</f>
        <v>0</v>
      </c>
      <c r="F388" s="1723">
        <f t="shared" si="38"/>
        <v>0</v>
      </c>
      <c r="G388" s="1723">
        <f t="shared" si="39"/>
        <v>0</v>
      </c>
      <c r="H388" s="1723">
        <f t="shared" si="40"/>
        <v>0</v>
      </c>
    </row>
    <row r="389" spans="1:8">
      <c r="A389" s="1717">
        <f t="shared" si="41"/>
        <v>377</v>
      </c>
      <c r="B389" s="1722" t="str">
        <f t="shared" si="42"/>
        <v/>
      </c>
      <c r="C389" s="1723">
        <f t="shared" si="36"/>
        <v>0</v>
      </c>
      <c r="D389" s="1723">
        <f t="shared" si="37"/>
        <v>0</v>
      </c>
      <c r="E389" s="1723">
        <f>IF(A388&lt;$B$6*12,ROUND(C389*'9a.PASS'!$C$21/12,2),"")</f>
        <v>0</v>
      </c>
      <c r="F389" s="1723">
        <f t="shared" si="38"/>
        <v>0</v>
      </c>
      <c r="G389" s="1723">
        <f t="shared" si="39"/>
        <v>0</v>
      </c>
      <c r="H389" s="1723">
        <f t="shared" si="40"/>
        <v>0</v>
      </c>
    </row>
    <row r="390" spans="1:8">
      <c r="A390" s="1717">
        <f t="shared" si="41"/>
        <v>378</v>
      </c>
      <c r="B390" s="1722" t="str">
        <f t="shared" si="42"/>
        <v/>
      </c>
      <c r="C390" s="1723">
        <f t="shared" si="36"/>
        <v>0</v>
      </c>
      <c r="D390" s="1723">
        <f t="shared" si="37"/>
        <v>0</v>
      </c>
      <c r="E390" s="1723">
        <f>IF(A389&lt;$B$6*12,ROUND(C390*'9a.PASS'!$C$21/12,2),"")</f>
        <v>0</v>
      </c>
      <c r="F390" s="1723">
        <f t="shared" si="38"/>
        <v>0</v>
      </c>
      <c r="G390" s="1723">
        <f t="shared" si="39"/>
        <v>0</v>
      </c>
      <c r="H390" s="1723">
        <f t="shared" si="40"/>
        <v>0</v>
      </c>
    </row>
    <row r="391" spans="1:8">
      <c r="A391" s="1717">
        <f t="shared" si="41"/>
        <v>379</v>
      </c>
      <c r="B391" s="1722" t="str">
        <f t="shared" si="42"/>
        <v/>
      </c>
      <c r="C391" s="1723">
        <f t="shared" si="36"/>
        <v>0</v>
      </c>
      <c r="D391" s="1723">
        <f t="shared" si="37"/>
        <v>0</v>
      </c>
      <c r="E391" s="1723">
        <f>IF(A390&lt;$B$6*12,ROUND(C391*'9a.PASS'!$C$21/12,2),"")</f>
        <v>0</v>
      </c>
      <c r="F391" s="1723">
        <f t="shared" si="38"/>
        <v>0</v>
      </c>
      <c r="G391" s="1723">
        <f t="shared" si="39"/>
        <v>0</v>
      </c>
      <c r="H391" s="1723">
        <f t="shared" si="40"/>
        <v>0</v>
      </c>
    </row>
    <row r="392" spans="1:8">
      <c r="A392" s="1717">
        <f t="shared" si="41"/>
        <v>380</v>
      </c>
      <c r="B392" s="1722" t="str">
        <f t="shared" si="42"/>
        <v/>
      </c>
      <c r="C392" s="1723">
        <f t="shared" si="36"/>
        <v>0</v>
      </c>
      <c r="D392" s="1723">
        <f t="shared" si="37"/>
        <v>0</v>
      </c>
      <c r="E392" s="1723">
        <f>IF(A391&lt;$B$6*12,ROUND(C392*'9a.PASS'!$C$21/12,2),"")</f>
        <v>0</v>
      </c>
      <c r="F392" s="1723">
        <f t="shared" si="38"/>
        <v>0</v>
      </c>
      <c r="G392" s="1723">
        <f t="shared" si="39"/>
        <v>0</v>
      </c>
      <c r="H392" s="1723">
        <f t="shared" si="40"/>
        <v>0</v>
      </c>
    </row>
    <row r="393" spans="1:8">
      <c r="A393" s="1717">
        <f t="shared" si="41"/>
        <v>381</v>
      </c>
      <c r="B393" s="1722" t="str">
        <f t="shared" si="42"/>
        <v/>
      </c>
      <c r="C393" s="1723">
        <f t="shared" si="36"/>
        <v>0</v>
      </c>
      <c r="D393" s="1723">
        <f t="shared" si="37"/>
        <v>0</v>
      </c>
      <c r="E393" s="1723">
        <f>IF(A392&lt;$B$6*12,ROUND(C393*'9a.PASS'!$C$21/12,2),"")</f>
        <v>0</v>
      </c>
      <c r="F393" s="1723">
        <f t="shared" si="38"/>
        <v>0</v>
      </c>
      <c r="G393" s="1723">
        <f t="shared" si="39"/>
        <v>0</v>
      </c>
      <c r="H393" s="1723">
        <f t="shared" si="40"/>
        <v>0</v>
      </c>
    </row>
    <row r="394" spans="1:8">
      <c r="A394" s="1717">
        <f t="shared" si="41"/>
        <v>382</v>
      </c>
      <c r="B394" s="1722" t="str">
        <f t="shared" si="42"/>
        <v/>
      </c>
      <c r="C394" s="1723">
        <f t="shared" si="36"/>
        <v>0</v>
      </c>
      <c r="D394" s="1723">
        <f t="shared" si="37"/>
        <v>0</v>
      </c>
      <c r="E394" s="1723">
        <f>IF(A393&lt;$B$6*12,ROUND(C394*'9a.PASS'!$C$21/12,2),"")</f>
        <v>0</v>
      </c>
      <c r="F394" s="1723">
        <f t="shared" si="38"/>
        <v>0</v>
      </c>
      <c r="G394" s="1723">
        <f t="shared" si="39"/>
        <v>0</v>
      </c>
      <c r="H394" s="1723">
        <f t="shared" si="40"/>
        <v>0</v>
      </c>
    </row>
    <row r="395" spans="1:8">
      <c r="A395" s="1717">
        <f t="shared" si="41"/>
        <v>383</v>
      </c>
      <c r="B395" s="1722" t="str">
        <f t="shared" si="42"/>
        <v/>
      </c>
      <c r="C395" s="1723">
        <f t="shared" si="36"/>
        <v>0</v>
      </c>
      <c r="D395" s="1723">
        <f t="shared" si="37"/>
        <v>0</v>
      </c>
      <c r="E395" s="1723">
        <f>IF(A394&lt;$B$6*12,ROUND(C395*'9a.PASS'!$C$21/12,2),"")</f>
        <v>0</v>
      </c>
      <c r="F395" s="1723">
        <f t="shared" si="38"/>
        <v>0</v>
      </c>
      <c r="G395" s="1723">
        <f t="shared" si="39"/>
        <v>0</v>
      </c>
      <c r="H395" s="1723">
        <f t="shared" si="40"/>
        <v>0</v>
      </c>
    </row>
    <row r="396" spans="1:8">
      <c r="A396" s="1717">
        <f t="shared" si="41"/>
        <v>384</v>
      </c>
      <c r="B396" s="1722" t="str">
        <f t="shared" si="42"/>
        <v/>
      </c>
      <c r="C396" s="1723">
        <f t="shared" si="36"/>
        <v>0</v>
      </c>
      <c r="D396" s="1723">
        <f t="shared" si="37"/>
        <v>0</v>
      </c>
      <c r="E396" s="1723">
        <f>IF(A395&lt;$B$6*12,ROUND(C396*'9a.PASS'!$C$21/12,2),"")</f>
        <v>0</v>
      </c>
      <c r="F396" s="1723">
        <f t="shared" si="38"/>
        <v>0</v>
      </c>
      <c r="G396" s="1723">
        <f t="shared" si="39"/>
        <v>0</v>
      </c>
      <c r="H396" s="1723">
        <f t="shared" si="40"/>
        <v>0</v>
      </c>
    </row>
    <row r="397" spans="1:8">
      <c r="A397" s="1717">
        <f t="shared" si="41"/>
        <v>385</v>
      </c>
      <c r="B397" s="1722" t="str">
        <f t="shared" si="42"/>
        <v/>
      </c>
      <c r="C397" s="1723">
        <f t="shared" si="36"/>
        <v>0</v>
      </c>
      <c r="D397" s="1723">
        <f t="shared" si="37"/>
        <v>0</v>
      </c>
      <c r="E397" s="1723">
        <f>IF(A396&lt;$B$6*12,ROUND(C397*'9a.PASS'!$C$21/12,2),"")</f>
        <v>0</v>
      </c>
      <c r="F397" s="1723">
        <f t="shared" si="38"/>
        <v>0</v>
      </c>
      <c r="G397" s="1723">
        <f t="shared" si="39"/>
        <v>0</v>
      </c>
      <c r="H397" s="1723">
        <f t="shared" si="40"/>
        <v>0</v>
      </c>
    </row>
    <row r="398" spans="1:8">
      <c r="A398" s="1717">
        <f t="shared" si="41"/>
        <v>386</v>
      </c>
      <c r="B398" s="1722" t="str">
        <f t="shared" si="42"/>
        <v/>
      </c>
      <c r="C398" s="1723">
        <f t="shared" ref="C398:C461" si="43">IF(A397&lt;$B$6*12,H397,"")</f>
        <v>0</v>
      </c>
      <c r="D398" s="1723">
        <f t="shared" ref="D398:D461" si="44">IF(A398=$B$6*12,SUM(C398,E398:F398),IF(A397&lt;$B$6*12,$B$8,""))</f>
        <v>0</v>
      </c>
      <c r="E398" s="1723">
        <f>IF(A397&lt;$B$6*12,ROUND(C398*'9a.PASS'!$C$21/12,2),"")</f>
        <v>0</v>
      </c>
      <c r="F398" s="1723">
        <f t="shared" ref="F398:F461" si="45">IF(A397&lt;$B$6*12,ROUND(C398*$B$5/12,2)-E398,"")</f>
        <v>0</v>
      </c>
      <c r="G398" s="1723">
        <f t="shared" ref="G398:G461" si="46">IF(A397&lt;$B$6*12,D398-SUM(E398:F398),"")</f>
        <v>0</v>
      </c>
      <c r="H398" s="1723">
        <f t="shared" ref="H398:H461" si="47">IF(A397&lt;$B$6*12,C398-G398,"")</f>
        <v>0</v>
      </c>
    </row>
    <row r="399" spans="1:8">
      <c r="A399" s="1717">
        <f t="shared" ref="A399:A462" si="48">IF(A398&lt;$B$6*12,A398+1,"")</f>
        <v>387</v>
      </c>
      <c r="B399" s="1722" t="str">
        <f t="shared" ref="B399:B462" si="49">IFERROR(EDATE(B398,1),"")</f>
        <v/>
      </c>
      <c r="C399" s="1723">
        <f t="shared" si="43"/>
        <v>0</v>
      </c>
      <c r="D399" s="1723">
        <f t="shared" si="44"/>
        <v>0</v>
      </c>
      <c r="E399" s="1723">
        <f>IF(A398&lt;$B$6*12,ROUND(C399*'9a.PASS'!$C$21/12,2),"")</f>
        <v>0</v>
      </c>
      <c r="F399" s="1723">
        <f t="shared" si="45"/>
        <v>0</v>
      </c>
      <c r="G399" s="1723">
        <f t="shared" si="46"/>
        <v>0</v>
      </c>
      <c r="H399" s="1723">
        <f t="shared" si="47"/>
        <v>0</v>
      </c>
    </row>
    <row r="400" spans="1:8">
      <c r="A400" s="1717">
        <f t="shared" si="48"/>
        <v>388</v>
      </c>
      <c r="B400" s="1722" t="str">
        <f t="shared" si="49"/>
        <v/>
      </c>
      <c r="C400" s="1723">
        <f t="shared" si="43"/>
        <v>0</v>
      </c>
      <c r="D400" s="1723">
        <f t="shared" si="44"/>
        <v>0</v>
      </c>
      <c r="E400" s="1723">
        <f>IF(A399&lt;$B$6*12,ROUND(C400*'9a.PASS'!$C$21/12,2),"")</f>
        <v>0</v>
      </c>
      <c r="F400" s="1723">
        <f t="shared" si="45"/>
        <v>0</v>
      </c>
      <c r="G400" s="1723">
        <f t="shared" si="46"/>
        <v>0</v>
      </c>
      <c r="H400" s="1723">
        <f t="shared" si="47"/>
        <v>0</v>
      </c>
    </row>
    <row r="401" spans="1:8">
      <c r="A401" s="1717">
        <f t="shared" si="48"/>
        <v>389</v>
      </c>
      <c r="B401" s="1722" t="str">
        <f t="shared" si="49"/>
        <v/>
      </c>
      <c r="C401" s="1723">
        <f t="shared" si="43"/>
        <v>0</v>
      </c>
      <c r="D401" s="1723">
        <f t="shared" si="44"/>
        <v>0</v>
      </c>
      <c r="E401" s="1723">
        <f>IF(A400&lt;$B$6*12,ROUND(C401*'9a.PASS'!$C$21/12,2),"")</f>
        <v>0</v>
      </c>
      <c r="F401" s="1723">
        <f t="shared" si="45"/>
        <v>0</v>
      </c>
      <c r="G401" s="1723">
        <f t="shared" si="46"/>
        <v>0</v>
      </c>
      <c r="H401" s="1723">
        <f t="shared" si="47"/>
        <v>0</v>
      </c>
    </row>
    <row r="402" spans="1:8">
      <c r="A402" s="1717">
        <f t="shared" si="48"/>
        <v>390</v>
      </c>
      <c r="B402" s="1722" t="str">
        <f t="shared" si="49"/>
        <v/>
      </c>
      <c r="C402" s="1723">
        <f t="shared" si="43"/>
        <v>0</v>
      </c>
      <c r="D402" s="1723">
        <f t="shared" si="44"/>
        <v>0</v>
      </c>
      <c r="E402" s="1723">
        <f>IF(A401&lt;$B$6*12,ROUND(C402*'9a.PASS'!$C$21/12,2),"")</f>
        <v>0</v>
      </c>
      <c r="F402" s="1723">
        <f t="shared" si="45"/>
        <v>0</v>
      </c>
      <c r="G402" s="1723">
        <f t="shared" si="46"/>
        <v>0</v>
      </c>
      <c r="H402" s="1723">
        <f t="shared" si="47"/>
        <v>0</v>
      </c>
    </row>
    <row r="403" spans="1:8">
      <c r="A403" s="1717">
        <f t="shared" si="48"/>
        <v>391</v>
      </c>
      <c r="B403" s="1722" t="str">
        <f t="shared" si="49"/>
        <v/>
      </c>
      <c r="C403" s="1723">
        <f t="shared" si="43"/>
        <v>0</v>
      </c>
      <c r="D403" s="1723">
        <f t="shared" si="44"/>
        <v>0</v>
      </c>
      <c r="E403" s="1723">
        <f>IF(A402&lt;$B$6*12,ROUND(C403*'9a.PASS'!$C$21/12,2),"")</f>
        <v>0</v>
      </c>
      <c r="F403" s="1723">
        <f t="shared" si="45"/>
        <v>0</v>
      </c>
      <c r="G403" s="1723">
        <f t="shared" si="46"/>
        <v>0</v>
      </c>
      <c r="H403" s="1723">
        <f t="shared" si="47"/>
        <v>0</v>
      </c>
    </row>
    <row r="404" spans="1:8">
      <c r="A404" s="1717">
        <f t="shared" si="48"/>
        <v>392</v>
      </c>
      <c r="B404" s="1722" t="str">
        <f t="shared" si="49"/>
        <v/>
      </c>
      <c r="C404" s="1723">
        <f t="shared" si="43"/>
        <v>0</v>
      </c>
      <c r="D404" s="1723">
        <f t="shared" si="44"/>
        <v>0</v>
      </c>
      <c r="E404" s="1723">
        <f>IF(A403&lt;$B$6*12,ROUND(C404*'9a.PASS'!$C$21/12,2),"")</f>
        <v>0</v>
      </c>
      <c r="F404" s="1723">
        <f t="shared" si="45"/>
        <v>0</v>
      </c>
      <c r="G404" s="1723">
        <f t="shared" si="46"/>
        <v>0</v>
      </c>
      <c r="H404" s="1723">
        <f t="shared" si="47"/>
        <v>0</v>
      </c>
    </row>
    <row r="405" spans="1:8">
      <c r="A405" s="1717">
        <f t="shared" si="48"/>
        <v>393</v>
      </c>
      <c r="B405" s="1722" t="str">
        <f t="shared" si="49"/>
        <v/>
      </c>
      <c r="C405" s="1723">
        <f t="shared" si="43"/>
        <v>0</v>
      </c>
      <c r="D405" s="1723">
        <f t="shared" si="44"/>
        <v>0</v>
      </c>
      <c r="E405" s="1723">
        <f>IF(A404&lt;$B$6*12,ROUND(C405*'9a.PASS'!$C$21/12,2),"")</f>
        <v>0</v>
      </c>
      <c r="F405" s="1723">
        <f t="shared" si="45"/>
        <v>0</v>
      </c>
      <c r="G405" s="1723">
        <f t="shared" si="46"/>
        <v>0</v>
      </c>
      <c r="H405" s="1723">
        <f t="shared" si="47"/>
        <v>0</v>
      </c>
    </row>
    <row r="406" spans="1:8">
      <c r="A406" s="1717">
        <f t="shared" si="48"/>
        <v>394</v>
      </c>
      <c r="B406" s="1722" t="str">
        <f t="shared" si="49"/>
        <v/>
      </c>
      <c r="C406" s="1723">
        <f t="shared" si="43"/>
        <v>0</v>
      </c>
      <c r="D406" s="1723">
        <f t="shared" si="44"/>
        <v>0</v>
      </c>
      <c r="E406" s="1723">
        <f>IF(A405&lt;$B$6*12,ROUND(C406*'9a.PASS'!$C$21/12,2),"")</f>
        <v>0</v>
      </c>
      <c r="F406" s="1723">
        <f t="shared" si="45"/>
        <v>0</v>
      </c>
      <c r="G406" s="1723">
        <f t="shared" si="46"/>
        <v>0</v>
      </c>
      <c r="H406" s="1723">
        <f t="shared" si="47"/>
        <v>0</v>
      </c>
    </row>
    <row r="407" spans="1:8">
      <c r="A407" s="1717">
        <f t="shared" si="48"/>
        <v>395</v>
      </c>
      <c r="B407" s="1722" t="str">
        <f t="shared" si="49"/>
        <v/>
      </c>
      <c r="C407" s="1723">
        <f t="shared" si="43"/>
        <v>0</v>
      </c>
      <c r="D407" s="1723">
        <f t="shared" si="44"/>
        <v>0</v>
      </c>
      <c r="E407" s="1723">
        <f>IF(A406&lt;$B$6*12,ROUND(C407*'9a.PASS'!$C$21/12,2),"")</f>
        <v>0</v>
      </c>
      <c r="F407" s="1723">
        <f t="shared" si="45"/>
        <v>0</v>
      </c>
      <c r="G407" s="1723">
        <f t="shared" si="46"/>
        <v>0</v>
      </c>
      <c r="H407" s="1723">
        <f t="shared" si="47"/>
        <v>0</v>
      </c>
    </row>
    <row r="408" spans="1:8">
      <c r="A408" s="1717">
        <f t="shared" si="48"/>
        <v>396</v>
      </c>
      <c r="B408" s="1722" t="str">
        <f t="shared" si="49"/>
        <v/>
      </c>
      <c r="C408" s="1723">
        <f t="shared" si="43"/>
        <v>0</v>
      </c>
      <c r="D408" s="1723">
        <f t="shared" si="44"/>
        <v>0</v>
      </c>
      <c r="E408" s="1723">
        <f>IF(A407&lt;$B$6*12,ROUND(C408*'9a.PASS'!$C$21/12,2),"")</f>
        <v>0</v>
      </c>
      <c r="F408" s="1723">
        <f t="shared" si="45"/>
        <v>0</v>
      </c>
      <c r="G408" s="1723">
        <f t="shared" si="46"/>
        <v>0</v>
      </c>
      <c r="H408" s="1723">
        <f t="shared" si="47"/>
        <v>0</v>
      </c>
    </row>
    <row r="409" spans="1:8">
      <c r="A409" s="1717">
        <f t="shared" si="48"/>
        <v>397</v>
      </c>
      <c r="B409" s="1722" t="str">
        <f t="shared" si="49"/>
        <v/>
      </c>
      <c r="C409" s="1723">
        <f t="shared" si="43"/>
        <v>0</v>
      </c>
      <c r="D409" s="1723">
        <f t="shared" si="44"/>
        <v>0</v>
      </c>
      <c r="E409" s="1723">
        <f>IF(A408&lt;$B$6*12,ROUND(C409*'9a.PASS'!$C$21/12,2),"")</f>
        <v>0</v>
      </c>
      <c r="F409" s="1723">
        <f t="shared" si="45"/>
        <v>0</v>
      </c>
      <c r="G409" s="1723">
        <f t="shared" si="46"/>
        <v>0</v>
      </c>
      <c r="H409" s="1723">
        <f t="shared" si="47"/>
        <v>0</v>
      </c>
    </row>
    <row r="410" spans="1:8">
      <c r="A410" s="1717">
        <f t="shared" si="48"/>
        <v>398</v>
      </c>
      <c r="B410" s="1722" t="str">
        <f t="shared" si="49"/>
        <v/>
      </c>
      <c r="C410" s="1723">
        <f t="shared" si="43"/>
        <v>0</v>
      </c>
      <c r="D410" s="1723">
        <f t="shared" si="44"/>
        <v>0</v>
      </c>
      <c r="E410" s="1723">
        <f>IF(A409&lt;$B$6*12,ROUND(C410*'9a.PASS'!$C$21/12,2),"")</f>
        <v>0</v>
      </c>
      <c r="F410" s="1723">
        <f t="shared" si="45"/>
        <v>0</v>
      </c>
      <c r="G410" s="1723">
        <f t="shared" si="46"/>
        <v>0</v>
      </c>
      <c r="H410" s="1723">
        <f t="shared" si="47"/>
        <v>0</v>
      </c>
    </row>
    <row r="411" spans="1:8">
      <c r="A411" s="1717">
        <f t="shared" si="48"/>
        <v>399</v>
      </c>
      <c r="B411" s="1722" t="str">
        <f t="shared" si="49"/>
        <v/>
      </c>
      <c r="C411" s="1723">
        <f t="shared" si="43"/>
        <v>0</v>
      </c>
      <c r="D411" s="1723">
        <f t="shared" si="44"/>
        <v>0</v>
      </c>
      <c r="E411" s="1723">
        <f>IF(A410&lt;$B$6*12,ROUND(C411*'9a.PASS'!$C$21/12,2),"")</f>
        <v>0</v>
      </c>
      <c r="F411" s="1723">
        <f t="shared" si="45"/>
        <v>0</v>
      </c>
      <c r="G411" s="1723">
        <f t="shared" si="46"/>
        <v>0</v>
      </c>
      <c r="H411" s="1723">
        <f t="shared" si="47"/>
        <v>0</v>
      </c>
    </row>
    <row r="412" spans="1:8">
      <c r="A412" s="1717">
        <f t="shared" si="48"/>
        <v>400</v>
      </c>
      <c r="B412" s="1722" t="str">
        <f t="shared" si="49"/>
        <v/>
      </c>
      <c r="C412" s="1723">
        <f t="shared" si="43"/>
        <v>0</v>
      </c>
      <c r="D412" s="1723">
        <f t="shared" si="44"/>
        <v>0</v>
      </c>
      <c r="E412" s="1723">
        <f>IF(A411&lt;$B$6*12,ROUND(C412*'9a.PASS'!$C$21/12,2),"")</f>
        <v>0</v>
      </c>
      <c r="F412" s="1723">
        <f t="shared" si="45"/>
        <v>0</v>
      </c>
      <c r="G412" s="1723">
        <f t="shared" si="46"/>
        <v>0</v>
      </c>
      <c r="H412" s="1723">
        <f t="shared" si="47"/>
        <v>0</v>
      </c>
    </row>
    <row r="413" spans="1:8">
      <c r="A413" s="1717">
        <f t="shared" si="48"/>
        <v>401</v>
      </c>
      <c r="B413" s="1722" t="str">
        <f t="shared" si="49"/>
        <v/>
      </c>
      <c r="C413" s="1723">
        <f t="shared" si="43"/>
        <v>0</v>
      </c>
      <c r="D413" s="1723">
        <f t="shared" si="44"/>
        <v>0</v>
      </c>
      <c r="E413" s="1723">
        <f>IF(A412&lt;$B$6*12,ROUND(C413*'9a.PASS'!$C$21/12,2),"")</f>
        <v>0</v>
      </c>
      <c r="F413" s="1723">
        <f t="shared" si="45"/>
        <v>0</v>
      </c>
      <c r="G413" s="1723">
        <f t="shared" si="46"/>
        <v>0</v>
      </c>
      <c r="H413" s="1723">
        <f t="shared" si="47"/>
        <v>0</v>
      </c>
    </row>
    <row r="414" spans="1:8">
      <c r="A414" s="1717">
        <f t="shared" si="48"/>
        <v>402</v>
      </c>
      <c r="B414" s="1722" t="str">
        <f t="shared" si="49"/>
        <v/>
      </c>
      <c r="C414" s="1723">
        <f t="shared" si="43"/>
        <v>0</v>
      </c>
      <c r="D414" s="1723">
        <f t="shared" si="44"/>
        <v>0</v>
      </c>
      <c r="E414" s="1723">
        <f>IF(A413&lt;$B$6*12,ROUND(C414*'9a.PASS'!$C$21/12,2),"")</f>
        <v>0</v>
      </c>
      <c r="F414" s="1723">
        <f t="shared" si="45"/>
        <v>0</v>
      </c>
      <c r="G414" s="1723">
        <f t="shared" si="46"/>
        <v>0</v>
      </c>
      <c r="H414" s="1723">
        <f t="shared" si="47"/>
        <v>0</v>
      </c>
    </row>
    <row r="415" spans="1:8">
      <c r="A415" s="1717">
        <f t="shared" si="48"/>
        <v>403</v>
      </c>
      <c r="B415" s="1722" t="str">
        <f t="shared" si="49"/>
        <v/>
      </c>
      <c r="C415" s="1723">
        <f t="shared" si="43"/>
        <v>0</v>
      </c>
      <c r="D415" s="1723">
        <f t="shared" si="44"/>
        <v>0</v>
      </c>
      <c r="E415" s="1723">
        <f>IF(A414&lt;$B$6*12,ROUND(C415*'9a.PASS'!$C$21/12,2),"")</f>
        <v>0</v>
      </c>
      <c r="F415" s="1723">
        <f t="shared" si="45"/>
        <v>0</v>
      </c>
      <c r="G415" s="1723">
        <f t="shared" si="46"/>
        <v>0</v>
      </c>
      <c r="H415" s="1723">
        <f t="shared" si="47"/>
        <v>0</v>
      </c>
    </row>
    <row r="416" spans="1:8">
      <c r="A416" s="1717">
        <f t="shared" si="48"/>
        <v>404</v>
      </c>
      <c r="B416" s="1722" t="str">
        <f t="shared" si="49"/>
        <v/>
      </c>
      <c r="C416" s="1723">
        <f t="shared" si="43"/>
        <v>0</v>
      </c>
      <c r="D416" s="1723">
        <f t="shared" si="44"/>
        <v>0</v>
      </c>
      <c r="E416" s="1723">
        <f>IF(A415&lt;$B$6*12,ROUND(C416*'9a.PASS'!$C$21/12,2),"")</f>
        <v>0</v>
      </c>
      <c r="F416" s="1723">
        <f t="shared" si="45"/>
        <v>0</v>
      </c>
      <c r="G416" s="1723">
        <f t="shared" si="46"/>
        <v>0</v>
      </c>
      <c r="H416" s="1723">
        <f t="shared" si="47"/>
        <v>0</v>
      </c>
    </row>
    <row r="417" spans="1:8">
      <c r="A417" s="1717">
        <f t="shared" si="48"/>
        <v>405</v>
      </c>
      <c r="B417" s="1722" t="str">
        <f t="shared" si="49"/>
        <v/>
      </c>
      <c r="C417" s="1723">
        <f t="shared" si="43"/>
        <v>0</v>
      </c>
      <c r="D417" s="1723">
        <f t="shared" si="44"/>
        <v>0</v>
      </c>
      <c r="E417" s="1723">
        <f>IF(A416&lt;$B$6*12,ROUND(C417*'9a.PASS'!$C$21/12,2),"")</f>
        <v>0</v>
      </c>
      <c r="F417" s="1723">
        <f t="shared" si="45"/>
        <v>0</v>
      </c>
      <c r="G417" s="1723">
        <f t="shared" si="46"/>
        <v>0</v>
      </c>
      <c r="H417" s="1723">
        <f t="shared" si="47"/>
        <v>0</v>
      </c>
    </row>
    <row r="418" spans="1:8">
      <c r="A418" s="1717">
        <f t="shared" si="48"/>
        <v>406</v>
      </c>
      <c r="B418" s="1722" t="str">
        <f t="shared" si="49"/>
        <v/>
      </c>
      <c r="C418" s="1723">
        <f t="shared" si="43"/>
        <v>0</v>
      </c>
      <c r="D418" s="1723">
        <f t="shared" si="44"/>
        <v>0</v>
      </c>
      <c r="E418" s="1723">
        <f>IF(A417&lt;$B$6*12,ROUND(C418*'9a.PASS'!$C$21/12,2),"")</f>
        <v>0</v>
      </c>
      <c r="F418" s="1723">
        <f t="shared" si="45"/>
        <v>0</v>
      </c>
      <c r="G418" s="1723">
        <f t="shared" si="46"/>
        <v>0</v>
      </c>
      <c r="H418" s="1723">
        <f t="shared" si="47"/>
        <v>0</v>
      </c>
    </row>
    <row r="419" spans="1:8">
      <c r="A419" s="1717">
        <f t="shared" si="48"/>
        <v>407</v>
      </c>
      <c r="B419" s="1722" t="str">
        <f t="shared" si="49"/>
        <v/>
      </c>
      <c r="C419" s="1723">
        <f t="shared" si="43"/>
        <v>0</v>
      </c>
      <c r="D419" s="1723">
        <f t="shared" si="44"/>
        <v>0</v>
      </c>
      <c r="E419" s="1723">
        <f>IF(A418&lt;$B$6*12,ROUND(C419*'9a.PASS'!$C$21/12,2),"")</f>
        <v>0</v>
      </c>
      <c r="F419" s="1723">
        <f t="shared" si="45"/>
        <v>0</v>
      </c>
      <c r="G419" s="1723">
        <f t="shared" si="46"/>
        <v>0</v>
      </c>
      <c r="H419" s="1723">
        <f t="shared" si="47"/>
        <v>0</v>
      </c>
    </row>
    <row r="420" spans="1:8">
      <c r="A420" s="1717">
        <f t="shared" si="48"/>
        <v>408</v>
      </c>
      <c r="B420" s="1722" t="str">
        <f t="shared" si="49"/>
        <v/>
      </c>
      <c r="C420" s="1723">
        <f t="shared" si="43"/>
        <v>0</v>
      </c>
      <c r="D420" s="1723">
        <f t="shared" si="44"/>
        <v>0</v>
      </c>
      <c r="E420" s="1723">
        <f>IF(A419&lt;$B$6*12,ROUND(C420*'9a.PASS'!$C$21/12,2),"")</f>
        <v>0</v>
      </c>
      <c r="F420" s="1723">
        <f t="shared" si="45"/>
        <v>0</v>
      </c>
      <c r="G420" s="1723">
        <f t="shared" si="46"/>
        <v>0</v>
      </c>
      <c r="H420" s="1723">
        <f t="shared" si="47"/>
        <v>0</v>
      </c>
    </row>
    <row r="421" spans="1:8">
      <c r="A421" s="1717">
        <f t="shared" si="48"/>
        <v>409</v>
      </c>
      <c r="B421" s="1722" t="str">
        <f t="shared" si="49"/>
        <v/>
      </c>
      <c r="C421" s="1723">
        <f t="shared" si="43"/>
        <v>0</v>
      </c>
      <c r="D421" s="1723">
        <f t="shared" si="44"/>
        <v>0</v>
      </c>
      <c r="E421" s="1723">
        <f>IF(A420&lt;$B$6*12,ROUND(C421*'9a.PASS'!$C$21/12,2),"")</f>
        <v>0</v>
      </c>
      <c r="F421" s="1723">
        <f t="shared" si="45"/>
        <v>0</v>
      </c>
      <c r="G421" s="1723">
        <f t="shared" si="46"/>
        <v>0</v>
      </c>
      <c r="H421" s="1723">
        <f t="shared" si="47"/>
        <v>0</v>
      </c>
    </row>
    <row r="422" spans="1:8">
      <c r="A422" s="1717">
        <f t="shared" si="48"/>
        <v>410</v>
      </c>
      <c r="B422" s="1722" t="str">
        <f t="shared" si="49"/>
        <v/>
      </c>
      <c r="C422" s="1723">
        <f t="shared" si="43"/>
        <v>0</v>
      </c>
      <c r="D422" s="1723">
        <f t="shared" si="44"/>
        <v>0</v>
      </c>
      <c r="E422" s="1723">
        <f>IF(A421&lt;$B$6*12,ROUND(C422*'9a.PASS'!$C$21/12,2),"")</f>
        <v>0</v>
      </c>
      <c r="F422" s="1723">
        <f t="shared" si="45"/>
        <v>0</v>
      </c>
      <c r="G422" s="1723">
        <f t="shared" si="46"/>
        <v>0</v>
      </c>
      <c r="H422" s="1723">
        <f t="shared" si="47"/>
        <v>0</v>
      </c>
    </row>
    <row r="423" spans="1:8">
      <c r="A423" s="1717">
        <f t="shared" si="48"/>
        <v>411</v>
      </c>
      <c r="B423" s="1722" t="str">
        <f t="shared" si="49"/>
        <v/>
      </c>
      <c r="C423" s="1723">
        <f t="shared" si="43"/>
        <v>0</v>
      </c>
      <c r="D423" s="1723">
        <f t="shared" si="44"/>
        <v>0</v>
      </c>
      <c r="E423" s="1723">
        <f>IF(A422&lt;$B$6*12,ROUND(C423*'9a.PASS'!$C$21/12,2),"")</f>
        <v>0</v>
      </c>
      <c r="F423" s="1723">
        <f t="shared" si="45"/>
        <v>0</v>
      </c>
      <c r="G423" s="1723">
        <f t="shared" si="46"/>
        <v>0</v>
      </c>
      <c r="H423" s="1723">
        <f t="shared" si="47"/>
        <v>0</v>
      </c>
    </row>
    <row r="424" spans="1:8">
      <c r="A424" s="1717">
        <f t="shared" si="48"/>
        <v>412</v>
      </c>
      <c r="B424" s="1722" t="str">
        <f t="shared" si="49"/>
        <v/>
      </c>
      <c r="C424" s="1723">
        <f t="shared" si="43"/>
        <v>0</v>
      </c>
      <c r="D424" s="1723">
        <f t="shared" si="44"/>
        <v>0</v>
      </c>
      <c r="E424" s="1723">
        <f>IF(A423&lt;$B$6*12,ROUND(C424*'9a.PASS'!$C$21/12,2),"")</f>
        <v>0</v>
      </c>
      <c r="F424" s="1723">
        <f t="shared" si="45"/>
        <v>0</v>
      </c>
      <c r="G424" s="1723">
        <f t="shared" si="46"/>
        <v>0</v>
      </c>
      <c r="H424" s="1723">
        <f t="shared" si="47"/>
        <v>0</v>
      </c>
    </row>
    <row r="425" spans="1:8">
      <c r="A425" s="1717">
        <f t="shared" si="48"/>
        <v>413</v>
      </c>
      <c r="B425" s="1722" t="str">
        <f t="shared" si="49"/>
        <v/>
      </c>
      <c r="C425" s="1723">
        <f t="shared" si="43"/>
        <v>0</v>
      </c>
      <c r="D425" s="1723">
        <f t="shared" si="44"/>
        <v>0</v>
      </c>
      <c r="E425" s="1723">
        <f>IF(A424&lt;$B$6*12,ROUND(C425*'9a.PASS'!$C$21/12,2),"")</f>
        <v>0</v>
      </c>
      <c r="F425" s="1723">
        <f t="shared" si="45"/>
        <v>0</v>
      </c>
      <c r="G425" s="1723">
        <f t="shared" si="46"/>
        <v>0</v>
      </c>
      <c r="H425" s="1723">
        <f t="shared" si="47"/>
        <v>0</v>
      </c>
    </row>
    <row r="426" spans="1:8">
      <c r="A426" s="1717">
        <f t="shared" si="48"/>
        <v>414</v>
      </c>
      <c r="B426" s="1722" t="str">
        <f t="shared" si="49"/>
        <v/>
      </c>
      <c r="C426" s="1723">
        <f t="shared" si="43"/>
        <v>0</v>
      </c>
      <c r="D426" s="1723">
        <f t="shared" si="44"/>
        <v>0</v>
      </c>
      <c r="E426" s="1723">
        <f>IF(A425&lt;$B$6*12,ROUND(C426*'9a.PASS'!$C$21/12,2),"")</f>
        <v>0</v>
      </c>
      <c r="F426" s="1723">
        <f t="shared" si="45"/>
        <v>0</v>
      </c>
      <c r="G426" s="1723">
        <f t="shared" si="46"/>
        <v>0</v>
      </c>
      <c r="H426" s="1723">
        <f t="shared" si="47"/>
        <v>0</v>
      </c>
    </row>
    <row r="427" spans="1:8">
      <c r="A427" s="1717">
        <f t="shared" si="48"/>
        <v>415</v>
      </c>
      <c r="B427" s="1722" t="str">
        <f t="shared" si="49"/>
        <v/>
      </c>
      <c r="C427" s="1723">
        <f t="shared" si="43"/>
        <v>0</v>
      </c>
      <c r="D427" s="1723">
        <f t="shared" si="44"/>
        <v>0</v>
      </c>
      <c r="E427" s="1723">
        <f>IF(A426&lt;$B$6*12,ROUND(C427*'9a.PASS'!$C$21/12,2),"")</f>
        <v>0</v>
      </c>
      <c r="F427" s="1723">
        <f t="shared" si="45"/>
        <v>0</v>
      </c>
      <c r="G427" s="1723">
        <f t="shared" si="46"/>
        <v>0</v>
      </c>
      <c r="H427" s="1723">
        <f t="shared" si="47"/>
        <v>0</v>
      </c>
    </row>
    <row r="428" spans="1:8">
      <c r="A428" s="1717">
        <f t="shared" si="48"/>
        <v>416</v>
      </c>
      <c r="B428" s="1722" t="str">
        <f t="shared" si="49"/>
        <v/>
      </c>
      <c r="C428" s="1723">
        <f t="shared" si="43"/>
        <v>0</v>
      </c>
      <c r="D428" s="1723">
        <f t="shared" si="44"/>
        <v>0</v>
      </c>
      <c r="E428" s="1723">
        <f>IF(A427&lt;$B$6*12,ROUND(C428*'9a.PASS'!$C$21/12,2),"")</f>
        <v>0</v>
      </c>
      <c r="F428" s="1723">
        <f t="shared" si="45"/>
        <v>0</v>
      </c>
      <c r="G428" s="1723">
        <f t="shared" si="46"/>
        <v>0</v>
      </c>
      <c r="H428" s="1723">
        <f t="shared" si="47"/>
        <v>0</v>
      </c>
    </row>
    <row r="429" spans="1:8">
      <c r="A429" s="1717">
        <f t="shared" si="48"/>
        <v>417</v>
      </c>
      <c r="B429" s="1722" t="str">
        <f t="shared" si="49"/>
        <v/>
      </c>
      <c r="C429" s="1723">
        <f t="shared" si="43"/>
        <v>0</v>
      </c>
      <c r="D429" s="1723">
        <f t="shared" si="44"/>
        <v>0</v>
      </c>
      <c r="E429" s="1723">
        <f>IF(A428&lt;$B$6*12,ROUND(C429*'9a.PASS'!$C$21/12,2),"")</f>
        <v>0</v>
      </c>
      <c r="F429" s="1723">
        <f t="shared" si="45"/>
        <v>0</v>
      </c>
      <c r="G429" s="1723">
        <f t="shared" si="46"/>
        <v>0</v>
      </c>
      <c r="H429" s="1723">
        <f t="shared" si="47"/>
        <v>0</v>
      </c>
    </row>
    <row r="430" spans="1:8">
      <c r="A430" s="1717">
        <f t="shared" si="48"/>
        <v>418</v>
      </c>
      <c r="B430" s="1722" t="str">
        <f t="shared" si="49"/>
        <v/>
      </c>
      <c r="C430" s="1723">
        <f t="shared" si="43"/>
        <v>0</v>
      </c>
      <c r="D430" s="1723">
        <f t="shared" si="44"/>
        <v>0</v>
      </c>
      <c r="E430" s="1723">
        <f>IF(A429&lt;$B$6*12,ROUND(C430*'9a.PASS'!$C$21/12,2),"")</f>
        <v>0</v>
      </c>
      <c r="F430" s="1723">
        <f t="shared" si="45"/>
        <v>0</v>
      </c>
      <c r="G430" s="1723">
        <f t="shared" si="46"/>
        <v>0</v>
      </c>
      <c r="H430" s="1723">
        <f t="shared" si="47"/>
        <v>0</v>
      </c>
    </row>
    <row r="431" spans="1:8">
      <c r="A431" s="1717">
        <f t="shared" si="48"/>
        <v>419</v>
      </c>
      <c r="B431" s="1722" t="str">
        <f t="shared" si="49"/>
        <v/>
      </c>
      <c r="C431" s="1723">
        <f t="shared" si="43"/>
        <v>0</v>
      </c>
      <c r="D431" s="1723">
        <f t="shared" si="44"/>
        <v>0</v>
      </c>
      <c r="E431" s="1723">
        <f>IF(A430&lt;$B$6*12,ROUND(C431*'9a.PASS'!$C$21/12,2),"")</f>
        <v>0</v>
      </c>
      <c r="F431" s="1723">
        <f t="shared" si="45"/>
        <v>0</v>
      </c>
      <c r="G431" s="1723">
        <f t="shared" si="46"/>
        <v>0</v>
      </c>
      <c r="H431" s="1723">
        <f t="shared" si="47"/>
        <v>0</v>
      </c>
    </row>
    <row r="432" spans="1:8">
      <c r="A432" s="1717">
        <f t="shared" si="48"/>
        <v>420</v>
      </c>
      <c r="B432" s="1722" t="str">
        <f t="shared" si="49"/>
        <v/>
      </c>
      <c r="C432" s="1723">
        <f t="shared" si="43"/>
        <v>0</v>
      </c>
      <c r="D432" s="1723">
        <f t="shared" si="44"/>
        <v>0</v>
      </c>
      <c r="E432" s="1723">
        <f>IF(A431&lt;$B$6*12,ROUND(C432*'9a.PASS'!$C$21/12,2),"")</f>
        <v>0</v>
      </c>
      <c r="F432" s="1723">
        <f t="shared" si="45"/>
        <v>0</v>
      </c>
      <c r="G432" s="1723">
        <f t="shared" si="46"/>
        <v>0</v>
      </c>
      <c r="H432" s="1723">
        <f t="shared" si="47"/>
        <v>0</v>
      </c>
    </row>
    <row r="433" spans="1:8">
      <c r="A433" s="1717">
        <f t="shared" si="48"/>
        <v>421</v>
      </c>
      <c r="B433" s="1722" t="str">
        <f t="shared" si="49"/>
        <v/>
      </c>
      <c r="C433" s="1723">
        <f t="shared" si="43"/>
        <v>0</v>
      </c>
      <c r="D433" s="1723">
        <f t="shared" si="44"/>
        <v>0</v>
      </c>
      <c r="E433" s="1723">
        <f>IF(A432&lt;$B$6*12,ROUND(C433*'9a.PASS'!$C$21/12,2),"")</f>
        <v>0</v>
      </c>
      <c r="F433" s="1723">
        <f t="shared" si="45"/>
        <v>0</v>
      </c>
      <c r="G433" s="1723">
        <f t="shared" si="46"/>
        <v>0</v>
      </c>
      <c r="H433" s="1723">
        <f t="shared" si="47"/>
        <v>0</v>
      </c>
    </row>
    <row r="434" spans="1:8">
      <c r="A434" s="1717">
        <f t="shared" si="48"/>
        <v>422</v>
      </c>
      <c r="B434" s="1722" t="str">
        <f t="shared" si="49"/>
        <v/>
      </c>
      <c r="C434" s="1723">
        <f t="shared" si="43"/>
        <v>0</v>
      </c>
      <c r="D434" s="1723">
        <f t="shared" si="44"/>
        <v>0</v>
      </c>
      <c r="E434" s="1723">
        <f>IF(A433&lt;$B$6*12,ROUND(C434*'9a.PASS'!$C$21/12,2),"")</f>
        <v>0</v>
      </c>
      <c r="F434" s="1723">
        <f t="shared" si="45"/>
        <v>0</v>
      </c>
      <c r="G434" s="1723">
        <f t="shared" si="46"/>
        <v>0</v>
      </c>
      <c r="H434" s="1723">
        <f t="shared" si="47"/>
        <v>0</v>
      </c>
    </row>
    <row r="435" spans="1:8">
      <c r="A435" s="1717">
        <f t="shared" si="48"/>
        <v>423</v>
      </c>
      <c r="B435" s="1722" t="str">
        <f t="shared" si="49"/>
        <v/>
      </c>
      <c r="C435" s="1723">
        <f t="shared" si="43"/>
        <v>0</v>
      </c>
      <c r="D435" s="1723">
        <f t="shared" si="44"/>
        <v>0</v>
      </c>
      <c r="E435" s="1723">
        <f>IF(A434&lt;$B$6*12,ROUND(C435*'9a.PASS'!$C$21/12,2),"")</f>
        <v>0</v>
      </c>
      <c r="F435" s="1723">
        <f t="shared" si="45"/>
        <v>0</v>
      </c>
      <c r="G435" s="1723">
        <f t="shared" si="46"/>
        <v>0</v>
      </c>
      <c r="H435" s="1723">
        <f t="shared" si="47"/>
        <v>0</v>
      </c>
    </row>
    <row r="436" spans="1:8">
      <c r="A436" s="1717">
        <f t="shared" si="48"/>
        <v>424</v>
      </c>
      <c r="B436" s="1722" t="str">
        <f t="shared" si="49"/>
        <v/>
      </c>
      <c r="C436" s="1723">
        <f t="shared" si="43"/>
        <v>0</v>
      </c>
      <c r="D436" s="1723">
        <f t="shared" si="44"/>
        <v>0</v>
      </c>
      <c r="E436" s="1723">
        <f>IF(A435&lt;$B$6*12,ROUND(C436*'9a.PASS'!$C$21/12,2),"")</f>
        <v>0</v>
      </c>
      <c r="F436" s="1723">
        <f t="shared" si="45"/>
        <v>0</v>
      </c>
      <c r="G436" s="1723">
        <f t="shared" si="46"/>
        <v>0</v>
      </c>
      <c r="H436" s="1723">
        <f t="shared" si="47"/>
        <v>0</v>
      </c>
    </row>
    <row r="437" spans="1:8">
      <c r="A437" s="1717">
        <f t="shared" si="48"/>
        <v>425</v>
      </c>
      <c r="B437" s="1722" t="str">
        <f t="shared" si="49"/>
        <v/>
      </c>
      <c r="C437" s="1723">
        <f t="shared" si="43"/>
        <v>0</v>
      </c>
      <c r="D437" s="1723">
        <f t="shared" si="44"/>
        <v>0</v>
      </c>
      <c r="E437" s="1723">
        <f>IF(A436&lt;$B$6*12,ROUND(C437*'9a.PASS'!$C$21/12,2),"")</f>
        <v>0</v>
      </c>
      <c r="F437" s="1723">
        <f t="shared" si="45"/>
        <v>0</v>
      </c>
      <c r="G437" s="1723">
        <f t="shared" si="46"/>
        <v>0</v>
      </c>
      <c r="H437" s="1723">
        <f t="shared" si="47"/>
        <v>0</v>
      </c>
    </row>
    <row r="438" spans="1:8">
      <c r="A438" s="1717">
        <f t="shared" si="48"/>
        <v>426</v>
      </c>
      <c r="B438" s="1722" t="str">
        <f t="shared" si="49"/>
        <v/>
      </c>
      <c r="C438" s="1723">
        <f t="shared" si="43"/>
        <v>0</v>
      </c>
      <c r="D438" s="1723">
        <f t="shared" si="44"/>
        <v>0</v>
      </c>
      <c r="E438" s="1723">
        <f>IF(A437&lt;$B$6*12,ROUND(C438*'9a.PASS'!$C$21/12,2),"")</f>
        <v>0</v>
      </c>
      <c r="F438" s="1723">
        <f t="shared" si="45"/>
        <v>0</v>
      </c>
      <c r="G438" s="1723">
        <f t="shared" si="46"/>
        <v>0</v>
      </c>
      <c r="H438" s="1723">
        <f t="shared" si="47"/>
        <v>0</v>
      </c>
    </row>
    <row r="439" spans="1:8">
      <c r="A439" s="1717">
        <f t="shared" si="48"/>
        <v>427</v>
      </c>
      <c r="B439" s="1722" t="str">
        <f t="shared" si="49"/>
        <v/>
      </c>
      <c r="C439" s="1723">
        <f t="shared" si="43"/>
        <v>0</v>
      </c>
      <c r="D439" s="1723">
        <f t="shared" si="44"/>
        <v>0</v>
      </c>
      <c r="E439" s="1723">
        <f>IF(A438&lt;$B$6*12,ROUND(C439*'9a.PASS'!$C$21/12,2),"")</f>
        <v>0</v>
      </c>
      <c r="F439" s="1723">
        <f t="shared" si="45"/>
        <v>0</v>
      </c>
      <c r="G439" s="1723">
        <f t="shared" si="46"/>
        <v>0</v>
      </c>
      <c r="H439" s="1723">
        <f t="shared" si="47"/>
        <v>0</v>
      </c>
    </row>
    <row r="440" spans="1:8">
      <c r="A440" s="1717">
        <f t="shared" si="48"/>
        <v>428</v>
      </c>
      <c r="B440" s="1722" t="str">
        <f t="shared" si="49"/>
        <v/>
      </c>
      <c r="C440" s="1723">
        <f t="shared" si="43"/>
        <v>0</v>
      </c>
      <c r="D440" s="1723">
        <f t="shared" si="44"/>
        <v>0</v>
      </c>
      <c r="E440" s="1723">
        <f>IF(A439&lt;$B$6*12,ROUND(C440*'9a.PASS'!$C$21/12,2),"")</f>
        <v>0</v>
      </c>
      <c r="F440" s="1723">
        <f t="shared" si="45"/>
        <v>0</v>
      </c>
      <c r="G440" s="1723">
        <f t="shared" si="46"/>
        <v>0</v>
      </c>
      <c r="H440" s="1723">
        <f t="shared" si="47"/>
        <v>0</v>
      </c>
    </row>
    <row r="441" spans="1:8">
      <c r="A441" s="1717">
        <f t="shared" si="48"/>
        <v>429</v>
      </c>
      <c r="B441" s="1722" t="str">
        <f t="shared" si="49"/>
        <v/>
      </c>
      <c r="C441" s="1723">
        <f t="shared" si="43"/>
        <v>0</v>
      </c>
      <c r="D441" s="1723">
        <f t="shared" si="44"/>
        <v>0</v>
      </c>
      <c r="E441" s="1723">
        <f>IF(A440&lt;$B$6*12,ROUND(C441*'9a.PASS'!$C$21/12,2),"")</f>
        <v>0</v>
      </c>
      <c r="F441" s="1723">
        <f t="shared" si="45"/>
        <v>0</v>
      </c>
      <c r="G441" s="1723">
        <f t="shared" si="46"/>
        <v>0</v>
      </c>
      <c r="H441" s="1723">
        <f t="shared" si="47"/>
        <v>0</v>
      </c>
    </row>
    <row r="442" spans="1:8">
      <c r="A442" s="1717">
        <f t="shared" si="48"/>
        <v>430</v>
      </c>
      <c r="B442" s="1722" t="str">
        <f t="shared" si="49"/>
        <v/>
      </c>
      <c r="C442" s="1723">
        <f t="shared" si="43"/>
        <v>0</v>
      </c>
      <c r="D442" s="1723">
        <f t="shared" si="44"/>
        <v>0</v>
      </c>
      <c r="E442" s="1723">
        <f>IF(A441&lt;$B$6*12,ROUND(C442*'9a.PASS'!$C$21/12,2),"")</f>
        <v>0</v>
      </c>
      <c r="F442" s="1723">
        <f t="shared" si="45"/>
        <v>0</v>
      </c>
      <c r="G442" s="1723">
        <f t="shared" si="46"/>
        <v>0</v>
      </c>
      <c r="H442" s="1723">
        <f t="shared" si="47"/>
        <v>0</v>
      </c>
    </row>
    <row r="443" spans="1:8">
      <c r="A443" s="1717">
        <f t="shared" si="48"/>
        <v>431</v>
      </c>
      <c r="B443" s="1722" t="str">
        <f t="shared" si="49"/>
        <v/>
      </c>
      <c r="C443" s="1723">
        <f t="shared" si="43"/>
        <v>0</v>
      </c>
      <c r="D443" s="1723">
        <f t="shared" si="44"/>
        <v>0</v>
      </c>
      <c r="E443" s="1723">
        <f>IF(A442&lt;$B$6*12,ROUND(C443*'9a.PASS'!$C$21/12,2),"")</f>
        <v>0</v>
      </c>
      <c r="F443" s="1723">
        <f t="shared" si="45"/>
        <v>0</v>
      </c>
      <c r="G443" s="1723">
        <f t="shared" si="46"/>
        <v>0</v>
      </c>
      <c r="H443" s="1723">
        <f t="shared" si="47"/>
        <v>0</v>
      </c>
    </row>
    <row r="444" spans="1:8">
      <c r="A444" s="1717">
        <f t="shared" si="48"/>
        <v>432</v>
      </c>
      <c r="B444" s="1722" t="str">
        <f t="shared" si="49"/>
        <v/>
      </c>
      <c r="C444" s="1723">
        <f t="shared" si="43"/>
        <v>0</v>
      </c>
      <c r="D444" s="1723">
        <f t="shared" si="44"/>
        <v>0</v>
      </c>
      <c r="E444" s="1723">
        <f>IF(A443&lt;$B$6*12,ROUND(C444*'9a.PASS'!$C$21/12,2),"")</f>
        <v>0</v>
      </c>
      <c r="F444" s="1723">
        <f t="shared" si="45"/>
        <v>0</v>
      </c>
      <c r="G444" s="1723">
        <f t="shared" si="46"/>
        <v>0</v>
      </c>
      <c r="H444" s="1723">
        <f t="shared" si="47"/>
        <v>0</v>
      </c>
    </row>
    <row r="445" spans="1:8">
      <c r="A445" s="1717">
        <f t="shared" si="48"/>
        <v>433</v>
      </c>
      <c r="B445" s="1722" t="str">
        <f t="shared" si="49"/>
        <v/>
      </c>
      <c r="C445" s="1723">
        <f t="shared" si="43"/>
        <v>0</v>
      </c>
      <c r="D445" s="1723">
        <f t="shared" si="44"/>
        <v>0</v>
      </c>
      <c r="E445" s="1723">
        <f>IF(A444&lt;$B$6*12,ROUND(C445*'9a.PASS'!$C$21/12,2),"")</f>
        <v>0</v>
      </c>
      <c r="F445" s="1723">
        <f t="shared" si="45"/>
        <v>0</v>
      </c>
      <c r="G445" s="1723">
        <f t="shared" si="46"/>
        <v>0</v>
      </c>
      <c r="H445" s="1723">
        <f t="shared" si="47"/>
        <v>0</v>
      </c>
    </row>
    <row r="446" spans="1:8">
      <c r="A446" s="1717">
        <f t="shared" si="48"/>
        <v>434</v>
      </c>
      <c r="B446" s="1722" t="str">
        <f t="shared" si="49"/>
        <v/>
      </c>
      <c r="C446" s="1723">
        <f t="shared" si="43"/>
        <v>0</v>
      </c>
      <c r="D446" s="1723">
        <f t="shared" si="44"/>
        <v>0</v>
      </c>
      <c r="E446" s="1723">
        <f>IF(A445&lt;$B$6*12,ROUND(C446*'9a.PASS'!$C$21/12,2),"")</f>
        <v>0</v>
      </c>
      <c r="F446" s="1723">
        <f t="shared" si="45"/>
        <v>0</v>
      </c>
      <c r="G446" s="1723">
        <f t="shared" si="46"/>
        <v>0</v>
      </c>
      <c r="H446" s="1723">
        <f t="shared" si="47"/>
        <v>0</v>
      </c>
    </row>
    <row r="447" spans="1:8">
      <c r="A447" s="1717">
        <f t="shared" si="48"/>
        <v>435</v>
      </c>
      <c r="B447" s="1722" t="str">
        <f t="shared" si="49"/>
        <v/>
      </c>
      <c r="C447" s="1723">
        <f t="shared" si="43"/>
        <v>0</v>
      </c>
      <c r="D447" s="1723">
        <f t="shared" si="44"/>
        <v>0</v>
      </c>
      <c r="E447" s="1723">
        <f>IF(A446&lt;$B$6*12,ROUND(C447*'9a.PASS'!$C$21/12,2),"")</f>
        <v>0</v>
      </c>
      <c r="F447" s="1723">
        <f t="shared" si="45"/>
        <v>0</v>
      </c>
      <c r="G447" s="1723">
        <f t="shared" si="46"/>
        <v>0</v>
      </c>
      <c r="H447" s="1723">
        <f t="shared" si="47"/>
        <v>0</v>
      </c>
    </row>
    <row r="448" spans="1:8">
      <c r="A448" s="1717">
        <f t="shared" si="48"/>
        <v>436</v>
      </c>
      <c r="B448" s="1722" t="str">
        <f t="shared" si="49"/>
        <v/>
      </c>
      <c r="C448" s="1723">
        <f t="shared" si="43"/>
        <v>0</v>
      </c>
      <c r="D448" s="1723">
        <f t="shared" si="44"/>
        <v>0</v>
      </c>
      <c r="E448" s="1723">
        <f>IF(A447&lt;$B$6*12,ROUND(C448*'9a.PASS'!$C$21/12,2),"")</f>
        <v>0</v>
      </c>
      <c r="F448" s="1723">
        <f t="shared" si="45"/>
        <v>0</v>
      </c>
      <c r="G448" s="1723">
        <f t="shared" si="46"/>
        <v>0</v>
      </c>
      <c r="H448" s="1723">
        <f t="shared" si="47"/>
        <v>0</v>
      </c>
    </row>
    <row r="449" spans="1:8">
      <c r="A449" s="1717">
        <f t="shared" si="48"/>
        <v>437</v>
      </c>
      <c r="B449" s="1722" t="str">
        <f t="shared" si="49"/>
        <v/>
      </c>
      <c r="C449" s="1723">
        <f t="shared" si="43"/>
        <v>0</v>
      </c>
      <c r="D449" s="1723">
        <f t="shared" si="44"/>
        <v>0</v>
      </c>
      <c r="E449" s="1723">
        <f>IF(A448&lt;$B$6*12,ROUND(C449*'9a.PASS'!$C$21/12,2),"")</f>
        <v>0</v>
      </c>
      <c r="F449" s="1723">
        <f t="shared" si="45"/>
        <v>0</v>
      </c>
      <c r="G449" s="1723">
        <f t="shared" si="46"/>
        <v>0</v>
      </c>
      <c r="H449" s="1723">
        <f t="shared" si="47"/>
        <v>0</v>
      </c>
    </row>
    <row r="450" spans="1:8">
      <c r="A450" s="1717">
        <f t="shared" si="48"/>
        <v>438</v>
      </c>
      <c r="B450" s="1722" t="str">
        <f t="shared" si="49"/>
        <v/>
      </c>
      <c r="C450" s="1723">
        <f t="shared" si="43"/>
        <v>0</v>
      </c>
      <c r="D450" s="1723">
        <f t="shared" si="44"/>
        <v>0</v>
      </c>
      <c r="E450" s="1723">
        <f>IF(A449&lt;$B$6*12,ROUND(C450*'9a.PASS'!$C$21/12,2),"")</f>
        <v>0</v>
      </c>
      <c r="F450" s="1723">
        <f t="shared" si="45"/>
        <v>0</v>
      </c>
      <c r="G450" s="1723">
        <f t="shared" si="46"/>
        <v>0</v>
      </c>
      <c r="H450" s="1723">
        <f t="shared" si="47"/>
        <v>0</v>
      </c>
    </row>
    <row r="451" spans="1:8">
      <c r="A451" s="1717">
        <f t="shared" si="48"/>
        <v>439</v>
      </c>
      <c r="B451" s="1722" t="str">
        <f t="shared" si="49"/>
        <v/>
      </c>
      <c r="C451" s="1723">
        <f t="shared" si="43"/>
        <v>0</v>
      </c>
      <c r="D451" s="1723">
        <f t="shared" si="44"/>
        <v>0</v>
      </c>
      <c r="E451" s="1723">
        <f>IF(A450&lt;$B$6*12,ROUND(C451*'9a.PASS'!$C$21/12,2),"")</f>
        <v>0</v>
      </c>
      <c r="F451" s="1723">
        <f t="shared" si="45"/>
        <v>0</v>
      </c>
      <c r="G451" s="1723">
        <f t="shared" si="46"/>
        <v>0</v>
      </c>
      <c r="H451" s="1723">
        <f t="shared" si="47"/>
        <v>0</v>
      </c>
    </row>
    <row r="452" spans="1:8">
      <c r="A452" s="1717">
        <f t="shared" si="48"/>
        <v>440</v>
      </c>
      <c r="B452" s="1722" t="str">
        <f t="shared" si="49"/>
        <v/>
      </c>
      <c r="C452" s="1723">
        <f t="shared" si="43"/>
        <v>0</v>
      </c>
      <c r="D452" s="1723">
        <f t="shared" si="44"/>
        <v>0</v>
      </c>
      <c r="E452" s="1723">
        <f>IF(A451&lt;$B$6*12,ROUND(C452*'9a.PASS'!$C$21/12,2),"")</f>
        <v>0</v>
      </c>
      <c r="F452" s="1723">
        <f t="shared" si="45"/>
        <v>0</v>
      </c>
      <c r="G452" s="1723">
        <f t="shared" si="46"/>
        <v>0</v>
      </c>
      <c r="H452" s="1723">
        <f t="shared" si="47"/>
        <v>0</v>
      </c>
    </row>
    <row r="453" spans="1:8">
      <c r="A453" s="1717">
        <f t="shared" si="48"/>
        <v>441</v>
      </c>
      <c r="B453" s="1722" t="str">
        <f t="shared" si="49"/>
        <v/>
      </c>
      <c r="C453" s="1723">
        <f t="shared" si="43"/>
        <v>0</v>
      </c>
      <c r="D453" s="1723">
        <f t="shared" si="44"/>
        <v>0</v>
      </c>
      <c r="E453" s="1723">
        <f>IF(A452&lt;$B$6*12,ROUND(C453*'9a.PASS'!$C$21/12,2),"")</f>
        <v>0</v>
      </c>
      <c r="F453" s="1723">
        <f t="shared" si="45"/>
        <v>0</v>
      </c>
      <c r="G453" s="1723">
        <f t="shared" si="46"/>
        <v>0</v>
      </c>
      <c r="H453" s="1723">
        <f t="shared" si="47"/>
        <v>0</v>
      </c>
    </row>
    <row r="454" spans="1:8">
      <c r="A454" s="1717">
        <f t="shared" si="48"/>
        <v>442</v>
      </c>
      <c r="B454" s="1722" t="str">
        <f t="shared" si="49"/>
        <v/>
      </c>
      <c r="C454" s="1723">
        <f t="shared" si="43"/>
        <v>0</v>
      </c>
      <c r="D454" s="1723">
        <f t="shared" si="44"/>
        <v>0</v>
      </c>
      <c r="E454" s="1723">
        <f>IF(A453&lt;$B$6*12,ROUND(C454*'9a.PASS'!$C$21/12,2),"")</f>
        <v>0</v>
      </c>
      <c r="F454" s="1723">
        <f t="shared" si="45"/>
        <v>0</v>
      </c>
      <c r="G454" s="1723">
        <f t="shared" si="46"/>
        <v>0</v>
      </c>
      <c r="H454" s="1723">
        <f t="shared" si="47"/>
        <v>0</v>
      </c>
    </row>
    <row r="455" spans="1:8">
      <c r="A455" s="1717">
        <f t="shared" si="48"/>
        <v>443</v>
      </c>
      <c r="B455" s="1722" t="str">
        <f t="shared" si="49"/>
        <v/>
      </c>
      <c r="C455" s="1723">
        <f t="shared" si="43"/>
        <v>0</v>
      </c>
      <c r="D455" s="1723">
        <f t="shared" si="44"/>
        <v>0</v>
      </c>
      <c r="E455" s="1723">
        <f>IF(A454&lt;$B$6*12,ROUND(C455*'9a.PASS'!$C$21/12,2),"")</f>
        <v>0</v>
      </c>
      <c r="F455" s="1723">
        <f t="shared" si="45"/>
        <v>0</v>
      </c>
      <c r="G455" s="1723">
        <f t="shared" si="46"/>
        <v>0</v>
      </c>
      <c r="H455" s="1723">
        <f t="shared" si="47"/>
        <v>0</v>
      </c>
    </row>
    <row r="456" spans="1:8">
      <c r="A456" s="1717">
        <f t="shared" si="48"/>
        <v>444</v>
      </c>
      <c r="B456" s="1722" t="str">
        <f t="shared" si="49"/>
        <v/>
      </c>
      <c r="C456" s="1723">
        <f t="shared" si="43"/>
        <v>0</v>
      </c>
      <c r="D456" s="1723">
        <f t="shared" si="44"/>
        <v>0</v>
      </c>
      <c r="E456" s="1723">
        <f>IF(A455&lt;$B$6*12,ROUND(C456*'9a.PASS'!$C$21/12,2),"")</f>
        <v>0</v>
      </c>
      <c r="F456" s="1723">
        <f t="shared" si="45"/>
        <v>0</v>
      </c>
      <c r="G456" s="1723">
        <f t="shared" si="46"/>
        <v>0</v>
      </c>
      <c r="H456" s="1723">
        <f t="shared" si="47"/>
        <v>0</v>
      </c>
    </row>
    <row r="457" spans="1:8">
      <c r="A457" s="1717">
        <f t="shared" si="48"/>
        <v>445</v>
      </c>
      <c r="B457" s="1722" t="str">
        <f t="shared" si="49"/>
        <v/>
      </c>
      <c r="C457" s="1723">
        <f t="shared" si="43"/>
        <v>0</v>
      </c>
      <c r="D457" s="1723">
        <f t="shared" si="44"/>
        <v>0</v>
      </c>
      <c r="E457" s="1723">
        <f>IF(A456&lt;$B$6*12,ROUND(C457*'9a.PASS'!$C$21/12,2),"")</f>
        <v>0</v>
      </c>
      <c r="F457" s="1723">
        <f t="shared" si="45"/>
        <v>0</v>
      </c>
      <c r="G457" s="1723">
        <f t="shared" si="46"/>
        <v>0</v>
      </c>
      <c r="H457" s="1723">
        <f t="shared" si="47"/>
        <v>0</v>
      </c>
    </row>
    <row r="458" spans="1:8">
      <c r="A458" s="1717">
        <f t="shared" si="48"/>
        <v>446</v>
      </c>
      <c r="B458" s="1722" t="str">
        <f t="shared" si="49"/>
        <v/>
      </c>
      <c r="C458" s="1723">
        <f t="shared" si="43"/>
        <v>0</v>
      </c>
      <c r="D458" s="1723">
        <f t="shared" si="44"/>
        <v>0</v>
      </c>
      <c r="E458" s="1723">
        <f>IF(A457&lt;$B$6*12,ROUND(C458*'9a.PASS'!$C$21/12,2),"")</f>
        <v>0</v>
      </c>
      <c r="F458" s="1723">
        <f t="shared" si="45"/>
        <v>0</v>
      </c>
      <c r="G458" s="1723">
        <f t="shared" si="46"/>
        <v>0</v>
      </c>
      <c r="H458" s="1723">
        <f t="shared" si="47"/>
        <v>0</v>
      </c>
    </row>
    <row r="459" spans="1:8">
      <c r="A459" s="1717">
        <f t="shared" si="48"/>
        <v>447</v>
      </c>
      <c r="B459" s="1722" t="str">
        <f t="shared" si="49"/>
        <v/>
      </c>
      <c r="C459" s="1723">
        <f t="shared" si="43"/>
        <v>0</v>
      </c>
      <c r="D459" s="1723">
        <f t="shared" si="44"/>
        <v>0</v>
      </c>
      <c r="E459" s="1723">
        <f>IF(A458&lt;$B$6*12,ROUND(C459*'9a.PASS'!$C$21/12,2),"")</f>
        <v>0</v>
      </c>
      <c r="F459" s="1723">
        <f t="shared" si="45"/>
        <v>0</v>
      </c>
      <c r="G459" s="1723">
        <f t="shared" si="46"/>
        <v>0</v>
      </c>
      <c r="H459" s="1723">
        <f t="shared" si="47"/>
        <v>0</v>
      </c>
    </row>
    <row r="460" spans="1:8">
      <c r="A460" s="1717">
        <f t="shared" si="48"/>
        <v>448</v>
      </c>
      <c r="B460" s="1722" t="str">
        <f t="shared" si="49"/>
        <v/>
      </c>
      <c r="C460" s="1723">
        <f t="shared" si="43"/>
        <v>0</v>
      </c>
      <c r="D460" s="1723">
        <f t="shared" si="44"/>
        <v>0</v>
      </c>
      <c r="E460" s="1723">
        <f>IF(A459&lt;$B$6*12,ROUND(C460*'9a.PASS'!$C$21/12,2),"")</f>
        <v>0</v>
      </c>
      <c r="F460" s="1723">
        <f t="shared" si="45"/>
        <v>0</v>
      </c>
      <c r="G460" s="1723">
        <f t="shared" si="46"/>
        <v>0</v>
      </c>
      <c r="H460" s="1723">
        <f t="shared" si="47"/>
        <v>0</v>
      </c>
    </row>
    <row r="461" spans="1:8">
      <c r="A461" s="1717">
        <f t="shared" si="48"/>
        <v>449</v>
      </c>
      <c r="B461" s="1722" t="str">
        <f t="shared" si="49"/>
        <v/>
      </c>
      <c r="C461" s="1723">
        <f t="shared" si="43"/>
        <v>0</v>
      </c>
      <c r="D461" s="1723">
        <f t="shared" si="44"/>
        <v>0</v>
      </c>
      <c r="E461" s="1723">
        <f>IF(A460&lt;$B$6*12,ROUND(C461*'9a.PASS'!$C$21/12,2),"")</f>
        <v>0</v>
      </c>
      <c r="F461" s="1723">
        <f t="shared" si="45"/>
        <v>0</v>
      </c>
      <c r="G461" s="1723">
        <f t="shared" si="46"/>
        <v>0</v>
      </c>
      <c r="H461" s="1723">
        <f t="shared" si="47"/>
        <v>0</v>
      </c>
    </row>
    <row r="462" spans="1:8">
      <c r="A462" s="1717">
        <f t="shared" si="48"/>
        <v>450</v>
      </c>
      <c r="B462" s="1722" t="str">
        <f t="shared" si="49"/>
        <v/>
      </c>
      <c r="C462" s="1723">
        <f t="shared" ref="C462:C492" si="50">IF(A461&lt;$B$6*12,H461,"")</f>
        <v>0</v>
      </c>
      <c r="D462" s="1723">
        <f t="shared" ref="D462:D492" si="51">IF(A462=$B$6*12,SUM(C462,E462:F462),IF(A461&lt;$B$6*12,$B$8,""))</f>
        <v>0</v>
      </c>
      <c r="E462" s="1723">
        <f>IF(A461&lt;$B$6*12,ROUND(C462*'9a.PASS'!$C$21/12,2),"")</f>
        <v>0</v>
      </c>
      <c r="F462" s="1723">
        <f t="shared" ref="F462:F492" si="52">IF(A461&lt;$B$6*12,ROUND(C462*$B$5/12,2)-E462,"")</f>
        <v>0</v>
      </c>
      <c r="G462" s="1723">
        <f t="shared" ref="G462:G492" si="53">IF(A461&lt;$B$6*12,D462-SUM(E462:F462),"")</f>
        <v>0</v>
      </c>
      <c r="H462" s="1723">
        <f t="shared" ref="H462:H492" si="54">IF(A461&lt;$B$6*12,C462-G462,"")</f>
        <v>0</v>
      </c>
    </row>
    <row r="463" spans="1:8">
      <c r="A463" s="1717">
        <f t="shared" ref="A463:A492" si="55">IF(A462&lt;$B$6*12,A462+1,"")</f>
        <v>451</v>
      </c>
      <c r="B463" s="1722" t="str">
        <f t="shared" ref="B463:B492" si="56">IFERROR(EDATE(B462,1),"")</f>
        <v/>
      </c>
      <c r="C463" s="1723">
        <f t="shared" si="50"/>
        <v>0</v>
      </c>
      <c r="D463" s="1723">
        <f t="shared" si="51"/>
        <v>0</v>
      </c>
      <c r="E463" s="1723">
        <f>IF(A462&lt;$B$6*12,ROUND(C463*'9a.PASS'!$C$21/12,2),"")</f>
        <v>0</v>
      </c>
      <c r="F463" s="1723">
        <f t="shared" si="52"/>
        <v>0</v>
      </c>
      <c r="G463" s="1723">
        <f t="shared" si="53"/>
        <v>0</v>
      </c>
      <c r="H463" s="1723">
        <f t="shared" si="54"/>
        <v>0</v>
      </c>
    </row>
    <row r="464" spans="1:8">
      <c r="A464" s="1717">
        <f t="shared" si="55"/>
        <v>452</v>
      </c>
      <c r="B464" s="1722" t="str">
        <f t="shared" si="56"/>
        <v/>
      </c>
      <c r="C464" s="1723">
        <f t="shared" si="50"/>
        <v>0</v>
      </c>
      <c r="D464" s="1723">
        <f t="shared" si="51"/>
        <v>0</v>
      </c>
      <c r="E464" s="1723">
        <f>IF(A463&lt;$B$6*12,ROUND(C464*'9a.PASS'!$C$21/12,2),"")</f>
        <v>0</v>
      </c>
      <c r="F464" s="1723">
        <f t="shared" si="52"/>
        <v>0</v>
      </c>
      <c r="G464" s="1723">
        <f t="shared" si="53"/>
        <v>0</v>
      </c>
      <c r="H464" s="1723">
        <f t="shared" si="54"/>
        <v>0</v>
      </c>
    </row>
    <row r="465" spans="1:8">
      <c r="A465" s="1717">
        <f t="shared" si="55"/>
        <v>453</v>
      </c>
      <c r="B465" s="1722" t="str">
        <f t="shared" si="56"/>
        <v/>
      </c>
      <c r="C465" s="1723">
        <f t="shared" si="50"/>
        <v>0</v>
      </c>
      <c r="D465" s="1723">
        <f t="shared" si="51"/>
        <v>0</v>
      </c>
      <c r="E465" s="1723">
        <f>IF(A464&lt;$B$6*12,ROUND(C465*'9a.PASS'!$C$21/12,2),"")</f>
        <v>0</v>
      </c>
      <c r="F465" s="1723">
        <f t="shared" si="52"/>
        <v>0</v>
      </c>
      <c r="G465" s="1723">
        <f t="shared" si="53"/>
        <v>0</v>
      </c>
      <c r="H465" s="1723">
        <f t="shared" si="54"/>
        <v>0</v>
      </c>
    </row>
    <row r="466" spans="1:8">
      <c r="A466" s="1717">
        <f t="shared" si="55"/>
        <v>454</v>
      </c>
      <c r="B466" s="1722" t="str">
        <f t="shared" si="56"/>
        <v/>
      </c>
      <c r="C466" s="1723">
        <f t="shared" si="50"/>
        <v>0</v>
      </c>
      <c r="D466" s="1723">
        <f t="shared" si="51"/>
        <v>0</v>
      </c>
      <c r="E466" s="1723">
        <f>IF(A465&lt;$B$6*12,ROUND(C466*'9a.PASS'!$C$21/12,2),"")</f>
        <v>0</v>
      </c>
      <c r="F466" s="1723">
        <f t="shared" si="52"/>
        <v>0</v>
      </c>
      <c r="G466" s="1723">
        <f t="shared" si="53"/>
        <v>0</v>
      </c>
      <c r="H466" s="1723">
        <f t="shared" si="54"/>
        <v>0</v>
      </c>
    </row>
    <row r="467" spans="1:8">
      <c r="A467" s="1717">
        <f t="shared" si="55"/>
        <v>455</v>
      </c>
      <c r="B467" s="1722" t="str">
        <f t="shared" si="56"/>
        <v/>
      </c>
      <c r="C467" s="1723">
        <f t="shared" si="50"/>
        <v>0</v>
      </c>
      <c r="D467" s="1723">
        <f t="shared" si="51"/>
        <v>0</v>
      </c>
      <c r="E467" s="1723">
        <f>IF(A466&lt;$B$6*12,ROUND(C467*'9a.PASS'!$C$21/12,2),"")</f>
        <v>0</v>
      </c>
      <c r="F467" s="1723">
        <f t="shared" si="52"/>
        <v>0</v>
      </c>
      <c r="G467" s="1723">
        <f t="shared" si="53"/>
        <v>0</v>
      </c>
      <c r="H467" s="1723">
        <f t="shared" si="54"/>
        <v>0</v>
      </c>
    </row>
    <row r="468" spans="1:8">
      <c r="A468" s="1717">
        <f t="shared" si="55"/>
        <v>456</v>
      </c>
      <c r="B468" s="1722" t="str">
        <f t="shared" si="56"/>
        <v/>
      </c>
      <c r="C468" s="1723">
        <f t="shared" si="50"/>
        <v>0</v>
      </c>
      <c r="D468" s="1723">
        <f t="shared" si="51"/>
        <v>0</v>
      </c>
      <c r="E468" s="1723">
        <f>IF(A467&lt;$B$6*12,ROUND(C468*'9a.PASS'!$C$21/12,2),"")</f>
        <v>0</v>
      </c>
      <c r="F468" s="1723">
        <f t="shared" si="52"/>
        <v>0</v>
      </c>
      <c r="G468" s="1723">
        <f t="shared" si="53"/>
        <v>0</v>
      </c>
      <c r="H468" s="1723">
        <f t="shared" si="54"/>
        <v>0</v>
      </c>
    </row>
    <row r="469" spans="1:8">
      <c r="A469" s="1717">
        <f t="shared" si="55"/>
        <v>457</v>
      </c>
      <c r="B469" s="1722" t="str">
        <f t="shared" si="56"/>
        <v/>
      </c>
      <c r="C469" s="1723">
        <f t="shared" si="50"/>
        <v>0</v>
      </c>
      <c r="D469" s="1723">
        <f t="shared" si="51"/>
        <v>0</v>
      </c>
      <c r="E469" s="1723">
        <f>IF(A468&lt;$B$6*12,ROUND(C469*'9a.PASS'!$C$21/12,2),"")</f>
        <v>0</v>
      </c>
      <c r="F469" s="1723">
        <f t="shared" si="52"/>
        <v>0</v>
      </c>
      <c r="G469" s="1723">
        <f t="shared" si="53"/>
        <v>0</v>
      </c>
      <c r="H469" s="1723">
        <f t="shared" si="54"/>
        <v>0</v>
      </c>
    </row>
    <row r="470" spans="1:8">
      <c r="A470" s="1717">
        <f t="shared" si="55"/>
        <v>458</v>
      </c>
      <c r="B470" s="1722" t="str">
        <f t="shared" si="56"/>
        <v/>
      </c>
      <c r="C470" s="1723">
        <f t="shared" si="50"/>
        <v>0</v>
      </c>
      <c r="D470" s="1723">
        <f t="shared" si="51"/>
        <v>0</v>
      </c>
      <c r="E470" s="1723">
        <f>IF(A469&lt;$B$6*12,ROUND(C470*'9a.PASS'!$C$21/12,2),"")</f>
        <v>0</v>
      </c>
      <c r="F470" s="1723">
        <f t="shared" si="52"/>
        <v>0</v>
      </c>
      <c r="G470" s="1723">
        <f t="shared" si="53"/>
        <v>0</v>
      </c>
      <c r="H470" s="1723">
        <f t="shared" si="54"/>
        <v>0</v>
      </c>
    </row>
    <row r="471" spans="1:8">
      <c r="A471" s="1717">
        <f t="shared" si="55"/>
        <v>459</v>
      </c>
      <c r="B471" s="1722" t="str">
        <f t="shared" si="56"/>
        <v/>
      </c>
      <c r="C471" s="1723">
        <f t="shared" si="50"/>
        <v>0</v>
      </c>
      <c r="D471" s="1723">
        <f t="shared" si="51"/>
        <v>0</v>
      </c>
      <c r="E471" s="1723">
        <f>IF(A470&lt;$B$6*12,ROUND(C471*'9a.PASS'!$C$21/12,2),"")</f>
        <v>0</v>
      </c>
      <c r="F471" s="1723">
        <f t="shared" si="52"/>
        <v>0</v>
      </c>
      <c r="G471" s="1723">
        <f t="shared" si="53"/>
        <v>0</v>
      </c>
      <c r="H471" s="1723">
        <f t="shared" si="54"/>
        <v>0</v>
      </c>
    </row>
    <row r="472" spans="1:8">
      <c r="A472" s="1717">
        <f t="shared" si="55"/>
        <v>460</v>
      </c>
      <c r="B472" s="1722" t="str">
        <f t="shared" si="56"/>
        <v/>
      </c>
      <c r="C472" s="1723">
        <f t="shared" si="50"/>
        <v>0</v>
      </c>
      <c r="D472" s="1723">
        <f t="shared" si="51"/>
        <v>0</v>
      </c>
      <c r="E472" s="1723">
        <f>IF(A471&lt;$B$6*12,ROUND(C472*'9a.PASS'!$C$21/12,2),"")</f>
        <v>0</v>
      </c>
      <c r="F472" s="1723">
        <f t="shared" si="52"/>
        <v>0</v>
      </c>
      <c r="G472" s="1723">
        <f t="shared" si="53"/>
        <v>0</v>
      </c>
      <c r="H472" s="1723">
        <f t="shared" si="54"/>
        <v>0</v>
      </c>
    </row>
    <row r="473" spans="1:8">
      <c r="A473" s="1717">
        <f t="shared" si="55"/>
        <v>461</v>
      </c>
      <c r="B473" s="1722" t="str">
        <f t="shared" si="56"/>
        <v/>
      </c>
      <c r="C473" s="1723">
        <f t="shared" si="50"/>
        <v>0</v>
      </c>
      <c r="D473" s="1723">
        <f t="shared" si="51"/>
        <v>0</v>
      </c>
      <c r="E473" s="1723">
        <f>IF(A472&lt;$B$6*12,ROUND(C473*'9a.PASS'!$C$21/12,2),"")</f>
        <v>0</v>
      </c>
      <c r="F473" s="1723">
        <f t="shared" si="52"/>
        <v>0</v>
      </c>
      <c r="G473" s="1723">
        <f t="shared" si="53"/>
        <v>0</v>
      </c>
      <c r="H473" s="1723">
        <f t="shared" si="54"/>
        <v>0</v>
      </c>
    </row>
    <row r="474" spans="1:8">
      <c r="A474" s="1717">
        <f t="shared" si="55"/>
        <v>462</v>
      </c>
      <c r="B474" s="1722" t="str">
        <f t="shared" si="56"/>
        <v/>
      </c>
      <c r="C474" s="1723">
        <f t="shared" si="50"/>
        <v>0</v>
      </c>
      <c r="D474" s="1723">
        <f t="shared" si="51"/>
        <v>0</v>
      </c>
      <c r="E474" s="1723">
        <f>IF(A473&lt;$B$6*12,ROUND(C474*'9a.PASS'!$C$21/12,2),"")</f>
        <v>0</v>
      </c>
      <c r="F474" s="1723">
        <f t="shared" si="52"/>
        <v>0</v>
      </c>
      <c r="G474" s="1723">
        <f t="shared" si="53"/>
        <v>0</v>
      </c>
      <c r="H474" s="1723">
        <f t="shared" si="54"/>
        <v>0</v>
      </c>
    </row>
    <row r="475" spans="1:8">
      <c r="A475" s="1717">
        <f t="shared" si="55"/>
        <v>463</v>
      </c>
      <c r="B475" s="1722" t="str">
        <f t="shared" si="56"/>
        <v/>
      </c>
      <c r="C475" s="1723">
        <f t="shared" si="50"/>
        <v>0</v>
      </c>
      <c r="D475" s="1723">
        <f t="shared" si="51"/>
        <v>0</v>
      </c>
      <c r="E475" s="1723">
        <f>IF(A474&lt;$B$6*12,ROUND(C475*'9a.PASS'!$C$21/12,2),"")</f>
        <v>0</v>
      </c>
      <c r="F475" s="1723">
        <f t="shared" si="52"/>
        <v>0</v>
      </c>
      <c r="G475" s="1723">
        <f t="shared" si="53"/>
        <v>0</v>
      </c>
      <c r="H475" s="1723">
        <f t="shared" si="54"/>
        <v>0</v>
      </c>
    </row>
    <row r="476" spans="1:8">
      <c r="A476" s="1717">
        <f t="shared" si="55"/>
        <v>464</v>
      </c>
      <c r="B476" s="1722" t="str">
        <f t="shared" si="56"/>
        <v/>
      </c>
      <c r="C476" s="1723">
        <f t="shared" si="50"/>
        <v>0</v>
      </c>
      <c r="D476" s="1723">
        <f t="shared" si="51"/>
        <v>0</v>
      </c>
      <c r="E476" s="1723">
        <f>IF(A475&lt;$B$6*12,ROUND(C476*'9a.PASS'!$C$21/12,2),"")</f>
        <v>0</v>
      </c>
      <c r="F476" s="1723">
        <f t="shared" si="52"/>
        <v>0</v>
      </c>
      <c r="G476" s="1723">
        <f t="shared" si="53"/>
        <v>0</v>
      </c>
      <c r="H476" s="1723">
        <f t="shared" si="54"/>
        <v>0</v>
      </c>
    </row>
    <row r="477" spans="1:8">
      <c r="A477" s="1717">
        <f t="shared" si="55"/>
        <v>465</v>
      </c>
      <c r="B477" s="1722" t="str">
        <f t="shared" si="56"/>
        <v/>
      </c>
      <c r="C477" s="1723">
        <f t="shared" si="50"/>
        <v>0</v>
      </c>
      <c r="D477" s="1723">
        <f t="shared" si="51"/>
        <v>0</v>
      </c>
      <c r="E477" s="1723">
        <f>IF(A476&lt;$B$6*12,ROUND(C477*'9a.PASS'!$C$21/12,2),"")</f>
        <v>0</v>
      </c>
      <c r="F477" s="1723">
        <f t="shared" si="52"/>
        <v>0</v>
      </c>
      <c r="G477" s="1723">
        <f t="shared" si="53"/>
        <v>0</v>
      </c>
      <c r="H477" s="1723">
        <f t="shared" si="54"/>
        <v>0</v>
      </c>
    </row>
    <row r="478" spans="1:8">
      <c r="A478" s="1717">
        <f t="shared" si="55"/>
        <v>466</v>
      </c>
      <c r="B478" s="1722" t="str">
        <f t="shared" si="56"/>
        <v/>
      </c>
      <c r="C478" s="1723">
        <f t="shared" si="50"/>
        <v>0</v>
      </c>
      <c r="D478" s="1723">
        <f t="shared" si="51"/>
        <v>0</v>
      </c>
      <c r="E478" s="1723">
        <f>IF(A477&lt;$B$6*12,ROUND(C478*'9a.PASS'!$C$21/12,2),"")</f>
        <v>0</v>
      </c>
      <c r="F478" s="1723">
        <f t="shared" si="52"/>
        <v>0</v>
      </c>
      <c r="G478" s="1723">
        <f t="shared" si="53"/>
        <v>0</v>
      </c>
      <c r="H478" s="1723">
        <f t="shared" si="54"/>
        <v>0</v>
      </c>
    </row>
    <row r="479" spans="1:8">
      <c r="A479" s="1717">
        <f t="shared" si="55"/>
        <v>467</v>
      </c>
      <c r="B479" s="1722" t="str">
        <f t="shared" si="56"/>
        <v/>
      </c>
      <c r="C479" s="1723">
        <f t="shared" si="50"/>
        <v>0</v>
      </c>
      <c r="D479" s="1723">
        <f t="shared" si="51"/>
        <v>0</v>
      </c>
      <c r="E479" s="1723">
        <f>IF(A478&lt;$B$6*12,ROUND(C479*'9a.PASS'!$C$21/12,2),"")</f>
        <v>0</v>
      </c>
      <c r="F479" s="1723">
        <f t="shared" si="52"/>
        <v>0</v>
      </c>
      <c r="G479" s="1723">
        <f t="shared" si="53"/>
        <v>0</v>
      </c>
      <c r="H479" s="1723">
        <f t="shared" si="54"/>
        <v>0</v>
      </c>
    </row>
    <row r="480" spans="1:8">
      <c r="A480" s="1717">
        <f t="shared" si="55"/>
        <v>468</v>
      </c>
      <c r="B480" s="1722" t="str">
        <f t="shared" si="56"/>
        <v/>
      </c>
      <c r="C480" s="1723">
        <f t="shared" si="50"/>
        <v>0</v>
      </c>
      <c r="D480" s="1723">
        <f t="shared" si="51"/>
        <v>0</v>
      </c>
      <c r="E480" s="1723">
        <f>IF(A479&lt;$B$6*12,ROUND(C480*'9a.PASS'!$C$21/12,2),"")</f>
        <v>0</v>
      </c>
      <c r="F480" s="1723">
        <f t="shared" si="52"/>
        <v>0</v>
      </c>
      <c r="G480" s="1723">
        <f t="shared" si="53"/>
        <v>0</v>
      </c>
      <c r="H480" s="1723">
        <f t="shared" si="54"/>
        <v>0</v>
      </c>
    </row>
    <row r="481" spans="1:8">
      <c r="A481" s="1717">
        <f t="shared" si="55"/>
        <v>469</v>
      </c>
      <c r="B481" s="1722" t="str">
        <f t="shared" si="56"/>
        <v/>
      </c>
      <c r="C481" s="1723">
        <f t="shared" si="50"/>
        <v>0</v>
      </c>
      <c r="D481" s="1723">
        <f t="shared" si="51"/>
        <v>0</v>
      </c>
      <c r="E481" s="1723">
        <f>IF(A480&lt;$B$6*12,ROUND(C481*'9a.PASS'!$C$21/12,2),"")</f>
        <v>0</v>
      </c>
      <c r="F481" s="1723">
        <f t="shared" si="52"/>
        <v>0</v>
      </c>
      <c r="G481" s="1723">
        <f t="shared" si="53"/>
        <v>0</v>
      </c>
      <c r="H481" s="1723">
        <f t="shared" si="54"/>
        <v>0</v>
      </c>
    </row>
    <row r="482" spans="1:8">
      <c r="A482" s="1717">
        <f t="shared" si="55"/>
        <v>470</v>
      </c>
      <c r="B482" s="1722" t="str">
        <f t="shared" si="56"/>
        <v/>
      </c>
      <c r="C482" s="1723">
        <f t="shared" si="50"/>
        <v>0</v>
      </c>
      <c r="D482" s="1723">
        <f t="shared" si="51"/>
        <v>0</v>
      </c>
      <c r="E482" s="1723">
        <f>IF(A481&lt;$B$6*12,ROUND(C482*'9a.PASS'!$C$21/12,2),"")</f>
        <v>0</v>
      </c>
      <c r="F482" s="1723">
        <f t="shared" si="52"/>
        <v>0</v>
      </c>
      <c r="G482" s="1723">
        <f t="shared" si="53"/>
        <v>0</v>
      </c>
      <c r="H482" s="1723">
        <f t="shared" si="54"/>
        <v>0</v>
      </c>
    </row>
    <row r="483" spans="1:8">
      <c r="A483" s="1717">
        <f t="shared" si="55"/>
        <v>471</v>
      </c>
      <c r="B483" s="1722" t="str">
        <f t="shared" si="56"/>
        <v/>
      </c>
      <c r="C483" s="1723">
        <f t="shared" si="50"/>
        <v>0</v>
      </c>
      <c r="D483" s="1723">
        <f t="shared" si="51"/>
        <v>0</v>
      </c>
      <c r="E483" s="1723">
        <f>IF(A482&lt;$B$6*12,ROUND(C483*'9a.PASS'!$C$21/12,2),"")</f>
        <v>0</v>
      </c>
      <c r="F483" s="1723">
        <f t="shared" si="52"/>
        <v>0</v>
      </c>
      <c r="G483" s="1723">
        <f t="shared" si="53"/>
        <v>0</v>
      </c>
      <c r="H483" s="1723">
        <f t="shared" si="54"/>
        <v>0</v>
      </c>
    </row>
    <row r="484" spans="1:8">
      <c r="A484" s="1717">
        <f t="shared" si="55"/>
        <v>472</v>
      </c>
      <c r="B484" s="1722" t="str">
        <f t="shared" si="56"/>
        <v/>
      </c>
      <c r="C484" s="1723">
        <f t="shared" si="50"/>
        <v>0</v>
      </c>
      <c r="D484" s="1723">
        <f t="shared" si="51"/>
        <v>0</v>
      </c>
      <c r="E484" s="1723">
        <f>IF(A483&lt;$B$6*12,ROUND(C484*'9a.PASS'!$C$21/12,2),"")</f>
        <v>0</v>
      </c>
      <c r="F484" s="1723">
        <f t="shared" si="52"/>
        <v>0</v>
      </c>
      <c r="G484" s="1723">
        <f t="shared" si="53"/>
        <v>0</v>
      </c>
      <c r="H484" s="1723">
        <f t="shared" si="54"/>
        <v>0</v>
      </c>
    </row>
    <row r="485" spans="1:8">
      <c r="A485" s="1717">
        <f t="shared" si="55"/>
        <v>473</v>
      </c>
      <c r="B485" s="1722" t="str">
        <f t="shared" si="56"/>
        <v/>
      </c>
      <c r="C485" s="1723">
        <f t="shared" si="50"/>
        <v>0</v>
      </c>
      <c r="D485" s="1723">
        <f t="shared" si="51"/>
        <v>0</v>
      </c>
      <c r="E485" s="1723">
        <f>IF(A484&lt;$B$6*12,ROUND(C485*'9a.PASS'!$C$21/12,2),"")</f>
        <v>0</v>
      </c>
      <c r="F485" s="1723">
        <f t="shared" si="52"/>
        <v>0</v>
      </c>
      <c r="G485" s="1723">
        <f t="shared" si="53"/>
        <v>0</v>
      </c>
      <c r="H485" s="1723">
        <f t="shared" si="54"/>
        <v>0</v>
      </c>
    </row>
    <row r="486" spans="1:8">
      <c r="A486" s="1717">
        <f t="shared" si="55"/>
        <v>474</v>
      </c>
      <c r="B486" s="1722" t="str">
        <f t="shared" si="56"/>
        <v/>
      </c>
      <c r="C486" s="1723">
        <f t="shared" si="50"/>
        <v>0</v>
      </c>
      <c r="D486" s="1723">
        <f t="shared" si="51"/>
        <v>0</v>
      </c>
      <c r="E486" s="1723">
        <f>IF(A485&lt;$B$6*12,ROUND(C486*'9a.PASS'!$C$21/12,2),"")</f>
        <v>0</v>
      </c>
      <c r="F486" s="1723">
        <f t="shared" si="52"/>
        <v>0</v>
      </c>
      <c r="G486" s="1723">
        <f t="shared" si="53"/>
        <v>0</v>
      </c>
      <c r="H486" s="1723">
        <f t="shared" si="54"/>
        <v>0</v>
      </c>
    </row>
    <row r="487" spans="1:8">
      <c r="A487" s="1717">
        <f t="shared" si="55"/>
        <v>475</v>
      </c>
      <c r="B487" s="1722" t="str">
        <f t="shared" si="56"/>
        <v/>
      </c>
      <c r="C487" s="1723">
        <f t="shared" si="50"/>
        <v>0</v>
      </c>
      <c r="D487" s="1723">
        <f t="shared" si="51"/>
        <v>0</v>
      </c>
      <c r="E487" s="1723">
        <f>IF(A486&lt;$B$6*12,ROUND(C487*'9a.PASS'!$C$21/12,2),"")</f>
        <v>0</v>
      </c>
      <c r="F487" s="1723">
        <f t="shared" si="52"/>
        <v>0</v>
      </c>
      <c r="G487" s="1723">
        <f t="shared" si="53"/>
        <v>0</v>
      </c>
      <c r="H487" s="1723">
        <f t="shared" si="54"/>
        <v>0</v>
      </c>
    </row>
    <row r="488" spans="1:8">
      <c r="A488" s="1717">
        <f t="shared" si="55"/>
        <v>476</v>
      </c>
      <c r="B488" s="1722" t="str">
        <f t="shared" si="56"/>
        <v/>
      </c>
      <c r="C488" s="1723">
        <f t="shared" si="50"/>
        <v>0</v>
      </c>
      <c r="D488" s="1723">
        <f t="shared" si="51"/>
        <v>0</v>
      </c>
      <c r="E488" s="1723">
        <f>IF(A487&lt;$B$6*12,ROUND(C488*'9a.PASS'!$C$21/12,2),"")</f>
        <v>0</v>
      </c>
      <c r="F488" s="1723">
        <f t="shared" si="52"/>
        <v>0</v>
      </c>
      <c r="G488" s="1723">
        <f t="shared" si="53"/>
        <v>0</v>
      </c>
      <c r="H488" s="1723">
        <f t="shared" si="54"/>
        <v>0</v>
      </c>
    </row>
    <row r="489" spans="1:8">
      <c r="A489" s="1717">
        <f t="shared" si="55"/>
        <v>477</v>
      </c>
      <c r="B489" s="1722" t="str">
        <f t="shared" si="56"/>
        <v/>
      </c>
      <c r="C489" s="1723">
        <f t="shared" si="50"/>
        <v>0</v>
      </c>
      <c r="D489" s="1723">
        <f t="shared" si="51"/>
        <v>0</v>
      </c>
      <c r="E489" s="1723">
        <f>IF(A488&lt;$B$6*12,ROUND(C489*'9a.PASS'!$C$21/12,2),"")</f>
        <v>0</v>
      </c>
      <c r="F489" s="1723">
        <f t="shared" si="52"/>
        <v>0</v>
      </c>
      <c r="G489" s="1723">
        <f t="shared" si="53"/>
        <v>0</v>
      </c>
      <c r="H489" s="1723">
        <f t="shared" si="54"/>
        <v>0</v>
      </c>
    </row>
    <row r="490" spans="1:8">
      <c r="A490" s="1717">
        <f t="shared" si="55"/>
        <v>478</v>
      </c>
      <c r="B490" s="1722" t="str">
        <f t="shared" si="56"/>
        <v/>
      </c>
      <c r="C490" s="1723">
        <f t="shared" si="50"/>
        <v>0</v>
      </c>
      <c r="D490" s="1723">
        <f t="shared" si="51"/>
        <v>0</v>
      </c>
      <c r="E490" s="1723">
        <f>IF(A489&lt;$B$6*12,ROUND(C490*'9a.PASS'!$C$21/12,2),"")</f>
        <v>0</v>
      </c>
      <c r="F490" s="1723">
        <f t="shared" si="52"/>
        <v>0</v>
      </c>
      <c r="G490" s="1723">
        <f t="shared" si="53"/>
        <v>0</v>
      </c>
      <c r="H490" s="1723">
        <f t="shared" si="54"/>
        <v>0</v>
      </c>
    </row>
    <row r="491" spans="1:8">
      <c r="A491" s="1717">
        <f t="shared" si="55"/>
        <v>479</v>
      </c>
      <c r="B491" s="1722" t="str">
        <f t="shared" si="56"/>
        <v/>
      </c>
      <c r="C491" s="1723">
        <f t="shared" si="50"/>
        <v>0</v>
      </c>
      <c r="D491" s="1723">
        <f t="shared" si="51"/>
        <v>0</v>
      </c>
      <c r="E491" s="1723">
        <f>IF(A490&lt;$B$6*12,ROUND(C491*'9a.PASS'!$C$21/12,2),"")</f>
        <v>0</v>
      </c>
      <c r="F491" s="1723">
        <f t="shared" si="52"/>
        <v>0</v>
      </c>
      <c r="G491" s="1723">
        <f t="shared" si="53"/>
        <v>0</v>
      </c>
      <c r="H491" s="1723">
        <f t="shared" si="54"/>
        <v>0</v>
      </c>
    </row>
    <row r="492" spans="1:8">
      <c r="A492" s="1717">
        <f t="shared" si="55"/>
        <v>480</v>
      </c>
      <c r="B492" s="1722" t="str">
        <f t="shared" si="56"/>
        <v/>
      </c>
      <c r="C492" s="1723">
        <f t="shared" si="50"/>
        <v>0</v>
      </c>
      <c r="D492" s="1723">
        <f t="shared" si="51"/>
        <v>0</v>
      </c>
      <c r="E492" s="1723">
        <f>IF(A491&lt;$B$6*12,ROUND(C492*'9a.PASS'!$C$21/12,2),"")</f>
        <v>0</v>
      </c>
      <c r="F492" s="1723">
        <f t="shared" si="52"/>
        <v>0</v>
      </c>
      <c r="G492" s="1723">
        <f t="shared" si="53"/>
        <v>0</v>
      </c>
      <c r="H492" s="1723">
        <f t="shared" si="54"/>
        <v>0</v>
      </c>
    </row>
    <row r="493" spans="1:8"/>
  </sheetData>
  <sheetProtection algorithmName="SHA-512" hashValue="i5VHG8OH8NsDUv9cQ36JPY/qb0nPGxym1QCNg1fAeCUuAc+QeRkQnXfd8Ku81qRXqN918JWuUDiCpTiTZ2Bq2A==" saltValue="YO2qKPEwt4/oPfY/5U5Enw==" spinCount="100000" sheet="1" objects="1" scenarios="1"/>
  <pageMargins left="0.7" right="0.7" top="0.75" bottom="0.75" header="0.3" footer="0.3"/>
  <pageSetup scale="70" orientation="portrait" r:id="rId1"/>
  <headerFooter>
    <oddHeader>&amp;C&amp;"-,Bold"EXHIBIT A</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30D06-2253-4E61-99A4-9B887009097D}">
  <sheetPr codeName="Sheet25">
    <tabColor rgb="FFFFFF99"/>
  </sheetPr>
  <dimension ref="A1:H493"/>
  <sheetViews>
    <sheetView view="pageBreakPreview" zoomScaleNormal="100" zoomScaleSheetLayoutView="100" workbookViewId="0"/>
  </sheetViews>
  <sheetFormatPr defaultColWidth="0" defaultRowHeight="13.8" zeroHeight="1"/>
  <cols>
    <col min="1" max="1" width="22.33203125" style="1711" customWidth="1"/>
    <col min="2" max="7" width="15.44140625" style="1711" customWidth="1"/>
    <col min="8" max="8" width="8.6640625" style="1711" customWidth="1"/>
    <col min="9" max="16384" width="8.6640625" style="1711" hidden="1"/>
  </cols>
  <sheetData>
    <row r="1" spans="1:7">
      <c r="A1" s="319" t="s">
        <v>65</v>
      </c>
      <c r="B1" s="1710" t="str">
        <f>'9a.PASS'!B5</f>
        <v/>
      </c>
    </row>
    <row r="2" spans="1:7">
      <c r="A2" s="319" t="s">
        <v>1424</v>
      </c>
      <c r="B2" s="1710" t="str">
        <f>'9a.PASS'!B6</f>
        <v/>
      </c>
    </row>
    <row r="3" spans="1:7"/>
    <row r="4" spans="1:7">
      <c r="A4" s="1712" t="s">
        <v>1432</v>
      </c>
      <c r="B4" s="1713">
        <f>'9a.PASS'!G14</f>
        <v>0</v>
      </c>
    </row>
    <row r="5" spans="1:7">
      <c r="A5" s="1714" t="s">
        <v>1385</v>
      </c>
      <c r="B5" s="1715">
        <f>'9a.PASS'!G17</f>
        <v>9.5762999999999994E-3</v>
      </c>
    </row>
    <row r="6" spans="1:7">
      <c r="A6" s="1714" t="s">
        <v>1381</v>
      </c>
      <c r="B6" s="1716">
        <f>'9a.PASS'!G15</f>
        <v>40</v>
      </c>
      <c r="D6" s="1717"/>
    </row>
    <row r="7" spans="1:7">
      <c r="A7" s="1714" t="s">
        <v>1411</v>
      </c>
      <c r="B7" s="1716">
        <f>'9a.PASS'!G16</f>
        <v>40</v>
      </c>
    </row>
    <row r="8" spans="1:7">
      <c r="A8" s="1718" t="s">
        <v>1423</v>
      </c>
      <c r="B8" s="1719">
        <f>ROUND('9a.PASS'!G18/12,2)</f>
        <v>0</v>
      </c>
    </row>
    <row r="9" spans="1:7"/>
    <row r="10" spans="1:7">
      <c r="A10" s="1710" t="s">
        <v>1421</v>
      </c>
    </row>
    <row r="11" spans="1:7">
      <c r="C11" s="1720" t="s">
        <v>1413</v>
      </c>
      <c r="D11" s="1720" t="s">
        <v>572</v>
      </c>
      <c r="E11" s="1720"/>
      <c r="F11" s="1720"/>
      <c r="G11" s="1720" t="s">
        <v>1415</v>
      </c>
    </row>
    <row r="12" spans="1:7">
      <c r="A12" s="1721" t="s">
        <v>1416</v>
      </c>
      <c r="B12" s="1721" t="s">
        <v>1422</v>
      </c>
      <c r="C12" s="1721" t="s">
        <v>1417</v>
      </c>
      <c r="D12" s="1721" t="s">
        <v>1386</v>
      </c>
      <c r="E12" s="1721" t="s">
        <v>1414</v>
      </c>
      <c r="F12" s="1721" t="s">
        <v>1420</v>
      </c>
      <c r="G12" s="1721" t="s">
        <v>1417</v>
      </c>
    </row>
    <row r="13" spans="1:7">
      <c r="A13" s="1717">
        <v>1</v>
      </c>
      <c r="B13" s="1722" t="str">
        <f>'9a.PASS'!F6</f>
        <v/>
      </c>
      <c r="C13" s="1723">
        <f>$B$4</f>
        <v>0</v>
      </c>
      <c r="D13" s="1723">
        <f t="shared" ref="D13" si="0">$B$8</f>
        <v>0</v>
      </c>
      <c r="E13" s="1723">
        <f t="shared" ref="E13" si="1">ROUND(C13*$B$5/12,2)</f>
        <v>0</v>
      </c>
      <c r="F13" s="1723">
        <f>D13-E13</f>
        <v>0</v>
      </c>
      <c r="G13" s="1723">
        <f>C13-F13</f>
        <v>0</v>
      </c>
    </row>
    <row r="14" spans="1:7">
      <c r="A14" s="1717">
        <f>IF(A13&lt;$B$6*12,A13+1,"")</f>
        <v>2</v>
      </c>
      <c r="B14" s="1722" t="str">
        <f>IFERROR(EDATE(B13,1),"")</f>
        <v/>
      </c>
      <c r="C14" s="1723">
        <f t="shared" ref="C14:C77" si="2">IF(A13&lt;$B$6*12,G13,"")</f>
        <v>0</v>
      </c>
      <c r="D14" s="1723">
        <f t="shared" ref="D14:D77" si="3">IF(A14=$B$6*12,C14+E14,IF(A13&lt;$B$6*12,$B$8,""))</f>
        <v>0</v>
      </c>
      <c r="E14" s="1723">
        <f t="shared" ref="E14:E77" si="4">IF(A13&lt;$B$6*12,ROUND(C14*$B$5/12,2),"")</f>
        <v>0</v>
      </c>
      <c r="F14" s="1723">
        <f t="shared" ref="F14:F77" si="5">IF(A13&lt;$B$6*12,D14-E14,"")</f>
        <v>0</v>
      </c>
      <c r="G14" s="1723">
        <f t="shared" ref="G14:G77" si="6">IF(A13&lt;$B$6*12,C14-F14,"")</f>
        <v>0</v>
      </c>
    </row>
    <row r="15" spans="1:7">
      <c r="A15" s="1717">
        <f t="shared" ref="A15:A78" si="7">IF(A14&lt;$B$6*12,A14+1,"")</f>
        <v>3</v>
      </c>
      <c r="B15" s="1722" t="str">
        <f t="shared" ref="B15:B78" si="8">IFERROR(EDATE(B14,1),"")</f>
        <v/>
      </c>
      <c r="C15" s="1723">
        <f t="shared" si="2"/>
        <v>0</v>
      </c>
      <c r="D15" s="1723">
        <f t="shared" si="3"/>
        <v>0</v>
      </c>
      <c r="E15" s="1723">
        <f t="shared" si="4"/>
        <v>0</v>
      </c>
      <c r="F15" s="1723">
        <f t="shared" si="5"/>
        <v>0</v>
      </c>
      <c r="G15" s="1723">
        <f t="shared" si="6"/>
        <v>0</v>
      </c>
    </row>
    <row r="16" spans="1:7">
      <c r="A16" s="1717">
        <f t="shared" si="7"/>
        <v>4</v>
      </c>
      <c r="B16" s="1722" t="str">
        <f t="shared" si="8"/>
        <v/>
      </c>
      <c r="C16" s="1723">
        <f t="shared" si="2"/>
        <v>0</v>
      </c>
      <c r="D16" s="1723">
        <f t="shared" si="3"/>
        <v>0</v>
      </c>
      <c r="E16" s="1723">
        <f t="shared" si="4"/>
        <v>0</v>
      </c>
      <c r="F16" s="1723">
        <f t="shared" si="5"/>
        <v>0</v>
      </c>
      <c r="G16" s="1723">
        <f t="shared" si="6"/>
        <v>0</v>
      </c>
    </row>
    <row r="17" spans="1:7">
      <c r="A17" s="1717">
        <f t="shared" si="7"/>
        <v>5</v>
      </c>
      <c r="B17" s="1722" t="str">
        <f t="shared" si="8"/>
        <v/>
      </c>
      <c r="C17" s="1723">
        <f t="shared" si="2"/>
        <v>0</v>
      </c>
      <c r="D17" s="1723">
        <f t="shared" si="3"/>
        <v>0</v>
      </c>
      <c r="E17" s="1723">
        <f t="shared" si="4"/>
        <v>0</v>
      </c>
      <c r="F17" s="1723">
        <f t="shared" si="5"/>
        <v>0</v>
      </c>
      <c r="G17" s="1723">
        <f t="shared" si="6"/>
        <v>0</v>
      </c>
    </row>
    <row r="18" spans="1:7">
      <c r="A18" s="1717">
        <f t="shared" si="7"/>
        <v>6</v>
      </c>
      <c r="B18" s="1722" t="str">
        <f t="shared" si="8"/>
        <v/>
      </c>
      <c r="C18" s="1723">
        <f t="shared" si="2"/>
        <v>0</v>
      </c>
      <c r="D18" s="1723">
        <f t="shared" si="3"/>
        <v>0</v>
      </c>
      <c r="E18" s="1723">
        <f t="shared" si="4"/>
        <v>0</v>
      </c>
      <c r="F18" s="1723">
        <f t="shared" si="5"/>
        <v>0</v>
      </c>
      <c r="G18" s="1723">
        <f t="shared" si="6"/>
        <v>0</v>
      </c>
    </row>
    <row r="19" spans="1:7">
      <c r="A19" s="1717">
        <f t="shared" si="7"/>
        <v>7</v>
      </c>
      <c r="B19" s="1722" t="str">
        <f t="shared" si="8"/>
        <v/>
      </c>
      <c r="C19" s="1723">
        <f t="shared" si="2"/>
        <v>0</v>
      </c>
      <c r="D19" s="1723">
        <f t="shared" si="3"/>
        <v>0</v>
      </c>
      <c r="E19" s="1723">
        <f t="shared" si="4"/>
        <v>0</v>
      </c>
      <c r="F19" s="1723">
        <f t="shared" si="5"/>
        <v>0</v>
      </c>
      <c r="G19" s="1723">
        <f t="shared" si="6"/>
        <v>0</v>
      </c>
    </row>
    <row r="20" spans="1:7">
      <c r="A20" s="1717">
        <f t="shared" si="7"/>
        <v>8</v>
      </c>
      <c r="B20" s="1722" t="str">
        <f t="shared" si="8"/>
        <v/>
      </c>
      <c r="C20" s="1723">
        <f t="shared" si="2"/>
        <v>0</v>
      </c>
      <c r="D20" s="1723">
        <f t="shared" si="3"/>
        <v>0</v>
      </c>
      <c r="E20" s="1723">
        <f t="shared" si="4"/>
        <v>0</v>
      </c>
      <c r="F20" s="1723">
        <f t="shared" si="5"/>
        <v>0</v>
      </c>
      <c r="G20" s="1723">
        <f t="shared" si="6"/>
        <v>0</v>
      </c>
    </row>
    <row r="21" spans="1:7">
      <c r="A21" s="1717">
        <f t="shared" si="7"/>
        <v>9</v>
      </c>
      <c r="B21" s="1722" t="str">
        <f t="shared" si="8"/>
        <v/>
      </c>
      <c r="C21" s="1723">
        <f t="shared" si="2"/>
        <v>0</v>
      </c>
      <c r="D21" s="1723">
        <f t="shared" si="3"/>
        <v>0</v>
      </c>
      <c r="E21" s="1723">
        <f t="shared" si="4"/>
        <v>0</v>
      </c>
      <c r="F21" s="1723">
        <f t="shared" si="5"/>
        <v>0</v>
      </c>
      <c r="G21" s="1723">
        <f t="shared" si="6"/>
        <v>0</v>
      </c>
    </row>
    <row r="22" spans="1:7">
      <c r="A22" s="1717">
        <f t="shared" si="7"/>
        <v>10</v>
      </c>
      <c r="B22" s="1722" t="str">
        <f t="shared" si="8"/>
        <v/>
      </c>
      <c r="C22" s="1723">
        <f t="shared" si="2"/>
        <v>0</v>
      </c>
      <c r="D22" s="1723">
        <f t="shared" si="3"/>
        <v>0</v>
      </c>
      <c r="E22" s="1723">
        <f t="shared" si="4"/>
        <v>0</v>
      </c>
      <c r="F22" s="1723">
        <f t="shared" si="5"/>
        <v>0</v>
      </c>
      <c r="G22" s="1723">
        <f t="shared" si="6"/>
        <v>0</v>
      </c>
    </row>
    <row r="23" spans="1:7">
      <c r="A23" s="1717">
        <f t="shared" si="7"/>
        <v>11</v>
      </c>
      <c r="B23" s="1722" t="str">
        <f t="shared" si="8"/>
        <v/>
      </c>
      <c r="C23" s="1723">
        <f t="shared" si="2"/>
        <v>0</v>
      </c>
      <c r="D23" s="1723">
        <f t="shared" si="3"/>
        <v>0</v>
      </c>
      <c r="E23" s="1723">
        <f t="shared" si="4"/>
        <v>0</v>
      </c>
      <c r="F23" s="1723">
        <f t="shared" si="5"/>
        <v>0</v>
      </c>
      <c r="G23" s="1723">
        <f t="shared" si="6"/>
        <v>0</v>
      </c>
    </row>
    <row r="24" spans="1:7">
      <c r="A24" s="1717">
        <f t="shared" si="7"/>
        <v>12</v>
      </c>
      <c r="B24" s="1722" t="str">
        <f t="shared" si="8"/>
        <v/>
      </c>
      <c r="C24" s="1723">
        <f t="shared" si="2"/>
        <v>0</v>
      </c>
      <c r="D24" s="1723">
        <f t="shared" si="3"/>
        <v>0</v>
      </c>
      <c r="E24" s="1723">
        <f t="shared" si="4"/>
        <v>0</v>
      </c>
      <c r="F24" s="1723">
        <f t="shared" si="5"/>
        <v>0</v>
      </c>
      <c r="G24" s="1723">
        <f t="shared" si="6"/>
        <v>0</v>
      </c>
    </row>
    <row r="25" spans="1:7">
      <c r="A25" s="1717">
        <f t="shared" si="7"/>
        <v>13</v>
      </c>
      <c r="B25" s="1722" t="str">
        <f t="shared" si="8"/>
        <v/>
      </c>
      <c r="C25" s="1723">
        <f t="shared" si="2"/>
        <v>0</v>
      </c>
      <c r="D25" s="1723">
        <f t="shared" si="3"/>
        <v>0</v>
      </c>
      <c r="E25" s="1723">
        <f t="shared" si="4"/>
        <v>0</v>
      </c>
      <c r="F25" s="1723">
        <f t="shared" si="5"/>
        <v>0</v>
      </c>
      <c r="G25" s="1723">
        <f t="shared" si="6"/>
        <v>0</v>
      </c>
    </row>
    <row r="26" spans="1:7">
      <c r="A26" s="1717">
        <f t="shared" si="7"/>
        <v>14</v>
      </c>
      <c r="B26" s="1722" t="str">
        <f t="shared" si="8"/>
        <v/>
      </c>
      <c r="C26" s="1723">
        <f t="shared" si="2"/>
        <v>0</v>
      </c>
      <c r="D26" s="1723">
        <f t="shared" si="3"/>
        <v>0</v>
      </c>
      <c r="E26" s="1723">
        <f t="shared" si="4"/>
        <v>0</v>
      </c>
      <c r="F26" s="1723">
        <f t="shared" si="5"/>
        <v>0</v>
      </c>
      <c r="G26" s="1723">
        <f t="shared" si="6"/>
        <v>0</v>
      </c>
    </row>
    <row r="27" spans="1:7">
      <c r="A27" s="1717">
        <f t="shared" si="7"/>
        <v>15</v>
      </c>
      <c r="B27" s="1722" t="str">
        <f t="shared" si="8"/>
        <v/>
      </c>
      <c r="C27" s="1723">
        <f t="shared" si="2"/>
        <v>0</v>
      </c>
      <c r="D27" s="1723">
        <f t="shared" si="3"/>
        <v>0</v>
      </c>
      <c r="E27" s="1723">
        <f t="shared" si="4"/>
        <v>0</v>
      </c>
      <c r="F27" s="1723">
        <f t="shared" si="5"/>
        <v>0</v>
      </c>
      <c r="G27" s="1723">
        <f t="shared" si="6"/>
        <v>0</v>
      </c>
    </row>
    <row r="28" spans="1:7">
      <c r="A28" s="1717">
        <f t="shared" si="7"/>
        <v>16</v>
      </c>
      <c r="B28" s="1722" t="str">
        <f t="shared" si="8"/>
        <v/>
      </c>
      <c r="C28" s="1723">
        <f t="shared" si="2"/>
        <v>0</v>
      </c>
      <c r="D28" s="1723">
        <f t="shared" si="3"/>
        <v>0</v>
      </c>
      <c r="E28" s="1723">
        <f t="shared" si="4"/>
        <v>0</v>
      </c>
      <c r="F28" s="1723">
        <f t="shared" si="5"/>
        <v>0</v>
      </c>
      <c r="G28" s="1723">
        <f t="shared" si="6"/>
        <v>0</v>
      </c>
    </row>
    <row r="29" spans="1:7">
      <c r="A29" s="1717">
        <f t="shared" si="7"/>
        <v>17</v>
      </c>
      <c r="B29" s="1722" t="str">
        <f t="shared" si="8"/>
        <v/>
      </c>
      <c r="C29" s="1723">
        <f t="shared" si="2"/>
        <v>0</v>
      </c>
      <c r="D29" s="1723">
        <f t="shared" si="3"/>
        <v>0</v>
      </c>
      <c r="E29" s="1723">
        <f t="shared" si="4"/>
        <v>0</v>
      </c>
      <c r="F29" s="1723">
        <f t="shared" si="5"/>
        <v>0</v>
      </c>
      <c r="G29" s="1723">
        <f t="shared" si="6"/>
        <v>0</v>
      </c>
    </row>
    <row r="30" spans="1:7">
      <c r="A30" s="1717">
        <f t="shared" si="7"/>
        <v>18</v>
      </c>
      <c r="B30" s="1722" t="str">
        <f t="shared" si="8"/>
        <v/>
      </c>
      <c r="C30" s="1723">
        <f t="shared" si="2"/>
        <v>0</v>
      </c>
      <c r="D30" s="1723">
        <f t="shared" si="3"/>
        <v>0</v>
      </c>
      <c r="E30" s="1723">
        <f t="shared" si="4"/>
        <v>0</v>
      </c>
      <c r="F30" s="1723">
        <f t="shared" si="5"/>
        <v>0</v>
      </c>
      <c r="G30" s="1723">
        <f t="shared" si="6"/>
        <v>0</v>
      </c>
    </row>
    <row r="31" spans="1:7">
      <c r="A31" s="1717">
        <f t="shared" si="7"/>
        <v>19</v>
      </c>
      <c r="B31" s="1722" t="str">
        <f t="shared" si="8"/>
        <v/>
      </c>
      <c r="C31" s="1723">
        <f t="shared" si="2"/>
        <v>0</v>
      </c>
      <c r="D31" s="1723">
        <f t="shared" si="3"/>
        <v>0</v>
      </c>
      <c r="E31" s="1723">
        <f t="shared" si="4"/>
        <v>0</v>
      </c>
      <c r="F31" s="1723">
        <f t="shared" si="5"/>
        <v>0</v>
      </c>
      <c r="G31" s="1723">
        <f t="shared" si="6"/>
        <v>0</v>
      </c>
    </row>
    <row r="32" spans="1:7">
      <c r="A32" s="1717">
        <f t="shared" si="7"/>
        <v>20</v>
      </c>
      <c r="B32" s="1722" t="str">
        <f t="shared" si="8"/>
        <v/>
      </c>
      <c r="C32" s="1723">
        <f t="shared" si="2"/>
        <v>0</v>
      </c>
      <c r="D32" s="1723">
        <f t="shared" si="3"/>
        <v>0</v>
      </c>
      <c r="E32" s="1723">
        <f t="shared" si="4"/>
        <v>0</v>
      </c>
      <c r="F32" s="1723">
        <f t="shared" si="5"/>
        <v>0</v>
      </c>
      <c r="G32" s="1723">
        <f t="shared" si="6"/>
        <v>0</v>
      </c>
    </row>
    <row r="33" spans="1:7">
      <c r="A33" s="1717">
        <f t="shared" si="7"/>
        <v>21</v>
      </c>
      <c r="B33" s="1722" t="str">
        <f t="shared" si="8"/>
        <v/>
      </c>
      <c r="C33" s="1723">
        <f t="shared" si="2"/>
        <v>0</v>
      </c>
      <c r="D33" s="1723">
        <f t="shared" si="3"/>
        <v>0</v>
      </c>
      <c r="E33" s="1723">
        <f t="shared" si="4"/>
        <v>0</v>
      </c>
      <c r="F33" s="1723">
        <f t="shared" si="5"/>
        <v>0</v>
      </c>
      <c r="G33" s="1723">
        <f t="shared" si="6"/>
        <v>0</v>
      </c>
    </row>
    <row r="34" spans="1:7">
      <c r="A34" s="1717">
        <f t="shared" si="7"/>
        <v>22</v>
      </c>
      <c r="B34" s="1722" t="str">
        <f t="shared" si="8"/>
        <v/>
      </c>
      <c r="C34" s="1723">
        <f t="shared" si="2"/>
        <v>0</v>
      </c>
      <c r="D34" s="1723">
        <f t="shared" si="3"/>
        <v>0</v>
      </c>
      <c r="E34" s="1723">
        <f t="shared" si="4"/>
        <v>0</v>
      </c>
      <c r="F34" s="1723">
        <f t="shared" si="5"/>
        <v>0</v>
      </c>
      <c r="G34" s="1723">
        <f t="shared" si="6"/>
        <v>0</v>
      </c>
    </row>
    <row r="35" spans="1:7">
      <c r="A35" s="1717">
        <f t="shared" si="7"/>
        <v>23</v>
      </c>
      <c r="B35" s="1722" t="str">
        <f t="shared" si="8"/>
        <v/>
      </c>
      <c r="C35" s="1723">
        <f t="shared" si="2"/>
        <v>0</v>
      </c>
      <c r="D35" s="1723">
        <f t="shared" si="3"/>
        <v>0</v>
      </c>
      <c r="E35" s="1723">
        <f t="shared" si="4"/>
        <v>0</v>
      </c>
      <c r="F35" s="1723">
        <f t="shared" si="5"/>
        <v>0</v>
      </c>
      <c r="G35" s="1723">
        <f t="shared" si="6"/>
        <v>0</v>
      </c>
    </row>
    <row r="36" spans="1:7">
      <c r="A36" s="1717">
        <f t="shared" si="7"/>
        <v>24</v>
      </c>
      <c r="B36" s="1722" t="str">
        <f t="shared" si="8"/>
        <v/>
      </c>
      <c r="C36" s="1723">
        <f t="shared" si="2"/>
        <v>0</v>
      </c>
      <c r="D36" s="1723">
        <f t="shared" si="3"/>
        <v>0</v>
      </c>
      <c r="E36" s="1723">
        <f t="shared" si="4"/>
        <v>0</v>
      </c>
      <c r="F36" s="1723">
        <f t="shared" si="5"/>
        <v>0</v>
      </c>
      <c r="G36" s="1723">
        <f t="shared" si="6"/>
        <v>0</v>
      </c>
    </row>
    <row r="37" spans="1:7">
      <c r="A37" s="1717">
        <f t="shared" si="7"/>
        <v>25</v>
      </c>
      <c r="B37" s="1722" t="str">
        <f t="shared" si="8"/>
        <v/>
      </c>
      <c r="C37" s="1723">
        <f t="shared" si="2"/>
        <v>0</v>
      </c>
      <c r="D37" s="1723">
        <f t="shared" si="3"/>
        <v>0</v>
      </c>
      <c r="E37" s="1723">
        <f t="shared" si="4"/>
        <v>0</v>
      </c>
      <c r="F37" s="1723">
        <f t="shared" si="5"/>
        <v>0</v>
      </c>
      <c r="G37" s="1723">
        <f t="shared" si="6"/>
        <v>0</v>
      </c>
    </row>
    <row r="38" spans="1:7">
      <c r="A38" s="1717">
        <f t="shared" si="7"/>
        <v>26</v>
      </c>
      <c r="B38" s="1722" t="str">
        <f t="shared" si="8"/>
        <v/>
      </c>
      <c r="C38" s="1723">
        <f t="shared" si="2"/>
        <v>0</v>
      </c>
      <c r="D38" s="1723">
        <f t="shared" si="3"/>
        <v>0</v>
      </c>
      <c r="E38" s="1723">
        <f t="shared" si="4"/>
        <v>0</v>
      </c>
      <c r="F38" s="1723">
        <f t="shared" si="5"/>
        <v>0</v>
      </c>
      <c r="G38" s="1723">
        <f t="shared" si="6"/>
        <v>0</v>
      </c>
    </row>
    <row r="39" spans="1:7">
      <c r="A39" s="1717">
        <f t="shared" si="7"/>
        <v>27</v>
      </c>
      <c r="B39" s="1722" t="str">
        <f t="shared" si="8"/>
        <v/>
      </c>
      <c r="C39" s="1723">
        <f t="shared" si="2"/>
        <v>0</v>
      </c>
      <c r="D39" s="1723">
        <f t="shared" si="3"/>
        <v>0</v>
      </c>
      <c r="E39" s="1723">
        <f t="shared" si="4"/>
        <v>0</v>
      </c>
      <c r="F39" s="1723">
        <f t="shared" si="5"/>
        <v>0</v>
      </c>
      <c r="G39" s="1723">
        <f t="shared" si="6"/>
        <v>0</v>
      </c>
    </row>
    <row r="40" spans="1:7">
      <c r="A40" s="1717">
        <f t="shared" si="7"/>
        <v>28</v>
      </c>
      <c r="B40" s="1722" t="str">
        <f t="shared" si="8"/>
        <v/>
      </c>
      <c r="C40" s="1723">
        <f t="shared" si="2"/>
        <v>0</v>
      </c>
      <c r="D40" s="1723">
        <f t="shared" si="3"/>
        <v>0</v>
      </c>
      <c r="E40" s="1723">
        <f t="shared" si="4"/>
        <v>0</v>
      </c>
      <c r="F40" s="1723">
        <f t="shared" si="5"/>
        <v>0</v>
      </c>
      <c r="G40" s="1723">
        <f t="shared" si="6"/>
        <v>0</v>
      </c>
    </row>
    <row r="41" spans="1:7">
      <c r="A41" s="1717">
        <f t="shared" si="7"/>
        <v>29</v>
      </c>
      <c r="B41" s="1722" t="str">
        <f t="shared" si="8"/>
        <v/>
      </c>
      <c r="C41" s="1723">
        <f t="shared" si="2"/>
        <v>0</v>
      </c>
      <c r="D41" s="1723">
        <f t="shared" si="3"/>
        <v>0</v>
      </c>
      <c r="E41" s="1723">
        <f t="shared" si="4"/>
        <v>0</v>
      </c>
      <c r="F41" s="1723">
        <f t="shared" si="5"/>
        <v>0</v>
      </c>
      <c r="G41" s="1723">
        <f t="shared" si="6"/>
        <v>0</v>
      </c>
    </row>
    <row r="42" spans="1:7">
      <c r="A42" s="1717">
        <f t="shared" si="7"/>
        <v>30</v>
      </c>
      <c r="B42" s="1722" t="str">
        <f t="shared" si="8"/>
        <v/>
      </c>
      <c r="C42" s="1723">
        <f t="shared" si="2"/>
        <v>0</v>
      </c>
      <c r="D42" s="1723">
        <f t="shared" si="3"/>
        <v>0</v>
      </c>
      <c r="E42" s="1723">
        <f t="shared" si="4"/>
        <v>0</v>
      </c>
      <c r="F42" s="1723">
        <f t="shared" si="5"/>
        <v>0</v>
      </c>
      <c r="G42" s="1723">
        <f t="shared" si="6"/>
        <v>0</v>
      </c>
    </row>
    <row r="43" spans="1:7">
      <c r="A43" s="1717">
        <f t="shared" si="7"/>
        <v>31</v>
      </c>
      <c r="B43" s="1722" t="str">
        <f t="shared" si="8"/>
        <v/>
      </c>
      <c r="C43" s="1723">
        <f t="shared" si="2"/>
        <v>0</v>
      </c>
      <c r="D43" s="1723">
        <f t="shared" si="3"/>
        <v>0</v>
      </c>
      <c r="E43" s="1723">
        <f t="shared" si="4"/>
        <v>0</v>
      </c>
      <c r="F43" s="1723">
        <f t="shared" si="5"/>
        <v>0</v>
      </c>
      <c r="G43" s="1723">
        <f t="shared" si="6"/>
        <v>0</v>
      </c>
    </row>
    <row r="44" spans="1:7">
      <c r="A44" s="1717">
        <f t="shared" si="7"/>
        <v>32</v>
      </c>
      <c r="B44" s="1722" t="str">
        <f t="shared" si="8"/>
        <v/>
      </c>
      <c r="C44" s="1723">
        <f t="shared" si="2"/>
        <v>0</v>
      </c>
      <c r="D44" s="1723">
        <f t="shared" si="3"/>
        <v>0</v>
      </c>
      <c r="E44" s="1723">
        <f t="shared" si="4"/>
        <v>0</v>
      </c>
      <c r="F44" s="1723">
        <f t="shared" si="5"/>
        <v>0</v>
      </c>
      <c r="G44" s="1723">
        <f t="shared" si="6"/>
        <v>0</v>
      </c>
    </row>
    <row r="45" spans="1:7">
      <c r="A45" s="1717">
        <f t="shared" si="7"/>
        <v>33</v>
      </c>
      <c r="B45" s="1722" t="str">
        <f t="shared" si="8"/>
        <v/>
      </c>
      <c r="C45" s="1723">
        <f t="shared" si="2"/>
        <v>0</v>
      </c>
      <c r="D45" s="1723">
        <f t="shared" si="3"/>
        <v>0</v>
      </c>
      <c r="E45" s="1723">
        <f t="shared" si="4"/>
        <v>0</v>
      </c>
      <c r="F45" s="1723">
        <f t="shared" si="5"/>
        <v>0</v>
      </c>
      <c r="G45" s="1723">
        <f t="shared" si="6"/>
        <v>0</v>
      </c>
    </row>
    <row r="46" spans="1:7">
      <c r="A46" s="1717">
        <f t="shared" si="7"/>
        <v>34</v>
      </c>
      <c r="B46" s="1722" t="str">
        <f t="shared" si="8"/>
        <v/>
      </c>
      <c r="C46" s="1723">
        <f t="shared" si="2"/>
        <v>0</v>
      </c>
      <c r="D46" s="1723">
        <f t="shared" si="3"/>
        <v>0</v>
      </c>
      <c r="E46" s="1723">
        <f t="shared" si="4"/>
        <v>0</v>
      </c>
      <c r="F46" s="1723">
        <f t="shared" si="5"/>
        <v>0</v>
      </c>
      <c r="G46" s="1723">
        <f t="shared" si="6"/>
        <v>0</v>
      </c>
    </row>
    <row r="47" spans="1:7">
      <c r="A47" s="1717">
        <f t="shared" si="7"/>
        <v>35</v>
      </c>
      <c r="B47" s="1722" t="str">
        <f t="shared" si="8"/>
        <v/>
      </c>
      <c r="C47" s="1723">
        <f t="shared" si="2"/>
        <v>0</v>
      </c>
      <c r="D47" s="1723">
        <f t="shared" si="3"/>
        <v>0</v>
      </c>
      <c r="E47" s="1723">
        <f t="shared" si="4"/>
        <v>0</v>
      </c>
      <c r="F47" s="1723">
        <f t="shared" si="5"/>
        <v>0</v>
      </c>
      <c r="G47" s="1723">
        <f t="shared" si="6"/>
        <v>0</v>
      </c>
    </row>
    <row r="48" spans="1:7">
      <c r="A48" s="1717">
        <f t="shared" si="7"/>
        <v>36</v>
      </c>
      <c r="B48" s="1722" t="str">
        <f t="shared" si="8"/>
        <v/>
      </c>
      <c r="C48" s="1723">
        <f t="shared" si="2"/>
        <v>0</v>
      </c>
      <c r="D48" s="1723">
        <f t="shared" si="3"/>
        <v>0</v>
      </c>
      <c r="E48" s="1723">
        <f t="shared" si="4"/>
        <v>0</v>
      </c>
      <c r="F48" s="1723">
        <f t="shared" si="5"/>
        <v>0</v>
      </c>
      <c r="G48" s="1723">
        <f t="shared" si="6"/>
        <v>0</v>
      </c>
    </row>
    <row r="49" spans="1:7">
      <c r="A49" s="1717">
        <f t="shared" si="7"/>
        <v>37</v>
      </c>
      <c r="B49" s="1722" t="str">
        <f t="shared" si="8"/>
        <v/>
      </c>
      <c r="C49" s="1723">
        <f t="shared" si="2"/>
        <v>0</v>
      </c>
      <c r="D49" s="1723">
        <f t="shared" si="3"/>
        <v>0</v>
      </c>
      <c r="E49" s="1723">
        <f t="shared" si="4"/>
        <v>0</v>
      </c>
      <c r="F49" s="1723">
        <f t="shared" si="5"/>
        <v>0</v>
      </c>
      <c r="G49" s="1723">
        <f t="shared" si="6"/>
        <v>0</v>
      </c>
    </row>
    <row r="50" spans="1:7">
      <c r="A50" s="1717">
        <f t="shared" si="7"/>
        <v>38</v>
      </c>
      <c r="B50" s="1722" t="str">
        <f t="shared" si="8"/>
        <v/>
      </c>
      <c r="C50" s="1723">
        <f t="shared" si="2"/>
        <v>0</v>
      </c>
      <c r="D50" s="1723">
        <f t="shared" si="3"/>
        <v>0</v>
      </c>
      <c r="E50" s="1723">
        <f t="shared" si="4"/>
        <v>0</v>
      </c>
      <c r="F50" s="1723">
        <f t="shared" si="5"/>
        <v>0</v>
      </c>
      <c r="G50" s="1723">
        <f t="shared" si="6"/>
        <v>0</v>
      </c>
    </row>
    <row r="51" spans="1:7">
      <c r="A51" s="1717">
        <f t="shared" si="7"/>
        <v>39</v>
      </c>
      <c r="B51" s="1722" t="str">
        <f t="shared" si="8"/>
        <v/>
      </c>
      <c r="C51" s="1723">
        <f t="shared" si="2"/>
        <v>0</v>
      </c>
      <c r="D51" s="1723">
        <f t="shared" si="3"/>
        <v>0</v>
      </c>
      <c r="E51" s="1723">
        <f t="shared" si="4"/>
        <v>0</v>
      </c>
      <c r="F51" s="1723">
        <f t="shared" si="5"/>
        <v>0</v>
      </c>
      <c r="G51" s="1723">
        <f t="shared" si="6"/>
        <v>0</v>
      </c>
    </row>
    <row r="52" spans="1:7">
      <c r="A52" s="1717">
        <f t="shared" si="7"/>
        <v>40</v>
      </c>
      <c r="B52" s="1722" t="str">
        <f t="shared" si="8"/>
        <v/>
      </c>
      <c r="C52" s="1723">
        <f t="shared" si="2"/>
        <v>0</v>
      </c>
      <c r="D52" s="1723">
        <f t="shared" si="3"/>
        <v>0</v>
      </c>
      <c r="E52" s="1723">
        <f t="shared" si="4"/>
        <v>0</v>
      </c>
      <c r="F52" s="1723">
        <f t="shared" si="5"/>
        <v>0</v>
      </c>
      <c r="G52" s="1723">
        <f t="shared" si="6"/>
        <v>0</v>
      </c>
    </row>
    <row r="53" spans="1:7">
      <c r="A53" s="1717">
        <f t="shared" si="7"/>
        <v>41</v>
      </c>
      <c r="B53" s="1722" t="str">
        <f t="shared" si="8"/>
        <v/>
      </c>
      <c r="C53" s="1723">
        <f t="shared" si="2"/>
        <v>0</v>
      </c>
      <c r="D53" s="1723">
        <f t="shared" si="3"/>
        <v>0</v>
      </c>
      <c r="E53" s="1723">
        <f t="shared" si="4"/>
        <v>0</v>
      </c>
      <c r="F53" s="1723">
        <f t="shared" si="5"/>
        <v>0</v>
      </c>
      <c r="G53" s="1723">
        <f t="shared" si="6"/>
        <v>0</v>
      </c>
    </row>
    <row r="54" spans="1:7">
      <c r="A54" s="1717">
        <f t="shared" si="7"/>
        <v>42</v>
      </c>
      <c r="B54" s="1722" t="str">
        <f t="shared" si="8"/>
        <v/>
      </c>
      <c r="C54" s="1723">
        <f t="shared" si="2"/>
        <v>0</v>
      </c>
      <c r="D54" s="1723">
        <f t="shared" si="3"/>
        <v>0</v>
      </c>
      <c r="E54" s="1723">
        <f t="shared" si="4"/>
        <v>0</v>
      </c>
      <c r="F54" s="1723">
        <f t="shared" si="5"/>
        <v>0</v>
      </c>
      <c r="G54" s="1723">
        <f t="shared" si="6"/>
        <v>0</v>
      </c>
    </row>
    <row r="55" spans="1:7">
      <c r="A55" s="1717">
        <f t="shared" si="7"/>
        <v>43</v>
      </c>
      <c r="B55" s="1722" t="str">
        <f t="shared" si="8"/>
        <v/>
      </c>
      <c r="C55" s="1723">
        <f t="shared" si="2"/>
        <v>0</v>
      </c>
      <c r="D55" s="1723">
        <f t="shared" si="3"/>
        <v>0</v>
      </c>
      <c r="E55" s="1723">
        <f t="shared" si="4"/>
        <v>0</v>
      </c>
      <c r="F55" s="1723">
        <f t="shared" si="5"/>
        <v>0</v>
      </c>
      <c r="G55" s="1723">
        <f t="shared" si="6"/>
        <v>0</v>
      </c>
    </row>
    <row r="56" spans="1:7">
      <c r="A56" s="1717">
        <f t="shared" si="7"/>
        <v>44</v>
      </c>
      <c r="B56" s="1722" t="str">
        <f t="shared" si="8"/>
        <v/>
      </c>
      <c r="C56" s="1723">
        <f t="shared" si="2"/>
        <v>0</v>
      </c>
      <c r="D56" s="1723">
        <f t="shared" si="3"/>
        <v>0</v>
      </c>
      <c r="E56" s="1723">
        <f t="shared" si="4"/>
        <v>0</v>
      </c>
      <c r="F56" s="1723">
        <f t="shared" si="5"/>
        <v>0</v>
      </c>
      <c r="G56" s="1723">
        <f t="shared" si="6"/>
        <v>0</v>
      </c>
    </row>
    <row r="57" spans="1:7">
      <c r="A57" s="1717">
        <f t="shared" si="7"/>
        <v>45</v>
      </c>
      <c r="B57" s="1722" t="str">
        <f t="shared" si="8"/>
        <v/>
      </c>
      <c r="C57" s="1723">
        <f t="shared" si="2"/>
        <v>0</v>
      </c>
      <c r="D57" s="1723">
        <f t="shared" si="3"/>
        <v>0</v>
      </c>
      <c r="E57" s="1723">
        <f t="shared" si="4"/>
        <v>0</v>
      </c>
      <c r="F57" s="1723">
        <f t="shared" si="5"/>
        <v>0</v>
      </c>
      <c r="G57" s="1723">
        <f t="shared" si="6"/>
        <v>0</v>
      </c>
    </row>
    <row r="58" spans="1:7">
      <c r="A58" s="1717">
        <f t="shared" si="7"/>
        <v>46</v>
      </c>
      <c r="B58" s="1722" t="str">
        <f t="shared" si="8"/>
        <v/>
      </c>
      <c r="C58" s="1723">
        <f t="shared" si="2"/>
        <v>0</v>
      </c>
      <c r="D58" s="1723">
        <f t="shared" si="3"/>
        <v>0</v>
      </c>
      <c r="E58" s="1723">
        <f t="shared" si="4"/>
        <v>0</v>
      </c>
      <c r="F58" s="1723">
        <f t="shared" si="5"/>
        <v>0</v>
      </c>
      <c r="G58" s="1723">
        <f t="shared" si="6"/>
        <v>0</v>
      </c>
    </row>
    <row r="59" spans="1:7">
      <c r="A59" s="1717">
        <f t="shared" si="7"/>
        <v>47</v>
      </c>
      <c r="B59" s="1722" t="str">
        <f t="shared" si="8"/>
        <v/>
      </c>
      <c r="C59" s="1723">
        <f t="shared" si="2"/>
        <v>0</v>
      </c>
      <c r="D59" s="1723">
        <f t="shared" si="3"/>
        <v>0</v>
      </c>
      <c r="E59" s="1723">
        <f t="shared" si="4"/>
        <v>0</v>
      </c>
      <c r="F59" s="1723">
        <f t="shared" si="5"/>
        <v>0</v>
      </c>
      <c r="G59" s="1723">
        <f t="shared" si="6"/>
        <v>0</v>
      </c>
    </row>
    <row r="60" spans="1:7">
      <c r="A60" s="1717">
        <f t="shared" si="7"/>
        <v>48</v>
      </c>
      <c r="B60" s="1722" t="str">
        <f t="shared" si="8"/>
        <v/>
      </c>
      <c r="C60" s="1723">
        <f t="shared" si="2"/>
        <v>0</v>
      </c>
      <c r="D60" s="1723">
        <f t="shared" si="3"/>
        <v>0</v>
      </c>
      <c r="E60" s="1723">
        <f t="shared" si="4"/>
        <v>0</v>
      </c>
      <c r="F60" s="1723">
        <f t="shared" si="5"/>
        <v>0</v>
      </c>
      <c r="G60" s="1723">
        <f t="shared" si="6"/>
        <v>0</v>
      </c>
    </row>
    <row r="61" spans="1:7">
      <c r="A61" s="1717">
        <f t="shared" si="7"/>
        <v>49</v>
      </c>
      <c r="B61" s="1722" t="str">
        <f t="shared" si="8"/>
        <v/>
      </c>
      <c r="C61" s="1723">
        <f t="shared" si="2"/>
        <v>0</v>
      </c>
      <c r="D61" s="1723">
        <f t="shared" si="3"/>
        <v>0</v>
      </c>
      <c r="E61" s="1723">
        <f t="shared" si="4"/>
        <v>0</v>
      </c>
      <c r="F61" s="1723">
        <f t="shared" si="5"/>
        <v>0</v>
      </c>
      <c r="G61" s="1723">
        <f t="shared" si="6"/>
        <v>0</v>
      </c>
    </row>
    <row r="62" spans="1:7">
      <c r="A62" s="1717">
        <f t="shared" si="7"/>
        <v>50</v>
      </c>
      <c r="B62" s="1722" t="str">
        <f t="shared" si="8"/>
        <v/>
      </c>
      <c r="C62" s="1723">
        <f t="shared" si="2"/>
        <v>0</v>
      </c>
      <c r="D62" s="1723">
        <f t="shared" si="3"/>
        <v>0</v>
      </c>
      <c r="E62" s="1723">
        <f t="shared" si="4"/>
        <v>0</v>
      </c>
      <c r="F62" s="1723">
        <f t="shared" si="5"/>
        <v>0</v>
      </c>
      <c r="G62" s="1723">
        <f t="shared" si="6"/>
        <v>0</v>
      </c>
    </row>
    <row r="63" spans="1:7">
      <c r="A63" s="1717">
        <f t="shared" si="7"/>
        <v>51</v>
      </c>
      <c r="B63" s="1722" t="str">
        <f t="shared" si="8"/>
        <v/>
      </c>
      <c r="C63" s="1723">
        <f t="shared" si="2"/>
        <v>0</v>
      </c>
      <c r="D63" s="1723">
        <f t="shared" si="3"/>
        <v>0</v>
      </c>
      <c r="E63" s="1723">
        <f t="shared" si="4"/>
        <v>0</v>
      </c>
      <c r="F63" s="1723">
        <f t="shared" si="5"/>
        <v>0</v>
      </c>
      <c r="G63" s="1723">
        <f t="shared" si="6"/>
        <v>0</v>
      </c>
    </row>
    <row r="64" spans="1:7">
      <c r="A64" s="1717">
        <f t="shared" si="7"/>
        <v>52</v>
      </c>
      <c r="B64" s="1722" t="str">
        <f t="shared" si="8"/>
        <v/>
      </c>
      <c r="C64" s="1723">
        <f t="shared" si="2"/>
        <v>0</v>
      </c>
      <c r="D64" s="1723">
        <f t="shared" si="3"/>
        <v>0</v>
      </c>
      <c r="E64" s="1723">
        <f t="shared" si="4"/>
        <v>0</v>
      </c>
      <c r="F64" s="1723">
        <f t="shared" si="5"/>
        <v>0</v>
      </c>
      <c r="G64" s="1723">
        <f t="shared" si="6"/>
        <v>0</v>
      </c>
    </row>
    <row r="65" spans="1:7">
      <c r="A65" s="1717">
        <f t="shared" si="7"/>
        <v>53</v>
      </c>
      <c r="B65" s="1722" t="str">
        <f t="shared" si="8"/>
        <v/>
      </c>
      <c r="C65" s="1723">
        <f t="shared" si="2"/>
        <v>0</v>
      </c>
      <c r="D65" s="1723">
        <f t="shared" si="3"/>
        <v>0</v>
      </c>
      <c r="E65" s="1723">
        <f t="shared" si="4"/>
        <v>0</v>
      </c>
      <c r="F65" s="1723">
        <f t="shared" si="5"/>
        <v>0</v>
      </c>
      <c r="G65" s="1723">
        <f t="shared" si="6"/>
        <v>0</v>
      </c>
    </row>
    <row r="66" spans="1:7">
      <c r="A66" s="1717">
        <f t="shared" si="7"/>
        <v>54</v>
      </c>
      <c r="B66" s="1722" t="str">
        <f t="shared" si="8"/>
        <v/>
      </c>
      <c r="C66" s="1723">
        <f t="shared" si="2"/>
        <v>0</v>
      </c>
      <c r="D66" s="1723">
        <f t="shared" si="3"/>
        <v>0</v>
      </c>
      <c r="E66" s="1723">
        <f t="shared" si="4"/>
        <v>0</v>
      </c>
      <c r="F66" s="1723">
        <f t="shared" si="5"/>
        <v>0</v>
      </c>
      <c r="G66" s="1723">
        <f t="shared" si="6"/>
        <v>0</v>
      </c>
    </row>
    <row r="67" spans="1:7">
      <c r="A67" s="1717">
        <f t="shared" si="7"/>
        <v>55</v>
      </c>
      <c r="B67" s="1722" t="str">
        <f t="shared" si="8"/>
        <v/>
      </c>
      <c r="C67" s="1723">
        <f t="shared" si="2"/>
        <v>0</v>
      </c>
      <c r="D67" s="1723">
        <f t="shared" si="3"/>
        <v>0</v>
      </c>
      <c r="E67" s="1723">
        <f t="shared" si="4"/>
        <v>0</v>
      </c>
      <c r="F67" s="1723">
        <f t="shared" si="5"/>
        <v>0</v>
      </c>
      <c r="G67" s="1723">
        <f t="shared" si="6"/>
        <v>0</v>
      </c>
    </row>
    <row r="68" spans="1:7">
      <c r="A68" s="1717">
        <f t="shared" si="7"/>
        <v>56</v>
      </c>
      <c r="B68" s="1722" t="str">
        <f t="shared" si="8"/>
        <v/>
      </c>
      <c r="C68" s="1723">
        <f t="shared" si="2"/>
        <v>0</v>
      </c>
      <c r="D68" s="1723">
        <f t="shared" si="3"/>
        <v>0</v>
      </c>
      <c r="E68" s="1723">
        <f t="shared" si="4"/>
        <v>0</v>
      </c>
      <c r="F68" s="1723">
        <f t="shared" si="5"/>
        <v>0</v>
      </c>
      <c r="G68" s="1723">
        <f t="shared" si="6"/>
        <v>0</v>
      </c>
    </row>
    <row r="69" spans="1:7">
      <c r="A69" s="1717">
        <f t="shared" si="7"/>
        <v>57</v>
      </c>
      <c r="B69" s="1722" t="str">
        <f t="shared" si="8"/>
        <v/>
      </c>
      <c r="C69" s="1723">
        <f t="shared" si="2"/>
        <v>0</v>
      </c>
      <c r="D69" s="1723">
        <f t="shared" si="3"/>
        <v>0</v>
      </c>
      <c r="E69" s="1723">
        <f t="shared" si="4"/>
        <v>0</v>
      </c>
      <c r="F69" s="1723">
        <f t="shared" si="5"/>
        <v>0</v>
      </c>
      <c r="G69" s="1723">
        <f t="shared" si="6"/>
        <v>0</v>
      </c>
    </row>
    <row r="70" spans="1:7">
      <c r="A70" s="1717">
        <f t="shared" si="7"/>
        <v>58</v>
      </c>
      <c r="B70" s="1722" t="str">
        <f t="shared" si="8"/>
        <v/>
      </c>
      <c r="C70" s="1723">
        <f t="shared" si="2"/>
        <v>0</v>
      </c>
      <c r="D70" s="1723">
        <f t="shared" si="3"/>
        <v>0</v>
      </c>
      <c r="E70" s="1723">
        <f t="shared" si="4"/>
        <v>0</v>
      </c>
      <c r="F70" s="1723">
        <f t="shared" si="5"/>
        <v>0</v>
      </c>
      <c r="G70" s="1723">
        <f t="shared" si="6"/>
        <v>0</v>
      </c>
    </row>
    <row r="71" spans="1:7">
      <c r="A71" s="1717">
        <f t="shared" si="7"/>
        <v>59</v>
      </c>
      <c r="B71" s="1722" t="str">
        <f t="shared" si="8"/>
        <v/>
      </c>
      <c r="C71" s="1723">
        <f t="shared" si="2"/>
        <v>0</v>
      </c>
      <c r="D71" s="1723">
        <f t="shared" si="3"/>
        <v>0</v>
      </c>
      <c r="E71" s="1723">
        <f t="shared" si="4"/>
        <v>0</v>
      </c>
      <c r="F71" s="1723">
        <f t="shared" si="5"/>
        <v>0</v>
      </c>
      <c r="G71" s="1723">
        <f t="shared" si="6"/>
        <v>0</v>
      </c>
    </row>
    <row r="72" spans="1:7">
      <c r="A72" s="1717">
        <f t="shared" si="7"/>
        <v>60</v>
      </c>
      <c r="B72" s="1722" t="str">
        <f t="shared" si="8"/>
        <v/>
      </c>
      <c r="C72" s="1723">
        <f t="shared" si="2"/>
        <v>0</v>
      </c>
      <c r="D72" s="1723">
        <f t="shared" si="3"/>
        <v>0</v>
      </c>
      <c r="E72" s="1723">
        <f t="shared" si="4"/>
        <v>0</v>
      </c>
      <c r="F72" s="1723">
        <f t="shared" si="5"/>
        <v>0</v>
      </c>
      <c r="G72" s="1723">
        <f t="shared" si="6"/>
        <v>0</v>
      </c>
    </row>
    <row r="73" spans="1:7">
      <c r="A73" s="1717">
        <f t="shared" si="7"/>
        <v>61</v>
      </c>
      <c r="B73" s="1722" t="str">
        <f t="shared" si="8"/>
        <v/>
      </c>
      <c r="C73" s="1723">
        <f t="shared" si="2"/>
        <v>0</v>
      </c>
      <c r="D73" s="1723">
        <f t="shared" si="3"/>
        <v>0</v>
      </c>
      <c r="E73" s="1723">
        <f t="shared" si="4"/>
        <v>0</v>
      </c>
      <c r="F73" s="1723">
        <f t="shared" si="5"/>
        <v>0</v>
      </c>
      <c r="G73" s="1723">
        <f t="shared" si="6"/>
        <v>0</v>
      </c>
    </row>
    <row r="74" spans="1:7">
      <c r="A74" s="1717">
        <f t="shared" si="7"/>
        <v>62</v>
      </c>
      <c r="B74" s="1722" t="str">
        <f t="shared" si="8"/>
        <v/>
      </c>
      <c r="C74" s="1723">
        <f t="shared" si="2"/>
        <v>0</v>
      </c>
      <c r="D74" s="1723">
        <f t="shared" si="3"/>
        <v>0</v>
      </c>
      <c r="E74" s="1723">
        <f t="shared" si="4"/>
        <v>0</v>
      </c>
      <c r="F74" s="1723">
        <f t="shared" si="5"/>
        <v>0</v>
      </c>
      <c r="G74" s="1723">
        <f t="shared" si="6"/>
        <v>0</v>
      </c>
    </row>
    <row r="75" spans="1:7">
      <c r="A75" s="1717">
        <f t="shared" si="7"/>
        <v>63</v>
      </c>
      <c r="B75" s="1722" t="str">
        <f t="shared" si="8"/>
        <v/>
      </c>
      <c r="C75" s="1723">
        <f t="shared" si="2"/>
        <v>0</v>
      </c>
      <c r="D75" s="1723">
        <f t="shared" si="3"/>
        <v>0</v>
      </c>
      <c r="E75" s="1723">
        <f t="shared" si="4"/>
        <v>0</v>
      </c>
      <c r="F75" s="1723">
        <f t="shared" si="5"/>
        <v>0</v>
      </c>
      <c r="G75" s="1723">
        <f t="shared" si="6"/>
        <v>0</v>
      </c>
    </row>
    <row r="76" spans="1:7">
      <c r="A76" s="1717">
        <f t="shared" si="7"/>
        <v>64</v>
      </c>
      <c r="B76" s="1722" t="str">
        <f t="shared" si="8"/>
        <v/>
      </c>
      <c r="C76" s="1723">
        <f t="shared" si="2"/>
        <v>0</v>
      </c>
      <c r="D76" s="1723">
        <f t="shared" si="3"/>
        <v>0</v>
      </c>
      <c r="E76" s="1723">
        <f t="shared" si="4"/>
        <v>0</v>
      </c>
      <c r="F76" s="1723">
        <f t="shared" si="5"/>
        <v>0</v>
      </c>
      <c r="G76" s="1723">
        <f t="shared" si="6"/>
        <v>0</v>
      </c>
    </row>
    <row r="77" spans="1:7">
      <c r="A77" s="1717">
        <f t="shared" si="7"/>
        <v>65</v>
      </c>
      <c r="B77" s="1722" t="str">
        <f t="shared" si="8"/>
        <v/>
      </c>
      <c r="C77" s="1723">
        <f t="shared" si="2"/>
        <v>0</v>
      </c>
      <c r="D77" s="1723">
        <f t="shared" si="3"/>
        <v>0</v>
      </c>
      <c r="E77" s="1723">
        <f t="shared" si="4"/>
        <v>0</v>
      </c>
      <c r="F77" s="1723">
        <f t="shared" si="5"/>
        <v>0</v>
      </c>
      <c r="G77" s="1723">
        <f t="shared" si="6"/>
        <v>0</v>
      </c>
    </row>
    <row r="78" spans="1:7">
      <c r="A78" s="1717">
        <f t="shared" si="7"/>
        <v>66</v>
      </c>
      <c r="B78" s="1722" t="str">
        <f t="shared" si="8"/>
        <v/>
      </c>
      <c r="C78" s="1723">
        <f t="shared" ref="C78:C141" si="9">IF(A77&lt;$B$6*12,G77,"")</f>
        <v>0</v>
      </c>
      <c r="D78" s="1723">
        <f t="shared" ref="D78:D141" si="10">IF(A78=$B$6*12,C78+E78,IF(A77&lt;$B$6*12,$B$8,""))</f>
        <v>0</v>
      </c>
      <c r="E78" s="1723">
        <f t="shared" ref="E78:E141" si="11">IF(A77&lt;$B$6*12,ROUND(C78*$B$5/12,2),"")</f>
        <v>0</v>
      </c>
      <c r="F78" s="1723">
        <f t="shared" ref="F78:F141" si="12">IF(A77&lt;$B$6*12,D78-E78,"")</f>
        <v>0</v>
      </c>
      <c r="G78" s="1723">
        <f t="shared" ref="G78:G141" si="13">IF(A77&lt;$B$6*12,C78-F78,"")</f>
        <v>0</v>
      </c>
    </row>
    <row r="79" spans="1:7">
      <c r="A79" s="1717">
        <f t="shared" ref="A79:A142" si="14">IF(A78&lt;$B$6*12,A78+1,"")</f>
        <v>67</v>
      </c>
      <c r="B79" s="1722" t="str">
        <f t="shared" ref="B79:B142" si="15">IFERROR(EDATE(B78,1),"")</f>
        <v/>
      </c>
      <c r="C79" s="1723">
        <f t="shared" si="9"/>
        <v>0</v>
      </c>
      <c r="D79" s="1723">
        <f t="shared" si="10"/>
        <v>0</v>
      </c>
      <c r="E79" s="1723">
        <f t="shared" si="11"/>
        <v>0</v>
      </c>
      <c r="F79" s="1723">
        <f t="shared" si="12"/>
        <v>0</v>
      </c>
      <c r="G79" s="1723">
        <f t="shared" si="13"/>
        <v>0</v>
      </c>
    </row>
    <row r="80" spans="1:7">
      <c r="A80" s="1717">
        <f t="shared" si="14"/>
        <v>68</v>
      </c>
      <c r="B80" s="1722" t="str">
        <f t="shared" si="15"/>
        <v/>
      </c>
      <c r="C80" s="1723">
        <f t="shared" si="9"/>
        <v>0</v>
      </c>
      <c r="D80" s="1723">
        <f t="shared" si="10"/>
        <v>0</v>
      </c>
      <c r="E80" s="1723">
        <f t="shared" si="11"/>
        <v>0</v>
      </c>
      <c r="F80" s="1723">
        <f t="shared" si="12"/>
        <v>0</v>
      </c>
      <c r="G80" s="1723">
        <f t="shared" si="13"/>
        <v>0</v>
      </c>
    </row>
    <row r="81" spans="1:7">
      <c r="A81" s="1717">
        <f t="shared" si="14"/>
        <v>69</v>
      </c>
      <c r="B81" s="1722" t="str">
        <f t="shared" si="15"/>
        <v/>
      </c>
      <c r="C81" s="1723">
        <f t="shared" si="9"/>
        <v>0</v>
      </c>
      <c r="D81" s="1723">
        <f t="shared" si="10"/>
        <v>0</v>
      </c>
      <c r="E81" s="1723">
        <f t="shared" si="11"/>
        <v>0</v>
      </c>
      <c r="F81" s="1723">
        <f t="shared" si="12"/>
        <v>0</v>
      </c>
      <c r="G81" s="1723">
        <f t="shared" si="13"/>
        <v>0</v>
      </c>
    </row>
    <row r="82" spans="1:7">
      <c r="A82" s="1717">
        <f t="shared" si="14"/>
        <v>70</v>
      </c>
      <c r="B82" s="1722" t="str">
        <f t="shared" si="15"/>
        <v/>
      </c>
      <c r="C82" s="1723">
        <f t="shared" si="9"/>
        <v>0</v>
      </c>
      <c r="D82" s="1723">
        <f t="shared" si="10"/>
        <v>0</v>
      </c>
      <c r="E82" s="1723">
        <f t="shared" si="11"/>
        <v>0</v>
      </c>
      <c r="F82" s="1723">
        <f t="shared" si="12"/>
        <v>0</v>
      </c>
      <c r="G82" s="1723">
        <f t="shared" si="13"/>
        <v>0</v>
      </c>
    </row>
    <row r="83" spans="1:7">
      <c r="A83" s="1717">
        <f t="shared" si="14"/>
        <v>71</v>
      </c>
      <c r="B83" s="1722" t="str">
        <f t="shared" si="15"/>
        <v/>
      </c>
      <c r="C83" s="1723">
        <f t="shared" si="9"/>
        <v>0</v>
      </c>
      <c r="D83" s="1723">
        <f t="shared" si="10"/>
        <v>0</v>
      </c>
      <c r="E83" s="1723">
        <f t="shared" si="11"/>
        <v>0</v>
      </c>
      <c r="F83" s="1723">
        <f t="shared" si="12"/>
        <v>0</v>
      </c>
      <c r="G83" s="1723">
        <f t="shared" si="13"/>
        <v>0</v>
      </c>
    </row>
    <row r="84" spans="1:7">
      <c r="A84" s="1717">
        <f t="shared" si="14"/>
        <v>72</v>
      </c>
      <c r="B84" s="1722" t="str">
        <f t="shared" si="15"/>
        <v/>
      </c>
      <c r="C84" s="1723">
        <f t="shared" si="9"/>
        <v>0</v>
      </c>
      <c r="D84" s="1723">
        <f t="shared" si="10"/>
        <v>0</v>
      </c>
      <c r="E84" s="1723">
        <f t="shared" si="11"/>
        <v>0</v>
      </c>
      <c r="F84" s="1723">
        <f t="shared" si="12"/>
        <v>0</v>
      </c>
      <c r="G84" s="1723">
        <f t="shared" si="13"/>
        <v>0</v>
      </c>
    </row>
    <row r="85" spans="1:7">
      <c r="A85" s="1717">
        <f t="shared" si="14"/>
        <v>73</v>
      </c>
      <c r="B85" s="1722" t="str">
        <f t="shared" si="15"/>
        <v/>
      </c>
      <c r="C85" s="1723">
        <f t="shared" si="9"/>
        <v>0</v>
      </c>
      <c r="D85" s="1723">
        <f t="shared" si="10"/>
        <v>0</v>
      </c>
      <c r="E85" s="1723">
        <f t="shared" si="11"/>
        <v>0</v>
      </c>
      <c r="F85" s="1723">
        <f t="shared" si="12"/>
        <v>0</v>
      </c>
      <c r="G85" s="1723">
        <f t="shared" si="13"/>
        <v>0</v>
      </c>
    </row>
    <row r="86" spans="1:7">
      <c r="A86" s="1717">
        <f t="shared" si="14"/>
        <v>74</v>
      </c>
      <c r="B86" s="1722" t="str">
        <f t="shared" si="15"/>
        <v/>
      </c>
      <c r="C86" s="1723">
        <f t="shared" si="9"/>
        <v>0</v>
      </c>
      <c r="D86" s="1723">
        <f t="shared" si="10"/>
        <v>0</v>
      </c>
      <c r="E86" s="1723">
        <f t="shared" si="11"/>
        <v>0</v>
      </c>
      <c r="F86" s="1723">
        <f t="shared" si="12"/>
        <v>0</v>
      </c>
      <c r="G86" s="1723">
        <f t="shared" si="13"/>
        <v>0</v>
      </c>
    </row>
    <row r="87" spans="1:7">
      <c r="A87" s="1717">
        <f t="shared" si="14"/>
        <v>75</v>
      </c>
      <c r="B87" s="1722" t="str">
        <f t="shared" si="15"/>
        <v/>
      </c>
      <c r="C87" s="1723">
        <f t="shared" si="9"/>
        <v>0</v>
      </c>
      <c r="D87" s="1723">
        <f t="shared" si="10"/>
        <v>0</v>
      </c>
      <c r="E87" s="1723">
        <f t="shared" si="11"/>
        <v>0</v>
      </c>
      <c r="F87" s="1723">
        <f t="shared" si="12"/>
        <v>0</v>
      </c>
      <c r="G87" s="1723">
        <f t="shared" si="13"/>
        <v>0</v>
      </c>
    </row>
    <row r="88" spans="1:7">
      <c r="A88" s="1717">
        <f t="shared" si="14"/>
        <v>76</v>
      </c>
      <c r="B88" s="1722" t="str">
        <f t="shared" si="15"/>
        <v/>
      </c>
      <c r="C88" s="1723">
        <f t="shared" si="9"/>
        <v>0</v>
      </c>
      <c r="D88" s="1723">
        <f t="shared" si="10"/>
        <v>0</v>
      </c>
      <c r="E88" s="1723">
        <f t="shared" si="11"/>
        <v>0</v>
      </c>
      <c r="F88" s="1723">
        <f t="shared" si="12"/>
        <v>0</v>
      </c>
      <c r="G88" s="1723">
        <f t="shared" si="13"/>
        <v>0</v>
      </c>
    </row>
    <row r="89" spans="1:7">
      <c r="A89" s="1717">
        <f t="shared" si="14"/>
        <v>77</v>
      </c>
      <c r="B89" s="1722" t="str">
        <f t="shared" si="15"/>
        <v/>
      </c>
      <c r="C89" s="1723">
        <f t="shared" si="9"/>
        <v>0</v>
      </c>
      <c r="D89" s="1723">
        <f t="shared" si="10"/>
        <v>0</v>
      </c>
      <c r="E89" s="1723">
        <f t="shared" si="11"/>
        <v>0</v>
      </c>
      <c r="F89" s="1723">
        <f t="shared" si="12"/>
        <v>0</v>
      </c>
      <c r="G89" s="1723">
        <f t="shared" si="13"/>
        <v>0</v>
      </c>
    </row>
    <row r="90" spans="1:7">
      <c r="A90" s="1717">
        <f t="shared" si="14"/>
        <v>78</v>
      </c>
      <c r="B90" s="1722" t="str">
        <f t="shared" si="15"/>
        <v/>
      </c>
      <c r="C90" s="1723">
        <f t="shared" si="9"/>
        <v>0</v>
      </c>
      <c r="D90" s="1723">
        <f t="shared" si="10"/>
        <v>0</v>
      </c>
      <c r="E90" s="1723">
        <f t="shared" si="11"/>
        <v>0</v>
      </c>
      <c r="F90" s="1723">
        <f t="shared" si="12"/>
        <v>0</v>
      </c>
      <c r="G90" s="1723">
        <f t="shared" si="13"/>
        <v>0</v>
      </c>
    </row>
    <row r="91" spans="1:7">
      <c r="A91" s="1717">
        <f t="shared" si="14"/>
        <v>79</v>
      </c>
      <c r="B91" s="1722" t="str">
        <f t="shared" si="15"/>
        <v/>
      </c>
      <c r="C91" s="1723">
        <f t="shared" si="9"/>
        <v>0</v>
      </c>
      <c r="D91" s="1723">
        <f t="shared" si="10"/>
        <v>0</v>
      </c>
      <c r="E91" s="1723">
        <f t="shared" si="11"/>
        <v>0</v>
      </c>
      <c r="F91" s="1723">
        <f t="shared" si="12"/>
        <v>0</v>
      </c>
      <c r="G91" s="1723">
        <f t="shared" si="13"/>
        <v>0</v>
      </c>
    </row>
    <row r="92" spans="1:7">
      <c r="A92" s="1717">
        <f t="shared" si="14"/>
        <v>80</v>
      </c>
      <c r="B92" s="1722" t="str">
        <f t="shared" si="15"/>
        <v/>
      </c>
      <c r="C92" s="1723">
        <f t="shared" si="9"/>
        <v>0</v>
      </c>
      <c r="D92" s="1723">
        <f t="shared" si="10"/>
        <v>0</v>
      </c>
      <c r="E92" s="1723">
        <f t="shared" si="11"/>
        <v>0</v>
      </c>
      <c r="F92" s="1723">
        <f t="shared" si="12"/>
        <v>0</v>
      </c>
      <c r="G92" s="1723">
        <f t="shared" si="13"/>
        <v>0</v>
      </c>
    </row>
    <row r="93" spans="1:7">
      <c r="A93" s="1717">
        <f t="shared" si="14"/>
        <v>81</v>
      </c>
      <c r="B93" s="1722" t="str">
        <f t="shared" si="15"/>
        <v/>
      </c>
      <c r="C93" s="1723">
        <f t="shared" si="9"/>
        <v>0</v>
      </c>
      <c r="D93" s="1723">
        <f t="shared" si="10"/>
        <v>0</v>
      </c>
      <c r="E93" s="1723">
        <f t="shared" si="11"/>
        <v>0</v>
      </c>
      <c r="F93" s="1723">
        <f t="shared" si="12"/>
        <v>0</v>
      </c>
      <c r="G93" s="1723">
        <f t="shared" si="13"/>
        <v>0</v>
      </c>
    </row>
    <row r="94" spans="1:7">
      <c r="A94" s="1717">
        <f t="shared" si="14"/>
        <v>82</v>
      </c>
      <c r="B94" s="1722" t="str">
        <f t="shared" si="15"/>
        <v/>
      </c>
      <c r="C94" s="1723">
        <f t="shared" si="9"/>
        <v>0</v>
      </c>
      <c r="D94" s="1723">
        <f t="shared" si="10"/>
        <v>0</v>
      </c>
      <c r="E94" s="1723">
        <f t="shared" si="11"/>
        <v>0</v>
      </c>
      <c r="F94" s="1723">
        <f t="shared" si="12"/>
        <v>0</v>
      </c>
      <c r="G94" s="1723">
        <f t="shared" si="13"/>
        <v>0</v>
      </c>
    </row>
    <row r="95" spans="1:7">
      <c r="A95" s="1717">
        <f t="shared" si="14"/>
        <v>83</v>
      </c>
      <c r="B95" s="1722" t="str">
        <f t="shared" si="15"/>
        <v/>
      </c>
      <c r="C95" s="1723">
        <f t="shared" si="9"/>
        <v>0</v>
      </c>
      <c r="D95" s="1723">
        <f t="shared" si="10"/>
        <v>0</v>
      </c>
      <c r="E95" s="1723">
        <f t="shared" si="11"/>
        <v>0</v>
      </c>
      <c r="F95" s="1723">
        <f t="shared" si="12"/>
        <v>0</v>
      </c>
      <c r="G95" s="1723">
        <f t="shared" si="13"/>
        <v>0</v>
      </c>
    </row>
    <row r="96" spans="1:7">
      <c r="A96" s="1717">
        <f t="shared" si="14"/>
        <v>84</v>
      </c>
      <c r="B96" s="1722" t="str">
        <f t="shared" si="15"/>
        <v/>
      </c>
      <c r="C96" s="1723">
        <f t="shared" si="9"/>
        <v>0</v>
      </c>
      <c r="D96" s="1723">
        <f t="shared" si="10"/>
        <v>0</v>
      </c>
      <c r="E96" s="1723">
        <f t="shared" si="11"/>
        <v>0</v>
      </c>
      <c r="F96" s="1723">
        <f t="shared" si="12"/>
        <v>0</v>
      </c>
      <c r="G96" s="1723">
        <f t="shared" si="13"/>
        <v>0</v>
      </c>
    </row>
    <row r="97" spans="1:7">
      <c r="A97" s="1717">
        <f t="shared" si="14"/>
        <v>85</v>
      </c>
      <c r="B97" s="1722" t="str">
        <f t="shared" si="15"/>
        <v/>
      </c>
      <c r="C97" s="1723">
        <f t="shared" si="9"/>
        <v>0</v>
      </c>
      <c r="D97" s="1723">
        <f t="shared" si="10"/>
        <v>0</v>
      </c>
      <c r="E97" s="1723">
        <f t="shared" si="11"/>
        <v>0</v>
      </c>
      <c r="F97" s="1723">
        <f t="shared" si="12"/>
        <v>0</v>
      </c>
      <c r="G97" s="1723">
        <f t="shared" si="13"/>
        <v>0</v>
      </c>
    </row>
    <row r="98" spans="1:7">
      <c r="A98" s="1717">
        <f t="shared" si="14"/>
        <v>86</v>
      </c>
      <c r="B98" s="1722" t="str">
        <f t="shared" si="15"/>
        <v/>
      </c>
      <c r="C98" s="1723">
        <f t="shared" si="9"/>
        <v>0</v>
      </c>
      <c r="D98" s="1723">
        <f t="shared" si="10"/>
        <v>0</v>
      </c>
      <c r="E98" s="1723">
        <f t="shared" si="11"/>
        <v>0</v>
      </c>
      <c r="F98" s="1723">
        <f t="shared" si="12"/>
        <v>0</v>
      </c>
      <c r="G98" s="1723">
        <f t="shared" si="13"/>
        <v>0</v>
      </c>
    </row>
    <row r="99" spans="1:7">
      <c r="A99" s="1717">
        <f t="shared" si="14"/>
        <v>87</v>
      </c>
      <c r="B99" s="1722" t="str">
        <f t="shared" si="15"/>
        <v/>
      </c>
      <c r="C99" s="1723">
        <f t="shared" si="9"/>
        <v>0</v>
      </c>
      <c r="D99" s="1723">
        <f t="shared" si="10"/>
        <v>0</v>
      </c>
      <c r="E99" s="1723">
        <f t="shared" si="11"/>
        <v>0</v>
      </c>
      <c r="F99" s="1723">
        <f t="shared" si="12"/>
        <v>0</v>
      </c>
      <c r="G99" s="1723">
        <f t="shared" si="13"/>
        <v>0</v>
      </c>
    </row>
    <row r="100" spans="1:7">
      <c r="A100" s="1717">
        <f t="shared" si="14"/>
        <v>88</v>
      </c>
      <c r="B100" s="1722" t="str">
        <f t="shared" si="15"/>
        <v/>
      </c>
      <c r="C100" s="1723">
        <f t="shared" si="9"/>
        <v>0</v>
      </c>
      <c r="D100" s="1723">
        <f t="shared" si="10"/>
        <v>0</v>
      </c>
      <c r="E100" s="1723">
        <f t="shared" si="11"/>
        <v>0</v>
      </c>
      <c r="F100" s="1723">
        <f t="shared" si="12"/>
        <v>0</v>
      </c>
      <c r="G100" s="1723">
        <f t="shared" si="13"/>
        <v>0</v>
      </c>
    </row>
    <row r="101" spans="1:7">
      <c r="A101" s="1717">
        <f t="shared" si="14"/>
        <v>89</v>
      </c>
      <c r="B101" s="1722" t="str">
        <f t="shared" si="15"/>
        <v/>
      </c>
      <c r="C101" s="1723">
        <f t="shared" si="9"/>
        <v>0</v>
      </c>
      <c r="D101" s="1723">
        <f t="shared" si="10"/>
        <v>0</v>
      </c>
      <c r="E101" s="1723">
        <f t="shared" si="11"/>
        <v>0</v>
      </c>
      <c r="F101" s="1723">
        <f t="shared" si="12"/>
        <v>0</v>
      </c>
      <c r="G101" s="1723">
        <f t="shared" si="13"/>
        <v>0</v>
      </c>
    </row>
    <row r="102" spans="1:7">
      <c r="A102" s="1717">
        <f t="shared" si="14"/>
        <v>90</v>
      </c>
      <c r="B102" s="1722" t="str">
        <f t="shared" si="15"/>
        <v/>
      </c>
      <c r="C102" s="1723">
        <f t="shared" si="9"/>
        <v>0</v>
      </c>
      <c r="D102" s="1723">
        <f t="shared" si="10"/>
        <v>0</v>
      </c>
      <c r="E102" s="1723">
        <f t="shared" si="11"/>
        <v>0</v>
      </c>
      <c r="F102" s="1723">
        <f t="shared" si="12"/>
        <v>0</v>
      </c>
      <c r="G102" s="1723">
        <f t="shared" si="13"/>
        <v>0</v>
      </c>
    </row>
    <row r="103" spans="1:7">
      <c r="A103" s="1717">
        <f t="shared" si="14"/>
        <v>91</v>
      </c>
      <c r="B103" s="1722" t="str">
        <f t="shared" si="15"/>
        <v/>
      </c>
      <c r="C103" s="1723">
        <f t="shared" si="9"/>
        <v>0</v>
      </c>
      <c r="D103" s="1723">
        <f t="shared" si="10"/>
        <v>0</v>
      </c>
      <c r="E103" s="1723">
        <f t="shared" si="11"/>
        <v>0</v>
      </c>
      <c r="F103" s="1723">
        <f t="shared" si="12"/>
        <v>0</v>
      </c>
      <c r="G103" s="1723">
        <f t="shared" si="13"/>
        <v>0</v>
      </c>
    </row>
    <row r="104" spans="1:7">
      <c r="A104" s="1717">
        <f t="shared" si="14"/>
        <v>92</v>
      </c>
      <c r="B104" s="1722" t="str">
        <f t="shared" si="15"/>
        <v/>
      </c>
      <c r="C104" s="1723">
        <f t="shared" si="9"/>
        <v>0</v>
      </c>
      <c r="D104" s="1723">
        <f t="shared" si="10"/>
        <v>0</v>
      </c>
      <c r="E104" s="1723">
        <f t="shared" si="11"/>
        <v>0</v>
      </c>
      <c r="F104" s="1723">
        <f t="shared" si="12"/>
        <v>0</v>
      </c>
      <c r="G104" s="1723">
        <f t="shared" si="13"/>
        <v>0</v>
      </c>
    </row>
    <row r="105" spans="1:7">
      <c r="A105" s="1717">
        <f t="shared" si="14"/>
        <v>93</v>
      </c>
      <c r="B105" s="1722" t="str">
        <f t="shared" si="15"/>
        <v/>
      </c>
      <c r="C105" s="1723">
        <f t="shared" si="9"/>
        <v>0</v>
      </c>
      <c r="D105" s="1723">
        <f t="shared" si="10"/>
        <v>0</v>
      </c>
      <c r="E105" s="1723">
        <f t="shared" si="11"/>
        <v>0</v>
      </c>
      <c r="F105" s="1723">
        <f t="shared" si="12"/>
        <v>0</v>
      </c>
      <c r="G105" s="1723">
        <f t="shared" si="13"/>
        <v>0</v>
      </c>
    </row>
    <row r="106" spans="1:7">
      <c r="A106" s="1717">
        <f t="shared" si="14"/>
        <v>94</v>
      </c>
      <c r="B106" s="1722" t="str">
        <f t="shared" si="15"/>
        <v/>
      </c>
      <c r="C106" s="1723">
        <f t="shared" si="9"/>
        <v>0</v>
      </c>
      <c r="D106" s="1723">
        <f t="shared" si="10"/>
        <v>0</v>
      </c>
      <c r="E106" s="1723">
        <f t="shared" si="11"/>
        <v>0</v>
      </c>
      <c r="F106" s="1723">
        <f t="shared" si="12"/>
        <v>0</v>
      </c>
      <c r="G106" s="1723">
        <f t="shared" si="13"/>
        <v>0</v>
      </c>
    </row>
    <row r="107" spans="1:7">
      <c r="A107" s="1717">
        <f t="shared" si="14"/>
        <v>95</v>
      </c>
      <c r="B107" s="1722" t="str">
        <f t="shared" si="15"/>
        <v/>
      </c>
      <c r="C107" s="1723">
        <f t="shared" si="9"/>
        <v>0</v>
      </c>
      <c r="D107" s="1723">
        <f t="shared" si="10"/>
        <v>0</v>
      </c>
      <c r="E107" s="1723">
        <f t="shared" si="11"/>
        <v>0</v>
      </c>
      <c r="F107" s="1723">
        <f t="shared" si="12"/>
        <v>0</v>
      </c>
      <c r="G107" s="1723">
        <f t="shared" si="13"/>
        <v>0</v>
      </c>
    </row>
    <row r="108" spans="1:7">
      <c r="A108" s="1717">
        <f t="shared" si="14"/>
        <v>96</v>
      </c>
      <c r="B108" s="1722" t="str">
        <f t="shared" si="15"/>
        <v/>
      </c>
      <c r="C108" s="1723">
        <f t="shared" si="9"/>
        <v>0</v>
      </c>
      <c r="D108" s="1723">
        <f t="shared" si="10"/>
        <v>0</v>
      </c>
      <c r="E108" s="1723">
        <f t="shared" si="11"/>
        <v>0</v>
      </c>
      <c r="F108" s="1723">
        <f t="shared" si="12"/>
        <v>0</v>
      </c>
      <c r="G108" s="1723">
        <f t="shared" si="13"/>
        <v>0</v>
      </c>
    </row>
    <row r="109" spans="1:7">
      <c r="A109" s="1717">
        <f t="shared" si="14"/>
        <v>97</v>
      </c>
      <c r="B109" s="1722" t="str">
        <f t="shared" si="15"/>
        <v/>
      </c>
      <c r="C109" s="1723">
        <f t="shared" si="9"/>
        <v>0</v>
      </c>
      <c r="D109" s="1723">
        <f t="shared" si="10"/>
        <v>0</v>
      </c>
      <c r="E109" s="1723">
        <f t="shared" si="11"/>
        <v>0</v>
      </c>
      <c r="F109" s="1723">
        <f t="shared" si="12"/>
        <v>0</v>
      </c>
      <c r="G109" s="1723">
        <f t="shared" si="13"/>
        <v>0</v>
      </c>
    </row>
    <row r="110" spans="1:7">
      <c r="A110" s="1717">
        <f t="shared" si="14"/>
        <v>98</v>
      </c>
      <c r="B110" s="1722" t="str">
        <f t="shared" si="15"/>
        <v/>
      </c>
      <c r="C110" s="1723">
        <f t="shared" si="9"/>
        <v>0</v>
      </c>
      <c r="D110" s="1723">
        <f t="shared" si="10"/>
        <v>0</v>
      </c>
      <c r="E110" s="1723">
        <f t="shared" si="11"/>
        <v>0</v>
      </c>
      <c r="F110" s="1723">
        <f t="shared" si="12"/>
        <v>0</v>
      </c>
      <c r="G110" s="1723">
        <f t="shared" si="13"/>
        <v>0</v>
      </c>
    </row>
    <row r="111" spans="1:7">
      <c r="A111" s="1717">
        <f t="shared" si="14"/>
        <v>99</v>
      </c>
      <c r="B111" s="1722" t="str">
        <f t="shared" si="15"/>
        <v/>
      </c>
      <c r="C111" s="1723">
        <f t="shared" si="9"/>
        <v>0</v>
      </c>
      <c r="D111" s="1723">
        <f t="shared" si="10"/>
        <v>0</v>
      </c>
      <c r="E111" s="1723">
        <f t="shared" si="11"/>
        <v>0</v>
      </c>
      <c r="F111" s="1723">
        <f t="shared" si="12"/>
        <v>0</v>
      </c>
      <c r="G111" s="1723">
        <f t="shared" si="13"/>
        <v>0</v>
      </c>
    </row>
    <row r="112" spans="1:7">
      <c r="A112" s="1717">
        <f t="shared" si="14"/>
        <v>100</v>
      </c>
      <c r="B112" s="1722" t="str">
        <f t="shared" si="15"/>
        <v/>
      </c>
      <c r="C112" s="1723">
        <f t="shared" si="9"/>
        <v>0</v>
      </c>
      <c r="D112" s="1723">
        <f t="shared" si="10"/>
        <v>0</v>
      </c>
      <c r="E112" s="1723">
        <f t="shared" si="11"/>
        <v>0</v>
      </c>
      <c r="F112" s="1723">
        <f t="shared" si="12"/>
        <v>0</v>
      </c>
      <c r="G112" s="1723">
        <f t="shared" si="13"/>
        <v>0</v>
      </c>
    </row>
    <row r="113" spans="1:7">
      <c r="A113" s="1717">
        <f t="shared" si="14"/>
        <v>101</v>
      </c>
      <c r="B113" s="1722" t="str">
        <f t="shared" si="15"/>
        <v/>
      </c>
      <c r="C113" s="1723">
        <f t="shared" si="9"/>
        <v>0</v>
      </c>
      <c r="D113" s="1723">
        <f t="shared" si="10"/>
        <v>0</v>
      </c>
      <c r="E113" s="1723">
        <f t="shared" si="11"/>
        <v>0</v>
      </c>
      <c r="F113" s="1723">
        <f t="shared" si="12"/>
        <v>0</v>
      </c>
      <c r="G113" s="1723">
        <f t="shared" si="13"/>
        <v>0</v>
      </c>
    </row>
    <row r="114" spans="1:7">
      <c r="A114" s="1717">
        <f t="shared" si="14"/>
        <v>102</v>
      </c>
      <c r="B114" s="1722" t="str">
        <f t="shared" si="15"/>
        <v/>
      </c>
      <c r="C114" s="1723">
        <f t="shared" si="9"/>
        <v>0</v>
      </c>
      <c r="D114" s="1723">
        <f t="shared" si="10"/>
        <v>0</v>
      </c>
      <c r="E114" s="1723">
        <f t="shared" si="11"/>
        <v>0</v>
      </c>
      <c r="F114" s="1723">
        <f t="shared" si="12"/>
        <v>0</v>
      </c>
      <c r="G114" s="1723">
        <f t="shared" si="13"/>
        <v>0</v>
      </c>
    </row>
    <row r="115" spans="1:7">
      <c r="A115" s="1717">
        <f t="shared" si="14"/>
        <v>103</v>
      </c>
      <c r="B115" s="1722" t="str">
        <f t="shared" si="15"/>
        <v/>
      </c>
      <c r="C115" s="1723">
        <f t="shared" si="9"/>
        <v>0</v>
      </c>
      <c r="D115" s="1723">
        <f t="shared" si="10"/>
        <v>0</v>
      </c>
      <c r="E115" s="1723">
        <f t="shared" si="11"/>
        <v>0</v>
      </c>
      <c r="F115" s="1723">
        <f t="shared" si="12"/>
        <v>0</v>
      </c>
      <c r="G115" s="1723">
        <f t="shared" si="13"/>
        <v>0</v>
      </c>
    </row>
    <row r="116" spans="1:7">
      <c r="A116" s="1717">
        <f t="shared" si="14"/>
        <v>104</v>
      </c>
      <c r="B116" s="1722" t="str">
        <f t="shared" si="15"/>
        <v/>
      </c>
      <c r="C116" s="1723">
        <f t="shared" si="9"/>
        <v>0</v>
      </c>
      <c r="D116" s="1723">
        <f t="shared" si="10"/>
        <v>0</v>
      </c>
      <c r="E116" s="1723">
        <f t="shared" si="11"/>
        <v>0</v>
      </c>
      <c r="F116" s="1723">
        <f t="shared" si="12"/>
        <v>0</v>
      </c>
      <c r="G116" s="1723">
        <f t="shared" si="13"/>
        <v>0</v>
      </c>
    </row>
    <row r="117" spans="1:7">
      <c r="A117" s="1717">
        <f t="shared" si="14"/>
        <v>105</v>
      </c>
      <c r="B117" s="1722" t="str">
        <f t="shared" si="15"/>
        <v/>
      </c>
      <c r="C117" s="1723">
        <f t="shared" si="9"/>
        <v>0</v>
      </c>
      <c r="D117" s="1723">
        <f t="shared" si="10"/>
        <v>0</v>
      </c>
      <c r="E117" s="1723">
        <f t="shared" si="11"/>
        <v>0</v>
      </c>
      <c r="F117" s="1723">
        <f t="shared" si="12"/>
        <v>0</v>
      </c>
      <c r="G117" s="1723">
        <f t="shared" si="13"/>
        <v>0</v>
      </c>
    </row>
    <row r="118" spans="1:7">
      <c r="A118" s="1717">
        <f t="shared" si="14"/>
        <v>106</v>
      </c>
      <c r="B118" s="1722" t="str">
        <f t="shared" si="15"/>
        <v/>
      </c>
      <c r="C118" s="1723">
        <f t="shared" si="9"/>
        <v>0</v>
      </c>
      <c r="D118" s="1723">
        <f t="shared" si="10"/>
        <v>0</v>
      </c>
      <c r="E118" s="1723">
        <f t="shared" si="11"/>
        <v>0</v>
      </c>
      <c r="F118" s="1723">
        <f t="shared" si="12"/>
        <v>0</v>
      </c>
      <c r="G118" s="1723">
        <f t="shared" si="13"/>
        <v>0</v>
      </c>
    </row>
    <row r="119" spans="1:7">
      <c r="A119" s="1717">
        <f t="shared" si="14"/>
        <v>107</v>
      </c>
      <c r="B119" s="1722" t="str">
        <f t="shared" si="15"/>
        <v/>
      </c>
      <c r="C119" s="1723">
        <f t="shared" si="9"/>
        <v>0</v>
      </c>
      <c r="D119" s="1723">
        <f t="shared" si="10"/>
        <v>0</v>
      </c>
      <c r="E119" s="1723">
        <f t="shared" si="11"/>
        <v>0</v>
      </c>
      <c r="F119" s="1723">
        <f t="shared" si="12"/>
        <v>0</v>
      </c>
      <c r="G119" s="1723">
        <f t="shared" si="13"/>
        <v>0</v>
      </c>
    </row>
    <row r="120" spans="1:7">
      <c r="A120" s="1717">
        <f t="shared" si="14"/>
        <v>108</v>
      </c>
      <c r="B120" s="1722" t="str">
        <f t="shared" si="15"/>
        <v/>
      </c>
      <c r="C120" s="1723">
        <f t="shared" si="9"/>
        <v>0</v>
      </c>
      <c r="D120" s="1723">
        <f t="shared" si="10"/>
        <v>0</v>
      </c>
      <c r="E120" s="1723">
        <f t="shared" si="11"/>
        <v>0</v>
      </c>
      <c r="F120" s="1723">
        <f t="shared" si="12"/>
        <v>0</v>
      </c>
      <c r="G120" s="1723">
        <f t="shared" si="13"/>
        <v>0</v>
      </c>
    </row>
    <row r="121" spans="1:7">
      <c r="A121" s="1717">
        <f t="shared" si="14"/>
        <v>109</v>
      </c>
      <c r="B121" s="1722" t="str">
        <f t="shared" si="15"/>
        <v/>
      </c>
      <c r="C121" s="1723">
        <f t="shared" si="9"/>
        <v>0</v>
      </c>
      <c r="D121" s="1723">
        <f t="shared" si="10"/>
        <v>0</v>
      </c>
      <c r="E121" s="1723">
        <f t="shared" si="11"/>
        <v>0</v>
      </c>
      <c r="F121" s="1723">
        <f t="shared" si="12"/>
        <v>0</v>
      </c>
      <c r="G121" s="1723">
        <f t="shared" si="13"/>
        <v>0</v>
      </c>
    </row>
    <row r="122" spans="1:7">
      <c r="A122" s="1717">
        <f t="shared" si="14"/>
        <v>110</v>
      </c>
      <c r="B122" s="1722" t="str">
        <f t="shared" si="15"/>
        <v/>
      </c>
      <c r="C122" s="1723">
        <f t="shared" si="9"/>
        <v>0</v>
      </c>
      <c r="D122" s="1723">
        <f t="shared" si="10"/>
        <v>0</v>
      </c>
      <c r="E122" s="1723">
        <f t="shared" si="11"/>
        <v>0</v>
      </c>
      <c r="F122" s="1723">
        <f t="shared" si="12"/>
        <v>0</v>
      </c>
      <c r="G122" s="1723">
        <f t="shared" si="13"/>
        <v>0</v>
      </c>
    </row>
    <row r="123" spans="1:7">
      <c r="A123" s="1717">
        <f t="shared" si="14"/>
        <v>111</v>
      </c>
      <c r="B123" s="1722" t="str">
        <f t="shared" si="15"/>
        <v/>
      </c>
      <c r="C123" s="1723">
        <f t="shared" si="9"/>
        <v>0</v>
      </c>
      <c r="D123" s="1723">
        <f t="shared" si="10"/>
        <v>0</v>
      </c>
      <c r="E123" s="1723">
        <f t="shared" si="11"/>
        <v>0</v>
      </c>
      <c r="F123" s="1723">
        <f t="shared" si="12"/>
        <v>0</v>
      </c>
      <c r="G123" s="1723">
        <f t="shared" si="13"/>
        <v>0</v>
      </c>
    </row>
    <row r="124" spans="1:7">
      <c r="A124" s="1717">
        <f t="shared" si="14"/>
        <v>112</v>
      </c>
      <c r="B124" s="1722" t="str">
        <f t="shared" si="15"/>
        <v/>
      </c>
      <c r="C124" s="1723">
        <f t="shared" si="9"/>
        <v>0</v>
      </c>
      <c r="D124" s="1723">
        <f t="shared" si="10"/>
        <v>0</v>
      </c>
      <c r="E124" s="1723">
        <f t="shared" si="11"/>
        <v>0</v>
      </c>
      <c r="F124" s="1723">
        <f t="shared" si="12"/>
        <v>0</v>
      </c>
      <c r="G124" s="1723">
        <f t="shared" si="13"/>
        <v>0</v>
      </c>
    </row>
    <row r="125" spans="1:7">
      <c r="A125" s="1717">
        <f t="shared" si="14"/>
        <v>113</v>
      </c>
      <c r="B125" s="1722" t="str">
        <f t="shared" si="15"/>
        <v/>
      </c>
      <c r="C125" s="1723">
        <f t="shared" si="9"/>
        <v>0</v>
      </c>
      <c r="D125" s="1723">
        <f t="shared" si="10"/>
        <v>0</v>
      </c>
      <c r="E125" s="1723">
        <f t="shared" si="11"/>
        <v>0</v>
      </c>
      <c r="F125" s="1723">
        <f t="shared" si="12"/>
        <v>0</v>
      </c>
      <c r="G125" s="1723">
        <f t="shared" si="13"/>
        <v>0</v>
      </c>
    </row>
    <row r="126" spans="1:7">
      <c r="A126" s="1717">
        <f t="shared" si="14"/>
        <v>114</v>
      </c>
      <c r="B126" s="1722" t="str">
        <f t="shared" si="15"/>
        <v/>
      </c>
      <c r="C126" s="1723">
        <f t="shared" si="9"/>
        <v>0</v>
      </c>
      <c r="D126" s="1723">
        <f t="shared" si="10"/>
        <v>0</v>
      </c>
      <c r="E126" s="1723">
        <f t="shared" si="11"/>
        <v>0</v>
      </c>
      <c r="F126" s="1723">
        <f t="shared" si="12"/>
        <v>0</v>
      </c>
      <c r="G126" s="1723">
        <f t="shared" si="13"/>
        <v>0</v>
      </c>
    </row>
    <row r="127" spans="1:7">
      <c r="A127" s="1717">
        <f t="shared" si="14"/>
        <v>115</v>
      </c>
      <c r="B127" s="1722" t="str">
        <f t="shared" si="15"/>
        <v/>
      </c>
      <c r="C127" s="1723">
        <f t="shared" si="9"/>
        <v>0</v>
      </c>
      <c r="D127" s="1723">
        <f t="shared" si="10"/>
        <v>0</v>
      </c>
      <c r="E127" s="1723">
        <f t="shared" si="11"/>
        <v>0</v>
      </c>
      <c r="F127" s="1723">
        <f t="shared" si="12"/>
        <v>0</v>
      </c>
      <c r="G127" s="1723">
        <f t="shared" si="13"/>
        <v>0</v>
      </c>
    </row>
    <row r="128" spans="1:7">
      <c r="A128" s="1717">
        <f t="shared" si="14"/>
        <v>116</v>
      </c>
      <c r="B128" s="1722" t="str">
        <f t="shared" si="15"/>
        <v/>
      </c>
      <c r="C128" s="1723">
        <f t="shared" si="9"/>
        <v>0</v>
      </c>
      <c r="D128" s="1723">
        <f t="shared" si="10"/>
        <v>0</v>
      </c>
      <c r="E128" s="1723">
        <f t="shared" si="11"/>
        <v>0</v>
      </c>
      <c r="F128" s="1723">
        <f t="shared" si="12"/>
        <v>0</v>
      </c>
      <c r="G128" s="1723">
        <f t="shared" si="13"/>
        <v>0</v>
      </c>
    </row>
    <row r="129" spans="1:7">
      <c r="A129" s="1717">
        <f t="shared" si="14"/>
        <v>117</v>
      </c>
      <c r="B129" s="1722" t="str">
        <f t="shared" si="15"/>
        <v/>
      </c>
      <c r="C129" s="1723">
        <f t="shared" si="9"/>
        <v>0</v>
      </c>
      <c r="D129" s="1723">
        <f t="shared" si="10"/>
        <v>0</v>
      </c>
      <c r="E129" s="1723">
        <f t="shared" si="11"/>
        <v>0</v>
      </c>
      <c r="F129" s="1723">
        <f t="shared" si="12"/>
        <v>0</v>
      </c>
      <c r="G129" s="1723">
        <f t="shared" si="13"/>
        <v>0</v>
      </c>
    </row>
    <row r="130" spans="1:7">
      <c r="A130" s="1717">
        <f t="shared" si="14"/>
        <v>118</v>
      </c>
      <c r="B130" s="1722" t="str">
        <f t="shared" si="15"/>
        <v/>
      </c>
      <c r="C130" s="1723">
        <f t="shared" si="9"/>
        <v>0</v>
      </c>
      <c r="D130" s="1723">
        <f t="shared" si="10"/>
        <v>0</v>
      </c>
      <c r="E130" s="1723">
        <f t="shared" si="11"/>
        <v>0</v>
      </c>
      <c r="F130" s="1723">
        <f t="shared" si="12"/>
        <v>0</v>
      </c>
      <c r="G130" s="1723">
        <f t="shared" si="13"/>
        <v>0</v>
      </c>
    </row>
    <row r="131" spans="1:7">
      <c r="A131" s="1717">
        <f t="shared" si="14"/>
        <v>119</v>
      </c>
      <c r="B131" s="1722" t="str">
        <f t="shared" si="15"/>
        <v/>
      </c>
      <c r="C131" s="1723">
        <f t="shared" si="9"/>
        <v>0</v>
      </c>
      <c r="D131" s="1723">
        <f t="shared" si="10"/>
        <v>0</v>
      </c>
      <c r="E131" s="1723">
        <f t="shared" si="11"/>
        <v>0</v>
      </c>
      <c r="F131" s="1723">
        <f t="shared" si="12"/>
        <v>0</v>
      </c>
      <c r="G131" s="1723">
        <f t="shared" si="13"/>
        <v>0</v>
      </c>
    </row>
    <row r="132" spans="1:7">
      <c r="A132" s="1717">
        <f t="shared" si="14"/>
        <v>120</v>
      </c>
      <c r="B132" s="1722" t="str">
        <f t="shared" si="15"/>
        <v/>
      </c>
      <c r="C132" s="1723">
        <f t="shared" si="9"/>
        <v>0</v>
      </c>
      <c r="D132" s="1723">
        <f t="shared" si="10"/>
        <v>0</v>
      </c>
      <c r="E132" s="1723">
        <f t="shared" si="11"/>
        <v>0</v>
      </c>
      <c r="F132" s="1723">
        <f t="shared" si="12"/>
        <v>0</v>
      </c>
      <c r="G132" s="1723">
        <f t="shared" si="13"/>
        <v>0</v>
      </c>
    </row>
    <row r="133" spans="1:7">
      <c r="A133" s="1717">
        <f t="shared" si="14"/>
        <v>121</v>
      </c>
      <c r="B133" s="1722" t="str">
        <f t="shared" si="15"/>
        <v/>
      </c>
      <c r="C133" s="1723">
        <f t="shared" si="9"/>
        <v>0</v>
      </c>
      <c r="D133" s="1723">
        <f t="shared" si="10"/>
        <v>0</v>
      </c>
      <c r="E133" s="1723">
        <f t="shared" si="11"/>
        <v>0</v>
      </c>
      <c r="F133" s="1723">
        <f t="shared" si="12"/>
        <v>0</v>
      </c>
      <c r="G133" s="1723">
        <f t="shared" si="13"/>
        <v>0</v>
      </c>
    </row>
    <row r="134" spans="1:7">
      <c r="A134" s="1717">
        <f t="shared" si="14"/>
        <v>122</v>
      </c>
      <c r="B134" s="1722" t="str">
        <f t="shared" si="15"/>
        <v/>
      </c>
      <c r="C134" s="1723">
        <f t="shared" si="9"/>
        <v>0</v>
      </c>
      <c r="D134" s="1723">
        <f t="shared" si="10"/>
        <v>0</v>
      </c>
      <c r="E134" s="1723">
        <f t="shared" si="11"/>
        <v>0</v>
      </c>
      <c r="F134" s="1723">
        <f t="shared" si="12"/>
        <v>0</v>
      </c>
      <c r="G134" s="1723">
        <f t="shared" si="13"/>
        <v>0</v>
      </c>
    </row>
    <row r="135" spans="1:7">
      <c r="A135" s="1717">
        <f t="shared" si="14"/>
        <v>123</v>
      </c>
      <c r="B135" s="1722" t="str">
        <f t="shared" si="15"/>
        <v/>
      </c>
      <c r="C135" s="1723">
        <f t="shared" si="9"/>
        <v>0</v>
      </c>
      <c r="D135" s="1723">
        <f t="shared" si="10"/>
        <v>0</v>
      </c>
      <c r="E135" s="1723">
        <f t="shared" si="11"/>
        <v>0</v>
      </c>
      <c r="F135" s="1723">
        <f t="shared" si="12"/>
        <v>0</v>
      </c>
      <c r="G135" s="1723">
        <f t="shared" si="13"/>
        <v>0</v>
      </c>
    </row>
    <row r="136" spans="1:7">
      <c r="A136" s="1717">
        <f t="shared" si="14"/>
        <v>124</v>
      </c>
      <c r="B136" s="1722" t="str">
        <f t="shared" si="15"/>
        <v/>
      </c>
      <c r="C136" s="1723">
        <f t="shared" si="9"/>
        <v>0</v>
      </c>
      <c r="D136" s="1723">
        <f t="shared" si="10"/>
        <v>0</v>
      </c>
      <c r="E136" s="1723">
        <f t="shared" si="11"/>
        <v>0</v>
      </c>
      <c r="F136" s="1723">
        <f t="shared" si="12"/>
        <v>0</v>
      </c>
      <c r="G136" s="1723">
        <f t="shared" si="13"/>
        <v>0</v>
      </c>
    </row>
    <row r="137" spans="1:7">
      <c r="A137" s="1717">
        <f t="shared" si="14"/>
        <v>125</v>
      </c>
      <c r="B137" s="1722" t="str">
        <f t="shared" si="15"/>
        <v/>
      </c>
      <c r="C137" s="1723">
        <f t="shared" si="9"/>
        <v>0</v>
      </c>
      <c r="D137" s="1723">
        <f t="shared" si="10"/>
        <v>0</v>
      </c>
      <c r="E137" s="1723">
        <f t="shared" si="11"/>
        <v>0</v>
      </c>
      <c r="F137" s="1723">
        <f t="shared" si="12"/>
        <v>0</v>
      </c>
      <c r="G137" s="1723">
        <f t="shared" si="13"/>
        <v>0</v>
      </c>
    </row>
    <row r="138" spans="1:7">
      <c r="A138" s="1717">
        <f t="shared" si="14"/>
        <v>126</v>
      </c>
      <c r="B138" s="1722" t="str">
        <f t="shared" si="15"/>
        <v/>
      </c>
      <c r="C138" s="1723">
        <f t="shared" si="9"/>
        <v>0</v>
      </c>
      <c r="D138" s="1723">
        <f t="shared" si="10"/>
        <v>0</v>
      </c>
      <c r="E138" s="1723">
        <f t="shared" si="11"/>
        <v>0</v>
      </c>
      <c r="F138" s="1723">
        <f t="shared" si="12"/>
        <v>0</v>
      </c>
      <c r="G138" s="1723">
        <f t="shared" si="13"/>
        <v>0</v>
      </c>
    </row>
    <row r="139" spans="1:7">
      <c r="A139" s="1717">
        <f t="shared" si="14"/>
        <v>127</v>
      </c>
      <c r="B139" s="1722" t="str">
        <f t="shared" si="15"/>
        <v/>
      </c>
      <c r="C139" s="1723">
        <f t="shared" si="9"/>
        <v>0</v>
      </c>
      <c r="D139" s="1723">
        <f t="shared" si="10"/>
        <v>0</v>
      </c>
      <c r="E139" s="1723">
        <f t="shared" si="11"/>
        <v>0</v>
      </c>
      <c r="F139" s="1723">
        <f t="shared" si="12"/>
        <v>0</v>
      </c>
      <c r="G139" s="1723">
        <f t="shared" si="13"/>
        <v>0</v>
      </c>
    </row>
    <row r="140" spans="1:7">
      <c r="A140" s="1717">
        <f t="shared" si="14"/>
        <v>128</v>
      </c>
      <c r="B140" s="1722" t="str">
        <f t="shared" si="15"/>
        <v/>
      </c>
      <c r="C140" s="1723">
        <f t="shared" si="9"/>
        <v>0</v>
      </c>
      <c r="D140" s="1723">
        <f t="shared" si="10"/>
        <v>0</v>
      </c>
      <c r="E140" s="1723">
        <f t="shared" si="11"/>
        <v>0</v>
      </c>
      <c r="F140" s="1723">
        <f t="shared" si="12"/>
        <v>0</v>
      </c>
      <c r="G140" s="1723">
        <f t="shared" si="13"/>
        <v>0</v>
      </c>
    </row>
    <row r="141" spans="1:7">
      <c r="A141" s="1717">
        <f t="shared" si="14"/>
        <v>129</v>
      </c>
      <c r="B141" s="1722" t="str">
        <f t="shared" si="15"/>
        <v/>
      </c>
      <c r="C141" s="1723">
        <f t="shared" si="9"/>
        <v>0</v>
      </c>
      <c r="D141" s="1723">
        <f t="shared" si="10"/>
        <v>0</v>
      </c>
      <c r="E141" s="1723">
        <f t="shared" si="11"/>
        <v>0</v>
      </c>
      <c r="F141" s="1723">
        <f t="shared" si="12"/>
        <v>0</v>
      </c>
      <c r="G141" s="1723">
        <f t="shared" si="13"/>
        <v>0</v>
      </c>
    </row>
    <row r="142" spans="1:7">
      <c r="A142" s="1717">
        <f t="shared" si="14"/>
        <v>130</v>
      </c>
      <c r="B142" s="1722" t="str">
        <f t="shared" si="15"/>
        <v/>
      </c>
      <c r="C142" s="1723">
        <f t="shared" ref="C142:C205" si="16">IF(A141&lt;$B$6*12,G141,"")</f>
        <v>0</v>
      </c>
      <c r="D142" s="1723">
        <f t="shared" ref="D142:D205" si="17">IF(A142=$B$6*12,C142+E142,IF(A141&lt;$B$6*12,$B$8,""))</f>
        <v>0</v>
      </c>
      <c r="E142" s="1723">
        <f t="shared" ref="E142:E205" si="18">IF(A141&lt;$B$6*12,ROUND(C142*$B$5/12,2),"")</f>
        <v>0</v>
      </c>
      <c r="F142" s="1723">
        <f t="shared" ref="F142:F205" si="19">IF(A141&lt;$B$6*12,D142-E142,"")</f>
        <v>0</v>
      </c>
      <c r="G142" s="1723">
        <f t="shared" ref="G142:G205" si="20">IF(A141&lt;$B$6*12,C142-F142,"")</f>
        <v>0</v>
      </c>
    </row>
    <row r="143" spans="1:7">
      <c r="A143" s="1717">
        <f t="shared" ref="A143:A206" si="21">IF(A142&lt;$B$6*12,A142+1,"")</f>
        <v>131</v>
      </c>
      <c r="B143" s="1722" t="str">
        <f t="shared" ref="B143:B206" si="22">IFERROR(EDATE(B142,1),"")</f>
        <v/>
      </c>
      <c r="C143" s="1723">
        <f t="shared" si="16"/>
        <v>0</v>
      </c>
      <c r="D143" s="1723">
        <f t="shared" si="17"/>
        <v>0</v>
      </c>
      <c r="E143" s="1723">
        <f t="shared" si="18"/>
        <v>0</v>
      </c>
      <c r="F143" s="1723">
        <f t="shared" si="19"/>
        <v>0</v>
      </c>
      <c r="G143" s="1723">
        <f t="shared" si="20"/>
        <v>0</v>
      </c>
    </row>
    <row r="144" spans="1:7">
      <c r="A144" s="1717">
        <f t="shared" si="21"/>
        <v>132</v>
      </c>
      <c r="B144" s="1722" t="str">
        <f t="shared" si="22"/>
        <v/>
      </c>
      <c r="C144" s="1723">
        <f t="shared" si="16"/>
        <v>0</v>
      </c>
      <c r="D144" s="1723">
        <f t="shared" si="17"/>
        <v>0</v>
      </c>
      <c r="E144" s="1723">
        <f t="shared" si="18"/>
        <v>0</v>
      </c>
      <c r="F144" s="1723">
        <f t="shared" si="19"/>
        <v>0</v>
      </c>
      <c r="G144" s="1723">
        <f t="shared" si="20"/>
        <v>0</v>
      </c>
    </row>
    <row r="145" spans="1:7">
      <c r="A145" s="1717">
        <f t="shared" si="21"/>
        <v>133</v>
      </c>
      <c r="B145" s="1722" t="str">
        <f t="shared" si="22"/>
        <v/>
      </c>
      <c r="C145" s="1723">
        <f t="shared" si="16"/>
        <v>0</v>
      </c>
      <c r="D145" s="1723">
        <f t="shared" si="17"/>
        <v>0</v>
      </c>
      <c r="E145" s="1723">
        <f t="shared" si="18"/>
        <v>0</v>
      </c>
      <c r="F145" s="1723">
        <f t="shared" si="19"/>
        <v>0</v>
      </c>
      <c r="G145" s="1723">
        <f t="shared" si="20"/>
        <v>0</v>
      </c>
    </row>
    <row r="146" spans="1:7">
      <c r="A146" s="1717">
        <f t="shared" si="21"/>
        <v>134</v>
      </c>
      <c r="B146" s="1722" t="str">
        <f t="shared" si="22"/>
        <v/>
      </c>
      <c r="C146" s="1723">
        <f t="shared" si="16"/>
        <v>0</v>
      </c>
      <c r="D146" s="1723">
        <f t="shared" si="17"/>
        <v>0</v>
      </c>
      <c r="E146" s="1723">
        <f t="shared" si="18"/>
        <v>0</v>
      </c>
      <c r="F146" s="1723">
        <f t="shared" si="19"/>
        <v>0</v>
      </c>
      <c r="G146" s="1723">
        <f t="shared" si="20"/>
        <v>0</v>
      </c>
    </row>
    <row r="147" spans="1:7">
      <c r="A147" s="1717">
        <f t="shared" si="21"/>
        <v>135</v>
      </c>
      <c r="B147" s="1722" t="str">
        <f t="shared" si="22"/>
        <v/>
      </c>
      <c r="C147" s="1723">
        <f t="shared" si="16"/>
        <v>0</v>
      </c>
      <c r="D147" s="1723">
        <f t="shared" si="17"/>
        <v>0</v>
      </c>
      <c r="E147" s="1723">
        <f t="shared" si="18"/>
        <v>0</v>
      </c>
      <c r="F147" s="1723">
        <f t="shared" si="19"/>
        <v>0</v>
      </c>
      <c r="G147" s="1723">
        <f t="shared" si="20"/>
        <v>0</v>
      </c>
    </row>
    <row r="148" spans="1:7">
      <c r="A148" s="1717">
        <f t="shared" si="21"/>
        <v>136</v>
      </c>
      <c r="B148" s="1722" t="str">
        <f t="shared" si="22"/>
        <v/>
      </c>
      <c r="C148" s="1723">
        <f t="shared" si="16"/>
        <v>0</v>
      </c>
      <c r="D148" s="1723">
        <f t="shared" si="17"/>
        <v>0</v>
      </c>
      <c r="E148" s="1723">
        <f t="shared" si="18"/>
        <v>0</v>
      </c>
      <c r="F148" s="1723">
        <f t="shared" si="19"/>
        <v>0</v>
      </c>
      <c r="G148" s="1723">
        <f t="shared" si="20"/>
        <v>0</v>
      </c>
    </row>
    <row r="149" spans="1:7">
      <c r="A149" s="1717">
        <f t="shared" si="21"/>
        <v>137</v>
      </c>
      <c r="B149" s="1722" t="str">
        <f t="shared" si="22"/>
        <v/>
      </c>
      <c r="C149" s="1723">
        <f t="shared" si="16"/>
        <v>0</v>
      </c>
      <c r="D149" s="1723">
        <f t="shared" si="17"/>
        <v>0</v>
      </c>
      <c r="E149" s="1723">
        <f t="shared" si="18"/>
        <v>0</v>
      </c>
      <c r="F149" s="1723">
        <f t="shared" si="19"/>
        <v>0</v>
      </c>
      <c r="G149" s="1723">
        <f t="shared" si="20"/>
        <v>0</v>
      </c>
    </row>
    <row r="150" spans="1:7">
      <c r="A150" s="1717">
        <f t="shared" si="21"/>
        <v>138</v>
      </c>
      <c r="B150" s="1722" t="str">
        <f t="shared" si="22"/>
        <v/>
      </c>
      <c r="C150" s="1723">
        <f t="shared" si="16"/>
        <v>0</v>
      </c>
      <c r="D150" s="1723">
        <f t="shared" si="17"/>
        <v>0</v>
      </c>
      <c r="E150" s="1723">
        <f t="shared" si="18"/>
        <v>0</v>
      </c>
      <c r="F150" s="1723">
        <f t="shared" si="19"/>
        <v>0</v>
      </c>
      <c r="G150" s="1723">
        <f t="shared" si="20"/>
        <v>0</v>
      </c>
    </row>
    <row r="151" spans="1:7">
      <c r="A151" s="1717">
        <f t="shared" si="21"/>
        <v>139</v>
      </c>
      <c r="B151" s="1722" t="str">
        <f t="shared" si="22"/>
        <v/>
      </c>
      <c r="C151" s="1723">
        <f t="shared" si="16"/>
        <v>0</v>
      </c>
      <c r="D151" s="1723">
        <f t="shared" si="17"/>
        <v>0</v>
      </c>
      <c r="E151" s="1723">
        <f t="shared" si="18"/>
        <v>0</v>
      </c>
      <c r="F151" s="1723">
        <f t="shared" si="19"/>
        <v>0</v>
      </c>
      <c r="G151" s="1723">
        <f t="shared" si="20"/>
        <v>0</v>
      </c>
    </row>
    <row r="152" spans="1:7">
      <c r="A152" s="1717">
        <f t="shared" si="21"/>
        <v>140</v>
      </c>
      <c r="B152" s="1722" t="str">
        <f t="shared" si="22"/>
        <v/>
      </c>
      <c r="C152" s="1723">
        <f t="shared" si="16"/>
        <v>0</v>
      </c>
      <c r="D152" s="1723">
        <f t="shared" si="17"/>
        <v>0</v>
      </c>
      <c r="E152" s="1723">
        <f t="shared" si="18"/>
        <v>0</v>
      </c>
      <c r="F152" s="1723">
        <f t="shared" si="19"/>
        <v>0</v>
      </c>
      <c r="G152" s="1723">
        <f t="shared" si="20"/>
        <v>0</v>
      </c>
    </row>
    <row r="153" spans="1:7">
      <c r="A153" s="1717">
        <f t="shared" si="21"/>
        <v>141</v>
      </c>
      <c r="B153" s="1722" t="str">
        <f t="shared" si="22"/>
        <v/>
      </c>
      <c r="C153" s="1723">
        <f t="shared" si="16"/>
        <v>0</v>
      </c>
      <c r="D153" s="1723">
        <f t="shared" si="17"/>
        <v>0</v>
      </c>
      <c r="E153" s="1723">
        <f t="shared" si="18"/>
        <v>0</v>
      </c>
      <c r="F153" s="1723">
        <f t="shared" si="19"/>
        <v>0</v>
      </c>
      <c r="G153" s="1723">
        <f t="shared" si="20"/>
        <v>0</v>
      </c>
    </row>
    <row r="154" spans="1:7">
      <c r="A154" s="1717">
        <f t="shared" si="21"/>
        <v>142</v>
      </c>
      <c r="B154" s="1722" t="str">
        <f t="shared" si="22"/>
        <v/>
      </c>
      <c r="C154" s="1723">
        <f t="shared" si="16"/>
        <v>0</v>
      </c>
      <c r="D154" s="1723">
        <f t="shared" si="17"/>
        <v>0</v>
      </c>
      <c r="E154" s="1723">
        <f t="shared" si="18"/>
        <v>0</v>
      </c>
      <c r="F154" s="1723">
        <f t="shared" si="19"/>
        <v>0</v>
      </c>
      <c r="G154" s="1723">
        <f t="shared" si="20"/>
        <v>0</v>
      </c>
    </row>
    <row r="155" spans="1:7">
      <c r="A155" s="1717">
        <f t="shared" si="21"/>
        <v>143</v>
      </c>
      <c r="B155" s="1722" t="str">
        <f t="shared" si="22"/>
        <v/>
      </c>
      <c r="C155" s="1723">
        <f t="shared" si="16"/>
        <v>0</v>
      </c>
      <c r="D155" s="1723">
        <f t="shared" si="17"/>
        <v>0</v>
      </c>
      <c r="E155" s="1723">
        <f t="shared" si="18"/>
        <v>0</v>
      </c>
      <c r="F155" s="1723">
        <f t="shared" si="19"/>
        <v>0</v>
      </c>
      <c r="G155" s="1723">
        <f t="shared" si="20"/>
        <v>0</v>
      </c>
    </row>
    <row r="156" spans="1:7">
      <c r="A156" s="1717">
        <f t="shared" si="21"/>
        <v>144</v>
      </c>
      <c r="B156" s="1722" t="str">
        <f t="shared" si="22"/>
        <v/>
      </c>
      <c r="C156" s="1723">
        <f t="shared" si="16"/>
        <v>0</v>
      </c>
      <c r="D156" s="1723">
        <f t="shared" si="17"/>
        <v>0</v>
      </c>
      <c r="E156" s="1723">
        <f t="shared" si="18"/>
        <v>0</v>
      </c>
      <c r="F156" s="1723">
        <f t="shared" si="19"/>
        <v>0</v>
      </c>
      <c r="G156" s="1723">
        <f t="shared" si="20"/>
        <v>0</v>
      </c>
    </row>
    <row r="157" spans="1:7">
      <c r="A157" s="1717">
        <f t="shared" si="21"/>
        <v>145</v>
      </c>
      <c r="B157" s="1722" t="str">
        <f t="shared" si="22"/>
        <v/>
      </c>
      <c r="C157" s="1723">
        <f t="shared" si="16"/>
        <v>0</v>
      </c>
      <c r="D157" s="1723">
        <f t="shared" si="17"/>
        <v>0</v>
      </c>
      <c r="E157" s="1723">
        <f t="shared" si="18"/>
        <v>0</v>
      </c>
      <c r="F157" s="1723">
        <f t="shared" si="19"/>
        <v>0</v>
      </c>
      <c r="G157" s="1723">
        <f t="shared" si="20"/>
        <v>0</v>
      </c>
    </row>
    <row r="158" spans="1:7">
      <c r="A158" s="1717">
        <f t="shared" si="21"/>
        <v>146</v>
      </c>
      <c r="B158" s="1722" t="str">
        <f t="shared" si="22"/>
        <v/>
      </c>
      <c r="C158" s="1723">
        <f t="shared" si="16"/>
        <v>0</v>
      </c>
      <c r="D158" s="1723">
        <f t="shared" si="17"/>
        <v>0</v>
      </c>
      <c r="E158" s="1723">
        <f t="shared" si="18"/>
        <v>0</v>
      </c>
      <c r="F158" s="1723">
        <f t="shared" si="19"/>
        <v>0</v>
      </c>
      <c r="G158" s="1723">
        <f t="shared" si="20"/>
        <v>0</v>
      </c>
    </row>
    <row r="159" spans="1:7">
      <c r="A159" s="1717">
        <f t="shared" si="21"/>
        <v>147</v>
      </c>
      <c r="B159" s="1722" t="str">
        <f t="shared" si="22"/>
        <v/>
      </c>
      <c r="C159" s="1723">
        <f t="shared" si="16"/>
        <v>0</v>
      </c>
      <c r="D159" s="1723">
        <f t="shared" si="17"/>
        <v>0</v>
      </c>
      <c r="E159" s="1723">
        <f t="shared" si="18"/>
        <v>0</v>
      </c>
      <c r="F159" s="1723">
        <f t="shared" si="19"/>
        <v>0</v>
      </c>
      <c r="G159" s="1723">
        <f t="shared" si="20"/>
        <v>0</v>
      </c>
    </row>
    <row r="160" spans="1:7">
      <c r="A160" s="1717">
        <f t="shared" si="21"/>
        <v>148</v>
      </c>
      <c r="B160" s="1722" t="str">
        <f t="shared" si="22"/>
        <v/>
      </c>
      <c r="C160" s="1723">
        <f t="shared" si="16"/>
        <v>0</v>
      </c>
      <c r="D160" s="1723">
        <f t="shared" si="17"/>
        <v>0</v>
      </c>
      <c r="E160" s="1723">
        <f t="shared" si="18"/>
        <v>0</v>
      </c>
      <c r="F160" s="1723">
        <f t="shared" si="19"/>
        <v>0</v>
      </c>
      <c r="G160" s="1723">
        <f t="shared" si="20"/>
        <v>0</v>
      </c>
    </row>
    <row r="161" spans="1:7">
      <c r="A161" s="1717">
        <f t="shared" si="21"/>
        <v>149</v>
      </c>
      <c r="B161" s="1722" t="str">
        <f t="shared" si="22"/>
        <v/>
      </c>
      <c r="C161" s="1723">
        <f t="shared" si="16"/>
        <v>0</v>
      </c>
      <c r="D161" s="1723">
        <f t="shared" si="17"/>
        <v>0</v>
      </c>
      <c r="E161" s="1723">
        <f t="shared" si="18"/>
        <v>0</v>
      </c>
      <c r="F161" s="1723">
        <f t="shared" si="19"/>
        <v>0</v>
      </c>
      <c r="G161" s="1723">
        <f t="shared" si="20"/>
        <v>0</v>
      </c>
    </row>
    <row r="162" spans="1:7">
      <c r="A162" s="1717">
        <f t="shared" si="21"/>
        <v>150</v>
      </c>
      <c r="B162" s="1722" t="str">
        <f t="shared" si="22"/>
        <v/>
      </c>
      <c r="C162" s="1723">
        <f t="shared" si="16"/>
        <v>0</v>
      </c>
      <c r="D162" s="1723">
        <f t="shared" si="17"/>
        <v>0</v>
      </c>
      <c r="E162" s="1723">
        <f t="shared" si="18"/>
        <v>0</v>
      </c>
      <c r="F162" s="1723">
        <f t="shared" si="19"/>
        <v>0</v>
      </c>
      <c r="G162" s="1723">
        <f t="shared" si="20"/>
        <v>0</v>
      </c>
    </row>
    <row r="163" spans="1:7">
      <c r="A163" s="1717">
        <f t="shared" si="21"/>
        <v>151</v>
      </c>
      <c r="B163" s="1722" t="str">
        <f t="shared" si="22"/>
        <v/>
      </c>
      <c r="C163" s="1723">
        <f t="shared" si="16"/>
        <v>0</v>
      </c>
      <c r="D163" s="1723">
        <f t="shared" si="17"/>
        <v>0</v>
      </c>
      <c r="E163" s="1723">
        <f t="shared" si="18"/>
        <v>0</v>
      </c>
      <c r="F163" s="1723">
        <f t="shared" si="19"/>
        <v>0</v>
      </c>
      <c r="G163" s="1723">
        <f t="shared" si="20"/>
        <v>0</v>
      </c>
    </row>
    <row r="164" spans="1:7">
      <c r="A164" s="1717">
        <f t="shared" si="21"/>
        <v>152</v>
      </c>
      <c r="B164" s="1722" t="str">
        <f t="shared" si="22"/>
        <v/>
      </c>
      <c r="C164" s="1723">
        <f t="shared" si="16"/>
        <v>0</v>
      </c>
      <c r="D164" s="1723">
        <f t="shared" si="17"/>
        <v>0</v>
      </c>
      <c r="E164" s="1723">
        <f t="shared" si="18"/>
        <v>0</v>
      </c>
      <c r="F164" s="1723">
        <f t="shared" si="19"/>
        <v>0</v>
      </c>
      <c r="G164" s="1723">
        <f t="shared" si="20"/>
        <v>0</v>
      </c>
    </row>
    <row r="165" spans="1:7">
      <c r="A165" s="1717">
        <f t="shared" si="21"/>
        <v>153</v>
      </c>
      <c r="B165" s="1722" t="str">
        <f t="shared" si="22"/>
        <v/>
      </c>
      <c r="C165" s="1723">
        <f t="shared" si="16"/>
        <v>0</v>
      </c>
      <c r="D165" s="1723">
        <f t="shared" si="17"/>
        <v>0</v>
      </c>
      <c r="E165" s="1723">
        <f t="shared" si="18"/>
        <v>0</v>
      </c>
      <c r="F165" s="1723">
        <f t="shared" si="19"/>
        <v>0</v>
      </c>
      <c r="G165" s="1723">
        <f t="shared" si="20"/>
        <v>0</v>
      </c>
    </row>
    <row r="166" spans="1:7">
      <c r="A166" s="1717">
        <f t="shared" si="21"/>
        <v>154</v>
      </c>
      <c r="B166" s="1722" t="str">
        <f t="shared" si="22"/>
        <v/>
      </c>
      <c r="C166" s="1723">
        <f t="shared" si="16"/>
        <v>0</v>
      </c>
      <c r="D166" s="1723">
        <f t="shared" si="17"/>
        <v>0</v>
      </c>
      <c r="E166" s="1723">
        <f t="shared" si="18"/>
        <v>0</v>
      </c>
      <c r="F166" s="1723">
        <f t="shared" si="19"/>
        <v>0</v>
      </c>
      <c r="G166" s="1723">
        <f t="shared" si="20"/>
        <v>0</v>
      </c>
    </row>
    <row r="167" spans="1:7">
      <c r="A167" s="1717">
        <f t="shared" si="21"/>
        <v>155</v>
      </c>
      <c r="B167" s="1722" t="str">
        <f t="shared" si="22"/>
        <v/>
      </c>
      <c r="C167" s="1723">
        <f t="shared" si="16"/>
        <v>0</v>
      </c>
      <c r="D167" s="1723">
        <f t="shared" si="17"/>
        <v>0</v>
      </c>
      <c r="E167" s="1723">
        <f t="shared" si="18"/>
        <v>0</v>
      </c>
      <c r="F167" s="1723">
        <f t="shared" si="19"/>
        <v>0</v>
      </c>
      <c r="G167" s="1723">
        <f t="shared" si="20"/>
        <v>0</v>
      </c>
    </row>
    <row r="168" spans="1:7">
      <c r="A168" s="1717">
        <f t="shared" si="21"/>
        <v>156</v>
      </c>
      <c r="B168" s="1722" t="str">
        <f t="shared" si="22"/>
        <v/>
      </c>
      <c r="C168" s="1723">
        <f t="shared" si="16"/>
        <v>0</v>
      </c>
      <c r="D168" s="1723">
        <f t="shared" si="17"/>
        <v>0</v>
      </c>
      <c r="E168" s="1723">
        <f t="shared" si="18"/>
        <v>0</v>
      </c>
      <c r="F168" s="1723">
        <f t="shared" si="19"/>
        <v>0</v>
      </c>
      <c r="G168" s="1723">
        <f t="shared" si="20"/>
        <v>0</v>
      </c>
    </row>
    <row r="169" spans="1:7">
      <c r="A169" s="1717">
        <f t="shared" si="21"/>
        <v>157</v>
      </c>
      <c r="B169" s="1722" t="str">
        <f t="shared" si="22"/>
        <v/>
      </c>
      <c r="C169" s="1723">
        <f t="shared" si="16"/>
        <v>0</v>
      </c>
      <c r="D169" s="1723">
        <f t="shared" si="17"/>
        <v>0</v>
      </c>
      <c r="E169" s="1723">
        <f t="shared" si="18"/>
        <v>0</v>
      </c>
      <c r="F169" s="1723">
        <f t="shared" si="19"/>
        <v>0</v>
      </c>
      <c r="G169" s="1723">
        <f t="shared" si="20"/>
        <v>0</v>
      </c>
    </row>
    <row r="170" spans="1:7">
      <c r="A170" s="1717">
        <f t="shared" si="21"/>
        <v>158</v>
      </c>
      <c r="B170" s="1722" t="str">
        <f t="shared" si="22"/>
        <v/>
      </c>
      <c r="C170" s="1723">
        <f t="shared" si="16"/>
        <v>0</v>
      </c>
      <c r="D170" s="1723">
        <f t="shared" si="17"/>
        <v>0</v>
      </c>
      <c r="E170" s="1723">
        <f t="shared" si="18"/>
        <v>0</v>
      </c>
      <c r="F170" s="1723">
        <f t="shared" si="19"/>
        <v>0</v>
      </c>
      <c r="G170" s="1723">
        <f t="shared" si="20"/>
        <v>0</v>
      </c>
    </row>
    <row r="171" spans="1:7">
      <c r="A171" s="1717">
        <f t="shared" si="21"/>
        <v>159</v>
      </c>
      <c r="B171" s="1722" t="str">
        <f t="shared" si="22"/>
        <v/>
      </c>
      <c r="C171" s="1723">
        <f t="shared" si="16"/>
        <v>0</v>
      </c>
      <c r="D171" s="1723">
        <f t="shared" si="17"/>
        <v>0</v>
      </c>
      <c r="E171" s="1723">
        <f t="shared" si="18"/>
        <v>0</v>
      </c>
      <c r="F171" s="1723">
        <f t="shared" si="19"/>
        <v>0</v>
      </c>
      <c r="G171" s="1723">
        <f t="shared" si="20"/>
        <v>0</v>
      </c>
    </row>
    <row r="172" spans="1:7">
      <c r="A172" s="1717">
        <f t="shared" si="21"/>
        <v>160</v>
      </c>
      <c r="B172" s="1722" t="str">
        <f t="shared" si="22"/>
        <v/>
      </c>
      <c r="C172" s="1723">
        <f t="shared" si="16"/>
        <v>0</v>
      </c>
      <c r="D172" s="1723">
        <f t="shared" si="17"/>
        <v>0</v>
      </c>
      <c r="E172" s="1723">
        <f t="shared" si="18"/>
        <v>0</v>
      </c>
      <c r="F172" s="1723">
        <f t="shared" si="19"/>
        <v>0</v>
      </c>
      <c r="G172" s="1723">
        <f t="shared" si="20"/>
        <v>0</v>
      </c>
    </row>
    <row r="173" spans="1:7">
      <c r="A173" s="1717">
        <f t="shared" si="21"/>
        <v>161</v>
      </c>
      <c r="B173" s="1722" t="str">
        <f t="shared" si="22"/>
        <v/>
      </c>
      <c r="C173" s="1723">
        <f t="shared" si="16"/>
        <v>0</v>
      </c>
      <c r="D173" s="1723">
        <f t="shared" si="17"/>
        <v>0</v>
      </c>
      <c r="E173" s="1723">
        <f t="shared" si="18"/>
        <v>0</v>
      </c>
      <c r="F173" s="1723">
        <f t="shared" si="19"/>
        <v>0</v>
      </c>
      <c r="G173" s="1723">
        <f t="shared" si="20"/>
        <v>0</v>
      </c>
    </row>
    <row r="174" spans="1:7">
      <c r="A174" s="1717">
        <f t="shared" si="21"/>
        <v>162</v>
      </c>
      <c r="B174" s="1722" t="str">
        <f t="shared" si="22"/>
        <v/>
      </c>
      <c r="C174" s="1723">
        <f t="shared" si="16"/>
        <v>0</v>
      </c>
      <c r="D174" s="1723">
        <f t="shared" si="17"/>
        <v>0</v>
      </c>
      <c r="E174" s="1723">
        <f t="shared" si="18"/>
        <v>0</v>
      </c>
      <c r="F174" s="1723">
        <f t="shared" si="19"/>
        <v>0</v>
      </c>
      <c r="G174" s="1723">
        <f t="shared" si="20"/>
        <v>0</v>
      </c>
    </row>
    <row r="175" spans="1:7">
      <c r="A175" s="1717">
        <f t="shared" si="21"/>
        <v>163</v>
      </c>
      <c r="B175" s="1722" t="str">
        <f t="shared" si="22"/>
        <v/>
      </c>
      <c r="C175" s="1723">
        <f t="shared" si="16"/>
        <v>0</v>
      </c>
      <c r="D175" s="1723">
        <f t="shared" si="17"/>
        <v>0</v>
      </c>
      <c r="E175" s="1723">
        <f t="shared" si="18"/>
        <v>0</v>
      </c>
      <c r="F175" s="1723">
        <f t="shared" si="19"/>
        <v>0</v>
      </c>
      <c r="G175" s="1723">
        <f t="shared" si="20"/>
        <v>0</v>
      </c>
    </row>
    <row r="176" spans="1:7">
      <c r="A176" s="1717">
        <f t="shared" si="21"/>
        <v>164</v>
      </c>
      <c r="B176" s="1722" t="str">
        <f t="shared" si="22"/>
        <v/>
      </c>
      <c r="C176" s="1723">
        <f t="shared" si="16"/>
        <v>0</v>
      </c>
      <c r="D176" s="1723">
        <f t="shared" si="17"/>
        <v>0</v>
      </c>
      <c r="E176" s="1723">
        <f t="shared" si="18"/>
        <v>0</v>
      </c>
      <c r="F176" s="1723">
        <f t="shared" si="19"/>
        <v>0</v>
      </c>
      <c r="G176" s="1723">
        <f t="shared" si="20"/>
        <v>0</v>
      </c>
    </row>
    <row r="177" spans="1:7">
      <c r="A177" s="1717">
        <f t="shared" si="21"/>
        <v>165</v>
      </c>
      <c r="B177" s="1722" t="str">
        <f t="shared" si="22"/>
        <v/>
      </c>
      <c r="C177" s="1723">
        <f t="shared" si="16"/>
        <v>0</v>
      </c>
      <c r="D177" s="1723">
        <f t="shared" si="17"/>
        <v>0</v>
      </c>
      <c r="E177" s="1723">
        <f t="shared" si="18"/>
        <v>0</v>
      </c>
      <c r="F177" s="1723">
        <f t="shared" si="19"/>
        <v>0</v>
      </c>
      <c r="G177" s="1723">
        <f t="shared" si="20"/>
        <v>0</v>
      </c>
    </row>
    <row r="178" spans="1:7">
      <c r="A178" s="1717">
        <f t="shared" si="21"/>
        <v>166</v>
      </c>
      <c r="B178" s="1722" t="str">
        <f t="shared" si="22"/>
        <v/>
      </c>
      <c r="C178" s="1723">
        <f t="shared" si="16"/>
        <v>0</v>
      </c>
      <c r="D178" s="1723">
        <f t="shared" si="17"/>
        <v>0</v>
      </c>
      <c r="E178" s="1723">
        <f t="shared" si="18"/>
        <v>0</v>
      </c>
      <c r="F178" s="1723">
        <f t="shared" si="19"/>
        <v>0</v>
      </c>
      <c r="G178" s="1723">
        <f t="shared" si="20"/>
        <v>0</v>
      </c>
    </row>
    <row r="179" spans="1:7">
      <c r="A179" s="1717">
        <f t="shared" si="21"/>
        <v>167</v>
      </c>
      <c r="B179" s="1722" t="str">
        <f t="shared" si="22"/>
        <v/>
      </c>
      <c r="C179" s="1723">
        <f t="shared" si="16"/>
        <v>0</v>
      </c>
      <c r="D179" s="1723">
        <f t="shared" si="17"/>
        <v>0</v>
      </c>
      <c r="E179" s="1723">
        <f t="shared" si="18"/>
        <v>0</v>
      </c>
      <c r="F179" s="1723">
        <f t="shared" si="19"/>
        <v>0</v>
      </c>
      <c r="G179" s="1723">
        <f t="shared" si="20"/>
        <v>0</v>
      </c>
    </row>
    <row r="180" spans="1:7">
      <c r="A180" s="1717">
        <f t="shared" si="21"/>
        <v>168</v>
      </c>
      <c r="B180" s="1722" t="str">
        <f t="shared" si="22"/>
        <v/>
      </c>
      <c r="C180" s="1723">
        <f t="shared" si="16"/>
        <v>0</v>
      </c>
      <c r="D180" s="1723">
        <f t="shared" si="17"/>
        <v>0</v>
      </c>
      <c r="E180" s="1723">
        <f t="shared" si="18"/>
        <v>0</v>
      </c>
      <c r="F180" s="1723">
        <f t="shared" si="19"/>
        <v>0</v>
      </c>
      <c r="G180" s="1723">
        <f t="shared" si="20"/>
        <v>0</v>
      </c>
    </row>
    <row r="181" spans="1:7">
      <c r="A181" s="1717">
        <f t="shared" si="21"/>
        <v>169</v>
      </c>
      <c r="B181" s="1722" t="str">
        <f t="shared" si="22"/>
        <v/>
      </c>
      <c r="C181" s="1723">
        <f t="shared" si="16"/>
        <v>0</v>
      </c>
      <c r="D181" s="1723">
        <f t="shared" si="17"/>
        <v>0</v>
      </c>
      <c r="E181" s="1723">
        <f t="shared" si="18"/>
        <v>0</v>
      </c>
      <c r="F181" s="1723">
        <f t="shared" si="19"/>
        <v>0</v>
      </c>
      <c r="G181" s="1723">
        <f t="shared" si="20"/>
        <v>0</v>
      </c>
    </row>
    <row r="182" spans="1:7">
      <c r="A182" s="1717">
        <f t="shared" si="21"/>
        <v>170</v>
      </c>
      <c r="B182" s="1722" t="str">
        <f t="shared" si="22"/>
        <v/>
      </c>
      <c r="C182" s="1723">
        <f t="shared" si="16"/>
        <v>0</v>
      </c>
      <c r="D182" s="1723">
        <f t="shared" si="17"/>
        <v>0</v>
      </c>
      <c r="E182" s="1723">
        <f t="shared" si="18"/>
        <v>0</v>
      </c>
      <c r="F182" s="1723">
        <f t="shared" si="19"/>
        <v>0</v>
      </c>
      <c r="G182" s="1723">
        <f t="shared" si="20"/>
        <v>0</v>
      </c>
    </row>
    <row r="183" spans="1:7">
      <c r="A183" s="1717">
        <f t="shared" si="21"/>
        <v>171</v>
      </c>
      <c r="B183" s="1722" t="str">
        <f t="shared" si="22"/>
        <v/>
      </c>
      <c r="C183" s="1723">
        <f t="shared" si="16"/>
        <v>0</v>
      </c>
      <c r="D183" s="1723">
        <f t="shared" si="17"/>
        <v>0</v>
      </c>
      <c r="E183" s="1723">
        <f t="shared" si="18"/>
        <v>0</v>
      </c>
      <c r="F183" s="1723">
        <f t="shared" si="19"/>
        <v>0</v>
      </c>
      <c r="G183" s="1723">
        <f t="shared" si="20"/>
        <v>0</v>
      </c>
    </row>
    <row r="184" spans="1:7">
      <c r="A184" s="1717">
        <f t="shared" si="21"/>
        <v>172</v>
      </c>
      <c r="B184" s="1722" t="str">
        <f t="shared" si="22"/>
        <v/>
      </c>
      <c r="C184" s="1723">
        <f t="shared" si="16"/>
        <v>0</v>
      </c>
      <c r="D184" s="1723">
        <f t="shared" si="17"/>
        <v>0</v>
      </c>
      <c r="E184" s="1723">
        <f t="shared" si="18"/>
        <v>0</v>
      </c>
      <c r="F184" s="1723">
        <f t="shared" si="19"/>
        <v>0</v>
      </c>
      <c r="G184" s="1723">
        <f t="shared" si="20"/>
        <v>0</v>
      </c>
    </row>
    <row r="185" spans="1:7">
      <c r="A185" s="1717">
        <f t="shared" si="21"/>
        <v>173</v>
      </c>
      <c r="B185" s="1722" t="str">
        <f t="shared" si="22"/>
        <v/>
      </c>
      <c r="C185" s="1723">
        <f t="shared" si="16"/>
        <v>0</v>
      </c>
      <c r="D185" s="1723">
        <f t="shared" si="17"/>
        <v>0</v>
      </c>
      <c r="E185" s="1723">
        <f t="shared" si="18"/>
        <v>0</v>
      </c>
      <c r="F185" s="1723">
        <f t="shared" si="19"/>
        <v>0</v>
      </c>
      <c r="G185" s="1723">
        <f t="shared" si="20"/>
        <v>0</v>
      </c>
    </row>
    <row r="186" spans="1:7">
      <c r="A186" s="1717">
        <f t="shared" si="21"/>
        <v>174</v>
      </c>
      <c r="B186" s="1722" t="str">
        <f t="shared" si="22"/>
        <v/>
      </c>
      <c r="C186" s="1723">
        <f t="shared" si="16"/>
        <v>0</v>
      </c>
      <c r="D186" s="1723">
        <f t="shared" si="17"/>
        <v>0</v>
      </c>
      <c r="E186" s="1723">
        <f t="shared" si="18"/>
        <v>0</v>
      </c>
      <c r="F186" s="1723">
        <f t="shared" si="19"/>
        <v>0</v>
      </c>
      <c r="G186" s="1723">
        <f t="shared" si="20"/>
        <v>0</v>
      </c>
    </row>
    <row r="187" spans="1:7">
      <c r="A187" s="1717">
        <f t="shared" si="21"/>
        <v>175</v>
      </c>
      <c r="B187" s="1722" t="str">
        <f t="shared" si="22"/>
        <v/>
      </c>
      <c r="C187" s="1723">
        <f t="shared" si="16"/>
        <v>0</v>
      </c>
      <c r="D187" s="1723">
        <f t="shared" si="17"/>
        <v>0</v>
      </c>
      <c r="E187" s="1723">
        <f t="shared" si="18"/>
        <v>0</v>
      </c>
      <c r="F187" s="1723">
        <f t="shared" si="19"/>
        <v>0</v>
      </c>
      <c r="G187" s="1723">
        <f t="shared" si="20"/>
        <v>0</v>
      </c>
    </row>
    <row r="188" spans="1:7">
      <c r="A188" s="1717">
        <f t="shared" si="21"/>
        <v>176</v>
      </c>
      <c r="B188" s="1722" t="str">
        <f t="shared" si="22"/>
        <v/>
      </c>
      <c r="C188" s="1723">
        <f t="shared" si="16"/>
        <v>0</v>
      </c>
      <c r="D188" s="1723">
        <f t="shared" si="17"/>
        <v>0</v>
      </c>
      <c r="E188" s="1723">
        <f t="shared" si="18"/>
        <v>0</v>
      </c>
      <c r="F188" s="1723">
        <f t="shared" si="19"/>
        <v>0</v>
      </c>
      <c r="G188" s="1723">
        <f t="shared" si="20"/>
        <v>0</v>
      </c>
    </row>
    <row r="189" spans="1:7">
      <c r="A189" s="1717">
        <f t="shared" si="21"/>
        <v>177</v>
      </c>
      <c r="B189" s="1722" t="str">
        <f t="shared" si="22"/>
        <v/>
      </c>
      <c r="C189" s="1723">
        <f t="shared" si="16"/>
        <v>0</v>
      </c>
      <c r="D189" s="1723">
        <f t="shared" si="17"/>
        <v>0</v>
      </c>
      <c r="E189" s="1723">
        <f t="shared" si="18"/>
        <v>0</v>
      </c>
      <c r="F189" s="1723">
        <f t="shared" si="19"/>
        <v>0</v>
      </c>
      <c r="G189" s="1723">
        <f t="shared" si="20"/>
        <v>0</v>
      </c>
    </row>
    <row r="190" spans="1:7">
      <c r="A190" s="1717">
        <f t="shared" si="21"/>
        <v>178</v>
      </c>
      <c r="B190" s="1722" t="str">
        <f t="shared" si="22"/>
        <v/>
      </c>
      <c r="C190" s="1723">
        <f t="shared" si="16"/>
        <v>0</v>
      </c>
      <c r="D190" s="1723">
        <f t="shared" si="17"/>
        <v>0</v>
      </c>
      <c r="E190" s="1723">
        <f t="shared" si="18"/>
        <v>0</v>
      </c>
      <c r="F190" s="1723">
        <f t="shared" si="19"/>
        <v>0</v>
      </c>
      <c r="G190" s="1723">
        <f t="shared" si="20"/>
        <v>0</v>
      </c>
    </row>
    <row r="191" spans="1:7">
      <c r="A191" s="1717">
        <f t="shared" si="21"/>
        <v>179</v>
      </c>
      <c r="B191" s="1722" t="str">
        <f t="shared" si="22"/>
        <v/>
      </c>
      <c r="C191" s="1723">
        <f t="shared" si="16"/>
        <v>0</v>
      </c>
      <c r="D191" s="1723">
        <f t="shared" si="17"/>
        <v>0</v>
      </c>
      <c r="E191" s="1723">
        <f t="shared" si="18"/>
        <v>0</v>
      </c>
      <c r="F191" s="1723">
        <f t="shared" si="19"/>
        <v>0</v>
      </c>
      <c r="G191" s="1723">
        <f t="shared" si="20"/>
        <v>0</v>
      </c>
    </row>
    <row r="192" spans="1:7">
      <c r="A192" s="1717">
        <f t="shared" si="21"/>
        <v>180</v>
      </c>
      <c r="B192" s="1722" t="str">
        <f t="shared" si="22"/>
        <v/>
      </c>
      <c r="C192" s="1723">
        <f t="shared" si="16"/>
        <v>0</v>
      </c>
      <c r="D192" s="1723">
        <f t="shared" si="17"/>
        <v>0</v>
      </c>
      <c r="E192" s="1723">
        <f t="shared" si="18"/>
        <v>0</v>
      </c>
      <c r="F192" s="1723">
        <f t="shared" si="19"/>
        <v>0</v>
      </c>
      <c r="G192" s="1723">
        <f t="shared" si="20"/>
        <v>0</v>
      </c>
    </row>
    <row r="193" spans="1:7">
      <c r="A193" s="1717">
        <f t="shared" si="21"/>
        <v>181</v>
      </c>
      <c r="B193" s="1722" t="str">
        <f t="shared" si="22"/>
        <v/>
      </c>
      <c r="C193" s="1723">
        <f t="shared" si="16"/>
        <v>0</v>
      </c>
      <c r="D193" s="1723">
        <f t="shared" si="17"/>
        <v>0</v>
      </c>
      <c r="E193" s="1723">
        <f t="shared" si="18"/>
        <v>0</v>
      </c>
      <c r="F193" s="1723">
        <f t="shared" si="19"/>
        <v>0</v>
      </c>
      <c r="G193" s="1723">
        <f t="shared" si="20"/>
        <v>0</v>
      </c>
    </row>
    <row r="194" spans="1:7">
      <c r="A194" s="1717">
        <f t="shared" si="21"/>
        <v>182</v>
      </c>
      <c r="B194" s="1722" t="str">
        <f t="shared" si="22"/>
        <v/>
      </c>
      <c r="C194" s="1723">
        <f t="shared" si="16"/>
        <v>0</v>
      </c>
      <c r="D194" s="1723">
        <f t="shared" si="17"/>
        <v>0</v>
      </c>
      <c r="E194" s="1723">
        <f t="shared" si="18"/>
        <v>0</v>
      </c>
      <c r="F194" s="1723">
        <f t="shared" si="19"/>
        <v>0</v>
      </c>
      <c r="G194" s="1723">
        <f t="shared" si="20"/>
        <v>0</v>
      </c>
    </row>
    <row r="195" spans="1:7">
      <c r="A195" s="1717">
        <f t="shared" si="21"/>
        <v>183</v>
      </c>
      <c r="B195" s="1722" t="str">
        <f t="shared" si="22"/>
        <v/>
      </c>
      <c r="C195" s="1723">
        <f t="shared" si="16"/>
        <v>0</v>
      </c>
      <c r="D195" s="1723">
        <f t="shared" si="17"/>
        <v>0</v>
      </c>
      <c r="E195" s="1723">
        <f t="shared" si="18"/>
        <v>0</v>
      </c>
      <c r="F195" s="1723">
        <f t="shared" si="19"/>
        <v>0</v>
      </c>
      <c r="G195" s="1723">
        <f t="shared" si="20"/>
        <v>0</v>
      </c>
    </row>
    <row r="196" spans="1:7">
      <c r="A196" s="1717">
        <f t="shared" si="21"/>
        <v>184</v>
      </c>
      <c r="B196" s="1722" t="str">
        <f t="shared" si="22"/>
        <v/>
      </c>
      <c r="C196" s="1723">
        <f t="shared" si="16"/>
        <v>0</v>
      </c>
      <c r="D196" s="1723">
        <f t="shared" si="17"/>
        <v>0</v>
      </c>
      <c r="E196" s="1723">
        <f t="shared" si="18"/>
        <v>0</v>
      </c>
      <c r="F196" s="1723">
        <f t="shared" si="19"/>
        <v>0</v>
      </c>
      <c r="G196" s="1723">
        <f t="shared" si="20"/>
        <v>0</v>
      </c>
    </row>
    <row r="197" spans="1:7">
      <c r="A197" s="1717">
        <f t="shared" si="21"/>
        <v>185</v>
      </c>
      <c r="B197" s="1722" t="str">
        <f t="shared" si="22"/>
        <v/>
      </c>
      <c r="C197" s="1723">
        <f t="shared" si="16"/>
        <v>0</v>
      </c>
      <c r="D197" s="1723">
        <f t="shared" si="17"/>
        <v>0</v>
      </c>
      <c r="E197" s="1723">
        <f t="shared" si="18"/>
        <v>0</v>
      </c>
      <c r="F197" s="1723">
        <f t="shared" si="19"/>
        <v>0</v>
      </c>
      <c r="G197" s="1723">
        <f t="shared" si="20"/>
        <v>0</v>
      </c>
    </row>
    <row r="198" spans="1:7">
      <c r="A198" s="1717">
        <f t="shared" si="21"/>
        <v>186</v>
      </c>
      <c r="B198" s="1722" t="str">
        <f t="shared" si="22"/>
        <v/>
      </c>
      <c r="C198" s="1723">
        <f t="shared" si="16"/>
        <v>0</v>
      </c>
      <c r="D198" s="1723">
        <f t="shared" si="17"/>
        <v>0</v>
      </c>
      <c r="E198" s="1723">
        <f t="shared" si="18"/>
        <v>0</v>
      </c>
      <c r="F198" s="1723">
        <f t="shared" si="19"/>
        <v>0</v>
      </c>
      <c r="G198" s="1723">
        <f t="shared" si="20"/>
        <v>0</v>
      </c>
    </row>
    <row r="199" spans="1:7">
      <c r="A199" s="1717">
        <f t="shared" si="21"/>
        <v>187</v>
      </c>
      <c r="B199" s="1722" t="str">
        <f t="shared" si="22"/>
        <v/>
      </c>
      <c r="C199" s="1723">
        <f t="shared" si="16"/>
        <v>0</v>
      </c>
      <c r="D199" s="1723">
        <f t="shared" si="17"/>
        <v>0</v>
      </c>
      <c r="E199" s="1723">
        <f t="shared" si="18"/>
        <v>0</v>
      </c>
      <c r="F199" s="1723">
        <f t="shared" si="19"/>
        <v>0</v>
      </c>
      <c r="G199" s="1723">
        <f t="shared" si="20"/>
        <v>0</v>
      </c>
    </row>
    <row r="200" spans="1:7">
      <c r="A200" s="1717">
        <f t="shared" si="21"/>
        <v>188</v>
      </c>
      <c r="B200" s="1722" t="str">
        <f t="shared" si="22"/>
        <v/>
      </c>
      <c r="C200" s="1723">
        <f t="shared" si="16"/>
        <v>0</v>
      </c>
      <c r="D200" s="1723">
        <f t="shared" si="17"/>
        <v>0</v>
      </c>
      <c r="E200" s="1723">
        <f t="shared" si="18"/>
        <v>0</v>
      </c>
      <c r="F200" s="1723">
        <f t="shared" si="19"/>
        <v>0</v>
      </c>
      <c r="G200" s="1723">
        <f t="shared" si="20"/>
        <v>0</v>
      </c>
    </row>
    <row r="201" spans="1:7">
      <c r="A201" s="1717">
        <f t="shared" si="21"/>
        <v>189</v>
      </c>
      <c r="B201" s="1722" t="str">
        <f t="shared" si="22"/>
        <v/>
      </c>
      <c r="C201" s="1723">
        <f t="shared" si="16"/>
        <v>0</v>
      </c>
      <c r="D201" s="1723">
        <f t="shared" si="17"/>
        <v>0</v>
      </c>
      <c r="E201" s="1723">
        <f t="shared" si="18"/>
        <v>0</v>
      </c>
      <c r="F201" s="1723">
        <f t="shared" si="19"/>
        <v>0</v>
      </c>
      <c r="G201" s="1723">
        <f t="shared" si="20"/>
        <v>0</v>
      </c>
    </row>
    <row r="202" spans="1:7">
      <c r="A202" s="1717">
        <f t="shared" si="21"/>
        <v>190</v>
      </c>
      <c r="B202" s="1722" t="str">
        <f t="shared" si="22"/>
        <v/>
      </c>
      <c r="C202" s="1723">
        <f t="shared" si="16"/>
        <v>0</v>
      </c>
      <c r="D202" s="1723">
        <f t="shared" si="17"/>
        <v>0</v>
      </c>
      <c r="E202" s="1723">
        <f t="shared" si="18"/>
        <v>0</v>
      </c>
      <c r="F202" s="1723">
        <f t="shared" si="19"/>
        <v>0</v>
      </c>
      <c r="G202" s="1723">
        <f t="shared" si="20"/>
        <v>0</v>
      </c>
    </row>
    <row r="203" spans="1:7">
      <c r="A203" s="1717">
        <f t="shared" si="21"/>
        <v>191</v>
      </c>
      <c r="B203" s="1722" t="str">
        <f t="shared" si="22"/>
        <v/>
      </c>
      <c r="C203" s="1723">
        <f t="shared" si="16"/>
        <v>0</v>
      </c>
      <c r="D203" s="1723">
        <f t="shared" si="17"/>
        <v>0</v>
      </c>
      <c r="E203" s="1723">
        <f t="shared" si="18"/>
        <v>0</v>
      </c>
      <c r="F203" s="1723">
        <f t="shared" si="19"/>
        <v>0</v>
      </c>
      <c r="G203" s="1723">
        <f t="shared" si="20"/>
        <v>0</v>
      </c>
    </row>
    <row r="204" spans="1:7">
      <c r="A204" s="1717">
        <f t="shared" si="21"/>
        <v>192</v>
      </c>
      <c r="B204" s="1722" t="str">
        <f t="shared" si="22"/>
        <v/>
      </c>
      <c r="C204" s="1723">
        <f t="shared" si="16"/>
        <v>0</v>
      </c>
      <c r="D204" s="1723">
        <f t="shared" si="17"/>
        <v>0</v>
      </c>
      <c r="E204" s="1723">
        <f t="shared" si="18"/>
        <v>0</v>
      </c>
      <c r="F204" s="1723">
        <f t="shared" si="19"/>
        <v>0</v>
      </c>
      <c r="G204" s="1723">
        <f t="shared" si="20"/>
        <v>0</v>
      </c>
    </row>
    <row r="205" spans="1:7">
      <c r="A205" s="1717">
        <f t="shared" si="21"/>
        <v>193</v>
      </c>
      <c r="B205" s="1722" t="str">
        <f t="shared" si="22"/>
        <v/>
      </c>
      <c r="C205" s="1723">
        <f t="shared" si="16"/>
        <v>0</v>
      </c>
      <c r="D205" s="1723">
        <f t="shared" si="17"/>
        <v>0</v>
      </c>
      <c r="E205" s="1723">
        <f t="shared" si="18"/>
        <v>0</v>
      </c>
      <c r="F205" s="1723">
        <f t="shared" si="19"/>
        <v>0</v>
      </c>
      <c r="G205" s="1723">
        <f t="shared" si="20"/>
        <v>0</v>
      </c>
    </row>
    <row r="206" spans="1:7">
      <c r="A206" s="1717">
        <f t="shared" si="21"/>
        <v>194</v>
      </c>
      <c r="B206" s="1722" t="str">
        <f t="shared" si="22"/>
        <v/>
      </c>
      <c r="C206" s="1723">
        <f t="shared" ref="C206:C269" si="23">IF(A205&lt;$B$6*12,G205,"")</f>
        <v>0</v>
      </c>
      <c r="D206" s="1723">
        <f t="shared" ref="D206:D269" si="24">IF(A206=$B$6*12,C206+E206,IF(A205&lt;$B$6*12,$B$8,""))</f>
        <v>0</v>
      </c>
      <c r="E206" s="1723">
        <f t="shared" ref="E206:E269" si="25">IF(A205&lt;$B$6*12,ROUND(C206*$B$5/12,2),"")</f>
        <v>0</v>
      </c>
      <c r="F206" s="1723">
        <f t="shared" ref="F206:F269" si="26">IF(A205&lt;$B$6*12,D206-E206,"")</f>
        <v>0</v>
      </c>
      <c r="G206" s="1723">
        <f t="shared" ref="G206:G269" si="27">IF(A205&lt;$B$6*12,C206-F206,"")</f>
        <v>0</v>
      </c>
    </row>
    <row r="207" spans="1:7">
      <c r="A207" s="1717">
        <f t="shared" ref="A207:A270" si="28">IF(A206&lt;$B$6*12,A206+1,"")</f>
        <v>195</v>
      </c>
      <c r="B207" s="1722" t="str">
        <f t="shared" ref="B207:B270" si="29">IFERROR(EDATE(B206,1),"")</f>
        <v/>
      </c>
      <c r="C207" s="1723">
        <f t="shared" si="23"/>
        <v>0</v>
      </c>
      <c r="D207" s="1723">
        <f t="shared" si="24"/>
        <v>0</v>
      </c>
      <c r="E207" s="1723">
        <f t="shared" si="25"/>
        <v>0</v>
      </c>
      <c r="F207" s="1723">
        <f t="shared" si="26"/>
        <v>0</v>
      </c>
      <c r="G207" s="1723">
        <f t="shared" si="27"/>
        <v>0</v>
      </c>
    </row>
    <row r="208" spans="1:7">
      <c r="A208" s="1717">
        <f t="shared" si="28"/>
        <v>196</v>
      </c>
      <c r="B208" s="1722" t="str">
        <f t="shared" si="29"/>
        <v/>
      </c>
      <c r="C208" s="1723">
        <f t="shared" si="23"/>
        <v>0</v>
      </c>
      <c r="D208" s="1723">
        <f t="shared" si="24"/>
        <v>0</v>
      </c>
      <c r="E208" s="1723">
        <f t="shared" si="25"/>
        <v>0</v>
      </c>
      <c r="F208" s="1723">
        <f t="shared" si="26"/>
        <v>0</v>
      </c>
      <c r="G208" s="1723">
        <f t="shared" si="27"/>
        <v>0</v>
      </c>
    </row>
    <row r="209" spans="1:7">
      <c r="A209" s="1717">
        <f t="shared" si="28"/>
        <v>197</v>
      </c>
      <c r="B209" s="1722" t="str">
        <f t="shared" si="29"/>
        <v/>
      </c>
      <c r="C209" s="1723">
        <f t="shared" si="23"/>
        <v>0</v>
      </c>
      <c r="D209" s="1723">
        <f t="shared" si="24"/>
        <v>0</v>
      </c>
      <c r="E209" s="1723">
        <f t="shared" si="25"/>
        <v>0</v>
      </c>
      <c r="F209" s="1723">
        <f t="shared" si="26"/>
        <v>0</v>
      </c>
      <c r="G209" s="1723">
        <f t="shared" si="27"/>
        <v>0</v>
      </c>
    </row>
    <row r="210" spans="1:7">
      <c r="A210" s="1717">
        <f t="shared" si="28"/>
        <v>198</v>
      </c>
      <c r="B210" s="1722" t="str">
        <f t="shared" si="29"/>
        <v/>
      </c>
      <c r="C210" s="1723">
        <f t="shared" si="23"/>
        <v>0</v>
      </c>
      <c r="D210" s="1723">
        <f t="shared" si="24"/>
        <v>0</v>
      </c>
      <c r="E210" s="1723">
        <f t="shared" si="25"/>
        <v>0</v>
      </c>
      <c r="F210" s="1723">
        <f t="shared" si="26"/>
        <v>0</v>
      </c>
      <c r="G210" s="1723">
        <f t="shared" si="27"/>
        <v>0</v>
      </c>
    </row>
    <row r="211" spans="1:7">
      <c r="A211" s="1717">
        <f t="shared" si="28"/>
        <v>199</v>
      </c>
      <c r="B211" s="1722" t="str">
        <f t="shared" si="29"/>
        <v/>
      </c>
      <c r="C211" s="1723">
        <f t="shared" si="23"/>
        <v>0</v>
      </c>
      <c r="D211" s="1723">
        <f t="shared" si="24"/>
        <v>0</v>
      </c>
      <c r="E211" s="1723">
        <f t="shared" si="25"/>
        <v>0</v>
      </c>
      <c r="F211" s="1723">
        <f t="shared" si="26"/>
        <v>0</v>
      </c>
      <c r="G211" s="1723">
        <f t="shared" si="27"/>
        <v>0</v>
      </c>
    </row>
    <row r="212" spans="1:7">
      <c r="A212" s="1717">
        <f t="shared" si="28"/>
        <v>200</v>
      </c>
      <c r="B212" s="1722" t="str">
        <f t="shared" si="29"/>
        <v/>
      </c>
      <c r="C212" s="1723">
        <f t="shared" si="23"/>
        <v>0</v>
      </c>
      <c r="D212" s="1723">
        <f t="shared" si="24"/>
        <v>0</v>
      </c>
      <c r="E212" s="1723">
        <f t="shared" si="25"/>
        <v>0</v>
      </c>
      <c r="F212" s="1723">
        <f t="shared" si="26"/>
        <v>0</v>
      </c>
      <c r="G212" s="1723">
        <f t="shared" si="27"/>
        <v>0</v>
      </c>
    </row>
    <row r="213" spans="1:7">
      <c r="A213" s="1717">
        <f t="shared" si="28"/>
        <v>201</v>
      </c>
      <c r="B213" s="1722" t="str">
        <f t="shared" si="29"/>
        <v/>
      </c>
      <c r="C213" s="1723">
        <f t="shared" si="23"/>
        <v>0</v>
      </c>
      <c r="D213" s="1723">
        <f t="shared" si="24"/>
        <v>0</v>
      </c>
      <c r="E213" s="1723">
        <f t="shared" si="25"/>
        <v>0</v>
      </c>
      <c r="F213" s="1723">
        <f t="shared" si="26"/>
        <v>0</v>
      </c>
      <c r="G213" s="1723">
        <f t="shared" si="27"/>
        <v>0</v>
      </c>
    </row>
    <row r="214" spans="1:7">
      <c r="A214" s="1717">
        <f t="shared" si="28"/>
        <v>202</v>
      </c>
      <c r="B214" s="1722" t="str">
        <f t="shared" si="29"/>
        <v/>
      </c>
      <c r="C214" s="1723">
        <f t="shared" si="23"/>
        <v>0</v>
      </c>
      <c r="D214" s="1723">
        <f t="shared" si="24"/>
        <v>0</v>
      </c>
      <c r="E214" s="1723">
        <f t="shared" si="25"/>
        <v>0</v>
      </c>
      <c r="F214" s="1723">
        <f t="shared" si="26"/>
        <v>0</v>
      </c>
      <c r="G214" s="1723">
        <f t="shared" si="27"/>
        <v>0</v>
      </c>
    </row>
    <row r="215" spans="1:7">
      <c r="A215" s="1717">
        <f t="shared" si="28"/>
        <v>203</v>
      </c>
      <c r="B215" s="1722" t="str">
        <f t="shared" si="29"/>
        <v/>
      </c>
      <c r="C215" s="1723">
        <f t="shared" si="23"/>
        <v>0</v>
      </c>
      <c r="D215" s="1723">
        <f t="shared" si="24"/>
        <v>0</v>
      </c>
      <c r="E215" s="1723">
        <f t="shared" si="25"/>
        <v>0</v>
      </c>
      <c r="F215" s="1723">
        <f t="shared" si="26"/>
        <v>0</v>
      </c>
      <c r="G215" s="1723">
        <f t="shared" si="27"/>
        <v>0</v>
      </c>
    </row>
    <row r="216" spans="1:7">
      <c r="A216" s="1717">
        <f t="shared" si="28"/>
        <v>204</v>
      </c>
      <c r="B216" s="1722" t="str">
        <f t="shared" si="29"/>
        <v/>
      </c>
      <c r="C216" s="1723">
        <f t="shared" si="23"/>
        <v>0</v>
      </c>
      <c r="D216" s="1723">
        <f t="shared" si="24"/>
        <v>0</v>
      </c>
      <c r="E216" s="1723">
        <f t="shared" si="25"/>
        <v>0</v>
      </c>
      <c r="F216" s="1723">
        <f t="shared" si="26"/>
        <v>0</v>
      </c>
      <c r="G216" s="1723">
        <f t="shared" si="27"/>
        <v>0</v>
      </c>
    </row>
    <row r="217" spans="1:7">
      <c r="A217" s="1717">
        <f t="shared" si="28"/>
        <v>205</v>
      </c>
      <c r="B217" s="1722" t="str">
        <f t="shared" si="29"/>
        <v/>
      </c>
      <c r="C217" s="1723">
        <f t="shared" si="23"/>
        <v>0</v>
      </c>
      <c r="D217" s="1723">
        <f t="shared" si="24"/>
        <v>0</v>
      </c>
      <c r="E217" s="1723">
        <f t="shared" si="25"/>
        <v>0</v>
      </c>
      <c r="F217" s="1723">
        <f t="shared" si="26"/>
        <v>0</v>
      </c>
      <c r="G217" s="1723">
        <f t="shared" si="27"/>
        <v>0</v>
      </c>
    </row>
    <row r="218" spans="1:7">
      <c r="A218" s="1717">
        <f t="shared" si="28"/>
        <v>206</v>
      </c>
      <c r="B218" s="1722" t="str">
        <f t="shared" si="29"/>
        <v/>
      </c>
      <c r="C218" s="1723">
        <f t="shared" si="23"/>
        <v>0</v>
      </c>
      <c r="D218" s="1723">
        <f t="shared" si="24"/>
        <v>0</v>
      </c>
      <c r="E218" s="1723">
        <f t="shared" si="25"/>
        <v>0</v>
      </c>
      <c r="F218" s="1723">
        <f t="shared" si="26"/>
        <v>0</v>
      </c>
      <c r="G218" s="1723">
        <f t="shared" si="27"/>
        <v>0</v>
      </c>
    </row>
    <row r="219" spans="1:7">
      <c r="A219" s="1717">
        <f t="shared" si="28"/>
        <v>207</v>
      </c>
      <c r="B219" s="1722" t="str">
        <f t="shared" si="29"/>
        <v/>
      </c>
      <c r="C219" s="1723">
        <f t="shared" si="23"/>
        <v>0</v>
      </c>
      <c r="D219" s="1723">
        <f t="shared" si="24"/>
        <v>0</v>
      </c>
      <c r="E219" s="1723">
        <f t="shared" si="25"/>
        <v>0</v>
      </c>
      <c r="F219" s="1723">
        <f t="shared" si="26"/>
        <v>0</v>
      </c>
      <c r="G219" s="1723">
        <f t="shared" si="27"/>
        <v>0</v>
      </c>
    </row>
    <row r="220" spans="1:7">
      <c r="A220" s="1717">
        <f t="shared" si="28"/>
        <v>208</v>
      </c>
      <c r="B220" s="1722" t="str">
        <f t="shared" si="29"/>
        <v/>
      </c>
      <c r="C220" s="1723">
        <f t="shared" si="23"/>
        <v>0</v>
      </c>
      <c r="D220" s="1723">
        <f t="shared" si="24"/>
        <v>0</v>
      </c>
      <c r="E220" s="1723">
        <f t="shared" si="25"/>
        <v>0</v>
      </c>
      <c r="F220" s="1723">
        <f t="shared" si="26"/>
        <v>0</v>
      </c>
      <c r="G220" s="1723">
        <f t="shared" si="27"/>
        <v>0</v>
      </c>
    </row>
    <row r="221" spans="1:7">
      <c r="A221" s="1717">
        <f t="shared" si="28"/>
        <v>209</v>
      </c>
      <c r="B221" s="1722" t="str">
        <f t="shared" si="29"/>
        <v/>
      </c>
      <c r="C221" s="1723">
        <f t="shared" si="23"/>
        <v>0</v>
      </c>
      <c r="D221" s="1723">
        <f t="shared" si="24"/>
        <v>0</v>
      </c>
      <c r="E221" s="1723">
        <f t="shared" si="25"/>
        <v>0</v>
      </c>
      <c r="F221" s="1723">
        <f t="shared" si="26"/>
        <v>0</v>
      </c>
      <c r="G221" s="1723">
        <f t="shared" si="27"/>
        <v>0</v>
      </c>
    </row>
    <row r="222" spans="1:7">
      <c r="A222" s="1717">
        <f t="shared" si="28"/>
        <v>210</v>
      </c>
      <c r="B222" s="1722" t="str">
        <f t="shared" si="29"/>
        <v/>
      </c>
      <c r="C222" s="1723">
        <f t="shared" si="23"/>
        <v>0</v>
      </c>
      <c r="D222" s="1723">
        <f t="shared" si="24"/>
        <v>0</v>
      </c>
      <c r="E222" s="1723">
        <f t="shared" si="25"/>
        <v>0</v>
      </c>
      <c r="F222" s="1723">
        <f t="shared" si="26"/>
        <v>0</v>
      </c>
      <c r="G222" s="1723">
        <f t="shared" si="27"/>
        <v>0</v>
      </c>
    </row>
    <row r="223" spans="1:7">
      <c r="A223" s="1717">
        <f t="shared" si="28"/>
        <v>211</v>
      </c>
      <c r="B223" s="1722" t="str">
        <f t="shared" si="29"/>
        <v/>
      </c>
      <c r="C223" s="1723">
        <f t="shared" si="23"/>
        <v>0</v>
      </c>
      <c r="D223" s="1723">
        <f t="shared" si="24"/>
        <v>0</v>
      </c>
      <c r="E223" s="1723">
        <f t="shared" si="25"/>
        <v>0</v>
      </c>
      <c r="F223" s="1723">
        <f t="shared" si="26"/>
        <v>0</v>
      </c>
      <c r="G223" s="1723">
        <f t="shared" si="27"/>
        <v>0</v>
      </c>
    </row>
    <row r="224" spans="1:7">
      <c r="A224" s="1717">
        <f t="shared" si="28"/>
        <v>212</v>
      </c>
      <c r="B224" s="1722" t="str">
        <f t="shared" si="29"/>
        <v/>
      </c>
      <c r="C224" s="1723">
        <f t="shared" si="23"/>
        <v>0</v>
      </c>
      <c r="D224" s="1723">
        <f t="shared" si="24"/>
        <v>0</v>
      </c>
      <c r="E224" s="1723">
        <f t="shared" si="25"/>
        <v>0</v>
      </c>
      <c r="F224" s="1723">
        <f t="shared" si="26"/>
        <v>0</v>
      </c>
      <c r="G224" s="1723">
        <f t="shared" si="27"/>
        <v>0</v>
      </c>
    </row>
    <row r="225" spans="1:7">
      <c r="A225" s="1717">
        <f t="shared" si="28"/>
        <v>213</v>
      </c>
      <c r="B225" s="1722" t="str">
        <f t="shared" si="29"/>
        <v/>
      </c>
      <c r="C225" s="1723">
        <f t="shared" si="23"/>
        <v>0</v>
      </c>
      <c r="D225" s="1723">
        <f t="shared" si="24"/>
        <v>0</v>
      </c>
      <c r="E225" s="1723">
        <f t="shared" si="25"/>
        <v>0</v>
      </c>
      <c r="F225" s="1723">
        <f t="shared" si="26"/>
        <v>0</v>
      </c>
      <c r="G225" s="1723">
        <f t="shared" si="27"/>
        <v>0</v>
      </c>
    </row>
    <row r="226" spans="1:7">
      <c r="A226" s="1717">
        <f t="shared" si="28"/>
        <v>214</v>
      </c>
      <c r="B226" s="1722" t="str">
        <f t="shared" si="29"/>
        <v/>
      </c>
      <c r="C226" s="1723">
        <f t="shared" si="23"/>
        <v>0</v>
      </c>
      <c r="D226" s="1723">
        <f t="shared" si="24"/>
        <v>0</v>
      </c>
      <c r="E226" s="1723">
        <f t="shared" si="25"/>
        <v>0</v>
      </c>
      <c r="F226" s="1723">
        <f t="shared" si="26"/>
        <v>0</v>
      </c>
      <c r="G226" s="1723">
        <f t="shared" si="27"/>
        <v>0</v>
      </c>
    </row>
    <row r="227" spans="1:7">
      <c r="A227" s="1717">
        <f t="shared" si="28"/>
        <v>215</v>
      </c>
      <c r="B227" s="1722" t="str">
        <f t="shared" si="29"/>
        <v/>
      </c>
      <c r="C227" s="1723">
        <f t="shared" si="23"/>
        <v>0</v>
      </c>
      <c r="D227" s="1723">
        <f t="shared" si="24"/>
        <v>0</v>
      </c>
      <c r="E227" s="1723">
        <f t="shared" si="25"/>
        <v>0</v>
      </c>
      <c r="F227" s="1723">
        <f t="shared" si="26"/>
        <v>0</v>
      </c>
      <c r="G227" s="1723">
        <f t="shared" si="27"/>
        <v>0</v>
      </c>
    </row>
    <row r="228" spans="1:7">
      <c r="A228" s="1717">
        <f t="shared" si="28"/>
        <v>216</v>
      </c>
      <c r="B228" s="1722" t="str">
        <f t="shared" si="29"/>
        <v/>
      </c>
      <c r="C228" s="1723">
        <f t="shared" si="23"/>
        <v>0</v>
      </c>
      <c r="D228" s="1723">
        <f t="shared" si="24"/>
        <v>0</v>
      </c>
      <c r="E228" s="1723">
        <f t="shared" si="25"/>
        <v>0</v>
      </c>
      <c r="F228" s="1723">
        <f t="shared" si="26"/>
        <v>0</v>
      </c>
      <c r="G228" s="1723">
        <f t="shared" si="27"/>
        <v>0</v>
      </c>
    </row>
    <row r="229" spans="1:7">
      <c r="A229" s="1717">
        <f t="shared" si="28"/>
        <v>217</v>
      </c>
      <c r="B229" s="1722" t="str">
        <f t="shared" si="29"/>
        <v/>
      </c>
      <c r="C229" s="1723">
        <f t="shared" si="23"/>
        <v>0</v>
      </c>
      <c r="D229" s="1723">
        <f t="shared" si="24"/>
        <v>0</v>
      </c>
      <c r="E229" s="1723">
        <f t="shared" si="25"/>
        <v>0</v>
      </c>
      <c r="F229" s="1723">
        <f t="shared" si="26"/>
        <v>0</v>
      </c>
      <c r="G229" s="1723">
        <f t="shared" si="27"/>
        <v>0</v>
      </c>
    </row>
    <row r="230" spans="1:7">
      <c r="A230" s="1717">
        <f t="shared" si="28"/>
        <v>218</v>
      </c>
      <c r="B230" s="1722" t="str">
        <f t="shared" si="29"/>
        <v/>
      </c>
      <c r="C230" s="1723">
        <f t="shared" si="23"/>
        <v>0</v>
      </c>
      <c r="D230" s="1723">
        <f t="shared" si="24"/>
        <v>0</v>
      </c>
      <c r="E230" s="1723">
        <f t="shared" si="25"/>
        <v>0</v>
      </c>
      <c r="F230" s="1723">
        <f t="shared" si="26"/>
        <v>0</v>
      </c>
      <c r="G230" s="1723">
        <f t="shared" si="27"/>
        <v>0</v>
      </c>
    </row>
    <row r="231" spans="1:7">
      <c r="A231" s="1717">
        <f t="shared" si="28"/>
        <v>219</v>
      </c>
      <c r="B231" s="1722" t="str">
        <f t="shared" si="29"/>
        <v/>
      </c>
      <c r="C231" s="1723">
        <f t="shared" si="23"/>
        <v>0</v>
      </c>
      <c r="D231" s="1723">
        <f t="shared" si="24"/>
        <v>0</v>
      </c>
      <c r="E231" s="1723">
        <f t="shared" si="25"/>
        <v>0</v>
      </c>
      <c r="F231" s="1723">
        <f t="shared" si="26"/>
        <v>0</v>
      </c>
      <c r="G231" s="1723">
        <f t="shared" si="27"/>
        <v>0</v>
      </c>
    </row>
    <row r="232" spans="1:7">
      <c r="A232" s="1717">
        <f t="shared" si="28"/>
        <v>220</v>
      </c>
      <c r="B232" s="1722" t="str">
        <f t="shared" si="29"/>
        <v/>
      </c>
      <c r="C232" s="1723">
        <f t="shared" si="23"/>
        <v>0</v>
      </c>
      <c r="D232" s="1723">
        <f t="shared" si="24"/>
        <v>0</v>
      </c>
      <c r="E232" s="1723">
        <f t="shared" si="25"/>
        <v>0</v>
      </c>
      <c r="F232" s="1723">
        <f t="shared" si="26"/>
        <v>0</v>
      </c>
      <c r="G232" s="1723">
        <f t="shared" si="27"/>
        <v>0</v>
      </c>
    </row>
    <row r="233" spans="1:7">
      <c r="A233" s="1717">
        <f t="shared" si="28"/>
        <v>221</v>
      </c>
      <c r="B233" s="1722" t="str">
        <f t="shared" si="29"/>
        <v/>
      </c>
      <c r="C233" s="1723">
        <f t="shared" si="23"/>
        <v>0</v>
      </c>
      <c r="D233" s="1723">
        <f t="shared" si="24"/>
        <v>0</v>
      </c>
      <c r="E233" s="1723">
        <f t="shared" si="25"/>
        <v>0</v>
      </c>
      <c r="F233" s="1723">
        <f t="shared" si="26"/>
        <v>0</v>
      </c>
      <c r="G233" s="1723">
        <f t="shared" si="27"/>
        <v>0</v>
      </c>
    </row>
    <row r="234" spans="1:7">
      <c r="A234" s="1717">
        <f t="shared" si="28"/>
        <v>222</v>
      </c>
      <c r="B234" s="1722" t="str">
        <f t="shared" si="29"/>
        <v/>
      </c>
      <c r="C234" s="1723">
        <f t="shared" si="23"/>
        <v>0</v>
      </c>
      <c r="D234" s="1723">
        <f t="shared" si="24"/>
        <v>0</v>
      </c>
      <c r="E234" s="1723">
        <f t="shared" si="25"/>
        <v>0</v>
      </c>
      <c r="F234" s="1723">
        <f t="shared" si="26"/>
        <v>0</v>
      </c>
      <c r="G234" s="1723">
        <f t="shared" si="27"/>
        <v>0</v>
      </c>
    </row>
    <row r="235" spans="1:7">
      <c r="A235" s="1717">
        <f t="shared" si="28"/>
        <v>223</v>
      </c>
      <c r="B235" s="1722" t="str">
        <f t="shared" si="29"/>
        <v/>
      </c>
      <c r="C235" s="1723">
        <f t="shared" si="23"/>
        <v>0</v>
      </c>
      <c r="D235" s="1723">
        <f t="shared" si="24"/>
        <v>0</v>
      </c>
      <c r="E235" s="1723">
        <f t="shared" si="25"/>
        <v>0</v>
      </c>
      <c r="F235" s="1723">
        <f t="shared" si="26"/>
        <v>0</v>
      </c>
      <c r="G235" s="1723">
        <f t="shared" si="27"/>
        <v>0</v>
      </c>
    </row>
    <row r="236" spans="1:7">
      <c r="A236" s="1717">
        <f t="shared" si="28"/>
        <v>224</v>
      </c>
      <c r="B236" s="1722" t="str">
        <f t="shared" si="29"/>
        <v/>
      </c>
      <c r="C236" s="1723">
        <f t="shared" si="23"/>
        <v>0</v>
      </c>
      <c r="D236" s="1723">
        <f t="shared" si="24"/>
        <v>0</v>
      </c>
      <c r="E236" s="1723">
        <f t="shared" si="25"/>
        <v>0</v>
      </c>
      <c r="F236" s="1723">
        <f t="shared" si="26"/>
        <v>0</v>
      </c>
      <c r="G236" s="1723">
        <f t="shared" si="27"/>
        <v>0</v>
      </c>
    </row>
    <row r="237" spans="1:7">
      <c r="A237" s="1717">
        <f t="shared" si="28"/>
        <v>225</v>
      </c>
      <c r="B237" s="1722" t="str">
        <f t="shared" si="29"/>
        <v/>
      </c>
      <c r="C237" s="1723">
        <f t="shared" si="23"/>
        <v>0</v>
      </c>
      <c r="D237" s="1723">
        <f t="shared" si="24"/>
        <v>0</v>
      </c>
      <c r="E237" s="1723">
        <f t="shared" si="25"/>
        <v>0</v>
      </c>
      <c r="F237" s="1723">
        <f t="shared" si="26"/>
        <v>0</v>
      </c>
      <c r="G237" s="1723">
        <f t="shared" si="27"/>
        <v>0</v>
      </c>
    </row>
    <row r="238" spans="1:7">
      <c r="A238" s="1717">
        <f t="shared" si="28"/>
        <v>226</v>
      </c>
      <c r="B238" s="1722" t="str">
        <f t="shared" si="29"/>
        <v/>
      </c>
      <c r="C238" s="1723">
        <f t="shared" si="23"/>
        <v>0</v>
      </c>
      <c r="D238" s="1723">
        <f t="shared" si="24"/>
        <v>0</v>
      </c>
      <c r="E238" s="1723">
        <f t="shared" si="25"/>
        <v>0</v>
      </c>
      <c r="F238" s="1723">
        <f t="shared" si="26"/>
        <v>0</v>
      </c>
      <c r="G238" s="1723">
        <f t="shared" si="27"/>
        <v>0</v>
      </c>
    </row>
    <row r="239" spans="1:7">
      <c r="A239" s="1717">
        <f t="shared" si="28"/>
        <v>227</v>
      </c>
      <c r="B239" s="1722" t="str">
        <f t="shared" si="29"/>
        <v/>
      </c>
      <c r="C239" s="1723">
        <f t="shared" si="23"/>
        <v>0</v>
      </c>
      <c r="D239" s="1723">
        <f t="shared" si="24"/>
        <v>0</v>
      </c>
      <c r="E239" s="1723">
        <f t="shared" si="25"/>
        <v>0</v>
      </c>
      <c r="F239" s="1723">
        <f t="shared" si="26"/>
        <v>0</v>
      </c>
      <c r="G239" s="1723">
        <f t="shared" si="27"/>
        <v>0</v>
      </c>
    </row>
    <row r="240" spans="1:7">
      <c r="A240" s="1717">
        <f t="shared" si="28"/>
        <v>228</v>
      </c>
      <c r="B240" s="1722" t="str">
        <f t="shared" si="29"/>
        <v/>
      </c>
      <c r="C240" s="1723">
        <f t="shared" si="23"/>
        <v>0</v>
      </c>
      <c r="D240" s="1723">
        <f t="shared" si="24"/>
        <v>0</v>
      </c>
      <c r="E240" s="1723">
        <f t="shared" si="25"/>
        <v>0</v>
      </c>
      <c r="F240" s="1723">
        <f t="shared" si="26"/>
        <v>0</v>
      </c>
      <c r="G240" s="1723">
        <f t="shared" si="27"/>
        <v>0</v>
      </c>
    </row>
    <row r="241" spans="1:7">
      <c r="A241" s="1717">
        <f t="shared" si="28"/>
        <v>229</v>
      </c>
      <c r="B241" s="1722" t="str">
        <f t="shared" si="29"/>
        <v/>
      </c>
      <c r="C241" s="1723">
        <f t="shared" si="23"/>
        <v>0</v>
      </c>
      <c r="D241" s="1723">
        <f t="shared" si="24"/>
        <v>0</v>
      </c>
      <c r="E241" s="1723">
        <f t="shared" si="25"/>
        <v>0</v>
      </c>
      <c r="F241" s="1723">
        <f t="shared" si="26"/>
        <v>0</v>
      </c>
      <c r="G241" s="1723">
        <f t="shared" si="27"/>
        <v>0</v>
      </c>
    </row>
    <row r="242" spans="1:7">
      <c r="A242" s="1717">
        <f t="shared" si="28"/>
        <v>230</v>
      </c>
      <c r="B242" s="1722" t="str">
        <f t="shared" si="29"/>
        <v/>
      </c>
      <c r="C242" s="1723">
        <f t="shared" si="23"/>
        <v>0</v>
      </c>
      <c r="D242" s="1723">
        <f t="shared" si="24"/>
        <v>0</v>
      </c>
      <c r="E242" s="1723">
        <f t="shared" si="25"/>
        <v>0</v>
      </c>
      <c r="F242" s="1723">
        <f t="shared" si="26"/>
        <v>0</v>
      </c>
      <c r="G242" s="1723">
        <f t="shared" si="27"/>
        <v>0</v>
      </c>
    </row>
    <row r="243" spans="1:7">
      <c r="A243" s="1717">
        <f t="shared" si="28"/>
        <v>231</v>
      </c>
      <c r="B243" s="1722" t="str">
        <f t="shared" si="29"/>
        <v/>
      </c>
      <c r="C243" s="1723">
        <f t="shared" si="23"/>
        <v>0</v>
      </c>
      <c r="D243" s="1723">
        <f t="shared" si="24"/>
        <v>0</v>
      </c>
      <c r="E243" s="1723">
        <f t="shared" si="25"/>
        <v>0</v>
      </c>
      <c r="F243" s="1723">
        <f t="shared" si="26"/>
        <v>0</v>
      </c>
      <c r="G243" s="1723">
        <f t="shared" si="27"/>
        <v>0</v>
      </c>
    </row>
    <row r="244" spans="1:7">
      <c r="A244" s="1717">
        <f t="shared" si="28"/>
        <v>232</v>
      </c>
      <c r="B244" s="1722" t="str">
        <f t="shared" si="29"/>
        <v/>
      </c>
      <c r="C244" s="1723">
        <f t="shared" si="23"/>
        <v>0</v>
      </c>
      <c r="D244" s="1723">
        <f t="shared" si="24"/>
        <v>0</v>
      </c>
      <c r="E244" s="1723">
        <f t="shared" si="25"/>
        <v>0</v>
      </c>
      <c r="F244" s="1723">
        <f t="shared" si="26"/>
        <v>0</v>
      </c>
      <c r="G244" s="1723">
        <f t="shared" si="27"/>
        <v>0</v>
      </c>
    </row>
    <row r="245" spans="1:7">
      <c r="A245" s="1717">
        <f t="shared" si="28"/>
        <v>233</v>
      </c>
      <c r="B245" s="1722" t="str">
        <f t="shared" si="29"/>
        <v/>
      </c>
      <c r="C245" s="1723">
        <f t="shared" si="23"/>
        <v>0</v>
      </c>
      <c r="D245" s="1723">
        <f t="shared" si="24"/>
        <v>0</v>
      </c>
      <c r="E245" s="1723">
        <f t="shared" si="25"/>
        <v>0</v>
      </c>
      <c r="F245" s="1723">
        <f t="shared" si="26"/>
        <v>0</v>
      </c>
      <c r="G245" s="1723">
        <f t="shared" si="27"/>
        <v>0</v>
      </c>
    </row>
    <row r="246" spans="1:7">
      <c r="A246" s="1717">
        <f t="shared" si="28"/>
        <v>234</v>
      </c>
      <c r="B246" s="1722" t="str">
        <f t="shared" si="29"/>
        <v/>
      </c>
      <c r="C246" s="1723">
        <f t="shared" si="23"/>
        <v>0</v>
      </c>
      <c r="D246" s="1723">
        <f t="shared" si="24"/>
        <v>0</v>
      </c>
      <c r="E246" s="1723">
        <f t="shared" si="25"/>
        <v>0</v>
      </c>
      <c r="F246" s="1723">
        <f t="shared" si="26"/>
        <v>0</v>
      </c>
      <c r="G246" s="1723">
        <f t="shared" si="27"/>
        <v>0</v>
      </c>
    </row>
    <row r="247" spans="1:7">
      <c r="A247" s="1717">
        <f t="shared" si="28"/>
        <v>235</v>
      </c>
      <c r="B247" s="1722" t="str">
        <f t="shared" si="29"/>
        <v/>
      </c>
      <c r="C247" s="1723">
        <f t="shared" si="23"/>
        <v>0</v>
      </c>
      <c r="D247" s="1723">
        <f t="shared" si="24"/>
        <v>0</v>
      </c>
      <c r="E247" s="1723">
        <f t="shared" si="25"/>
        <v>0</v>
      </c>
      <c r="F247" s="1723">
        <f t="shared" si="26"/>
        <v>0</v>
      </c>
      <c r="G247" s="1723">
        <f t="shared" si="27"/>
        <v>0</v>
      </c>
    </row>
    <row r="248" spans="1:7">
      <c r="A248" s="1717">
        <f t="shared" si="28"/>
        <v>236</v>
      </c>
      <c r="B248" s="1722" t="str">
        <f t="shared" si="29"/>
        <v/>
      </c>
      <c r="C248" s="1723">
        <f t="shared" si="23"/>
        <v>0</v>
      </c>
      <c r="D248" s="1723">
        <f t="shared" si="24"/>
        <v>0</v>
      </c>
      <c r="E248" s="1723">
        <f t="shared" si="25"/>
        <v>0</v>
      </c>
      <c r="F248" s="1723">
        <f t="shared" si="26"/>
        <v>0</v>
      </c>
      <c r="G248" s="1723">
        <f t="shared" si="27"/>
        <v>0</v>
      </c>
    </row>
    <row r="249" spans="1:7">
      <c r="A249" s="1717">
        <f t="shared" si="28"/>
        <v>237</v>
      </c>
      <c r="B249" s="1722" t="str">
        <f t="shared" si="29"/>
        <v/>
      </c>
      <c r="C249" s="1723">
        <f t="shared" si="23"/>
        <v>0</v>
      </c>
      <c r="D249" s="1723">
        <f t="shared" si="24"/>
        <v>0</v>
      </c>
      <c r="E249" s="1723">
        <f t="shared" si="25"/>
        <v>0</v>
      </c>
      <c r="F249" s="1723">
        <f t="shared" si="26"/>
        <v>0</v>
      </c>
      <c r="G249" s="1723">
        <f t="shared" si="27"/>
        <v>0</v>
      </c>
    </row>
    <row r="250" spans="1:7">
      <c r="A250" s="1717">
        <f t="shared" si="28"/>
        <v>238</v>
      </c>
      <c r="B250" s="1722" t="str">
        <f t="shared" si="29"/>
        <v/>
      </c>
      <c r="C250" s="1723">
        <f t="shared" si="23"/>
        <v>0</v>
      </c>
      <c r="D250" s="1723">
        <f t="shared" si="24"/>
        <v>0</v>
      </c>
      <c r="E250" s="1723">
        <f t="shared" si="25"/>
        <v>0</v>
      </c>
      <c r="F250" s="1723">
        <f t="shared" si="26"/>
        <v>0</v>
      </c>
      <c r="G250" s="1723">
        <f t="shared" si="27"/>
        <v>0</v>
      </c>
    </row>
    <row r="251" spans="1:7">
      <c r="A251" s="1717">
        <f t="shared" si="28"/>
        <v>239</v>
      </c>
      <c r="B251" s="1722" t="str">
        <f t="shared" si="29"/>
        <v/>
      </c>
      <c r="C251" s="1723">
        <f t="shared" si="23"/>
        <v>0</v>
      </c>
      <c r="D251" s="1723">
        <f t="shared" si="24"/>
        <v>0</v>
      </c>
      <c r="E251" s="1723">
        <f t="shared" si="25"/>
        <v>0</v>
      </c>
      <c r="F251" s="1723">
        <f t="shared" si="26"/>
        <v>0</v>
      </c>
      <c r="G251" s="1723">
        <f t="shared" si="27"/>
        <v>0</v>
      </c>
    </row>
    <row r="252" spans="1:7">
      <c r="A252" s="1717">
        <f t="shared" si="28"/>
        <v>240</v>
      </c>
      <c r="B252" s="1722" t="str">
        <f t="shared" si="29"/>
        <v/>
      </c>
      <c r="C252" s="1723">
        <f t="shared" si="23"/>
        <v>0</v>
      </c>
      <c r="D252" s="1723">
        <f t="shared" si="24"/>
        <v>0</v>
      </c>
      <c r="E252" s="1723">
        <f t="shared" si="25"/>
        <v>0</v>
      </c>
      <c r="F252" s="1723">
        <f t="shared" si="26"/>
        <v>0</v>
      </c>
      <c r="G252" s="1723">
        <f t="shared" si="27"/>
        <v>0</v>
      </c>
    </row>
    <row r="253" spans="1:7">
      <c r="A253" s="1717">
        <f t="shared" si="28"/>
        <v>241</v>
      </c>
      <c r="B253" s="1722" t="str">
        <f t="shared" si="29"/>
        <v/>
      </c>
      <c r="C253" s="1723">
        <f t="shared" si="23"/>
        <v>0</v>
      </c>
      <c r="D253" s="1723">
        <f t="shared" si="24"/>
        <v>0</v>
      </c>
      <c r="E253" s="1723">
        <f t="shared" si="25"/>
        <v>0</v>
      </c>
      <c r="F253" s="1723">
        <f t="shared" si="26"/>
        <v>0</v>
      </c>
      <c r="G253" s="1723">
        <f t="shared" si="27"/>
        <v>0</v>
      </c>
    </row>
    <row r="254" spans="1:7">
      <c r="A254" s="1717">
        <f t="shared" si="28"/>
        <v>242</v>
      </c>
      <c r="B254" s="1722" t="str">
        <f t="shared" si="29"/>
        <v/>
      </c>
      <c r="C254" s="1723">
        <f t="shared" si="23"/>
        <v>0</v>
      </c>
      <c r="D254" s="1723">
        <f t="shared" si="24"/>
        <v>0</v>
      </c>
      <c r="E254" s="1723">
        <f t="shared" si="25"/>
        <v>0</v>
      </c>
      <c r="F254" s="1723">
        <f t="shared" si="26"/>
        <v>0</v>
      </c>
      <c r="G254" s="1723">
        <f t="shared" si="27"/>
        <v>0</v>
      </c>
    </row>
    <row r="255" spans="1:7">
      <c r="A255" s="1717">
        <f t="shared" si="28"/>
        <v>243</v>
      </c>
      <c r="B255" s="1722" t="str">
        <f t="shared" si="29"/>
        <v/>
      </c>
      <c r="C255" s="1723">
        <f t="shared" si="23"/>
        <v>0</v>
      </c>
      <c r="D255" s="1723">
        <f t="shared" si="24"/>
        <v>0</v>
      </c>
      <c r="E255" s="1723">
        <f t="shared" si="25"/>
        <v>0</v>
      </c>
      <c r="F255" s="1723">
        <f t="shared" si="26"/>
        <v>0</v>
      </c>
      <c r="G255" s="1723">
        <f t="shared" si="27"/>
        <v>0</v>
      </c>
    </row>
    <row r="256" spans="1:7">
      <c r="A256" s="1717">
        <f t="shared" si="28"/>
        <v>244</v>
      </c>
      <c r="B256" s="1722" t="str">
        <f t="shared" si="29"/>
        <v/>
      </c>
      <c r="C256" s="1723">
        <f t="shared" si="23"/>
        <v>0</v>
      </c>
      <c r="D256" s="1723">
        <f t="shared" si="24"/>
        <v>0</v>
      </c>
      <c r="E256" s="1723">
        <f t="shared" si="25"/>
        <v>0</v>
      </c>
      <c r="F256" s="1723">
        <f t="shared" si="26"/>
        <v>0</v>
      </c>
      <c r="G256" s="1723">
        <f t="shared" si="27"/>
        <v>0</v>
      </c>
    </row>
    <row r="257" spans="1:7">
      <c r="A257" s="1717">
        <f t="shared" si="28"/>
        <v>245</v>
      </c>
      <c r="B257" s="1722" t="str">
        <f t="shared" si="29"/>
        <v/>
      </c>
      <c r="C257" s="1723">
        <f t="shared" si="23"/>
        <v>0</v>
      </c>
      <c r="D257" s="1723">
        <f t="shared" si="24"/>
        <v>0</v>
      </c>
      <c r="E257" s="1723">
        <f t="shared" si="25"/>
        <v>0</v>
      </c>
      <c r="F257" s="1723">
        <f t="shared" si="26"/>
        <v>0</v>
      </c>
      <c r="G257" s="1723">
        <f t="shared" si="27"/>
        <v>0</v>
      </c>
    </row>
    <row r="258" spans="1:7">
      <c r="A258" s="1717">
        <f t="shared" si="28"/>
        <v>246</v>
      </c>
      <c r="B258" s="1722" t="str">
        <f t="shared" si="29"/>
        <v/>
      </c>
      <c r="C258" s="1723">
        <f t="shared" si="23"/>
        <v>0</v>
      </c>
      <c r="D258" s="1723">
        <f t="shared" si="24"/>
        <v>0</v>
      </c>
      <c r="E258" s="1723">
        <f t="shared" si="25"/>
        <v>0</v>
      </c>
      <c r="F258" s="1723">
        <f t="shared" si="26"/>
        <v>0</v>
      </c>
      <c r="G258" s="1723">
        <f t="shared" si="27"/>
        <v>0</v>
      </c>
    </row>
    <row r="259" spans="1:7">
      <c r="A259" s="1717">
        <f t="shared" si="28"/>
        <v>247</v>
      </c>
      <c r="B259" s="1722" t="str">
        <f t="shared" si="29"/>
        <v/>
      </c>
      <c r="C259" s="1723">
        <f t="shared" si="23"/>
        <v>0</v>
      </c>
      <c r="D259" s="1723">
        <f t="shared" si="24"/>
        <v>0</v>
      </c>
      <c r="E259" s="1723">
        <f t="shared" si="25"/>
        <v>0</v>
      </c>
      <c r="F259" s="1723">
        <f t="shared" si="26"/>
        <v>0</v>
      </c>
      <c r="G259" s="1723">
        <f t="shared" si="27"/>
        <v>0</v>
      </c>
    </row>
    <row r="260" spans="1:7">
      <c r="A260" s="1717">
        <f t="shared" si="28"/>
        <v>248</v>
      </c>
      <c r="B260" s="1722" t="str">
        <f t="shared" si="29"/>
        <v/>
      </c>
      <c r="C260" s="1723">
        <f t="shared" si="23"/>
        <v>0</v>
      </c>
      <c r="D260" s="1723">
        <f t="shared" si="24"/>
        <v>0</v>
      </c>
      <c r="E260" s="1723">
        <f t="shared" si="25"/>
        <v>0</v>
      </c>
      <c r="F260" s="1723">
        <f t="shared" si="26"/>
        <v>0</v>
      </c>
      <c r="G260" s="1723">
        <f t="shared" si="27"/>
        <v>0</v>
      </c>
    </row>
    <row r="261" spans="1:7">
      <c r="A261" s="1717">
        <f t="shared" si="28"/>
        <v>249</v>
      </c>
      <c r="B261" s="1722" t="str">
        <f t="shared" si="29"/>
        <v/>
      </c>
      <c r="C261" s="1723">
        <f t="shared" si="23"/>
        <v>0</v>
      </c>
      <c r="D261" s="1723">
        <f t="shared" si="24"/>
        <v>0</v>
      </c>
      <c r="E261" s="1723">
        <f t="shared" si="25"/>
        <v>0</v>
      </c>
      <c r="F261" s="1723">
        <f t="shared" si="26"/>
        <v>0</v>
      </c>
      <c r="G261" s="1723">
        <f t="shared" si="27"/>
        <v>0</v>
      </c>
    </row>
    <row r="262" spans="1:7">
      <c r="A262" s="1717">
        <f t="shared" si="28"/>
        <v>250</v>
      </c>
      <c r="B262" s="1722" t="str">
        <f t="shared" si="29"/>
        <v/>
      </c>
      <c r="C262" s="1723">
        <f t="shared" si="23"/>
        <v>0</v>
      </c>
      <c r="D262" s="1723">
        <f t="shared" si="24"/>
        <v>0</v>
      </c>
      <c r="E262" s="1723">
        <f t="shared" si="25"/>
        <v>0</v>
      </c>
      <c r="F262" s="1723">
        <f t="shared" si="26"/>
        <v>0</v>
      </c>
      <c r="G262" s="1723">
        <f t="shared" si="27"/>
        <v>0</v>
      </c>
    </row>
    <row r="263" spans="1:7">
      <c r="A263" s="1717">
        <f t="shared" si="28"/>
        <v>251</v>
      </c>
      <c r="B263" s="1722" t="str">
        <f t="shared" si="29"/>
        <v/>
      </c>
      <c r="C263" s="1723">
        <f t="shared" si="23"/>
        <v>0</v>
      </c>
      <c r="D263" s="1723">
        <f t="shared" si="24"/>
        <v>0</v>
      </c>
      <c r="E263" s="1723">
        <f t="shared" si="25"/>
        <v>0</v>
      </c>
      <c r="F263" s="1723">
        <f t="shared" si="26"/>
        <v>0</v>
      </c>
      <c r="G263" s="1723">
        <f t="shared" si="27"/>
        <v>0</v>
      </c>
    </row>
    <row r="264" spans="1:7">
      <c r="A264" s="1717">
        <f t="shared" si="28"/>
        <v>252</v>
      </c>
      <c r="B264" s="1722" t="str">
        <f t="shared" si="29"/>
        <v/>
      </c>
      <c r="C264" s="1723">
        <f t="shared" si="23"/>
        <v>0</v>
      </c>
      <c r="D264" s="1723">
        <f t="shared" si="24"/>
        <v>0</v>
      </c>
      <c r="E264" s="1723">
        <f t="shared" si="25"/>
        <v>0</v>
      </c>
      <c r="F264" s="1723">
        <f t="shared" si="26"/>
        <v>0</v>
      </c>
      <c r="G264" s="1723">
        <f t="shared" si="27"/>
        <v>0</v>
      </c>
    </row>
    <row r="265" spans="1:7">
      <c r="A265" s="1717">
        <f t="shared" si="28"/>
        <v>253</v>
      </c>
      <c r="B265" s="1722" t="str">
        <f t="shared" si="29"/>
        <v/>
      </c>
      <c r="C265" s="1723">
        <f t="shared" si="23"/>
        <v>0</v>
      </c>
      <c r="D265" s="1723">
        <f t="shared" si="24"/>
        <v>0</v>
      </c>
      <c r="E265" s="1723">
        <f t="shared" si="25"/>
        <v>0</v>
      </c>
      <c r="F265" s="1723">
        <f t="shared" si="26"/>
        <v>0</v>
      </c>
      <c r="G265" s="1723">
        <f t="shared" si="27"/>
        <v>0</v>
      </c>
    </row>
    <row r="266" spans="1:7">
      <c r="A266" s="1717">
        <f t="shared" si="28"/>
        <v>254</v>
      </c>
      <c r="B266" s="1722" t="str">
        <f t="shared" si="29"/>
        <v/>
      </c>
      <c r="C266" s="1723">
        <f t="shared" si="23"/>
        <v>0</v>
      </c>
      <c r="D266" s="1723">
        <f t="shared" si="24"/>
        <v>0</v>
      </c>
      <c r="E266" s="1723">
        <f t="shared" si="25"/>
        <v>0</v>
      </c>
      <c r="F266" s="1723">
        <f t="shared" si="26"/>
        <v>0</v>
      </c>
      <c r="G266" s="1723">
        <f t="shared" si="27"/>
        <v>0</v>
      </c>
    </row>
    <row r="267" spans="1:7">
      <c r="A267" s="1717">
        <f t="shared" si="28"/>
        <v>255</v>
      </c>
      <c r="B267" s="1722" t="str">
        <f t="shared" si="29"/>
        <v/>
      </c>
      <c r="C267" s="1723">
        <f t="shared" si="23"/>
        <v>0</v>
      </c>
      <c r="D267" s="1723">
        <f t="shared" si="24"/>
        <v>0</v>
      </c>
      <c r="E267" s="1723">
        <f t="shared" si="25"/>
        <v>0</v>
      </c>
      <c r="F267" s="1723">
        <f t="shared" si="26"/>
        <v>0</v>
      </c>
      <c r="G267" s="1723">
        <f t="shared" si="27"/>
        <v>0</v>
      </c>
    </row>
    <row r="268" spans="1:7">
      <c r="A268" s="1717">
        <f t="shared" si="28"/>
        <v>256</v>
      </c>
      <c r="B268" s="1722" t="str">
        <f t="shared" si="29"/>
        <v/>
      </c>
      <c r="C268" s="1723">
        <f t="shared" si="23"/>
        <v>0</v>
      </c>
      <c r="D268" s="1723">
        <f t="shared" si="24"/>
        <v>0</v>
      </c>
      <c r="E268" s="1723">
        <f t="shared" si="25"/>
        <v>0</v>
      </c>
      <c r="F268" s="1723">
        <f t="shared" si="26"/>
        <v>0</v>
      </c>
      <c r="G268" s="1723">
        <f t="shared" si="27"/>
        <v>0</v>
      </c>
    </row>
    <row r="269" spans="1:7">
      <c r="A269" s="1717">
        <f t="shared" si="28"/>
        <v>257</v>
      </c>
      <c r="B269" s="1722" t="str">
        <f t="shared" si="29"/>
        <v/>
      </c>
      <c r="C269" s="1723">
        <f t="shared" si="23"/>
        <v>0</v>
      </c>
      <c r="D269" s="1723">
        <f t="shared" si="24"/>
        <v>0</v>
      </c>
      <c r="E269" s="1723">
        <f t="shared" si="25"/>
        <v>0</v>
      </c>
      <c r="F269" s="1723">
        <f t="shared" si="26"/>
        <v>0</v>
      </c>
      <c r="G269" s="1723">
        <f t="shared" si="27"/>
        <v>0</v>
      </c>
    </row>
    <row r="270" spans="1:7">
      <c r="A270" s="1717">
        <f t="shared" si="28"/>
        <v>258</v>
      </c>
      <c r="B270" s="1722" t="str">
        <f t="shared" si="29"/>
        <v/>
      </c>
      <c r="C270" s="1723">
        <f t="shared" ref="C270:C333" si="30">IF(A269&lt;$B$6*12,G269,"")</f>
        <v>0</v>
      </c>
      <c r="D270" s="1723">
        <f t="shared" ref="D270:D333" si="31">IF(A270=$B$6*12,C270+E270,IF(A269&lt;$B$6*12,$B$8,""))</f>
        <v>0</v>
      </c>
      <c r="E270" s="1723">
        <f t="shared" ref="E270:E333" si="32">IF(A269&lt;$B$6*12,ROUND(C270*$B$5/12,2),"")</f>
        <v>0</v>
      </c>
      <c r="F270" s="1723">
        <f t="shared" ref="F270:F333" si="33">IF(A269&lt;$B$6*12,D270-E270,"")</f>
        <v>0</v>
      </c>
      <c r="G270" s="1723">
        <f t="shared" ref="G270:G333" si="34">IF(A269&lt;$B$6*12,C270-F270,"")</f>
        <v>0</v>
      </c>
    </row>
    <row r="271" spans="1:7">
      <c r="A271" s="1717">
        <f t="shared" ref="A271:A334" si="35">IF(A270&lt;$B$6*12,A270+1,"")</f>
        <v>259</v>
      </c>
      <c r="B271" s="1722" t="str">
        <f t="shared" ref="B271:B334" si="36">IFERROR(EDATE(B270,1),"")</f>
        <v/>
      </c>
      <c r="C271" s="1723">
        <f t="shared" si="30"/>
        <v>0</v>
      </c>
      <c r="D271" s="1723">
        <f t="shared" si="31"/>
        <v>0</v>
      </c>
      <c r="E271" s="1723">
        <f t="shared" si="32"/>
        <v>0</v>
      </c>
      <c r="F271" s="1723">
        <f t="shared" si="33"/>
        <v>0</v>
      </c>
      <c r="G271" s="1723">
        <f t="shared" si="34"/>
        <v>0</v>
      </c>
    </row>
    <row r="272" spans="1:7">
      <c r="A272" s="1717">
        <f t="shared" si="35"/>
        <v>260</v>
      </c>
      <c r="B272" s="1722" t="str">
        <f t="shared" si="36"/>
        <v/>
      </c>
      <c r="C272" s="1723">
        <f t="shared" si="30"/>
        <v>0</v>
      </c>
      <c r="D272" s="1723">
        <f t="shared" si="31"/>
        <v>0</v>
      </c>
      <c r="E272" s="1723">
        <f t="shared" si="32"/>
        <v>0</v>
      </c>
      <c r="F272" s="1723">
        <f t="shared" si="33"/>
        <v>0</v>
      </c>
      <c r="G272" s="1723">
        <f t="shared" si="34"/>
        <v>0</v>
      </c>
    </row>
    <row r="273" spans="1:7">
      <c r="A273" s="1717">
        <f t="shared" si="35"/>
        <v>261</v>
      </c>
      <c r="B273" s="1722" t="str">
        <f t="shared" si="36"/>
        <v/>
      </c>
      <c r="C273" s="1723">
        <f t="shared" si="30"/>
        <v>0</v>
      </c>
      <c r="D273" s="1723">
        <f t="shared" si="31"/>
        <v>0</v>
      </c>
      <c r="E273" s="1723">
        <f t="shared" si="32"/>
        <v>0</v>
      </c>
      <c r="F273" s="1723">
        <f t="shared" si="33"/>
        <v>0</v>
      </c>
      <c r="G273" s="1723">
        <f t="shared" si="34"/>
        <v>0</v>
      </c>
    </row>
    <row r="274" spans="1:7">
      <c r="A274" s="1717">
        <f t="shared" si="35"/>
        <v>262</v>
      </c>
      <c r="B274" s="1722" t="str">
        <f t="shared" si="36"/>
        <v/>
      </c>
      <c r="C274" s="1723">
        <f t="shared" si="30"/>
        <v>0</v>
      </c>
      <c r="D274" s="1723">
        <f t="shared" si="31"/>
        <v>0</v>
      </c>
      <c r="E274" s="1723">
        <f t="shared" si="32"/>
        <v>0</v>
      </c>
      <c r="F274" s="1723">
        <f t="shared" si="33"/>
        <v>0</v>
      </c>
      <c r="G274" s="1723">
        <f t="shared" si="34"/>
        <v>0</v>
      </c>
    </row>
    <row r="275" spans="1:7">
      <c r="A275" s="1717">
        <f t="shared" si="35"/>
        <v>263</v>
      </c>
      <c r="B275" s="1722" t="str">
        <f t="shared" si="36"/>
        <v/>
      </c>
      <c r="C275" s="1723">
        <f t="shared" si="30"/>
        <v>0</v>
      </c>
      <c r="D275" s="1723">
        <f t="shared" si="31"/>
        <v>0</v>
      </c>
      <c r="E275" s="1723">
        <f t="shared" si="32"/>
        <v>0</v>
      </c>
      <c r="F275" s="1723">
        <f t="shared" si="33"/>
        <v>0</v>
      </c>
      <c r="G275" s="1723">
        <f t="shared" si="34"/>
        <v>0</v>
      </c>
    </row>
    <row r="276" spans="1:7">
      <c r="A276" s="1717">
        <f t="shared" si="35"/>
        <v>264</v>
      </c>
      <c r="B276" s="1722" t="str">
        <f t="shared" si="36"/>
        <v/>
      </c>
      <c r="C276" s="1723">
        <f t="shared" si="30"/>
        <v>0</v>
      </c>
      <c r="D276" s="1723">
        <f t="shared" si="31"/>
        <v>0</v>
      </c>
      <c r="E276" s="1723">
        <f t="shared" si="32"/>
        <v>0</v>
      </c>
      <c r="F276" s="1723">
        <f t="shared" si="33"/>
        <v>0</v>
      </c>
      <c r="G276" s="1723">
        <f t="shared" si="34"/>
        <v>0</v>
      </c>
    </row>
    <row r="277" spans="1:7">
      <c r="A277" s="1717">
        <f t="shared" si="35"/>
        <v>265</v>
      </c>
      <c r="B277" s="1722" t="str">
        <f t="shared" si="36"/>
        <v/>
      </c>
      <c r="C277" s="1723">
        <f t="shared" si="30"/>
        <v>0</v>
      </c>
      <c r="D277" s="1723">
        <f t="shared" si="31"/>
        <v>0</v>
      </c>
      <c r="E277" s="1723">
        <f t="shared" si="32"/>
        <v>0</v>
      </c>
      <c r="F277" s="1723">
        <f t="shared" si="33"/>
        <v>0</v>
      </c>
      <c r="G277" s="1723">
        <f t="shared" si="34"/>
        <v>0</v>
      </c>
    </row>
    <row r="278" spans="1:7">
      <c r="A278" s="1717">
        <f t="shared" si="35"/>
        <v>266</v>
      </c>
      <c r="B278" s="1722" t="str">
        <f t="shared" si="36"/>
        <v/>
      </c>
      <c r="C278" s="1723">
        <f t="shared" si="30"/>
        <v>0</v>
      </c>
      <c r="D278" s="1723">
        <f t="shared" si="31"/>
        <v>0</v>
      </c>
      <c r="E278" s="1723">
        <f t="shared" si="32"/>
        <v>0</v>
      </c>
      <c r="F278" s="1723">
        <f t="shared" si="33"/>
        <v>0</v>
      </c>
      <c r="G278" s="1723">
        <f t="shared" si="34"/>
        <v>0</v>
      </c>
    </row>
    <row r="279" spans="1:7">
      <c r="A279" s="1717">
        <f t="shared" si="35"/>
        <v>267</v>
      </c>
      <c r="B279" s="1722" t="str">
        <f t="shared" si="36"/>
        <v/>
      </c>
      <c r="C279" s="1723">
        <f t="shared" si="30"/>
        <v>0</v>
      </c>
      <c r="D279" s="1723">
        <f t="shared" si="31"/>
        <v>0</v>
      </c>
      <c r="E279" s="1723">
        <f t="shared" si="32"/>
        <v>0</v>
      </c>
      <c r="F279" s="1723">
        <f t="shared" si="33"/>
        <v>0</v>
      </c>
      <c r="G279" s="1723">
        <f t="shared" si="34"/>
        <v>0</v>
      </c>
    </row>
    <row r="280" spans="1:7">
      <c r="A280" s="1717">
        <f t="shared" si="35"/>
        <v>268</v>
      </c>
      <c r="B280" s="1722" t="str">
        <f t="shared" si="36"/>
        <v/>
      </c>
      <c r="C280" s="1723">
        <f t="shared" si="30"/>
        <v>0</v>
      </c>
      <c r="D280" s="1723">
        <f t="shared" si="31"/>
        <v>0</v>
      </c>
      <c r="E280" s="1723">
        <f t="shared" si="32"/>
        <v>0</v>
      </c>
      <c r="F280" s="1723">
        <f t="shared" si="33"/>
        <v>0</v>
      </c>
      <c r="G280" s="1723">
        <f t="shared" si="34"/>
        <v>0</v>
      </c>
    </row>
    <row r="281" spans="1:7">
      <c r="A281" s="1717">
        <f t="shared" si="35"/>
        <v>269</v>
      </c>
      <c r="B281" s="1722" t="str">
        <f t="shared" si="36"/>
        <v/>
      </c>
      <c r="C281" s="1723">
        <f t="shared" si="30"/>
        <v>0</v>
      </c>
      <c r="D281" s="1723">
        <f t="shared" si="31"/>
        <v>0</v>
      </c>
      <c r="E281" s="1723">
        <f t="shared" si="32"/>
        <v>0</v>
      </c>
      <c r="F281" s="1723">
        <f t="shared" si="33"/>
        <v>0</v>
      </c>
      <c r="G281" s="1723">
        <f t="shared" si="34"/>
        <v>0</v>
      </c>
    </row>
    <row r="282" spans="1:7">
      <c r="A282" s="1717">
        <f t="shared" si="35"/>
        <v>270</v>
      </c>
      <c r="B282" s="1722" t="str">
        <f t="shared" si="36"/>
        <v/>
      </c>
      <c r="C282" s="1723">
        <f t="shared" si="30"/>
        <v>0</v>
      </c>
      <c r="D282" s="1723">
        <f t="shared" si="31"/>
        <v>0</v>
      </c>
      <c r="E282" s="1723">
        <f t="shared" si="32"/>
        <v>0</v>
      </c>
      <c r="F282" s="1723">
        <f t="shared" si="33"/>
        <v>0</v>
      </c>
      <c r="G282" s="1723">
        <f t="shared" si="34"/>
        <v>0</v>
      </c>
    </row>
    <row r="283" spans="1:7">
      <c r="A283" s="1717">
        <f t="shared" si="35"/>
        <v>271</v>
      </c>
      <c r="B283" s="1722" t="str">
        <f t="shared" si="36"/>
        <v/>
      </c>
      <c r="C283" s="1723">
        <f t="shared" si="30"/>
        <v>0</v>
      </c>
      <c r="D283" s="1723">
        <f t="shared" si="31"/>
        <v>0</v>
      </c>
      <c r="E283" s="1723">
        <f t="shared" si="32"/>
        <v>0</v>
      </c>
      <c r="F283" s="1723">
        <f t="shared" si="33"/>
        <v>0</v>
      </c>
      <c r="G283" s="1723">
        <f t="shared" si="34"/>
        <v>0</v>
      </c>
    </row>
    <row r="284" spans="1:7">
      <c r="A284" s="1717">
        <f t="shared" si="35"/>
        <v>272</v>
      </c>
      <c r="B284" s="1722" t="str">
        <f t="shared" si="36"/>
        <v/>
      </c>
      <c r="C284" s="1723">
        <f t="shared" si="30"/>
        <v>0</v>
      </c>
      <c r="D284" s="1723">
        <f t="shared" si="31"/>
        <v>0</v>
      </c>
      <c r="E284" s="1723">
        <f t="shared" si="32"/>
        <v>0</v>
      </c>
      <c r="F284" s="1723">
        <f t="shared" si="33"/>
        <v>0</v>
      </c>
      <c r="G284" s="1723">
        <f t="shared" si="34"/>
        <v>0</v>
      </c>
    </row>
    <row r="285" spans="1:7">
      <c r="A285" s="1717">
        <f t="shared" si="35"/>
        <v>273</v>
      </c>
      <c r="B285" s="1722" t="str">
        <f t="shared" si="36"/>
        <v/>
      </c>
      <c r="C285" s="1723">
        <f t="shared" si="30"/>
        <v>0</v>
      </c>
      <c r="D285" s="1723">
        <f t="shared" si="31"/>
        <v>0</v>
      </c>
      <c r="E285" s="1723">
        <f t="shared" si="32"/>
        <v>0</v>
      </c>
      <c r="F285" s="1723">
        <f t="shared" si="33"/>
        <v>0</v>
      </c>
      <c r="G285" s="1723">
        <f t="shared" si="34"/>
        <v>0</v>
      </c>
    </row>
    <row r="286" spans="1:7">
      <c r="A286" s="1717">
        <f t="shared" si="35"/>
        <v>274</v>
      </c>
      <c r="B286" s="1722" t="str">
        <f t="shared" si="36"/>
        <v/>
      </c>
      <c r="C286" s="1723">
        <f t="shared" si="30"/>
        <v>0</v>
      </c>
      <c r="D286" s="1723">
        <f t="shared" si="31"/>
        <v>0</v>
      </c>
      <c r="E286" s="1723">
        <f t="shared" si="32"/>
        <v>0</v>
      </c>
      <c r="F286" s="1723">
        <f t="shared" si="33"/>
        <v>0</v>
      </c>
      <c r="G286" s="1723">
        <f t="shared" si="34"/>
        <v>0</v>
      </c>
    </row>
    <row r="287" spans="1:7">
      <c r="A287" s="1717">
        <f t="shared" si="35"/>
        <v>275</v>
      </c>
      <c r="B287" s="1722" t="str">
        <f t="shared" si="36"/>
        <v/>
      </c>
      <c r="C287" s="1723">
        <f t="shared" si="30"/>
        <v>0</v>
      </c>
      <c r="D287" s="1723">
        <f t="shared" si="31"/>
        <v>0</v>
      </c>
      <c r="E287" s="1723">
        <f t="shared" si="32"/>
        <v>0</v>
      </c>
      <c r="F287" s="1723">
        <f t="shared" si="33"/>
        <v>0</v>
      </c>
      <c r="G287" s="1723">
        <f t="shared" si="34"/>
        <v>0</v>
      </c>
    </row>
    <row r="288" spans="1:7">
      <c r="A288" s="1717">
        <f t="shared" si="35"/>
        <v>276</v>
      </c>
      <c r="B288" s="1722" t="str">
        <f t="shared" si="36"/>
        <v/>
      </c>
      <c r="C288" s="1723">
        <f t="shared" si="30"/>
        <v>0</v>
      </c>
      <c r="D288" s="1723">
        <f t="shared" si="31"/>
        <v>0</v>
      </c>
      <c r="E288" s="1723">
        <f t="shared" si="32"/>
        <v>0</v>
      </c>
      <c r="F288" s="1723">
        <f t="shared" si="33"/>
        <v>0</v>
      </c>
      <c r="G288" s="1723">
        <f t="shared" si="34"/>
        <v>0</v>
      </c>
    </row>
    <row r="289" spans="1:7">
      <c r="A289" s="1717">
        <f t="shared" si="35"/>
        <v>277</v>
      </c>
      <c r="B289" s="1722" t="str">
        <f t="shared" si="36"/>
        <v/>
      </c>
      <c r="C289" s="1723">
        <f t="shared" si="30"/>
        <v>0</v>
      </c>
      <c r="D289" s="1723">
        <f t="shared" si="31"/>
        <v>0</v>
      </c>
      <c r="E289" s="1723">
        <f t="shared" si="32"/>
        <v>0</v>
      </c>
      <c r="F289" s="1723">
        <f t="shared" si="33"/>
        <v>0</v>
      </c>
      <c r="G289" s="1723">
        <f t="shared" si="34"/>
        <v>0</v>
      </c>
    </row>
    <row r="290" spans="1:7">
      <c r="A290" s="1717">
        <f t="shared" si="35"/>
        <v>278</v>
      </c>
      <c r="B290" s="1722" t="str">
        <f t="shared" si="36"/>
        <v/>
      </c>
      <c r="C290" s="1723">
        <f t="shared" si="30"/>
        <v>0</v>
      </c>
      <c r="D290" s="1723">
        <f t="shared" si="31"/>
        <v>0</v>
      </c>
      <c r="E290" s="1723">
        <f t="shared" si="32"/>
        <v>0</v>
      </c>
      <c r="F290" s="1723">
        <f t="shared" si="33"/>
        <v>0</v>
      </c>
      <c r="G290" s="1723">
        <f t="shared" si="34"/>
        <v>0</v>
      </c>
    </row>
    <row r="291" spans="1:7">
      <c r="A291" s="1717">
        <f t="shared" si="35"/>
        <v>279</v>
      </c>
      <c r="B291" s="1722" t="str">
        <f t="shared" si="36"/>
        <v/>
      </c>
      <c r="C291" s="1723">
        <f t="shared" si="30"/>
        <v>0</v>
      </c>
      <c r="D291" s="1723">
        <f t="shared" si="31"/>
        <v>0</v>
      </c>
      <c r="E291" s="1723">
        <f t="shared" si="32"/>
        <v>0</v>
      </c>
      <c r="F291" s="1723">
        <f t="shared" si="33"/>
        <v>0</v>
      </c>
      <c r="G291" s="1723">
        <f t="shared" si="34"/>
        <v>0</v>
      </c>
    </row>
    <row r="292" spans="1:7">
      <c r="A292" s="1717">
        <f t="shared" si="35"/>
        <v>280</v>
      </c>
      <c r="B292" s="1722" t="str">
        <f t="shared" si="36"/>
        <v/>
      </c>
      <c r="C292" s="1723">
        <f t="shared" si="30"/>
        <v>0</v>
      </c>
      <c r="D292" s="1723">
        <f t="shared" si="31"/>
        <v>0</v>
      </c>
      <c r="E292" s="1723">
        <f t="shared" si="32"/>
        <v>0</v>
      </c>
      <c r="F292" s="1723">
        <f t="shared" si="33"/>
        <v>0</v>
      </c>
      <c r="G292" s="1723">
        <f t="shared" si="34"/>
        <v>0</v>
      </c>
    </row>
    <row r="293" spans="1:7">
      <c r="A293" s="1717">
        <f t="shared" si="35"/>
        <v>281</v>
      </c>
      <c r="B293" s="1722" t="str">
        <f t="shared" si="36"/>
        <v/>
      </c>
      <c r="C293" s="1723">
        <f t="shared" si="30"/>
        <v>0</v>
      </c>
      <c r="D293" s="1723">
        <f t="shared" si="31"/>
        <v>0</v>
      </c>
      <c r="E293" s="1723">
        <f t="shared" si="32"/>
        <v>0</v>
      </c>
      <c r="F293" s="1723">
        <f t="shared" si="33"/>
        <v>0</v>
      </c>
      <c r="G293" s="1723">
        <f t="shared" si="34"/>
        <v>0</v>
      </c>
    </row>
    <row r="294" spans="1:7">
      <c r="A294" s="1717">
        <f t="shared" si="35"/>
        <v>282</v>
      </c>
      <c r="B294" s="1722" t="str">
        <f t="shared" si="36"/>
        <v/>
      </c>
      <c r="C294" s="1723">
        <f t="shared" si="30"/>
        <v>0</v>
      </c>
      <c r="D294" s="1723">
        <f t="shared" si="31"/>
        <v>0</v>
      </c>
      <c r="E294" s="1723">
        <f t="shared" si="32"/>
        <v>0</v>
      </c>
      <c r="F294" s="1723">
        <f t="shared" si="33"/>
        <v>0</v>
      </c>
      <c r="G294" s="1723">
        <f t="shared" si="34"/>
        <v>0</v>
      </c>
    </row>
    <row r="295" spans="1:7">
      <c r="A295" s="1717">
        <f t="shared" si="35"/>
        <v>283</v>
      </c>
      <c r="B295" s="1722" t="str">
        <f t="shared" si="36"/>
        <v/>
      </c>
      <c r="C295" s="1723">
        <f t="shared" si="30"/>
        <v>0</v>
      </c>
      <c r="D295" s="1723">
        <f t="shared" si="31"/>
        <v>0</v>
      </c>
      <c r="E295" s="1723">
        <f t="shared" si="32"/>
        <v>0</v>
      </c>
      <c r="F295" s="1723">
        <f t="shared" si="33"/>
        <v>0</v>
      </c>
      <c r="G295" s="1723">
        <f t="shared" si="34"/>
        <v>0</v>
      </c>
    </row>
    <row r="296" spans="1:7">
      <c r="A296" s="1717">
        <f t="shared" si="35"/>
        <v>284</v>
      </c>
      <c r="B296" s="1722" t="str">
        <f t="shared" si="36"/>
        <v/>
      </c>
      <c r="C296" s="1723">
        <f t="shared" si="30"/>
        <v>0</v>
      </c>
      <c r="D296" s="1723">
        <f t="shared" si="31"/>
        <v>0</v>
      </c>
      <c r="E296" s="1723">
        <f t="shared" si="32"/>
        <v>0</v>
      </c>
      <c r="F296" s="1723">
        <f t="shared" si="33"/>
        <v>0</v>
      </c>
      <c r="G296" s="1723">
        <f t="shared" si="34"/>
        <v>0</v>
      </c>
    </row>
    <row r="297" spans="1:7">
      <c r="A297" s="1717">
        <f t="shared" si="35"/>
        <v>285</v>
      </c>
      <c r="B297" s="1722" t="str">
        <f t="shared" si="36"/>
        <v/>
      </c>
      <c r="C297" s="1723">
        <f t="shared" si="30"/>
        <v>0</v>
      </c>
      <c r="D297" s="1723">
        <f t="shared" si="31"/>
        <v>0</v>
      </c>
      <c r="E297" s="1723">
        <f t="shared" si="32"/>
        <v>0</v>
      </c>
      <c r="F297" s="1723">
        <f t="shared" si="33"/>
        <v>0</v>
      </c>
      <c r="G297" s="1723">
        <f t="shared" si="34"/>
        <v>0</v>
      </c>
    </row>
    <row r="298" spans="1:7">
      <c r="A298" s="1717">
        <f t="shared" si="35"/>
        <v>286</v>
      </c>
      <c r="B298" s="1722" t="str">
        <f t="shared" si="36"/>
        <v/>
      </c>
      <c r="C298" s="1723">
        <f t="shared" si="30"/>
        <v>0</v>
      </c>
      <c r="D298" s="1723">
        <f t="shared" si="31"/>
        <v>0</v>
      </c>
      <c r="E298" s="1723">
        <f t="shared" si="32"/>
        <v>0</v>
      </c>
      <c r="F298" s="1723">
        <f t="shared" si="33"/>
        <v>0</v>
      </c>
      <c r="G298" s="1723">
        <f t="shared" si="34"/>
        <v>0</v>
      </c>
    </row>
    <row r="299" spans="1:7">
      <c r="A299" s="1717">
        <f t="shared" si="35"/>
        <v>287</v>
      </c>
      <c r="B299" s="1722" t="str">
        <f t="shared" si="36"/>
        <v/>
      </c>
      <c r="C299" s="1723">
        <f t="shared" si="30"/>
        <v>0</v>
      </c>
      <c r="D299" s="1723">
        <f t="shared" si="31"/>
        <v>0</v>
      </c>
      <c r="E299" s="1723">
        <f t="shared" si="32"/>
        <v>0</v>
      </c>
      <c r="F299" s="1723">
        <f t="shared" si="33"/>
        <v>0</v>
      </c>
      <c r="G299" s="1723">
        <f t="shared" si="34"/>
        <v>0</v>
      </c>
    </row>
    <row r="300" spans="1:7">
      <c r="A300" s="1717">
        <f t="shared" si="35"/>
        <v>288</v>
      </c>
      <c r="B300" s="1722" t="str">
        <f t="shared" si="36"/>
        <v/>
      </c>
      <c r="C300" s="1723">
        <f t="shared" si="30"/>
        <v>0</v>
      </c>
      <c r="D300" s="1723">
        <f t="shared" si="31"/>
        <v>0</v>
      </c>
      <c r="E300" s="1723">
        <f t="shared" si="32"/>
        <v>0</v>
      </c>
      <c r="F300" s="1723">
        <f t="shared" si="33"/>
        <v>0</v>
      </c>
      <c r="G300" s="1723">
        <f t="shared" si="34"/>
        <v>0</v>
      </c>
    </row>
    <row r="301" spans="1:7">
      <c r="A301" s="1717">
        <f t="shared" si="35"/>
        <v>289</v>
      </c>
      <c r="B301" s="1722" t="str">
        <f t="shared" si="36"/>
        <v/>
      </c>
      <c r="C301" s="1723">
        <f t="shared" si="30"/>
        <v>0</v>
      </c>
      <c r="D301" s="1723">
        <f t="shared" si="31"/>
        <v>0</v>
      </c>
      <c r="E301" s="1723">
        <f t="shared" si="32"/>
        <v>0</v>
      </c>
      <c r="F301" s="1723">
        <f t="shared" si="33"/>
        <v>0</v>
      </c>
      <c r="G301" s="1723">
        <f t="shared" si="34"/>
        <v>0</v>
      </c>
    </row>
    <row r="302" spans="1:7">
      <c r="A302" s="1717">
        <f t="shared" si="35"/>
        <v>290</v>
      </c>
      <c r="B302" s="1722" t="str">
        <f t="shared" si="36"/>
        <v/>
      </c>
      <c r="C302" s="1723">
        <f t="shared" si="30"/>
        <v>0</v>
      </c>
      <c r="D302" s="1723">
        <f t="shared" si="31"/>
        <v>0</v>
      </c>
      <c r="E302" s="1723">
        <f t="shared" si="32"/>
        <v>0</v>
      </c>
      <c r="F302" s="1723">
        <f t="shared" si="33"/>
        <v>0</v>
      </c>
      <c r="G302" s="1723">
        <f t="shared" si="34"/>
        <v>0</v>
      </c>
    </row>
    <row r="303" spans="1:7">
      <c r="A303" s="1717">
        <f t="shared" si="35"/>
        <v>291</v>
      </c>
      <c r="B303" s="1722" t="str">
        <f t="shared" si="36"/>
        <v/>
      </c>
      <c r="C303" s="1723">
        <f t="shared" si="30"/>
        <v>0</v>
      </c>
      <c r="D303" s="1723">
        <f t="shared" si="31"/>
        <v>0</v>
      </c>
      <c r="E303" s="1723">
        <f t="shared" si="32"/>
        <v>0</v>
      </c>
      <c r="F303" s="1723">
        <f t="shared" si="33"/>
        <v>0</v>
      </c>
      <c r="G303" s="1723">
        <f t="shared" si="34"/>
        <v>0</v>
      </c>
    </row>
    <row r="304" spans="1:7">
      <c r="A304" s="1717">
        <f t="shared" si="35"/>
        <v>292</v>
      </c>
      <c r="B304" s="1722" t="str">
        <f t="shared" si="36"/>
        <v/>
      </c>
      <c r="C304" s="1723">
        <f t="shared" si="30"/>
        <v>0</v>
      </c>
      <c r="D304" s="1723">
        <f t="shared" si="31"/>
        <v>0</v>
      </c>
      <c r="E304" s="1723">
        <f t="shared" si="32"/>
        <v>0</v>
      </c>
      <c r="F304" s="1723">
        <f t="shared" si="33"/>
        <v>0</v>
      </c>
      <c r="G304" s="1723">
        <f t="shared" si="34"/>
        <v>0</v>
      </c>
    </row>
    <row r="305" spans="1:7">
      <c r="A305" s="1717">
        <f t="shared" si="35"/>
        <v>293</v>
      </c>
      <c r="B305" s="1722" t="str">
        <f t="shared" si="36"/>
        <v/>
      </c>
      <c r="C305" s="1723">
        <f t="shared" si="30"/>
        <v>0</v>
      </c>
      <c r="D305" s="1723">
        <f t="shared" si="31"/>
        <v>0</v>
      </c>
      <c r="E305" s="1723">
        <f t="shared" si="32"/>
        <v>0</v>
      </c>
      <c r="F305" s="1723">
        <f t="shared" si="33"/>
        <v>0</v>
      </c>
      <c r="G305" s="1723">
        <f t="shared" si="34"/>
        <v>0</v>
      </c>
    </row>
    <row r="306" spans="1:7">
      <c r="A306" s="1717">
        <f t="shared" si="35"/>
        <v>294</v>
      </c>
      <c r="B306" s="1722" t="str">
        <f t="shared" si="36"/>
        <v/>
      </c>
      <c r="C306" s="1723">
        <f t="shared" si="30"/>
        <v>0</v>
      </c>
      <c r="D306" s="1723">
        <f t="shared" si="31"/>
        <v>0</v>
      </c>
      <c r="E306" s="1723">
        <f t="shared" si="32"/>
        <v>0</v>
      </c>
      <c r="F306" s="1723">
        <f t="shared" si="33"/>
        <v>0</v>
      </c>
      <c r="G306" s="1723">
        <f t="shared" si="34"/>
        <v>0</v>
      </c>
    </row>
    <row r="307" spans="1:7">
      <c r="A307" s="1717">
        <f t="shared" si="35"/>
        <v>295</v>
      </c>
      <c r="B307" s="1722" t="str">
        <f t="shared" si="36"/>
        <v/>
      </c>
      <c r="C307" s="1723">
        <f t="shared" si="30"/>
        <v>0</v>
      </c>
      <c r="D307" s="1723">
        <f t="shared" si="31"/>
        <v>0</v>
      </c>
      <c r="E307" s="1723">
        <f t="shared" si="32"/>
        <v>0</v>
      </c>
      <c r="F307" s="1723">
        <f t="shared" si="33"/>
        <v>0</v>
      </c>
      <c r="G307" s="1723">
        <f t="shared" si="34"/>
        <v>0</v>
      </c>
    </row>
    <row r="308" spans="1:7">
      <c r="A308" s="1717">
        <f t="shared" si="35"/>
        <v>296</v>
      </c>
      <c r="B308" s="1722" t="str">
        <f t="shared" si="36"/>
        <v/>
      </c>
      <c r="C308" s="1723">
        <f t="shared" si="30"/>
        <v>0</v>
      </c>
      <c r="D308" s="1723">
        <f t="shared" si="31"/>
        <v>0</v>
      </c>
      <c r="E308" s="1723">
        <f t="shared" si="32"/>
        <v>0</v>
      </c>
      <c r="F308" s="1723">
        <f t="shared" si="33"/>
        <v>0</v>
      </c>
      <c r="G308" s="1723">
        <f t="shared" si="34"/>
        <v>0</v>
      </c>
    </row>
    <row r="309" spans="1:7">
      <c r="A309" s="1717">
        <f t="shared" si="35"/>
        <v>297</v>
      </c>
      <c r="B309" s="1722" t="str">
        <f t="shared" si="36"/>
        <v/>
      </c>
      <c r="C309" s="1723">
        <f t="shared" si="30"/>
        <v>0</v>
      </c>
      <c r="D309" s="1723">
        <f t="shared" si="31"/>
        <v>0</v>
      </c>
      <c r="E309" s="1723">
        <f t="shared" si="32"/>
        <v>0</v>
      </c>
      <c r="F309" s="1723">
        <f t="shared" si="33"/>
        <v>0</v>
      </c>
      <c r="G309" s="1723">
        <f t="shared" si="34"/>
        <v>0</v>
      </c>
    </row>
    <row r="310" spans="1:7">
      <c r="A310" s="1717">
        <f t="shared" si="35"/>
        <v>298</v>
      </c>
      <c r="B310" s="1722" t="str">
        <f t="shared" si="36"/>
        <v/>
      </c>
      <c r="C310" s="1723">
        <f t="shared" si="30"/>
        <v>0</v>
      </c>
      <c r="D310" s="1723">
        <f t="shared" si="31"/>
        <v>0</v>
      </c>
      <c r="E310" s="1723">
        <f t="shared" si="32"/>
        <v>0</v>
      </c>
      <c r="F310" s="1723">
        <f t="shared" si="33"/>
        <v>0</v>
      </c>
      <c r="G310" s="1723">
        <f t="shared" si="34"/>
        <v>0</v>
      </c>
    </row>
    <row r="311" spans="1:7">
      <c r="A311" s="1717">
        <f t="shared" si="35"/>
        <v>299</v>
      </c>
      <c r="B311" s="1722" t="str">
        <f t="shared" si="36"/>
        <v/>
      </c>
      <c r="C311" s="1723">
        <f t="shared" si="30"/>
        <v>0</v>
      </c>
      <c r="D311" s="1723">
        <f t="shared" si="31"/>
        <v>0</v>
      </c>
      <c r="E311" s="1723">
        <f t="shared" si="32"/>
        <v>0</v>
      </c>
      <c r="F311" s="1723">
        <f t="shared" si="33"/>
        <v>0</v>
      </c>
      <c r="G311" s="1723">
        <f t="shared" si="34"/>
        <v>0</v>
      </c>
    </row>
    <row r="312" spans="1:7">
      <c r="A312" s="1717">
        <f t="shared" si="35"/>
        <v>300</v>
      </c>
      <c r="B312" s="1722" t="str">
        <f t="shared" si="36"/>
        <v/>
      </c>
      <c r="C312" s="1723">
        <f t="shared" si="30"/>
        <v>0</v>
      </c>
      <c r="D312" s="1723">
        <f t="shared" si="31"/>
        <v>0</v>
      </c>
      <c r="E312" s="1723">
        <f t="shared" si="32"/>
        <v>0</v>
      </c>
      <c r="F312" s="1723">
        <f t="shared" si="33"/>
        <v>0</v>
      </c>
      <c r="G312" s="1723">
        <f t="shared" si="34"/>
        <v>0</v>
      </c>
    </row>
    <row r="313" spans="1:7">
      <c r="A313" s="1717">
        <f t="shared" si="35"/>
        <v>301</v>
      </c>
      <c r="B313" s="1722" t="str">
        <f t="shared" si="36"/>
        <v/>
      </c>
      <c r="C313" s="1723">
        <f t="shared" si="30"/>
        <v>0</v>
      </c>
      <c r="D313" s="1723">
        <f t="shared" si="31"/>
        <v>0</v>
      </c>
      <c r="E313" s="1723">
        <f t="shared" si="32"/>
        <v>0</v>
      </c>
      <c r="F313" s="1723">
        <f t="shared" si="33"/>
        <v>0</v>
      </c>
      <c r="G313" s="1723">
        <f t="shared" si="34"/>
        <v>0</v>
      </c>
    </row>
    <row r="314" spans="1:7">
      <c r="A314" s="1717">
        <f t="shared" si="35"/>
        <v>302</v>
      </c>
      <c r="B314" s="1722" t="str">
        <f t="shared" si="36"/>
        <v/>
      </c>
      <c r="C314" s="1723">
        <f t="shared" si="30"/>
        <v>0</v>
      </c>
      <c r="D314" s="1723">
        <f t="shared" si="31"/>
        <v>0</v>
      </c>
      <c r="E314" s="1723">
        <f t="shared" si="32"/>
        <v>0</v>
      </c>
      <c r="F314" s="1723">
        <f t="shared" si="33"/>
        <v>0</v>
      </c>
      <c r="G314" s="1723">
        <f t="shared" si="34"/>
        <v>0</v>
      </c>
    </row>
    <row r="315" spans="1:7">
      <c r="A315" s="1717">
        <f t="shared" si="35"/>
        <v>303</v>
      </c>
      <c r="B315" s="1722" t="str">
        <f t="shared" si="36"/>
        <v/>
      </c>
      <c r="C315" s="1723">
        <f t="shared" si="30"/>
        <v>0</v>
      </c>
      <c r="D315" s="1723">
        <f t="shared" si="31"/>
        <v>0</v>
      </c>
      <c r="E315" s="1723">
        <f t="shared" si="32"/>
        <v>0</v>
      </c>
      <c r="F315" s="1723">
        <f t="shared" si="33"/>
        <v>0</v>
      </c>
      <c r="G315" s="1723">
        <f t="shared" si="34"/>
        <v>0</v>
      </c>
    </row>
    <row r="316" spans="1:7">
      <c r="A316" s="1717">
        <f t="shared" si="35"/>
        <v>304</v>
      </c>
      <c r="B316" s="1722" t="str">
        <f t="shared" si="36"/>
        <v/>
      </c>
      <c r="C316" s="1723">
        <f t="shared" si="30"/>
        <v>0</v>
      </c>
      <c r="D316" s="1723">
        <f t="shared" si="31"/>
        <v>0</v>
      </c>
      <c r="E316" s="1723">
        <f t="shared" si="32"/>
        <v>0</v>
      </c>
      <c r="F316" s="1723">
        <f t="shared" si="33"/>
        <v>0</v>
      </c>
      <c r="G316" s="1723">
        <f t="shared" si="34"/>
        <v>0</v>
      </c>
    </row>
    <row r="317" spans="1:7">
      <c r="A317" s="1717">
        <f t="shared" si="35"/>
        <v>305</v>
      </c>
      <c r="B317" s="1722" t="str">
        <f t="shared" si="36"/>
        <v/>
      </c>
      <c r="C317" s="1723">
        <f t="shared" si="30"/>
        <v>0</v>
      </c>
      <c r="D317" s="1723">
        <f t="shared" si="31"/>
        <v>0</v>
      </c>
      <c r="E317" s="1723">
        <f t="shared" si="32"/>
        <v>0</v>
      </c>
      <c r="F317" s="1723">
        <f t="shared" si="33"/>
        <v>0</v>
      </c>
      <c r="G317" s="1723">
        <f t="shared" si="34"/>
        <v>0</v>
      </c>
    </row>
    <row r="318" spans="1:7">
      <c r="A318" s="1717">
        <f t="shared" si="35"/>
        <v>306</v>
      </c>
      <c r="B318" s="1722" t="str">
        <f t="shared" si="36"/>
        <v/>
      </c>
      <c r="C318" s="1723">
        <f t="shared" si="30"/>
        <v>0</v>
      </c>
      <c r="D318" s="1723">
        <f t="shared" si="31"/>
        <v>0</v>
      </c>
      <c r="E318" s="1723">
        <f t="shared" si="32"/>
        <v>0</v>
      </c>
      <c r="F318" s="1723">
        <f t="shared" si="33"/>
        <v>0</v>
      </c>
      <c r="G318" s="1723">
        <f t="shared" si="34"/>
        <v>0</v>
      </c>
    </row>
    <row r="319" spans="1:7">
      <c r="A319" s="1717">
        <f t="shared" si="35"/>
        <v>307</v>
      </c>
      <c r="B319" s="1722" t="str">
        <f t="shared" si="36"/>
        <v/>
      </c>
      <c r="C319" s="1723">
        <f t="shared" si="30"/>
        <v>0</v>
      </c>
      <c r="D319" s="1723">
        <f t="shared" si="31"/>
        <v>0</v>
      </c>
      <c r="E319" s="1723">
        <f t="shared" si="32"/>
        <v>0</v>
      </c>
      <c r="F319" s="1723">
        <f t="shared" si="33"/>
        <v>0</v>
      </c>
      <c r="G319" s="1723">
        <f t="shared" si="34"/>
        <v>0</v>
      </c>
    </row>
    <row r="320" spans="1:7">
      <c r="A320" s="1717">
        <f t="shared" si="35"/>
        <v>308</v>
      </c>
      <c r="B320" s="1722" t="str">
        <f t="shared" si="36"/>
        <v/>
      </c>
      <c r="C320" s="1723">
        <f t="shared" si="30"/>
        <v>0</v>
      </c>
      <c r="D320" s="1723">
        <f t="shared" si="31"/>
        <v>0</v>
      </c>
      <c r="E320" s="1723">
        <f t="shared" si="32"/>
        <v>0</v>
      </c>
      <c r="F320" s="1723">
        <f t="shared" si="33"/>
        <v>0</v>
      </c>
      <c r="G320" s="1723">
        <f t="shared" si="34"/>
        <v>0</v>
      </c>
    </row>
    <row r="321" spans="1:7">
      <c r="A321" s="1717">
        <f t="shared" si="35"/>
        <v>309</v>
      </c>
      <c r="B321" s="1722" t="str">
        <f t="shared" si="36"/>
        <v/>
      </c>
      <c r="C321" s="1723">
        <f t="shared" si="30"/>
        <v>0</v>
      </c>
      <c r="D321" s="1723">
        <f t="shared" si="31"/>
        <v>0</v>
      </c>
      <c r="E321" s="1723">
        <f t="shared" si="32"/>
        <v>0</v>
      </c>
      <c r="F321" s="1723">
        <f t="shared" si="33"/>
        <v>0</v>
      </c>
      <c r="G321" s="1723">
        <f t="shared" si="34"/>
        <v>0</v>
      </c>
    </row>
    <row r="322" spans="1:7">
      <c r="A322" s="1717">
        <f t="shared" si="35"/>
        <v>310</v>
      </c>
      <c r="B322" s="1722" t="str">
        <f t="shared" si="36"/>
        <v/>
      </c>
      <c r="C322" s="1723">
        <f t="shared" si="30"/>
        <v>0</v>
      </c>
      <c r="D322" s="1723">
        <f t="shared" si="31"/>
        <v>0</v>
      </c>
      <c r="E322" s="1723">
        <f t="shared" si="32"/>
        <v>0</v>
      </c>
      <c r="F322" s="1723">
        <f t="shared" si="33"/>
        <v>0</v>
      </c>
      <c r="G322" s="1723">
        <f t="shared" si="34"/>
        <v>0</v>
      </c>
    </row>
    <row r="323" spans="1:7">
      <c r="A323" s="1717">
        <f t="shared" si="35"/>
        <v>311</v>
      </c>
      <c r="B323" s="1722" t="str">
        <f t="shared" si="36"/>
        <v/>
      </c>
      <c r="C323" s="1723">
        <f t="shared" si="30"/>
        <v>0</v>
      </c>
      <c r="D323" s="1723">
        <f t="shared" si="31"/>
        <v>0</v>
      </c>
      <c r="E323" s="1723">
        <f t="shared" si="32"/>
        <v>0</v>
      </c>
      <c r="F323" s="1723">
        <f t="shared" si="33"/>
        <v>0</v>
      </c>
      <c r="G323" s="1723">
        <f t="shared" si="34"/>
        <v>0</v>
      </c>
    </row>
    <row r="324" spans="1:7">
      <c r="A324" s="1717">
        <f t="shared" si="35"/>
        <v>312</v>
      </c>
      <c r="B324" s="1722" t="str">
        <f t="shared" si="36"/>
        <v/>
      </c>
      <c r="C324" s="1723">
        <f t="shared" si="30"/>
        <v>0</v>
      </c>
      <c r="D324" s="1723">
        <f t="shared" si="31"/>
        <v>0</v>
      </c>
      <c r="E324" s="1723">
        <f t="shared" si="32"/>
        <v>0</v>
      </c>
      <c r="F324" s="1723">
        <f t="shared" si="33"/>
        <v>0</v>
      </c>
      <c r="G324" s="1723">
        <f t="shared" si="34"/>
        <v>0</v>
      </c>
    </row>
    <row r="325" spans="1:7">
      <c r="A325" s="1717">
        <f t="shared" si="35"/>
        <v>313</v>
      </c>
      <c r="B325" s="1722" t="str">
        <f t="shared" si="36"/>
        <v/>
      </c>
      <c r="C325" s="1723">
        <f t="shared" si="30"/>
        <v>0</v>
      </c>
      <c r="D325" s="1723">
        <f t="shared" si="31"/>
        <v>0</v>
      </c>
      <c r="E325" s="1723">
        <f t="shared" si="32"/>
        <v>0</v>
      </c>
      <c r="F325" s="1723">
        <f t="shared" si="33"/>
        <v>0</v>
      </c>
      <c r="G325" s="1723">
        <f t="shared" si="34"/>
        <v>0</v>
      </c>
    </row>
    <row r="326" spans="1:7">
      <c r="A326" s="1717">
        <f t="shared" si="35"/>
        <v>314</v>
      </c>
      <c r="B326" s="1722" t="str">
        <f t="shared" si="36"/>
        <v/>
      </c>
      <c r="C326" s="1723">
        <f t="shared" si="30"/>
        <v>0</v>
      </c>
      <c r="D326" s="1723">
        <f t="shared" si="31"/>
        <v>0</v>
      </c>
      <c r="E326" s="1723">
        <f t="shared" si="32"/>
        <v>0</v>
      </c>
      <c r="F326" s="1723">
        <f t="shared" si="33"/>
        <v>0</v>
      </c>
      <c r="G326" s="1723">
        <f t="shared" si="34"/>
        <v>0</v>
      </c>
    </row>
    <row r="327" spans="1:7">
      <c r="A327" s="1717">
        <f t="shared" si="35"/>
        <v>315</v>
      </c>
      <c r="B327" s="1722" t="str">
        <f t="shared" si="36"/>
        <v/>
      </c>
      <c r="C327" s="1723">
        <f t="shared" si="30"/>
        <v>0</v>
      </c>
      <c r="D327" s="1723">
        <f t="shared" si="31"/>
        <v>0</v>
      </c>
      <c r="E327" s="1723">
        <f t="shared" si="32"/>
        <v>0</v>
      </c>
      <c r="F327" s="1723">
        <f t="shared" si="33"/>
        <v>0</v>
      </c>
      <c r="G327" s="1723">
        <f t="shared" si="34"/>
        <v>0</v>
      </c>
    </row>
    <row r="328" spans="1:7">
      <c r="A328" s="1717">
        <f t="shared" si="35"/>
        <v>316</v>
      </c>
      <c r="B328" s="1722" t="str">
        <f t="shared" si="36"/>
        <v/>
      </c>
      <c r="C328" s="1723">
        <f t="shared" si="30"/>
        <v>0</v>
      </c>
      <c r="D328" s="1723">
        <f t="shared" si="31"/>
        <v>0</v>
      </c>
      <c r="E328" s="1723">
        <f t="shared" si="32"/>
        <v>0</v>
      </c>
      <c r="F328" s="1723">
        <f t="shared" si="33"/>
        <v>0</v>
      </c>
      <c r="G328" s="1723">
        <f t="shared" si="34"/>
        <v>0</v>
      </c>
    </row>
    <row r="329" spans="1:7">
      <c r="A329" s="1717">
        <f t="shared" si="35"/>
        <v>317</v>
      </c>
      <c r="B329" s="1722" t="str">
        <f t="shared" si="36"/>
        <v/>
      </c>
      <c r="C329" s="1723">
        <f t="shared" si="30"/>
        <v>0</v>
      </c>
      <c r="D329" s="1723">
        <f t="shared" si="31"/>
        <v>0</v>
      </c>
      <c r="E329" s="1723">
        <f t="shared" si="32"/>
        <v>0</v>
      </c>
      <c r="F329" s="1723">
        <f t="shared" si="33"/>
        <v>0</v>
      </c>
      <c r="G329" s="1723">
        <f t="shared" si="34"/>
        <v>0</v>
      </c>
    </row>
    <row r="330" spans="1:7">
      <c r="A330" s="1717">
        <f t="shared" si="35"/>
        <v>318</v>
      </c>
      <c r="B330" s="1722" t="str">
        <f t="shared" si="36"/>
        <v/>
      </c>
      <c r="C330" s="1723">
        <f t="shared" si="30"/>
        <v>0</v>
      </c>
      <c r="D330" s="1723">
        <f t="shared" si="31"/>
        <v>0</v>
      </c>
      <c r="E330" s="1723">
        <f t="shared" si="32"/>
        <v>0</v>
      </c>
      <c r="F330" s="1723">
        <f t="shared" si="33"/>
        <v>0</v>
      </c>
      <c r="G330" s="1723">
        <f t="shared" si="34"/>
        <v>0</v>
      </c>
    </row>
    <row r="331" spans="1:7">
      <c r="A331" s="1717">
        <f t="shared" si="35"/>
        <v>319</v>
      </c>
      <c r="B331" s="1722" t="str">
        <f t="shared" si="36"/>
        <v/>
      </c>
      <c r="C331" s="1723">
        <f t="shared" si="30"/>
        <v>0</v>
      </c>
      <c r="D331" s="1723">
        <f t="shared" si="31"/>
        <v>0</v>
      </c>
      <c r="E331" s="1723">
        <f t="shared" si="32"/>
        <v>0</v>
      </c>
      <c r="F331" s="1723">
        <f t="shared" si="33"/>
        <v>0</v>
      </c>
      <c r="G331" s="1723">
        <f t="shared" si="34"/>
        <v>0</v>
      </c>
    </row>
    <row r="332" spans="1:7">
      <c r="A332" s="1717">
        <f t="shared" si="35"/>
        <v>320</v>
      </c>
      <c r="B332" s="1722" t="str">
        <f t="shared" si="36"/>
        <v/>
      </c>
      <c r="C332" s="1723">
        <f t="shared" si="30"/>
        <v>0</v>
      </c>
      <c r="D332" s="1723">
        <f t="shared" si="31"/>
        <v>0</v>
      </c>
      <c r="E332" s="1723">
        <f t="shared" si="32"/>
        <v>0</v>
      </c>
      <c r="F332" s="1723">
        <f t="shared" si="33"/>
        <v>0</v>
      </c>
      <c r="G332" s="1723">
        <f t="shared" si="34"/>
        <v>0</v>
      </c>
    </row>
    <row r="333" spans="1:7">
      <c r="A333" s="1717">
        <f t="shared" si="35"/>
        <v>321</v>
      </c>
      <c r="B333" s="1722" t="str">
        <f t="shared" si="36"/>
        <v/>
      </c>
      <c r="C333" s="1723">
        <f t="shared" si="30"/>
        <v>0</v>
      </c>
      <c r="D333" s="1723">
        <f t="shared" si="31"/>
        <v>0</v>
      </c>
      <c r="E333" s="1723">
        <f t="shared" si="32"/>
        <v>0</v>
      </c>
      <c r="F333" s="1723">
        <f t="shared" si="33"/>
        <v>0</v>
      </c>
      <c r="G333" s="1723">
        <f t="shared" si="34"/>
        <v>0</v>
      </c>
    </row>
    <row r="334" spans="1:7">
      <c r="A334" s="1717">
        <f t="shared" si="35"/>
        <v>322</v>
      </c>
      <c r="B334" s="1722" t="str">
        <f t="shared" si="36"/>
        <v/>
      </c>
      <c r="C334" s="1723">
        <f t="shared" ref="C334:C397" si="37">IF(A333&lt;$B$6*12,G333,"")</f>
        <v>0</v>
      </c>
      <c r="D334" s="1723">
        <f t="shared" ref="D334:D397" si="38">IF(A334=$B$6*12,C334+E334,IF(A333&lt;$B$6*12,$B$8,""))</f>
        <v>0</v>
      </c>
      <c r="E334" s="1723">
        <f t="shared" ref="E334:E397" si="39">IF(A333&lt;$B$6*12,ROUND(C334*$B$5/12,2),"")</f>
        <v>0</v>
      </c>
      <c r="F334" s="1723">
        <f t="shared" ref="F334:F397" si="40">IF(A333&lt;$B$6*12,D334-E334,"")</f>
        <v>0</v>
      </c>
      <c r="G334" s="1723">
        <f t="shared" ref="G334:G397" si="41">IF(A333&lt;$B$6*12,C334-F334,"")</f>
        <v>0</v>
      </c>
    </row>
    <row r="335" spans="1:7">
      <c r="A335" s="1717">
        <f t="shared" ref="A335:A398" si="42">IF(A334&lt;$B$6*12,A334+1,"")</f>
        <v>323</v>
      </c>
      <c r="B335" s="1722" t="str">
        <f t="shared" ref="B335:B398" si="43">IFERROR(EDATE(B334,1),"")</f>
        <v/>
      </c>
      <c r="C335" s="1723">
        <f t="shared" si="37"/>
        <v>0</v>
      </c>
      <c r="D335" s="1723">
        <f t="shared" si="38"/>
        <v>0</v>
      </c>
      <c r="E335" s="1723">
        <f t="shared" si="39"/>
        <v>0</v>
      </c>
      <c r="F335" s="1723">
        <f t="shared" si="40"/>
        <v>0</v>
      </c>
      <c r="G335" s="1723">
        <f t="shared" si="41"/>
        <v>0</v>
      </c>
    </row>
    <row r="336" spans="1:7">
      <c r="A336" s="1717">
        <f t="shared" si="42"/>
        <v>324</v>
      </c>
      <c r="B336" s="1722" t="str">
        <f t="shared" si="43"/>
        <v/>
      </c>
      <c r="C336" s="1723">
        <f t="shared" si="37"/>
        <v>0</v>
      </c>
      <c r="D336" s="1723">
        <f t="shared" si="38"/>
        <v>0</v>
      </c>
      <c r="E336" s="1723">
        <f t="shared" si="39"/>
        <v>0</v>
      </c>
      <c r="F336" s="1723">
        <f t="shared" si="40"/>
        <v>0</v>
      </c>
      <c r="G336" s="1723">
        <f t="shared" si="41"/>
        <v>0</v>
      </c>
    </row>
    <row r="337" spans="1:7">
      <c r="A337" s="1717">
        <f t="shared" si="42"/>
        <v>325</v>
      </c>
      <c r="B337" s="1722" t="str">
        <f t="shared" si="43"/>
        <v/>
      </c>
      <c r="C337" s="1723">
        <f t="shared" si="37"/>
        <v>0</v>
      </c>
      <c r="D337" s="1723">
        <f t="shared" si="38"/>
        <v>0</v>
      </c>
      <c r="E337" s="1723">
        <f t="shared" si="39"/>
        <v>0</v>
      </c>
      <c r="F337" s="1723">
        <f t="shared" si="40"/>
        <v>0</v>
      </c>
      <c r="G337" s="1723">
        <f t="shared" si="41"/>
        <v>0</v>
      </c>
    </row>
    <row r="338" spans="1:7">
      <c r="A338" s="1717">
        <f t="shared" si="42"/>
        <v>326</v>
      </c>
      <c r="B338" s="1722" t="str">
        <f t="shared" si="43"/>
        <v/>
      </c>
      <c r="C338" s="1723">
        <f t="shared" si="37"/>
        <v>0</v>
      </c>
      <c r="D338" s="1723">
        <f t="shared" si="38"/>
        <v>0</v>
      </c>
      <c r="E338" s="1723">
        <f t="shared" si="39"/>
        <v>0</v>
      </c>
      <c r="F338" s="1723">
        <f t="shared" si="40"/>
        <v>0</v>
      </c>
      <c r="G338" s="1723">
        <f t="shared" si="41"/>
        <v>0</v>
      </c>
    </row>
    <row r="339" spans="1:7">
      <c r="A339" s="1717">
        <f t="shared" si="42"/>
        <v>327</v>
      </c>
      <c r="B339" s="1722" t="str">
        <f t="shared" si="43"/>
        <v/>
      </c>
      <c r="C339" s="1723">
        <f t="shared" si="37"/>
        <v>0</v>
      </c>
      <c r="D339" s="1723">
        <f t="shared" si="38"/>
        <v>0</v>
      </c>
      <c r="E339" s="1723">
        <f t="shared" si="39"/>
        <v>0</v>
      </c>
      <c r="F339" s="1723">
        <f t="shared" si="40"/>
        <v>0</v>
      </c>
      <c r="G339" s="1723">
        <f t="shared" si="41"/>
        <v>0</v>
      </c>
    </row>
    <row r="340" spans="1:7">
      <c r="A340" s="1717">
        <f t="shared" si="42"/>
        <v>328</v>
      </c>
      <c r="B340" s="1722" t="str">
        <f t="shared" si="43"/>
        <v/>
      </c>
      <c r="C340" s="1723">
        <f t="shared" si="37"/>
        <v>0</v>
      </c>
      <c r="D340" s="1723">
        <f t="shared" si="38"/>
        <v>0</v>
      </c>
      <c r="E340" s="1723">
        <f t="shared" si="39"/>
        <v>0</v>
      </c>
      <c r="F340" s="1723">
        <f t="shared" si="40"/>
        <v>0</v>
      </c>
      <c r="G340" s="1723">
        <f t="shared" si="41"/>
        <v>0</v>
      </c>
    </row>
    <row r="341" spans="1:7">
      <c r="A341" s="1717">
        <f t="shared" si="42"/>
        <v>329</v>
      </c>
      <c r="B341" s="1722" t="str">
        <f t="shared" si="43"/>
        <v/>
      </c>
      <c r="C341" s="1723">
        <f t="shared" si="37"/>
        <v>0</v>
      </c>
      <c r="D341" s="1723">
        <f t="shared" si="38"/>
        <v>0</v>
      </c>
      <c r="E341" s="1723">
        <f t="shared" si="39"/>
        <v>0</v>
      </c>
      <c r="F341" s="1723">
        <f t="shared" si="40"/>
        <v>0</v>
      </c>
      <c r="G341" s="1723">
        <f t="shared" si="41"/>
        <v>0</v>
      </c>
    </row>
    <row r="342" spans="1:7">
      <c r="A342" s="1717">
        <f t="shared" si="42"/>
        <v>330</v>
      </c>
      <c r="B342" s="1722" t="str">
        <f t="shared" si="43"/>
        <v/>
      </c>
      <c r="C342" s="1723">
        <f t="shared" si="37"/>
        <v>0</v>
      </c>
      <c r="D342" s="1723">
        <f t="shared" si="38"/>
        <v>0</v>
      </c>
      <c r="E342" s="1723">
        <f t="shared" si="39"/>
        <v>0</v>
      </c>
      <c r="F342" s="1723">
        <f t="shared" si="40"/>
        <v>0</v>
      </c>
      <c r="G342" s="1723">
        <f t="shared" si="41"/>
        <v>0</v>
      </c>
    </row>
    <row r="343" spans="1:7">
      <c r="A343" s="1717">
        <f t="shared" si="42"/>
        <v>331</v>
      </c>
      <c r="B343" s="1722" t="str">
        <f t="shared" si="43"/>
        <v/>
      </c>
      <c r="C343" s="1723">
        <f t="shared" si="37"/>
        <v>0</v>
      </c>
      <c r="D343" s="1723">
        <f t="shared" si="38"/>
        <v>0</v>
      </c>
      <c r="E343" s="1723">
        <f t="shared" si="39"/>
        <v>0</v>
      </c>
      <c r="F343" s="1723">
        <f t="shared" si="40"/>
        <v>0</v>
      </c>
      <c r="G343" s="1723">
        <f t="shared" si="41"/>
        <v>0</v>
      </c>
    </row>
    <row r="344" spans="1:7">
      <c r="A344" s="1717">
        <f t="shared" si="42"/>
        <v>332</v>
      </c>
      <c r="B344" s="1722" t="str">
        <f t="shared" si="43"/>
        <v/>
      </c>
      <c r="C344" s="1723">
        <f t="shared" si="37"/>
        <v>0</v>
      </c>
      <c r="D344" s="1723">
        <f t="shared" si="38"/>
        <v>0</v>
      </c>
      <c r="E344" s="1723">
        <f t="shared" si="39"/>
        <v>0</v>
      </c>
      <c r="F344" s="1723">
        <f t="shared" si="40"/>
        <v>0</v>
      </c>
      <c r="G344" s="1723">
        <f t="shared" si="41"/>
        <v>0</v>
      </c>
    </row>
    <row r="345" spans="1:7">
      <c r="A345" s="1717">
        <f t="shared" si="42"/>
        <v>333</v>
      </c>
      <c r="B345" s="1722" t="str">
        <f t="shared" si="43"/>
        <v/>
      </c>
      <c r="C345" s="1723">
        <f t="shared" si="37"/>
        <v>0</v>
      </c>
      <c r="D345" s="1723">
        <f t="shared" si="38"/>
        <v>0</v>
      </c>
      <c r="E345" s="1723">
        <f t="shared" si="39"/>
        <v>0</v>
      </c>
      <c r="F345" s="1723">
        <f t="shared" si="40"/>
        <v>0</v>
      </c>
      <c r="G345" s="1723">
        <f t="shared" si="41"/>
        <v>0</v>
      </c>
    </row>
    <row r="346" spans="1:7">
      <c r="A346" s="1717">
        <f t="shared" si="42"/>
        <v>334</v>
      </c>
      <c r="B346" s="1722" t="str">
        <f t="shared" si="43"/>
        <v/>
      </c>
      <c r="C346" s="1723">
        <f t="shared" si="37"/>
        <v>0</v>
      </c>
      <c r="D346" s="1723">
        <f t="shared" si="38"/>
        <v>0</v>
      </c>
      <c r="E346" s="1723">
        <f t="shared" si="39"/>
        <v>0</v>
      </c>
      <c r="F346" s="1723">
        <f t="shared" si="40"/>
        <v>0</v>
      </c>
      <c r="G346" s="1723">
        <f t="shared" si="41"/>
        <v>0</v>
      </c>
    </row>
    <row r="347" spans="1:7">
      <c r="A347" s="1717">
        <f t="shared" si="42"/>
        <v>335</v>
      </c>
      <c r="B347" s="1722" t="str">
        <f t="shared" si="43"/>
        <v/>
      </c>
      <c r="C347" s="1723">
        <f t="shared" si="37"/>
        <v>0</v>
      </c>
      <c r="D347" s="1723">
        <f t="shared" si="38"/>
        <v>0</v>
      </c>
      <c r="E347" s="1723">
        <f t="shared" si="39"/>
        <v>0</v>
      </c>
      <c r="F347" s="1723">
        <f t="shared" si="40"/>
        <v>0</v>
      </c>
      <c r="G347" s="1723">
        <f t="shared" si="41"/>
        <v>0</v>
      </c>
    </row>
    <row r="348" spans="1:7">
      <c r="A348" s="1717">
        <f t="shared" si="42"/>
        <v>336</v>
      </c>
      <c r="B348" s="1722" t="str">
        <f t="shared" si="43"/>
        <v/>
      </c>
      <c r="C348" s="1723">
        <f t="shared" si="37"/>
        <v>0</v>
      </c>
      <c r="D348" s="1723">
        <f t="shared" si="38"/>
        <v>0</v>
      </c>
      <c r="E348" s="1723">
        <f t="shared" si="39"/>
        <v>0</v>
      </c>
      <c r="F348" s="1723">
        <f t="shared" si="40"/>
        <v>0</v>
      </c>
      <c r="G348" s="1723">
        <f t="shared" si="41"/>
        <v>0</v>
      </c>
    </row>
    <row r="349" spans="1:7">
      <c r="A349" s="1717">
        <f t="shared" si="42"/>
        <v>337</v>
      </c>
      <c r="B349" s="1722" t="str">
        <f t="shared" si="43"/>
        <v/>
      </c>
      <c r="C349" s="1723">
        <f t="shared" si="37"/>
        <v>0</v>
      </c>
      <c r="D349" s="1723">
        <f t="shared" si="38"/>
        <v>0</v>
      </c>
      <c r="E349" s="1723">
        <f t="shared" si="39"/>
        <v>0</v>
      </c>
      <c r="F349" s="1723">
        <f t="shared" si="40"/>
        <v>0</v>
      </c>
      <c r="G349" s="1723">
        <f t="shared" si="41"/>
        <v>0</v>
      </c>
    </row>
    <row r="350" spans="1:7">
      <c r="A350" s="1717">
        <f t="shared" si="42"/>
        <v>338</v>
      </c>
      <c r="B350" s="1722" t="str">
        <f t="shared" si="43"/>
        <v/>
      </c>
      <c r="C350" s="1723">
        <f t="shared" si="37"/>
        <v>0</v>
      </c>
      <c r="D350" s="1723">
        <f t="shared" si="38"/>
        <v>0</v>
      </c>
      <c r="E350" s="1723">
        <f t="shared" si="39"/>
        <v>0</v>
      </c>
      <c r="F350" s="1723">
        <f t="shared" si="40"/>
        <v>0</v>
      </c>
      <c r="G350" s="1723">
        <f t="shared" si="41"/>
        <v>0</v>
      </c>
    </row>
    <row r="351" spans="1:7">
      <c r="A351" s="1717">
        <f t="shared" si="42"/>
        <v>339</v>
      </c>
      <c r="B351" s="1722" t="str">
        <f t="shared" si="43"/>
        <v/>
      </c>
      <c r="C351" s="1723">
        <f t="shared" si="37"/>
        <v>0</v>
      </c>
      <c r="D351" s="1723">
        <f t="shared" si="38"/>
        <v>0</v>
      </c>
      <c r="E351" s="1723">
        <f t="shared" si="39"/>
        <v>0</v>
      </c>
      <c r="F351" s="1723">
        <f t="shared" si="40"/>
        <v>0</v>
      </c>
      <c r="G351" s="1723">
        <f t="shared" si="41"/>
        <v>0</v>
      </c>
    </row>
    <row r="352" spans="1:7">
      <c r="A352" s="1717">
        <f t="shared" si="42"/>
        <v>340</v>
      </c>
      <c r="B352" s="1722" t="str">
        <f t="shared" si="43"/>
        <v/>
      </c>
      <c r="C352" s="1723">
        <f t="shared" si="37"/>
        <v>0</v>
      </c>
      <c r="D352" s="1723">
        <f t="shared" si="38"/>
        <v>0</v>
      </c>
      <c r="E352" s="1723">
        <f t="shared" si="39"/>
        <v>0</v>
      </c>
      <c r="F352" s="1723">
        <f t="shared" si="40"/>
        <v>0</v>
      </c>
      <c r="G352" s="1723">
        <f t="shared" si="41"/>
        <v>0</v>
      </c>
    </row>
    <row r="353" spans="1:7">
      <c r="A353" s="1717">
        <f t="shared" si="42"/>
        <v>341</v>
      </c>
      <c r="B353" s="1722" t="str">
        <f t="shared" si="43"/>
        <v/>
      </c>
      <c r="C353" s="1723">
        <f t="shared" si="37"/>
        <v>0</v>
      </c>
      <c r="D353" s="1723">
        <f t="shared" si="38"/>
        <v>0</v>
      </c>
      <c r="E353" s="1723">
        <f t="shared" si="39"/>
        <v>0</v>
      </c>
      <c r="F353" s="1723">
        <f t="shared" si="40"/>
        <v>0</v>
      </c>
      <c r="G353" s="1723">
        <f t="shared" si="41"/>
        <v>0</v>
      </c>
    </row>
    <row r="354" spans="1:7">
      <c r="A354" s="1717">
        <f t="shared" si="42"/>
        <v>342</v>
      </c>
      <c r="B354" s="1722" t="str">
        <f t="shared" si="43"/>
        <v/>
      </c>
      <c r="C354" s="1723">
        <f t="shared" si="37"/>
        <v>0</v>
      </c>
      <c r="D354" s="1723">
        <f t="shared" si="38"/>
        <v>0</v>
      </c>
      <c r="E354" s="1723">
        <f t="shared" si="39"/>
        <v>0</v>
      </c>
      <c r="F354" s="1723">
        <f t="shared" si="40"/>
        <v>0</v>
      </c>
      <c r="G354" s="1723">
        <f t="shared" si="41"/>
        <v>0</v>
      </c>
    </row>
    <row r="355" spans="1:7">
      <c r="A355" s="1717">
        <f t="shared" si="42"/>
        <v>343</v>
      </c>
      <c r="B355" s="1722" t="str">
        <f t="shared" si="43"/>
        <v/>
      </c>
      <c r="C355" s="1723">
        <f t="shared" si="37"/>
        <v>0</v>
      </c>
      <c r="D355" s="1723">
        <f t="shared" si="38"/>
        <v>0</v>
      </c>
      <c r="E355" s="1723">
        <f t="shared" si="39"/>
        <v>0</v>
      </c>
      <c r="F355" s="1723">
        <f t="shared" si="40"/>
        <v>0</v>
      </c>
      <c r="G355" s="1723">
        <f t="shared" si="41"/>
        <v>0</v>
      </c>
    </row>
    <row r="356" spans="1:7">
      <c r="A356" s="1717">
        <f t="shared" si="42"/>
        <v>344</v>
      </c>
      <c r="B356" s="1722" t="str">
        <f t="shared" si="43"/>
        <v/>
      </c>
      <c r="C356" s="1723">
        <f t="shared" si="37"/>
        <v>0</v>
      </c>
      <c r="D356" s="1723">
        <f t="shared" si="38"/>
        <v>0</v>
      </c>
      <c r="E356" s="1723">
        <f t="shared" si="39"/>
        <v>0</v>
      </c>
      <c r="F356" s="1723">
        <f t="shared" si="40"/>
        <v>0</v>
      </c>
      <c r="G356" s="1723">
        <f t="shared" si="41"/>
        <v>0</v>
      </c>
    </row>
    <row r="357" spans="1:7">
      <c r="A357" s="1717">
        <f t="shared" si="42"/>
        <v>345</v>
      </c>
      <c r="B357" s="1722" t="str">
        <f t="shared" si="43"/>
        <v/>
      </c>
      <c r="C357" s="1723">
        <f t="shared" si="37"/>
        <v>0</v>
      </c>
      <c r="D357" s="1723">
        <f t="shared" si="38"/>
        <v>0</v>
      </c>
      <c r="E357" s="1723">
        <f t="shared" si="39"/>
        <v>0</v>
      </c>
      <c r="F357" s="1723">
        <f t="shared" si="40"/>
        <v>0</v>
      </c>
      <c r="G357" s="1723">
        <f t="shared" si="41"/>
        <v>0</v>
      </c>
    </row>
    <row r="358" spans="1:7">
      <c r="A358" s="1717">
        <f t="shared" si="42"/>
        <v>346</v>
      </c>
      <c r="B358" s="1722" t="str">
        <f t="shared" si="43"/>
        <v/>
      </c>
      <c r="C358" s="1723">
        <f t="shared" si="37"/>
        <v>0</v>
      </c>
      <c r="D358" s="1723">
        <f t="shared" si="38"/>
        <v>0</v>
      </c>
      <c r="E358" s="1723">
        <f t="shared" si="39"/>
        <v>0</v>
      </c>
      <c r="F358" s="1723">
        <f t="shared" si="40"/>
        <v>0</v>
      </c>
      <c r="G358" s="1723">
        <f t="shared" si="41"/>
        <v>0</v>
      </c>
    </row>
    <row r="359" spans="1:7">
      <c r="A359" s="1717">
        <f t="shared" si="42"/>
        <v>347</v>
      </c>
      <c r="B359" s="1722" t="str">
        <f t="shared" si="43"/>
        <v/>
      </c>
      <c r="C359" s="1723">
        <f t="shared" si="37"/>
        <v>0</v>
      </c>
      <c r="D359" s="1723">
        <f t="shared" si="38"/>
        <v>0</v>
      </c>
      <c r="E359" s="1723">
        <f t="shared" si="39"/>
        <v>0</v>
      </c>
      <c r="F359" s="1723">
        <f t="shared" si="40"/>
        <v>0</v>
      </c>
      <c r="G359" s="1723">
        <f t="shared" si="41"/>
        <v>0</v>
      </c>
    </row>
    <row r="360" spans="1:7">
      <c r="A360" s="1717">
        <f t="shared" si="42"/>
        <v>348</v>
      </c>
      <c r="B360" s="1722" t="str">
        <f t="shared" si="43"/>
        <v/>
      </c>
      <c r="C360" s="1723">
        <f t="shared" si="37"/>
        <v>0</v>
      </c>
      <c r="D360" s="1723">
        <f t="shared" si="38"/>
        <v>0</v>
      </c>
      <c r="E360" s="1723">
        <f t="shared" si="39"/>
        <v>0</v>
      </c>
      <c r="F360" s="1723">
        <f t="shared" si="40"/>
        <v>0</v>
      </c>
      <c r="G360" s="1723">
        <f t="shared" si="41"/>
        <v>0</v>
      </c>
    </row>
    <row r="361" spans="1:7">
      <c r="A361" s="1717">
        <f t="shared" si="42"/>
        <v>349</v>
      </c>
      <c r="B361" s="1722" t="str">
        <f t="shared" si="43"/>
        <v/>
      </c>
      <c r="C361" s="1723">
        <f t="shared" si="37"/>
        <v>0</v>
      </c>
      <c r="D361" s="1723">
        <f t="shared" si="38"/>
        <v>0</v>
      </c>
      <c r="E361" s="1723">
        <f t="shared" si="39"/>
        <v>0</v>
      </c>
      <c r="F361" s="1723">
        <f t="shared" si="40"/>
        <v>0</v>
      </c>
      <c r="G361" s="1723">
        <f t="shared" si="41"/>
        <v>0</v>
      </c>
    </row>
    <row r="362" spans="1:7">
      <c r="A362" s="1717">
        <f t="shared" si="42"/>
        <v>350</v>
      </c>
      <c r="B362" s="1722" t="str">
        <f t="shared" si="43"/>
        <v/>
      </c>
      <c r="C362" s="1723">
        <f t="shared" si="37"/>
        <v>0</v>
      </c>
      <c r="D362" s="1723">
        <f t="shared" si="38"/>
        <v>0</v>
      </c>
      <c r="E362" s="1723">
        <f t="shared" si="39"/>
        <v>0</v>
      </c>
      <c r="F362" s="1723">
        <f t="shared" si="40"/>
        <v>0</v>
      </c>
      <c r="G362" s="1723">
        <f t="shared" si="41"/>
        <v>0</v>
      </c>
    </row>
    <row r="363" spans="1:7">
      <c r="A363" s="1717">
        <f t="shared" si="42"/>
        <v>351</v>
      </c>
      <c r="B363" s="1722" t="str">
        <f t="shared" si="43"/>
        <v/>
      </c>
      <c r="C363" s="1723">
        <f t="shared" si="37"/>
        <v>0</v>
      </c>
      <c r="D363" s="1723">
        <f t="shared" si="38"/>
        <v>0</v>
      </c>
      <c r="E363" s="1723">
        <f t="shared" si="39"/>
        <v>0</v>
      </c>
      <c r="F363" s="1723">
        <f t="shared" si="40"/>
        <v>0</v>
      </c>
      <c r="G363" s="1723">
        <f t="shared" si="41"/>
        <v>0</v>
      </c>
    </row>
    <row r="364" spans="1:7">
      <c r="A364" s="1717">
        <f t="shared" si="42"/>
        <v>352</v>
      </c>
      <c r="B364" s="1722" t="str">
        <f t="shared" si="43"/>
        <v/>
      </c>
      <c r="C364" s="1723">
        <f t="shared" si="37"/>
        <v>0</v>
      </c>
      <c r="D364" s="1723">
        <f t="shared" si="38"/>
        <v>0</v>
      </c>
      <c r="E364" s="1723">
        <f t="shared" si="39"/>
        <v>0</v>
      </c>
      <c r="F364" s="1723">
        <f t="shared" si="40"/>
        <v>0</v>
      </c>
      <c r="G364" s="1723">
        <f t="shared" si="41"/>
        <v>0</v>
      </c>
    </row>
    <row r="365" spans="1:7">
      <c r="A365" s="1717">
        <f t="shared" si="42"/>
        <v>353</v>
      </c>
      <c r="B365" s="1722" t="str">
        <f t="shared" si="43"/>
        <v/>
      </c>
      <c r="C365" s="1723">
        <f t="shared" si="37"/>
        <v>0</v>
      </c>
      <c r="D365" s="1723">
        <f t="shared" si="38"/>
        <v>0</v>
      </c>
      <c r="E365" s="1723">
        <f t="shared" si="39"/>
        <v>0</v>
      </c>
      <c r="F365" s="1723">
        <f t="shared" si="40"/>
        <v>0</v>
      </c>
      <c r="G365" s="1723">
        <f t="shared" si="41"/>
        <v>0</v>
      </c>
    </row>
    <row r="366" spans="1:7">
      <c r="A366" s="1717">
        <f t="shared" si="42"/>
        <v>354</v>
      </c>
      <c r="B366" s="1722" t="str">
        <f t="shared" si="43"/>
        <v/>
      </c>
      <c r="C366" s="1723">
        <f t="shared" si="37"/>
        <v>0</v>
      </c>
      <c r="D366" s="1723">
        <f t="shared" si="38"/>
        <v>0</v>
      </c>
      <c r="E366" s="1723">
        <f t="shared" si="39"/>
        <v>0</v>
      </c>
      <c r="F366" s="1723">
        <f t="shared" si="40"/>
        <v>0</v>
      </c>
      <c r="G366" s="1723">
        <f t="shared" si="41"/>
        <v>0</v>
      </c>
    </row>
    <row r="367" spans="1:7">
      <c r="A367" s="1717">
        <f t="shared" si="42"/>
        <v>355</v>
      </c>
      <c r="B367" s="1722" t="str">
        <f t="shared" si="43"/>
        <v/>
      </c>
      <c r="C367" s="1723">
        <f t="shared" si="37"/>
        <v>0</v>
      </c>
      <c r="D367" s="1723">
        <f t="shared" si="38"/>
        <v>0</v>
      </c>
      <c r="E367" s="1723">
        <f t="shared" si="39"/>
        <v>0</v>
      </c>
      <c r="F367" s="1723">
        <f t="shared" si="40"/>
        <v>0</v>
      </c>
      <c r="G367" s="1723">
        <f t="shared" si="41"/>
        <v>0</v>
      </c>
    </row>
    <row r="368" spans="1:7">
      <c r="A368" s="1717">
        <f t="shared" si="42"/>
        <v>356</v>
      </c>
      <c r="B368" s="1722" t="str">
        <f t="shared" si="43"/>
        <v/>
      </c>
      <c r="C368" s="1723">
        <f t="shared" si="37"/>
        <v>0</v>
      </c>
      <c r="D368" s="1723">
        <f t="shared" si="38"/>
        <v>0</v>
      </c>
      <c r="E368" s="1723">
        <f t="shared" si="39"/>
        <v>0</v>
      </c>
      <c r="F368" s="1723">
        <f t="shared" si="40"/>
        <v>0</v>
      </c>
      <c r="G368" s="1723">
        <f t="shared" si="41"/>
        <v>0</v>
      </c>
    </row>
    <row r="369" spans="1:7">
      <c r="A369" s="1717">
        <f t="shared" si="42"/>
        <v>357</v>
      </c>
      <c r="B369" s="1722" t="str">
        <f t="shared" si="43"/>
        <v/>
      </c>
      <c r="C369" s="1723">
        <f t="shared" si="37"/>
        <v>0</v>
      </c>
      <c r="D369" s="1723">
        <f t="shared" si="38"/>
        <v>0</v>
      </c>
      <c r="E369" s="1723">
        <f t="shared" si="39"/>
        <v>0</v>
      </c>
      <c r="F369" s="1723">
        <f t="shared" si="40"/>
        <v>0</v>
      </c>
      <c r="G369" s="1723">
        <f t="shared" si="41"/>
        <v>0</v>
      </c>
    </row>
    <row r="370" spans="1:7">
      <c r="A370" s="1717">
        <f t="shared" si="42"/>
        <v>358</v>
      </c>
      <c r="B370" s="1722" t="str">
        <f t="shared" si="43"/>
        <v/>
      </c>
      <c r="C370" s="1723">
        <f t="shared" si="37"/>
        <v>0</v>
      </c>
      <c r="D370" s="1723">
        <f t="shared" si="38"/>
        <v>0</v>
      </c>
      <c r="E370" s="1723">
        <f t="shared" si="39"/>
        <v>0</v>
      </c>
      <c r="F370" s="1723">
        <f t="shared" si="40"/>
        <v>0</v>
      </c>
      <c r="G370" s="1723">
        <f t="shared" si="41"/>
        <v>0</v>
      </c>
    </row>
    <row r="371" spans="1:7">
      <c r="A371" s="1717">
        <f t="shared" si="42"/>
        <v>359</v>
      </c>
      <c r="B371" s="1722" t="str">
        <f t="shared" si="43"/>
        <v/>
      </c>
      <c r="C371" s="1723">
        <f t="shared" si="37"/>
        <v>0</v>
      </c>
      <c r="D371" s="1723">
        <f t="shared" si="38"/>
        <v>0</v>
      </c>
      <c r="E371" s="1723">
        <f t="shared" si="39"/>
        <v>0</v>
      </c>
      <c r="F371" s="1723">
        <f t="shared" si="40"/>
        <v>0</v>
      </c>
      <c r="G371" s="1723">
        <f t="shared" si="41"/>
        <v>0</v>
      </c>
    </row>
    <row r="372" spans="1:7">
      <c r="A372" s="1717">
        <f t="shared" si="42"/>
        <v>360</v>
      </c>
      <c r="B372" s="1722" t="str">
        <f t="shared" si="43"/>
        <v/>
      </c>
      <c r="C372" s="1723">
        <f t="shared" si="37"/>
        <v>0</v>
      </c>
      <c r="D372" s="1723">
        <f t="shared" si="38"/>
        <v>0</v>
      </c>
      <c r="E372" s="1723">
        <f t="shared" si="39"/>
        <v>0</v>
      </c>
      <c r="F372" s="1723">
        <f t="shared" si="40"/>
        <v>0</v>
      </c>
      <c r="G372" s="1723">
        <f t="shared" si="41"/>
        <v>0</v>
      </c>
    </row>
    <row r="373" spans="1:7">
      <c r="A373" s="1717">
        <f t="shared" si="42"/>
        <v>361</v>
      </c>
      <c r="B373" s="1722" t="str">
        <f t="shared" si="43"/>
        <v/>
      </c>
      <c r="C373" s="1723">
        <f t="shared" si="37"/>
        <v>0</v>
      </c>
      <c r="D373" s="1723">
        <f t="shared" si="38"/>
        <v>0</v>
      </c>
      <c r="E373" s="1723">
        <f t="shared" si="39"/>
        <v>0</v>
      </c>
      <c r="F373" s="1723">
        <f t="shared" si="40"/>
        <v>0</v>
      </c>
      <c r="G373" s="1723">
        <f t="shared" si="41"/>
        <v>0</v>
      </c>
    </row>
    <row r="374" spans="1:7">
      <c r="A374" s="1717">
        <f t="shared" si="42"/>
        <v>362</v>
      </c>
      <c r="B374" s="1722" t="str">
        <f t="shared" si="43"/>
        <v/>
      </c>
      <c r="C374" s="1723">
        <f t="shared" si="37"/>
        <v>0</v>
      </c>
      <c r="D374" s="1723">
        <f t="shared" si="38"/>
        <v>0</v>
      </c>
      <c r="E374" s="1723">
        <f t="shared" si="39"/>
        <v>0</v>
      </c>
      <c r="F374" s="1723">
        <f t="shared" si="40"/>
        <v>0</v>
      </c>
      <c r="G374" s="1723">
        <f t="shared" si="41"/>
        <v>0</v>
      </c>
    </row>
    <row r="375" spans="1:7">
      <c r="A375" s="1717">
        <f t="shared" si="42"/>
        <v>363</v>
      </c>
      <c r="B375" s="1722" t="str">
        <f t="shared" si="43"/>
        <v/>
      </c>
      <c r="C375" s="1723">
        <f t="shared" si="37"/>
        <v>0</v>
      </c>
      <c r="D375" s="1723">
        <f t="shared" si="38"/>
        <v>0</v>
      </c>
      <c r="E375" s="1723">
        <f t="shared" si="39"/>
        <v>0</v>
      </c>
      <c r="F375" s="1723">
        <f t="shared" si="40"/>
        <v>0</v>
      </c>
      <c r="G375" s="1723">
        <f t="shared" si="41"/>
        <v>0</v>
      </c>
    </row>
    <row r="376" spans="1:7">
      <c r="A376" s="1717">
        <f t="shared" si="42"/>
        <v>364</v>
      </c>
      <c r="B376" s="1722" t="str">
        <f t="shared" si="43"/>
        <v/>
      </c>
      <c r="C376" s="1723">
        <f t="shared" si="37"/>
        <v>0</v>
      </c>
      <c r="D376" s="1723">
        <f t="shared" si="38"/>
        <v>0</v>
      </c>
      <c r="E376" s="1723">
        <f t="shared" si="39"/>
        <v>0</v>
      </c>
      <c r="F376" s="1723">
        <f t="shared" si="40"/>
        <v>0</v>
      </c>
      <c r="G376" s="1723">
        <f t="shared" si="41"/>
        <v>0</v>
      </c>
    </row>
    <row r="377" spans="1:7">
      <c r="A377" s="1717">
        <f t="shared" si="42"/>
        <v>365</v>
      </c>
      <c r="B377" s="1722" t="str">
        <f t="shared" si="43"/>
        <v/>
      </c>
      <c r="C377" s="1723">
        <f t="shared" si="37"/>
        <v>0</v>
      </c>
      <c r="D377" s="1723">
        <f t="shared" si="38"/>
        <v>0</v>
      </c>
      <c r="E377" s="1723">
        <f t="shared" si="39"/>
        <v>0</v>
      </c>
      <c r="F377" s="1723">
        <f t="shared" si="40"/>
        <v>0</v>
      </c>
      <c r="G377" s="1723">
        <f t="shared" si="41"/>
        <v>0</v>
      </c>
    </row>
    <row r="378" spans="1:7">
      <c r="A378" s="1717">
        <f t="shared" si="42"/>
        <v>366</v>
      </c>
      <c r="B378" s="1722" t="str">
        <f t="shared" si="43"/>
        <v/>
      </c>
      <c r="C378" s="1723">
        <f t="shared" si="37"/>
        <v>0</v>
      </c>
      <c r="D378" s="1723">
        <f t="shared" si="38"/>
        <v>0</v>
      </c>
      <c r="E378" s="1723">
        <f t="shared" si="39"/>
        <v>0</v>
      </c>
      <c r="F378" s="1723">
        <f t="shared" si="40"/>
        <v>0</v>
      </c>
      <c r="G378" s="1723">
        <f t="shared" si="41"/>
        <v>0</v>
      </c>
    </row>
    <row r="379" spans="1:7">
      <c r="A379" s="1717">
        <f t="shared" si="42"/>
        <v>367</v>
      </c>
      <c r="B379" s="1722" t="str">
        <f t="shared" si="43"/>
        <v/>
      </c>
      <c r="C379" s="1723">
        <f t="shared" si="37"/>
        <v>0</v>
      </c>
      <c r="D379" s="1723">
        <f t="shared" si="38"/>
        <v>0</v>
      </c>
      <c r="E379" s="1723">
        <f t="shared" si="39"/>
        <v>0</v>
      </c>
      <c r="F379" s="1723">
        <f t="shared" si="40"/>
        <v>0</v>
      </c>
      <c r="G379" s="1723">
        <f t="shared" si="41"/>
        <v>0</v>
      </c>
    </row>
    <row r="380" spans="1:7">
      <c r="A380" s="1717">
        <f t="shared" si="42"/>
        <v>368</v>
      </c>
      <c r="B380" s="1722" t="str">
        <f t="shared" si="43"/>
        <v/>
      </c>
      <c r="C380" s="1723">
        <f t="shared" si="37"/>
        <v>0</v>
      </c>
      <c r="D380" s="1723">
        <f t="shared" si="38"/>
        <v>0</v>
      </c>
      <c r="E380" s="1723">
        <f t="shared" si="39"/>
        <v>0</v>
      </c>
      <c r="F380" s="1723">
        <f t="shared" si="40"/>
        <v>0</v>
      </c>
      <c r="G380" s="1723">
        <f t="shared" si="41"/>
        <v>0</v>
      </c>
    </row>
    <row r="381" spans="1:7">
      <c r="A381" s="1717">
        <f t="shared" si="42"/>
        <v>369</v>
      </c>
      <c r="B381" s="1722" t="str">
        <f t="shared" si="43"/>
        <v/>
      </c>
      <c r="C381" s="1723">
        <f t="shared" si="37"/>
        <v>0</v>
      </c>
      <c r="D381" s="1723">
        <f t="shared" si="38"/>
        <v>0</v>
      </c>
      <c r="E381" s="1723">
        <f t="shared" si="39"/>
        <v>0</v>
      </c>
      <c r="F381" s="1723">
        <f t="shared" si="40"/>
        <v>0</v>
      </c>
      <c r="G381" s="1723">
        <f t="shared" si="41"/>
        <v>0</v>
      </c>
    </row>
    <row r="382" spans="1:7">
      <c r="A382" s="1717">
        <f t="shared" si="42"/>
        <v>370</v>
      </c>
      <c r="B382" s="1722" t="str">
        <f t="shared" si="43"/>
        <v/>
      </c>
      <c r="C382" s="1723">
        <f t="shared" si="37"/>
        <v>0</v>
      </c>
      <c r="D382" s="1723">
        <f t="shared" si="38"/>
        <v>0</v>
      </c>
      <c r="E382" s="1723">
        <f t="shared" si="39"/>
        <v>0</v>
      </c>
      <c r="F382" s="1723">
        <f t="shared" si="40"/>
        <v>0</v>
      </c>
      <c r="G382" s="1723">
        <f t="shared" si="41"/>
        <v>0</v>
      </c>
    </row>
    <row r="383" spans="1:7">
      <c r="A383" s="1717">
        <f t="shared" si="42"/>
        <v>371</v>
      </c>
      <c r="B383" s="1722" t="str">
        <f t="shared" si="43"/>
        <v/>
      </c>
      <c r="C383" s="1723">
        <f t="shared" si="37"/>
        <v>0</v>
      </c>
      <c r="D383" s="1723">
        <f t="shared" si="38"/>
        <v>0</v>
      </c>
      <c r="E383" s="1723">
        <f t="shared" si="39"/>
        <v>0</v>
      </c>
      <c r="F383" s="1723">
        <f t="shared" si="40"/>
        <v>0</v>
      </c>
      <c r="G383" s="1723">
        <f t="shared" si="41"/>
        <v>0</v>
      </c>
    </row>
    <row r="384" spans="1:7">
      <c r="A384" s="1717">
        <f t="shared" si="42"/>
        <v>372</v>
      </c>
      <c r="B384" s="1722" t="str">
        <f t="shared" si="43"/>
        <v/>
      </c>
      <c r="C384" s="1723">
        <f t="shared" si="37"/>
        <v>0</v>
      </c>
      <c r="D384" s="1723">
        <f t="shared" si="38"/>
        <v>0</v>
      </c>
      <c r="E384" s="1723">
        <f t="shared" si="39"/>
        <v>0</v>
      </c>
      <c r="F384" s="1723">
        <f t="shared" si="40"/>
        <v>0</v>
      </c>
      <c r="G384" s="1723">
        <f t="shared" si="41"/>
        <v>0</v>
      </c>
    </row>
    <row r="385" spans="1:7">
      <c r="A385" s="1717">
        <f t="shared" si="42"/>
        <v>373</v>
      </c>
      <c r="B385" s="1722" t="str">
        <f t="shared" si="43"/>
        <v/>
      </c>
      <c r="C385" s="1723">
        <f t="shared" si="37"/>
        <v>0</v>
      </c>
      <c r="D385" s="1723">
        <f t="shared" si="38"/>
        <v>0</v>
      </c>
      <c r="E385" s="1723">
        <f t="shared" si="39"/>
        <v>0</v>
      </c>
      <c r="F385" s="1723">
        <f t="shared" si="40"/>
        <v>0</v>
      </c>
      <c r="G385" s="1723">
        <f t="shared" si="41"/>
        <v>0</v>
      </c>
    </row>
    <row r="386" spans="1:7">
      <c r="A386" s="1717">
        <f t="shared" si="42"/>
        <v>374</v>
      </c>
      <c r="B386" s="1722" t="str">
        <f t="shared" si="43"/>
        <v/>
      </c>
      <c r="C386" s="1723">
        <f t="shared" si="37"/>
        <v>0</v>
      </c>
      <c r="D386" s="1723">
        <f t="shared" si="38"/>
        <v>0</v>
      </c>
      <c r="E386" s="1723">
        <f t="shared" si="39"/>
        <v>0</v>
      </c>
      <c r="F386" s="1723">
        <f t="shared" si="40"/>
        <v>0</v>
      </c>
      <c r="G386" s="1723">
        <f t="shared" si="41"/>
        <v>0</v>
      </c>
    </row>
    <row r="387" spans="1:7">
      <c r="A387" s="1717">
        <f t="shared" si="42"/>
        <v>375</v>
      </c>
      <c r="B387" s="1722" t="str">
        <f t="shared" si="43"/>
        <v/>
      </c>
      <c r="C387" s="1723">
        <f t="shared" si="37"/>
        <v>0</v>
      </c>
      <c r="D387" s="1723">
        <f t="shared" si="38"/>
        <v>0</v>
      </c>
      <c r="E387" s="1723">
        <f t="shared" si="39"/>
        <v>0</v>
      </c>
      <c r="F387" s="1723">
        <f t="shared" si="40"/>
        <v>0</v>
      </c>
      <c r="G387" s="1723">
        <f t="shared" si="41"/>
        <v>0</v>
      </c>
    </row>
    <row r="388" spans="1:7">
      <c r="A388" s="1717">
        <f t="shared" si="42"/>
        <v>376</v>
      </c>
      <c r="B388" s="1722" t="str">
        <f t="shared" si="43"/>
        <v/>
      </c>
      <c r="C388" s="1723">
        <f t="shared" si="37"/>
        <v>0</v>
      </c>
      <c r="D388" s="1723">
        <f t="shared" si="38"/>
        <v>0</v>
      </c>
      <c r="E388" s="1723">
        <f t="shared" si="39"/>
        <v>0</v>
      </c>
      <c r="F388" s="1723">
        <f t="shared" si="40"/>
        <v>0</v>
      </c>
      <c r="G388" s="1723">
        <f t="shared" si="41"/>
        <v>0</v>
      </c>
    </row>
    <row r="389" spans="1:7">
      <c r="A389" s="1717">
        <f t="shared" si="42"/>
        <v>377</v>
      </c>
      <c r="B389" s="1722" t="str">
        <f t="shared" si="43"/>
        <v/>
      </c>
      <c r="C389" s="1723">
        <f t="shared" si="37"/>
        <v>0</v>
      </c>
      <c r="D389" s="1723">
        <f t="shared" si="38"/>
        <v>0</v>
      </c>
      <c r="E389" s="1723">
        <f t="shared" si="39"/>
        <v>0</v>
      </c>
      <c r="F389" s="1723">
        <f t="shared" si="40"/>
        <v>0</v>
      </c>
      <c r="G389" s="1723">
        <f t="shared" si="41"/>
        <v>0</v>
      </c>
    </row>
    <row r="390" spans="1:7">
      <c r="A390" s="1717">
        <f t="shared" si="42"/>
        <v>378</v>
      </c>
      <c r="B390" s="1722" t="str">
        <f t="shared" si="43"/>
        <v/>
      </c>
      <c r="C390" s="1723">
        <f t="shared" si="37"/>
        <v>0</v>
      </c>
      <c r="D390" s="1723">
        <f t="shared" si="38"/>
        <v>0</v>
      </c>
      <c r="E390" s="1723">
        <f t="shared" si="39"/>
        <v>0</v>
      </c>
      <c r="F390" s="1723">
        <f t="shared" si="40"/>
        <v>0</v>
      </c>
      <c r="G390" s="1723">
        <f t="shared" si="41"/>
        <v>0</v>
      </c>
    </row>
    <row r="391" spans="1:7">
      <c r="A391" s="1717">
        <f t="shared" si="42"/>
        <v>379</v>
      </c>
      <c r="B391" s="1722" t="str">
        <f t="shared" si="43"/>
        <v/>
      </c>
      <c r="C391" s="1723">
        <f t="shared" si="37"/>
        <v>0</v>
      </c>
      <c r="D391" s="1723">
        <f t="shared" si="38"/>
        <v>0</v>
      </c>
      <c r="E391" s="1723">
        <f t="shared" si="39"/>
        <v>0</v>
      </c>
      <c r="F391" s="1723">
        <f t="shared" si="40"/>
        <v>0</v>
      </c>
      <c r="G391" s="1723">
        <f t="shared" si="41"/>
        <v>0</v>
      </c>
    </row>
    <row r="392" spans="1:7">
      <c r="A392" s="1717">
        <f t="shared" si="42"/>
        <v>380</v>
      </c>
      <c r="B392" s="1722" t="str">
        <f t="shared" si="43"/>
        <v/>
      </c>
      <c r="C392" s="1723">
        <f t="shared" si="37"/>
        <v>0</v>
      </c>
      <c r="D392" s="1723">
        <f t="shared" si="38"/>
        <v>0</v>
      </c>
      <c r="E392" s="1723">
        <f t="shared" si="39"/>
        <v>0</v>
      </c>
      <c r="F392" s="1723">
        <f t="shared" si="40"/>
        <v>0</v>
      </c>
      <c r="G392" s="1723">
        <f t="shared" si="41"/>
        <v>0</v>
      </c>
    </row>
    <row r="393" spans="1:7">
      <c r="A393" s="1717">
        <f t="shared" si="42"/>
        <v>381</v>
      </c>
      <c r="B393" s="1722" t="str">
        <f t="shared" si="43"/>
        <v/>
      </c>
      <c r="C393" s="1723">
        <f t="shared" si="37"/>
        <v>0</v>
      </c>
      <c r="D393" s="1723">
        <f t="shared" si="38"/>
        <v>0</v>
      </c>
      <c r="E393" s="1723">
        <f t="shared" si="39"/>
        <v>0</v>
      </c>
      <c r="F393" s="1723">
        <f t="shared" si="40"/>
        <v>0</v>
      </c>
      <c r="G393" s="1723">
        <f t="shared" si="41"/>
        <v>0</v>
      </c>
    </row>
    <row r="394" spans="1:7">
      <c r="A394" s="1717">
        <f t="shared" si="42"/>
        <v>382</v>
      </c>
      <c r="B394" s="1722" t="str">
        <f t="shared" si="43"/>
        <v/>
      </c>
      <c r="C394" s="1723">
        <f t="shared" si="37"/>
        <v>0</v>
      </c>
      <c r="D394" s="1723">
        <f t="shared" si="38"/>
        <v>0</v>
      </c>
      <c r="E394" s="1723">
        <f t="shared" si="39"/>
        <v>0</v>
      </c>
      <c r="F394" s="1723">
        <f t="shared" si="40"/>
        <v>0</v>
      </c>
      <c r="G394" s="1723">
        <f t="shared" si="41"/>
        <v>0</v>
      </c>
    </row>
    <row r="395" spans="1:7">
      <c r="A395" s="1717">
        <f t="shared" si="42"/>
        <v>383</v>
      </c>
      <c r="B395" s="1722" t="str">
        <f t="shared" si="43"/>
        <v/>
      </c>
      <c r="C395" s="1723">
        <f t="shared" si="37"/>
        <v>0</v>
      </c>
      <c r="D395" s="1723">
        <f t="shared" si="38"/>
        <v>0</v>
      </c>
      <c r="E395" s="1723">
        <f t="shared" si="39"/>
        <v>0</v>
      </c>
      <c r="F395" s="1723">
        <f t="shared" si="40"/>
        <v>0</v>
      </c>
      <c r="G395" s="1723">
        <f t="shared" si="41"/>
        <v>0</v>
      </c>
    </row>
    <row r="396" spans="1:7">
      <c r="A396" s="1717">
        <f t="shared" si="42"/>
        <v>384</v>
      </c>
      <c r="B396" s="1722" t="str">
        <f t="shared" si="43"/>
        <v/>
      </c>
      <c r="C396" s="1723">
        <f t="shared" si="37"/>
        <v>0</v>
      </c>
      <c r="D396" s="1723">
        <f t="shared" si="38"/>
        <v>0</v>
      </c>
      <c r="E396" s="1723">
        <f t="shared" si="39"/>
        <v>0</v>
      </c>
      <c r="F396" s="1723">
        <f t="shared" si="40"/>
        <v>0</v>
      </c>
      <c r="G396" s="1723">
        <f t="shared" si="41"/>
        <v>0</v>
      </c>
    </row>
    <row r="397" spans="1:7">
      <c r="A397" s="1717">
        <f t="shared" si="42"/>
        <v>385</v>
      </c>
      <c r="B397" s="1722" t="str">
        <f t="shared" si="43"/>
        <v/>
      </c>
      <c r="C397" s="1723">
        <f t="shared" si="37"/>
        <v>0</v>
      </c>
      <c r="D397" s="1723">
        <f t="shared" si="38"/>
        <v>0</v>
      </c>
      <c r="E397" s="1723">
        <f t="shared" si="39"/>
        <v>0</v>
      </c>
      <c r="F397" s="1723">
        <f t="shared" si="40"/>
        <v>0</v>
      </c>
      <c r="G397" s="1723">
        <f t="shared" si="41"/>
        <v>0</v>
      </c>
    </row>
    <row r="398" spans="1:7">
      <c r="A398" s="1717">
        <f t="shared" si="42"/>
        <v>386</v>
      </c>
      <c r="B398" s="1722" t="str">
        <f t="shared" si="43"/>
        <v/>
      </c>
      <c r="C398" s="1723">
        <f t="shared" ref="C398:C461" si="44">IF(A397&lt;$B$6*12,G397,"")</f>
        <v>0</v>
      </c>
      <c r="D398" s="1723">
        <f t="shared" ref="D398:D461" si="45">IF(A398=$B$6*12,C398+E398,IF(A397&lt;$B$6*12,$B$8,""))</f>
        <v>0</v>
      </c>
      <c r="E398" s="1723">
        <f t="shared" ref="E398:E461" si="46">IF(A397&lt;$B$6*12,ROUND(C398*$B$5/12,2),"")</f>
        <v>0</v>
      </c>
      <c r="F398" s="1723">
        <f t="shared" ref="F398:F461" si="47">IF(A397&lt;$B$6*12,D398-E398,"")</f>
        <v>0</v>
      </c>
      <c r="G398" s="1723">
        <f t="shared" ref="G398:G461" si="48">IF(A397&lt;$B$6*12,C398-F398,"")</f>
        <v>0</v>
      </c>
    </row>
    <row r="399" spans="1:7">
      <c r="A399" s="1717">
        <f t="shared" ref="A399:A462" si="49">IF(A398&lt;$B$6*12,A398+1,"")</f>
        <v>387</v>
      </c>
      <c r="B399" s="1722" t="str">
        <f t="shared" ref="B399:B462" si="50">IFERROR(EDATE(B398,1),"")</f>
        <v/>
      </c>
      <c r="C399" s="1723">
        <f t="shared" si="44"/>
        <v>0</v>
      </c>
      <c r="D399" s="1723">
        <f t="shared" si="45"/>
        <v>0</v>
      </c>
      <c r="E399" s="1723">
        <f t="shared" si="46"/>
        <v>0</v>
      </c>
      <c r="F399" s="1723">
        <f t="shared" si="47"/>
        <v>0</v>
      </c>
      <c r="G399" s="1723">
        <f t="shared" si="48"/>
        <v>0</v>
      </c>
    </row>
    <row r="400" spans="1:7">
      <c r="A400" s="1717">
        <f t="shared" si="49"/>
        <v>388</v>
      </c>
      <c r="B400" s="1722" t="str">
        <f t="shared" si="50"/>
        <v/>
      </c>
      <c r="C400" s="1723">
        <f t="shared" si="44"/>
        <v>0</v>
      </c>
      <c r="D400" s="1723">
        <f t="shared" si="45"/>
        <v>0</v>
      </c>
      <c r="E400" s="1723">
        <f t="shared" si="46"/>
        <v>0</v>
      </c>
      <c r="F400" s="1723">
        <f t="shared" si="47"/>
        <v>0</v>
      </c>
      <c r="G400" s="1723">
        <f t="shared" si="48"/>
        <v>0</v>
      </c>
    </row>
    <row r="401" spans="1:7">
      <c r="A401" s="1717">
        <f t="shared" si="49"/>
        <v>389</v>
      </c>
      <c r="B401" s="1722" t="str">
        <f t="shared" si="50"/>
        <v/>
      </c>
      <c r="C401" s="1723">
        <f t="shared" si="44"/>
        <v>0</v>
      </c>
      <c r="D401" s="1723">
        <f t="shared" si="45"/>
        <v>0</v>
      </c>
      <c r="E401" s="1723">
        <f t="shared" si="46"/>
        <v>0</v>
      </c>
      <c r="F401" s="1723">
        <f t="shared" si="47"/>
        <v>0</v>
      </c>
      <c r="G401" s="1723">
        <f t="shared" si="48"/>
        <v>0</v>
      </c>
    </row>
    <row r="402" spans="1:7">
      <c r="A402" s="1717">
        <f t="shared" si="49"/>
        <v>390</v>
      </c>
      <c r="B402" s="1722" t="str">
        <f t="shared" si="50"/>
        <v/>
      </c>
      <c r="C402" s="1723">
        <f t="shared" si="44"/>
        <v>0</v>
      </c>
      <c r="D402" s="1723">
        <f t="shared" si="45"/>
        <v>0</v>
      </c>
      <c r="E402" s="1723">
        <f t="shared" si="46"/>
        <v>0</v>
      </c>
      <c r="F402" s="1723">
        <f t="shared" si="47"/>
        <v>0</v>
      </c>
      <c r="G402" s="1723">
        <f t="shared" si="48"/>
        <v>0</v>
      </c>
    </row>
    <row r="403" spans="1:7">
      <c r="A403" s="1717">
        <f t="shared" si="49"/>
        <v>391</v>
      </c>
      <c r="B403" s="1722" t="str">
        <f t="shared" si="50"/>
        <v/>
      </c>
      <c r="C403" s="1723">
        <f t="shared" si="44"/>
        <v>0</v>
      </c>
      <c r="D403" s="1723">
        <f t="shared" si="45"/>
        <v>0</v>
      </c>
      <c r="E403" s="1723">
        <f t="shared" si="46"/>
        <v>0</v>
      </c>
      <c r="F403" s="1723">
        <f t="shared" si="47"/>
        <v>0</v>
      </c>
      <c r="G403" s="1723">
        <f t="shared" si="48"/>
        <v>0</v>
      </c>
    </row>
    <row r="404" spans="1:7">
      <c r="A404" s="1717">
        <f t="shared" si="49"/>
        <v>392</v>
      </c>
      <c r="B404" s="1722" t="str">
        <f t="shared" si="50"/>
        <v/>
      </c>
      <c r="C404" s="1723">
        <f t="shared" si="44"/>
        <v>0</v>
      </c>
      <c r="D404" s="1723">
        <f t="shared" si="45"/>
        <v>0</v>
      </c>
      <c r="E404" s="1723">
        <f t="shared" si="46"/>
        <v>0</v>
      </c>
      <c r="F404" s="1723">
        <f t="shared" si="47"/>
        <v>0</v>
      </c>
      <c r="G404" s="1723">
        <f t="shared" si="48"/>
        <v>0</v>
      </c>
    </row>
    <row r="405" spans="1:7">
      <c r="A405" s="1717">
        <f t="shared" si="49"/>
        <v>393</v>
      </c>
      <c r="B405" s="1722" t="str">
        <f t="shared" si="50"/>
        <v/>
      </c>
      <c r="C405" s="1723">
        <f t="shared" si="44"/>
        <v>0</v>
      </c>
      <c r="D405" s="1723">
        <f t="shared" si="45"/>
        <v>0</v>
      </c>
      <c r="E405" s="1723">
        <f t="shared" si="46"/>
        <v>0</v>
      </c>
      <c r="F405" s="1723">
        <f t="shared" si="47"/>
        <v>0</v>
      </c>
      <c r="G405" s="1723">
        <f t="shared" si="48"/>
        <v>0</v>
      </c>
    </row>
    <row r="406" spans="1:7">
      <c r="A406" s="1717">
        <f t="shared" si="49"/>
        <v>394</v>
      </c>
      <c r="B406" s="1722" t="str">
        <f t="shared" si="50"/>
        <v/>
      </c>
      <c r="C406" s="1723">
        <f t="shared" si="44"/>
        <v>0</v>
      </c>
      <c r="D406" s="1723">
        <f t="shared" si="45"/>
        <v>0</v>
      </c>
      <c r="E406" s="1723">
        <f t="shared" si="46"/>
        <v>0</v>
      </c>
      <c r="F406" s="1723">
        <f t="shared" si="47"/>
        <v>0</v>
      </c>
      <c r="G406" s="1723">
        <f t="shared" si="48"/>
        <v>0</v>
      </c>
    </row>
    <row r="407" spans="1:7">
      <c r="A407" s="1717">
        <f t="shared" si="49"/>
        <v>395</v>
      </c>
      <c r="B407" s="1722" t="str">
        <f t="shared" si="50"/>
        <v/>
      </c>
      <c r="C407" s="1723">
        <f t="shared" si="44"/>
        <v>0</v>
      </c>
      <c r="D407" s="1723">
        <f t="shared" si="45"/>
        <v>0</v>
      </c>
      <c r="E407" s="1723">
        <f t="shared" si="46"/>
        <v>0</v>
      </c>
      <c r="F407" s="1723">
        <f t="shared" si="47"/>
        <v>0</v>
      </c>
      <c r="G407" s="1723">
        <f t="shared" si="48"/>
        <v>0</v>
      </c>
    </row>
    <row r="408" spans="1:7">
      <c r="A408" s="1717">
        <f t="shared" si="49"/>
        <v>396</v>
      </c>
      <c r="B408" s="1722" t="str">
        <f t="shared" si="50"/>
        <v/>
      </c>
      <c r="C408" s="1723">
        <f t="shared" si="44"/>
        <v>0</v>
      </c>
      <c r="D408" s="1723">
        <f t="shared" si="45"/>
        <v>0</v>
      </c>
      <c r="E408" s="1723">
        <f t="shared" si="46"/>
        <v>0</v>
      </c>
      <c r="F408" s="1723">
        <f t="shared" si="47"/>
        <v>0</v>
      </c>
      <c r="G408" s="1723">
        <f t="shared" si="48"/>
        <v>0</v>
      </c>
    </row>
    <row r="409" spans="1:7">
      <c r="A409" s="1717">
        <f t="shared" si="49"/>
        <v>397</v>
      </c>
      <c r="B409" s="1722" t="str">
        <f t="shared" si="50"/>
        <v/>
      </c>
      <c r="C409" s="1723">
        <f t="shared" si="44"/>
        <v>0</v>
      </c>
      <c r="D409" s="1723">
        <f t="shared" si="45"/>
        <v>0</v>
      </c>
      <c r="E409" s="1723">
        <f t="shared" si="46"/>
        <v>0</v>
      </c>
      <c r="F409" s="1723">
        <f t="shared" si="47"/>
        <v>0</v>
      </c>
      <c r="G409" s="1723">
        <f t="shared" si="48"/>
        <v>0</v>
      </c>
    </row>
    <row r="410" spans="1:7">
      <c r="A410" s="1717">
        <f t="shared" si="49"/>
        <v>398</v>
      </c>
      <c r="B410" s="1722" t="str">
        <f t="shared" si="50"/>
        <v/>
      </c>
      <c r="C410" s="1723">
        <f t="shared" si="44"/>
        <v>0</v>
      </c>
      <c r="D410" s="1723">
        <f t="shared" si="45"/>
        <v>0</v>
      </c>
      <c r="E410" s="1723">
        <f t="shared" si="46"/>
        <v>0</v>
      </c>
      <c r="F410" s="1723">
        <f t="shared" si="47"/>
        <v>0</v>
      </c>
      <c r="G410" s="1723">
        <f t="shared" si="48"/>
        <v>0</v>
      </c>
    </row>
    <row r="411" spans="1:7">
      <c r="A411" s="1717">
        <f t="shared" si="49"/>
        <v>399</v>
      </c>
      <c r="B411" s="1722" t="str">
        <f t="shared" si="50"/>
        <v/>
      </c>
      <c r="C411" s="1723">
        <f t="shared" si="44"/>
        <v>0</v>
      </c>
      <c r="D411" s="1723">
        <f t="shared" si="45"/>
        <v>0</v>
      </c>
      <c r="E411" s="1723">
        <f t="shared" si="46"/>
        <v>0</v>
      </c>
      <c r="F411" s="1723">
        <f t="shared" si="47"/>
        <v>0</v>
      </c>
      <c r="G411" s="1723">
        <f t="shared" si="48"/>
        <v>0</v>
      </c>
    </row>
    <row r="412" spans="1:7">
      <c r="A412" s="1717">
        <f t="shared" si="49"/>
        <v>400</v>
      </c>
      <c r="B412" s="1722" t="str">
        <f t="shared" si="50"/>
        <v/>
      </c>
      <c r="C412" s="1723">
        <f t="shared" si="44"/>
        <v>0</v>
      </c>
      <c r="D412" s="1723">
        <f t="shared" si="45"/>
        <v>0</v>
      </c>
      <c r="E412" s="1723">
        <f t="shared" si="46"/>
        <v>0</v>
      </c>
      <c r="F412" s="1723">
        <f t="shared" si="47"/>
        <v>0</v>
      </c>
      <c r="G412" s="1723">
        <f t="shared" si="48"/>
        <v>0</v>
      </c>
    </row>
    <row r="413" spans="1:7">
      <c r="A413" s="1717">
        <f t="shared" si="49"/>
        <v>401</v>
      </c>
      <c r="B413" s="1722" t="str">
        <f t="shared" si="50"/>
        <v/>
      </c>
      <c r="C413" s="1723">
        <f t="shared" si="44"/>
        <v>0</v>
      </c>
      <c r="D413" s="1723">
        <f t="shared" si="45"/>
        <v>0</v>
      </c>
      <c r="E413" s="1723">
        <f t="shared" si="46"/>
        <v>0</v>
      </c>
      <c r="F413" s="1723">
        <f t="shared" si="47"/>
        <v>0</v>
      </c>
      <c r="G413" s="1723">
        <f t="shared" si="48"/>
        <v>0</v>
      </c>
    </row>
    <row r="414" spans="1:7">
      <c r="A414" s="1717">
        <f t="shared" si="49"/>
        <v>402</v>
      </c>
      <c r="B414" s="1722" t="str">
        <f t="shared" si="50"/>
        <v/>
      </c>
      <c r="C414" s="1723">
        <f t="shared" si="44"/>
        <v>0</v>
      </c>
      <c r="D414" s="1723">
        <f t="shared" si="45"/>
        <v>0</v>
      </c>
      <c r="E414" s="1723">
        <f t="shared" si="46"/>
        <v>0</v>
      </c>
      <c r="F414" s="1723">
        <f t="shared" si="47"/>
        <v>0</v>
      </c>
      <c r="G414" s="1723">
        <f t="shared" si="48"/>
        <v>0</v>
      </c>
    </row>
    <row r="415" spans="1:7">
      <c r="A415" s="1717">
        <f t="shared" si="49"/>
        <v>403</v>
      </c>
      <c r="B415" s="1722" t="str">
        <f t="shared" si="50"/>
        <v/>
      </c>
      <c r="C415" s="1723">
        <f t="shared" si="44"/>
        <v>0</v>
      </c>
      <c r="D415" s="1723">
        <f t="shared" si="45"/>
        <v>0</v>
      </c>
      <c r="E415" s="1723">
        <f t="shared" si="46"/>
        <v>0</v>
      </c>
      <c r="F415" s="1723">
        <f t="shared" si="47"/>
        <v>0</v>
      </c>
      <c r="G415" s="1723">
        <f t="shared" si="48"/>
        <v>0</v>
      </c>
    </row>
    <row r="416" spans="1:7">
      <c r="A416" s="1717">
        <f t="shared" si="49"/>
        <v>404</v>
      </c>
      <c r="B416" s="1722" t="str">
        <f t="shared" si="50"/>
        <v/>
      </c>
      <c r="C416" s="1723">
        <f t="shared" si="44"/>
        <v>0</v>
      </c>
      <c r="D416" s="1723">
        <f t="shared" si="45"/>
        <v>0</v>
      </c>
      <c r="E416" s="1723">
        <f t="shared" si="46"/>
        <v>0</v>
      </c>
      <c r="F416" s="1723">
        <f t="shared" si="47"/>
        <v>0</v>
      </c>
      <c r="G416" s="1723">
        <f t="shared" si="48"/>
        <v>0</v>
      </c>
    </row>
    <row r="417" spans="1:7">
      <c r="A417" s="1717">
        <f t="shared" si="49"/>
        <v>405</v>
      </c>
      <c r="B417" s="1722" t="str">
        <f t="shared" si="50"/>
        <v/>
      </c>
      <c r="C417" s="1723">
        <f t="shared" si="44"/>
        <v>0</v>
      </c>
      <c r="D417" s="1723">
        <f t="shared" si="45"/>
        <v>0</v>
      </c>
      <c r="E417" s="1723">
        <f t="shared" si="46"/>
        <v>0</v>
      </c>
      <c r="F417" s="1723">
        <f t="shared" si="47"/>
        <v>0</v>
      </c>
      <c r="G417" s="1723">
        <f t="shared" si="48"/>
        <v>0</v>
      </c>
    </row>
    <row r="418" spans="1:7">
      <c r="A418" s="1717">
        <f t="shared" si="49"/>
        <v>406</v>
      </c>
      <c r="B418" s="1722" t="str">
        <f t="shared" si="50"/>
        <v/>
      </c>
      <c r="C418" s="1723">
        <f t="shared" si="44"/>
        <v>0</v>
      </c>
      <c r="D418" s="1723">
        <f t="shared" si="45"/>
        <v>0</v>
      </c>
      <c r="E418" s="1723">
        <f t="shared" si="46"/>
        <v>0</v>
      </c>
      <c r="F418" s="1723">
        <f t="shared" si="47"/>
        <v>0</v>
      </c>
      <c r="G418" s="1723">
        <f t="shared" si="48"/>
        <v>0</v>
      </c>
    </row>
    <row r="419" spans="1:7">
      <c r="A419" s="1717">
        <f t="shared" si="49"/>
        <v>407</v>
      </c>
      <c r="B419" s="1722" t="str">
        <f t="shared" si="50"/>
        <v/>
      </c>
      <c r="C419" s="1723">
        <f t="shared" si="44"/>
        <v>0</v>
      </c>
      <c r="D419" s="1723">
        <f t="shared" si="45"/>
        <v>0</v>
      </c>
      <c r="E419" s="1723">
        <f t="shared" si="46"/>
        <v>0</v>
      </c>
      <c r="F419" s="1723">
        <f t="shared" si="47"/>
        <v>0</v>
      </c>
      <c r="G419" s="1723">
        <f t="shared" si="48"/>
        <v>0</v>
      </c>
    </row>
    <row r="420" spans="1:7">
      <c r="A420" s="1717">
        <f t="shared" si="49"/>
        <v>408</v>
      </c>
      <c r="B420" s="1722" t="str">
        <f t="shared" si="50"/>
        <v/>
      </c>
      <c r="C420" s="1723">
        <f t="shared" si="44"/>
        <v>0</v>
      </c>
      <c r="D420" s="1723">
        <f t="shared" si="45"/>
        <v>0</v>
      </c>
      <c r="E420" s="1723">
        <f t="shared" si="46"/>
        <v>0</v>
      </c>
      <c r="F420" s="1723">
        <f t="shared" si="47"/>
        <v>0</v>
      </c>
      <c r="G420" s="1723">
        <f t="shared" si="48"/>
        <v>0</v>
      </c>
    </row>
    <row r="421" spans="1:7">
      <c r="A421" s="1717">
        <f t="shared" si="49"/>
        <v>409</v>
      </c>
      <c r="B421" s="1722" t="str">
        <f t="shared" si="50"/>
        <v/>
      </c>
      <c r="C421" s="1723">
        <f t="shared" si="44"/>
        <v>0</v>
      </c>
      <c r="D421" s="1723">
        <f t="shared" si="45"/>
        <v>0</v>
      </c>
      <c r="E421" s="1723">
        <f t="shared" si="46"/>
        <v>0</v>
      </c>
      <c r="F421" s="1723">
        <f t="shared" si="47"/>
        <v>0</v>
      </c>
      <c r="G421" s="1723">
        <f t="shared" si="48"/>
        <v>0</v>
      </c>
    </row>
    <row r="422" spans="1:7">
      <c r="A422" s="1717">
        <f t="shared" si="49"/>
        <v>410</v>
      </c>
      <c r="B422" s="1722" t="str">
        <f t="shared" si="50"/>
        <v/>
      </c>
      <c r="C422" s="1723">
        <f t="shared" si="44"/>
        <v>0</v>
      </c>
      <c r="D422" s="1723">
        <f t="shared" si="45"/>
        <v>0</v>
      </c>
      <c r="E422" s="1723">
        <f t="shared" si="46"/>
        <v>0</v>
      </c>
      <c r="F422" s="1723">
        <f t="shared" si="47"/>
        <v>0</v>
      </c>
      <c r="G422" s="1723">
        <f t="shared" si="48"/>
        <v>0</v>
      </c>
    </row>
    <row r="423" spans="1:7">
      <c r="A423" s="1717">
        <f t="shared" si="49"/>
        <v>411</v>
      </c>
      <c r="B423" s="1722" t="str">
        <f t="shared" si="50"/>
        <v/>
      </c>
      <c r="C423" s="1723">
        <f t="shared" si="44"/>
        <v>0</v>
      </c>
      <c r="D423" s="1723">
        <f t="shared" si="45"/>
        <v>0</v>
      </c>
      <c r="E423" s="1723">
        <f t="shared" si="46"/>
        <v>0</v>
      </c>
      <c r="F423" s="1723">
        <f t="shared" si="47"/>
        <v>0</v>
      </c>
      <c r="G423" s="1723">
        <f t="shared" si="48"/>
        <v>0</v>
      </c>
    </row>
    <row r="424" spans="1:7">
      <c r="A424" s="1717">
        <f t="shared" si="49"/>
        <v>412</v>
      </c>
      <c r="B424" s="1722" t="str">
        <f t="shared" si="50"/>
        <v/>
      </c>
      <c r="C424" s="1723">
        <f t="shared" si="44"/>
        <v>0</v>
      </c>
      <c r="D424" s="1723">
        <f t="shared" si="45"/>
        <v>0</v>
      </c>
      <c r="E424" s="1723">
        <f t="shared" si="46"/>
        <v>0</v>
      </c>
      <c r="F424" s="1723">
        <f t="shared" si="47"/>
        <v>0</v>
      </c>
      <c r="G424" s="1723">
        <f t="shared" si="48"/>
        <v>0</v>
      </c>
    </row>
    <row r="425" spans="1:7">
      <c r="A425" s="1717">
        <f t="shared" si="49"/>
        <v>413</v>
      </c>
      <c r="B425" s="1722" t="str">
        <f t="shared" si="50"/>
        <v/>
      </c>
      <c r="C425" s="1723">
        <f t="shared" si="44"/>
        <v>0</v>
      </c>
      <c r="D425" s="1723">
        <f t="shared" si="45"/>
        <v>0</v>
      </c>
      <c r="E425" s="1723">
        <f t="shared" si="46"/>
        <v>0</v>
      </c>
      <c r="F425" s="1723">
        <f t="shared" si="47"/>
        <v>0</v>
      </c>
      <c r="G425" s="1723">
        <f t="shared" si="48"/>
        <v>0</v>
      </c>
    </row>
    <row r="426" spans="1:7">
      <c r="A426" s="1717">
        <f t="shared" si="49"/>
        <v>414</v>
      </c>
      <c r="B426" s="1722" t="str">
        <f t="shared" si="50"/>
        <v/>
      </c>
      <c r="C426" s="1723">
        <f t="shared" si="44"/>
        <v>0</v>
      </c>
      <c r="D426" s="1723">
        <f t="shared" si="45"/>
        <v>0</v>
      </c>
      <c r="E426" s="1723">
        <f t="shared" si="46"/>
        <v>0</v>
      </c>
      <c r="F426" s="1723">
        <f t="shared" si="47"/>
        <v>0</v>
      </c>
      <c r="G426" s="1723">
        <f t="shared" si="48"/>
        <v>0</v>
      </c>
    </row>
    <row r="427" spans="1:7">
      <c r="A427" s="1717">
        <f t="shared" si="49"/>
        <v>415</v>
      </c>
      <c r="B427" s="1722" t="str">
        <f t="shared" si="50"/>
        <v/>
      </c>
      <c r="C427" s="1723">
        <f t="shared" si="44"/>
        <v>0</v>
      </c>
      <c r="D427" s="1723">
        <f t="shared" si="45"/>
        <v>0</v>
      </c>
      <c r="E427" s="1723">
        <f t="shared" si="46"/>
        <v>0</v>
      </c>
      <c r="F427" s="1723">
        <f t="shared" si="47"/>
        <v>0</v>
      </c>
      <c r="G427" s="1723">
        <f t="shared" si="48"/>
        <v>0</v>
      </c>
    </row>
    <row r="428" spans="1:7">
      <c r="A428" s="1717">
        <f t="shared" si="49"/>
        <v>416</v>
      </c>
      <c r="B428" s="1722" t="str">
        <f t="shared" si="50"/>
        <v/>
      </c>
      <c r="C428" s="1723">
        <f t="shared" si="44"/>
        <v>0</v>
      </c>
      <c r="D428" s="1723">
        <f t="shared" si="45"/>
        <v>0</v>
      </c>
      <c r="E428" s="1723">
        <f t="shared" si="46"/>
        <v>0</v>
      </c>
      <c r="F428" s="1723">
        <f t="shared" si="47"/>
        <v>0</v>
      </c>
      <c r="G428" s="1723">
        <f t="shared" si="48"/>
        <v>0</v>
      </c>
    </row>
    <row r="429" spans="1:7">
      <c r="A429" s="1717">
        <f t="shared" si="49"/>
        <v>417</v>
      </c>
      <c r="B429" s="1722" t="str">
        <f t="shared" si="50"/>
        <v/>
      </c>
      <c r="C429" s="1723">
        <f t="shared" si="44"/>
        <v>0</v>
      </c>
      <c r="D429" s="1723">
        <f t="shared" si="45"/>
        <v>0</v>
      </c>
      <c r="E429" s="1723">
        <f t="shared" si="46"/>
        <v>0</v>
      </c>
      <c r="F429" s="1723">
        <f t="shared" si="47"/>
        <v>0</v>
      </c>
      <c r="G429" s="1723">
        <f t="shared" si="48"/>
        <v>0</v>
      </c>
    </row>
    <row r="430" spans="1:7">
      <c r="A430" s="1717">
        <f t="shared" si="49"/>
        <v>418</v>
      </c>
      <c r="B430" s="1722" t="str">
        <f t="shared" si="50"/>
        <v/>
      </c>
      <c r="C430" s="1723">
        <f t="shared" si="44"/>
        <v>0</v>
      </c>
      <c r="D430" s="1723">
        <f t="shared" si="45"/>
        <v>0</v>
      </c>
      <c r="E430" s="1723">
        <f t="shared" si="46"/>
        <v>0</v>
      </c>
      <c r="F430" s="1723">
        <f t="shared" si="47"/>
        <v>0</v>
      </c>
      <c r="G430" s="1723">
        <f t="shared" si="48"/>
        <v>0</v>
      </c>
    </row>
    <row r="431" spans="1:7">
      <c r="A431" s="1717">
        <f t="shared" si="49"/>
        <v>419</v>
      </c>
      <c r="B431" s="1722" t="str">
        <f t="shared" si="50"/>
        <v/>
      </c>
      <c r="C431" s="1723">
        <f t="shared" si="44"/>
        <v>0</v>
      </c>
      <c r="D431" s="1723">
        <f t="shared" si="45"/>
        <v>0</v>
      </c>
      <c r="E431" s="1723">
        <f t="shared" si="46"/>
        <v>0</v>
      </c>
      <c r="F431" s="1723">
        <f t="shared" si="47"/>
        <v>0</v>
      </c>
      <c r="G431" s="1723">
        <f t="shared" si="48"/>
        <v>0</v>
      </c>
    </row>
    <row r="432" spans="1:7">
      <c r="A432" s="1717">
        <f t="shared" si="49"/>
        <v>420</v>
      </c>
      <c r="B432" s="1722" t="str">
        <f t="shared" si="50"/>
        <v/>
      </c>
      <c r="C432" s="1723">
        <f t="shared" si="44"/>
        <v>0</v>
      </c>
      <c r="D432" s="1723">
        <f t="shared" si="45"/>
        <v>0</v>
      </c>
      <c r="E432" s="1723">
        <f t="shared" si="46"/>
        <v>0</v>
      </c>
      <c r="F432" s="1723">
        <f t="shared" si="47"/>
        <v>0</v>
      </c>
      <c r="G432" s="1723">
        <f t="shared" si="48"/>
        <v>0</v>
      </c>
    </row>
    <row r="433" spans="1:7">
      <c r="A433" s="1717">
        <f t="shared" si="49"/>
        <v>421</v>
      </c>
      <c r="B433" s="1722" t="str">
        <f t="shared" si="50"/>
        <v/>
      </c>
      <c r="C433" s="1723">
        <f t="shared" si="44"/>
        <v>0</v>
      </c>
      <c r="D433" s="1723">
        <f t="shared" si="45"/>
        <v>0</v>
      </c>
      <c r="E433" s="1723">
        <f t="shared" si="46"/>
        <v>0</v>
      </c>
      <c r="F433" s="1723">
        <f t="shared" si="47"/>
        <v>0</v>
      </c>
      <c r="G433" s="1723">
        <f t="shared" si="48"/>
        <v>0</v>
      </c>
    </row>
    <row r="434" spans="1:7">
      <c r="A434" s="1717">
        <f t="shared" si="49"/>
        <v>422</v>
      </c>
      <c r="B434" s="1722" t="str">
        <f t="shared" si="50"/>
        <v/>
      </c>
      <c r="C434" s="1723">
        <f t="shared" si="44"/>
        <v>0</v>
      </c>
      <c r="D434" s="1723">
        <f t="shared" si="45"/>
        <v>0</v>
      </c>
      <c r="E434" s="1723">
        <f t="shared" si="46"/>
        <v>0</v>
      </c>
      <c r="F434" s="1723">
        <f t="shared" si="47"/>
        <v>0</v>
      </c>
      <c r="G434" s="1723">
        <f t="shared" si="48"/>
        <v>0</v>
      </c>
    </row>
    <row r="435" spans="1:7">
      <c r="A435" s="1717">
        <f t="shared" si="49"/>
        <v>423</v>
      </c>
      <c r="B435" s="1722" t="str">
        <f t="shared" si="50"/>
        <v/>
      </c>
      <c r="C435" s="1723">
        <f t="shared" si="44"/>
        <v>0</v>
      </c>
      <c r="D435" s="1723">
        <f t="shared" si="45"/>
        <v>0</v>
      </c>
      <c r="E435" s="1723">
        <f t="shared" si="46"/>
        <v>0</v>
      </c>
      <c r="F435" s="1723">
        <f t="shared" si="47"/>
        <v>0</v>
      </c>
      <c r="G435" s="1723">
        <f t="shared" si="48"/>
        <v>0</v>
      </c>
    </row>
    <row r="436" spans="1:7">
      <c r="A436" s="1717">
        <f t="shared" si="49"/>
        <v>424</v>
      </c>
      <c r="B436" s="1722" t="str">
        <f t="shared" si="50"/>
        <v/>
      </c>
      <c r="C436" s="1723">
        <f t="shared" si="44"/>
        <v>0</v>
      </c>
      <c r="D436" s="1723">
        <f t="shared" si="45"/>
        <v>0</v>
      </c>
      <c r="E436" s="1723">
        <f t="shared" si="46"/>
        <v>0</v>
      </c>
      <c r="F436" s="1723">
        <f t="shared" si="47"/>
        <v>0</v>
      </c>
      <c r="G436" s="1723">
        <f t="shared" si="48"/>
        <v>0</v>
      </c>
    </row>
    <row r="437" spans="1:7">
      <c r="A437" s="1717">
        <f t="shared" si="49"/>
        <v>425</v>
      </c>
      <c r="B437" s="1722" t="str">
        <f t="shared" si="50"/>
        <v/>
      </c>
      <c r="C437" s="1723">
        <f t="shared" si="44"/>
        <v>0</v>
      </c>
      <c r="D437" s="1723">
        <f t="shared" si="45"/>
        <v>0</v>
      </c>
      <c r="E437" s="1723">
        <f t="shared" si="46"/>
        <v>0</v>
      </c>
      <c r="F437" s="1723">
        <f t="shared" si="47"/>
        <v>0</v>
      </c>
      <c r="G437" s="1723">
        <f t="shared" si="48"/>
        <v>0</v>
      </c>
    </row>
    <row r="438" spans="1:7">
      <c r="A438" s="1717">
        <f t="shared" si="49"/>
        <v>426</v>
      </c>
      <c r="B438" s="1722" t="str">
        <f t="shared" si="50"/>
        <v/>
      </c>
      <c r="C438" s="1723">
        <f t="shared" si="44"/>
        <v>0</v>
      </c>
      <c r="D438" s="1723">
        <f t="shared" si="45"/>
        <v>0</v>
      </c>
      <c r="E438" s="1723">
        <f t="shared" si="46"/>
        <v>0</v>
      </c>
      <c r="F438" s="1723">
        <f t="shared" si="47"/>
        <v>0</v>
      </c>
      <c r="G438" s="1723">
        <f t="shared" si="48"/>
        <v>0</v>
      </c>
    </row>
    <row r="439" spans="1:7">
      <c r="A439" s="1717">
        <f t="shared" si="49"/>
        <v>427</v>
      </c>
      <c r="B439" s="1722" t="str">
        <f t="shared" si="50"/>
        <v/>
      </c>
      <c r="C439" s="1723">
        <f t="shared" si="44"/>
        <v>0</v>
      </c>
      <c r="D439" s="1723">
        <f t="shared" si="45"/>
        <v>0</v>
      </c>
      <c r="E439" s="1723">
        <f t="shared" si="46"/>
        <v>0</v>
      </c>
      <c r="F439" s="1723">
        <f t="shared" si="47"/>
        <v>0</v>
      </c>
      <c r="G439" s="1723">
        <f t="shared" si="48"/>
        <v>0</v>
      </c>
    </row>
    <row r="440" spans="1:7">
      <c r="A440" s="1717">
        <f t="shared" si="49"/>
        <v>428</v>
      </c>
      <c r="B440" s="1722" t="str">
        <f t="shared" si="50"/>
        <v/>
      </c>
      <c r="C440" s="1723">
        <f t="shared" si="44"/>
        <v>0</v>
      </c>
      <c r="D440" s="1723">
        <f t="shared" si="45"/>
        <v>0</v>
      </c>
      <c r="E440" s="1723">
        <f t="shared" si="46"/>
        <v>0</v>
      </c>
      <c r="F440" s="1723">
        <f t="shared" si="47"/>
        <v>0</v>
      </c>
      <c r="G440" s="1723">
        <f t="shared" si="48"/>
        <v>0</v>
      </c>
    </row>
    <row r="441" spans="1:7">
      <c r="A441" s="1717">
        <f t="shared" si="49"/>
        <v>429</v>
      </c>
      <c r="B441" s="1722" t="str">
        <f t="shared" si="50"/>
        <v/>
      </c>
      <c r="C441" s="1723">
        <f t="shared" si="44"/>
        <v>0</v>
      </c>
      <c r="D441" s="1723">
        <f t="shared" si="45"/>
        <v>0</v>
      </c>
      <c r="E441" s="1723">
        <f t="shared" si="46"/>
        <v>0</v>
      </c>
      <c r="F441" s="1723">
        <f t="shared" si="47"/>
        <v>0</v>
      </c>
      <c r="G441" s="1723">
        <f t="shared" si="48"/>
        <v>0</v>
      </c>
    </row>
    <row r="442" spans="1:7">
      <c r="A442" s="1717">
        <f t="shared" si="49"/>
        <v>430</v>
      </c>
      <c r="B442" s="1722" t="str">
        <f t="shared" si="50"/>
        <v/>
      </c>
      <c r="C442" s="1723">
        <f t="shared" si="44"/>
        <v>0</v>
      </c>
      <c r="D442" s="1723">
        <f t="shared" si="45"/>
        <v>0</v>
      </c>
      <c r="E442" s="1723">
        <f t="shared" si="46"/>
        <v>0</v>
      </c>
      <c r="F442" s="1723">
        <f t="shared" si="47"/>
        <v>0</v>
      </c>
      <c r="G442" s="1723">
        <f t="shared" si="48"/>
        <v>0</v>
      </c>
    </row>
    <row r="443" spans="1:7">
      <c r="A443" s="1717">
        <f t="shared" si="49"/>
        <v>431</v>
      </c>
      <c r="B443" s="1722" t="str">
        <f t="shared" si="50"/>
        <v/>
      </c>
      <c r="C443" s="1723">
        <f t="shared" si="44"/>
        <v>0</v>
      </c>
      <c r="D443" s="1723">
        <f t="shared" si="45"/>
        <v>0</v>
      </c>
      <c r="E443" s="1723">
        <f t="shared" si="46"/>
        <v>0</v>
      </c>
      <c r="F443" s="1723">
        <f t="shared" si="47"/>
        <v>0</v>
      </c>
      <c r="G443" s="1723">
        <f t="shared" si="48"/>
        <v>0</v>
      </c>
    </row>
    <row r="444" spans="1:7">
      <c r="A444" s="1717">
        <f t="shared" si="49"/>
        <v>432</v>
      </c>
      <c r="B444" s="1722" t="str">
        <f t="shared" si="50"/>
        <v/>
      </c>
      <c r="C444" s="1723">
        <f t="shared" si="44"/>
        <v>0</v>
      </c>
      <c r="D444" s="1723">
        <f t="shared" si="45"/>
        <v>0</v>
      </c>
      <c r="E444" s="1723">
        <f t="shared" si="46"/>
        <v>0</v>
      </c>
      <c r="F444" s="1723">
        <f t="shared" si="47"/>
        <v>0</v>
      </c>
      <c r="G444" s="1723">
        <f t="shared" si="48"/>
        <v>0</v>
      </c>
    </row>
    <row r="445" spans="1:7">
      <c r="A445" s="1717">
        <f t="shared" si="49"/>
        <v>433</v>
      </c>
      <c r="B445" s="1722" t="str">
        <f t="shared" si="50"/>
        <v/>
      </c>
      <c r="C445" s="1723">
        <f t="shared" si="44"/>
        <v>0</v>
      </c>
      <c r="D445" s="1723">
        <f t="shared" si="45"/>
        <v>0</v>
      </c>
      <c r="E445" s="1723">
        <f t="shared" si="46"/>
        <v>0</v>
      </c>
      <c r="F445" s="1723">
        <f t="shared" si="47"/>
        <v>0</v>
      </c>
      <c r="G445" s="1723">
        <f t="shared" si="48"/>
        <v>0</v>
      </c>
    </row>
    <row r="446" spans="1:7">
      <c r="A446" s="1717">
        <f t="shared" si="49"/>
        <v>434</v>
      </c>
      <c r="B446" s="1722" t="str">
        <f t="shared" si="50"/>
        <v/>
      </c>
      <c r="C446" s="1723">
        <f t="shared" si="44"/>
        <v>0</v>
      </c>
      <c r="D446" s="1723">
        <f t="shared" si="45"/>
        <v>0</v>
      </c>
      <c r="E446" s="1723">
        <f t="shared" si="46"/>
        <v>0</v>
      </c>
      <c r="F446" s="1723">
        <f t="shared" si="47"/>
        <v>0</v>
      </c>
      <c r="G446" s="1723">
        <f t="shared" si="48"/>
        <v>0</v>
      </c>
    </row>
    <row r="447" spans="1:7">
      <c r="A447" s="1717">
        <f t="shared" si="49"/>
        <v>435</v>
      </c>
      <c r="B447" s="1722" t="str">
        <f t="shared" si="50"/>
        <v/>
      </c>
      <c r="C447" s="1723">
        <f t="shared" si="44"/>
        <v>0</v>
      </c>
      <c r="D447" s="1723">
        <f t="shared" si="45"/>
        <v>0</v>
      </c>
      <c r="E447" s="1723">
        <f t="shared" si="46"/>
        <v>0</v>
      </c>
      <c r="F447" s="1723">
        <f t="shared" si="47"/>
        <v>0</v>
      </c>
      <c r="G447" s="1723">
        <f t="shared" si="48"/>
        <v>0</v>
      </c>
    </row>
    <row r="448" spans="1:7">
      <c r="A448" s="1717">
        <f t="shared" si="49"/>
        <v>436</v>
      </c>
      <c r="B448" s="1722" t="str">
        <f t="shared" si="50"/>
        <v/>
      </c>
      <c r="C448" s="1723">
        <f t="shared" si="44"/>
        <v>0</v>
      </c>
      <c r="D448" s="1723">
        <f t="shared" si="45"/>
        <v>0</v>
      </c>
      <c r="E448" s="1723">
        <f t="shared" si="46"/>
        <v>0</v>
      </c>
      <c r="F448" s="1723">
        <f t="shared" si="47"/>
        <v>0</v>
      </c>
      <c r="G448" s="1723">
        <f t="shared" si="48"/>
        <v>0</v>
      </c>
    </row>
    <row r="449" spans="1:7">
      <c r="A449" s="1717">
        <f t="shared" si="49"/>
        <v>437</v>
      </c>
      <c r="B449" s="1722" t="str">
        <f t="shared" si="50"/>
        <v/>
      </c>
      <c r="C449" s="1723">
        <f t="shared" si="44"/>
        <v>0</v>
      </c>
      <c r="D449" s="1723">
        <f t="shared" si="45"/>
        <v>0</v>
      </c>
      <c r="E449" s="1723">
        <f t="shared" si="46"/>
        <v>0</v>
      </c>
      <c r="F449" s="1723">
        <f t="shared" si="47"/>
        <v>0</v>
      </c>
      <c r="G449" s="1723">
        <f t="shared" si="48"/>
        <v>0</v>
      </c>
    </row>
    <row r="450" spans="1:7">
      <c r="A450" s="1717">
        <f t="shared" si="49"/>
        <v>438</v>
      </c>
      <c r="B450" s="1722" t="str">
        <f t="shared" si="50"/>
        <v/>
      </c>
      <c r="C450" s="1723">
        <f t="shared" si="44"/>
        <v>0</v>
      </c>
      <c r="D450" s="1723">
        <f t="shared" si="45"/>
        <v>0</v>
      </c>
      <c r="E450" s="1723">
        <f t="shared" si="46"/>
        <v>0</v>
      </c>
      <c r="F450" s="1723">
        <f t="shared" si="47"/>
        <v>0</v>
      </c>
      <c r="G450" s="1723">
        <f t="shared" si="48"/>
        <v>0</v>
      </c>
    </row>
    <row r="451" spans="1:7">
      <c r="A451" s="1717">
        <f t="shared" si="49"/>
        <v>439</v>
      </c>
      <c r="B451" s="1722" t="str">
        <f t="shared" si="50"/>
        <v/>
      </c>
      <c r="C451" s="1723">
        <f t="shared" si="44"/>
        <v>0</v>
      </c>
      <c r="D451" s="1723">
        <f t="shared" si="45"/>
        <v>0</v>
      </c>
      <c r="E451" s="1723">
        <f t="shared" si="46"/>
        <v>0</v>
      </c>
      <c r="F451" s="1723">
        <f t="shared" si="47"/>
        <v>0</v>
      </c>
      <c r="G451" s="1723">
        <f t="shared" si="48"/>
        <v>0</v>
      </c>
    </row>
    <row r="452" spans="1:7">
      <c r="A452" s="1717">
        <f t="shared" si="49"/>
        <v>440</v>
      </c>
      <c r="B452" s="1722" t="str">
        <f t="shared" si="50"/>
        <v/>
      </c>
      <c r="C452" s="1723">
        <f t="shared" si="44"/>
        <v>0</v>
      </c>
      <c r="D452" s="1723">
        <f t="shared" si="45"/>
        <v>0</v>
      </c>
      <c r="E452" s="1723">
        <f t="shared" si="46"/>
        <v>0</v>
      </c>
      <c r="F452" s="1723">
        <f t="shared" si="47"/>
        <v>0</v>
      </c>
      <c r="G452" s="1723">
        <f t="shared" si="48"/>
        <v>0</v>
      </c>
    </row>
    <row r="453" spans="1:7">
      <c r="A453" s="1717">
        <f t="shared" si="49"/>
        <v>441</v>
      </c>
      <c r="B453" s="1722" t="str">
        <f t="shared" si="50"/>
        <v/>
      </c>
      <c r="C453" s="1723">
        <f t="shared" si="44"/>
        <v>0</v>
      </c>
      <c r="D453" s="1723">
        <f t="shared" si="45"/>
        <v>0</v>
      </c>
      <c r="E453" s="1723">
        <f t="shared" si="46"/>
        <v>0</v>
      </c>
      <c r="F453" s="1723">
        <f t="shared" si="47"/>
        <v>0</v>
      </c>
      <c r="G453" s="1723">
        <f t="shared" si="48"/>
        <v>0</v>
      </c>
    </row>
    <row r="454" spans="1:7">
      <c r="A454" s="1717">
        <f t="shared" si="49"/>
        <v>442</v>
      </c>
      <c r="B454" s="1722" t="str">
        <f t="shared" si="50"/>
        <v/>
      </c>
      <c r="C454" s="1723">
        <f t="shared" si="44"/>
        <v>0</v>
      </c>
      <c r="D454" s="1723">
        <f t="shared" si="45"/>
        <v>0</v>
      </c>
      <c r="E454" s="1723">
        <f t="shared" si="46"/>
        <v>0</v>
      </c>
      <c r="F454" s="1723">
        <f t="shared" si="47"/>
        <v>0</v>
      </c>
      <c r="G454" s="1723">
        <f t="shared" si="48"/>
        <v>0</v>
      </c>
    </row>
    <row r="455" spans="1:7">
      <c r="A455" s="1717">
        <f t="shared" si="49"/>
        <v>443</v>
      </c>
      <c r="B455" s="1722" t="str">
        <f t="shared" si="50"/>
        <v/>
      </c>
      <c r="C455" s="1723">
        <f t="shared" si="44"/>
        <v>0</v>
      </c>
      <c r="D455" s="1723">
        <f t="shared" si="45"/>
        <v>0</v>
      </c>
      <c r="E455" s="1723">
        <f t="shared" si="46"/>
        <v>0</v>
      </c>
      <c r="F455" s="1723">
        <f t="shared" si="47"/>
        <v>0</v>
      </c>
      <c r="G455" s="1723">
        <f t="shared" si="48"/>
        <v>0</v>
      </c>
    </row>
    <row r="456" spans="1:7">
      <c r="A456" s="1717">
        <f t="shared" si="49"/>
        <v>444</v>
      </c>
      <c r="B456" s="1722" t="str">
        <f t="shared" si="50"/>
        <v/>
      </c>
      <c r="C456" s="1723">
        <f t="shared" si="44"/>
        <v>0</v>
      </c>
      <c r="D456" s="1723">
        <f t="shared" si="45"/>
        <v>0</v>
      </c>
      <c r="E456" s="1723">
        <f t="shared" si="46"/>
        <v>0</v>
      </c>
      <c r="F456" s="1723">
        <f t="shared" si="47"/>
        <v>0</v>
      </c>
      <c r="G456" s="1723">
        <f t="shared" si="48"/>
        <v>0</v>
      </c>
    </row>
    <row r="457" spans="1:7">
      <c r="A457" s="1717">
        <f t="shared" si="49"/>
        <v>445</v>
      </c>
      <c r="B457" s="1722" t="str">
        <f t="shared" si="50"/>
        <v/>
      </c>
      <c r="C457" s="1723">
        <f t="shared" si="44"/>
        <v>0</v>
      </c>
      <c r="D457" s="1723">
        <f t="shared" si="45"/>
        <v>0</v>
      </c>
      <c r="E457" s="1723">
        <f t="shared" si="46"/>
        <v>0</v>
      </c>
      <c r="F457" s="1723">
        <f t="shared" si="47"/>
        <v>0</v>
      </c>
      <c r="G457" s="1723">
        <f t="shared" si="48"/>
        <v>0</v>
      </c>
    </row>
    <row r="458" spans="1:7">
      <c r="A458" s="1717">
        <f t="shared" si="49"/>
        <v>446</v>
      </c>
      <c r="B458" s="1722" t="str">
        <f t="shared" si="50"/>
        <v/>
      </c>
      <c r="C458" s="1723">
        <f t="shared" si="44"/>
        <v>0</v>
      </c>
      <c r="D458" s="1723">
        <f t="shared" si="45"/>
        <v>0</v>
      </c>
      <c r="E458" s="1723">
        <f t="shared" si="46"/>
        <v>0</v>
      </c>
      <c r="F458" s="1723">
        <f t="shared" si="47"/>
        <v>0</v>
      </c>
      <c r="G458" s="1723">
        <f t="shared" si="48"/>
        <v>0</v>
      </c>
    </row>
    <row r="459" spans="1:7">
      <c r="A459" s="1717">
        <f t="shared" si="49"/>
        <v>447</v>
      </c>
      <c r="B459" s="1722" t="str">
        <f t="shared" si="50"/>
        <v/>
      </c>
      <c r="C459" s="1723">
        <f t="shared" si="44"/>
        <v>0</v>
      </c>
      <c r="D459" s="1723">
        <f t="shared" si="45"/>
        <v>0</v>
      </c>
      <c r="E459" s="1723">
        <f t="shared" si="46"/>
        <v>0</v>
      </c>
      <c r="F459" s="1723">
        <f t="shared" si="47"/>
        <v>0</v>
      </c>
      <c r="G459" s="1723">
        <f t="shared" si="48"/>
        <v>0</v>
      </c>
    </row>
    <row r="460" spans="1:7">
      <c r="A460" s="1717">
        <f t="shared" si="49"/>
        <v>448</v>
      </c>
      <c r="B460" s="1722" t="str">
        <f t="shared" si="50"/>
        <v/>
      </c>
      <c r="C460" s="1723">
        <f t="shared" si="44"/>
        <v>0</v>
      </c>
      <c r="D460" s="1723">
        <f t="shared" si="45"/>
        <v>0</v>
      </c>
      <c r="E460" s="1723">
        <f t="shared" si="46"/>
        <v>0</v>
      </c>
      <c r="F460" s="1723">
        <f t="shared" si="47"/>
        <v>0</v>
      </c>
      <c r="G460" s="1723">
        <f t="shared" si="48"/>
        <v>0</v>
      </c>
    </row>
    <row r="461" spans="1:7">
      <c r="A461" s="1717">
        <f t="shared" si="49"/>
        <v>449</v>
      </c>
      <c r="B461" s="1722" t="str">
        <f t="shared" si="50"/>
        <v/>
      </c>
      <c r="C461" s="1723">
        <f t="shared" si="44"/>
        <v>0</v>
      </c>
      <c r="D461" s="1723">
        <f t="shared" si="45"/>
        <v>0</v>
      </c>
      <c r="E461" s="1723">
        <f t="shared" si="46"/>
        <v>0</v>
      </c>
      <c r="F461" s="1723">
        <f t="shared" si="47"/>
        <v>0</v>
      </c>
      <c r="G461" s="1723">
        <f t="shared" si="48"/>
        <v>0</v>
      </c>
    </row>
    <row r="462" spans="1:7">
      <c r="A462" s="1717">
        <f t="shared" si="49"/>
        <v>450</v>
      </c>
      <c r="B462" s="1722" t="str">
        <f t="shared" si="50"/>
        <v/>
      </c>
      <c r="C462" s="1723">
        <f t="shared" ref="C462:C492" si="51">IF(A461&lt;$B$6*12,G461,"")</f>
        <v>0</v>
      </c>
      <c r="D462" s="1723">
        <f t="shared" ref="D462:D492" si="52">IF(A462=$B$6*12,C462+E462,IF(A461&lt;$B$6*12,$B$8,""))</f>
        <v>0</v>
      </c>
      <c r="E462" s="1723">
        <f t="shared" ref="E462:E492" si="53">IF(A461&lt;$B$6*12,ROUND(C462*$B$5/12,2),"")</f>
        <v>0</v>
      </c>
      <c r="F462" s="1723">
        <f t="shared" ref="F462:F492" si="54">IF(A461&lt;$B$6*12,D462-E462,"")</f>
        <v>0</v>
      </c>
      <c r="G462" s="1723">
        <f t="shared" ref="G462:G492" si="55">IF(A461&lt;$B$6*12,C462-F462,"")</f>
        <v>0</v>
      </c>
    </row>
    <row r="463" spans="1:7">
      <c r="A463" s="1717">
        <f t="shared" ref="A463:A492" si="56">IF(A462&lt;$B$6*12,A462+1,"")</f>
        <v>451</v>
      </c>
      <c r="B463" s="1722" t="str">
        <f t="shared" ref="B463:B492" si="57">IFERROR(EDATE(B462,1),"")</f>
        <v/>
      </c>
      <c r="C463" s="1723">
        <f t="shared" si="51"/>
        <v>0</v>
      </c>
      <c r="D463" s="1723">
        <f t="shared" si="52"/>
        <v>0</v>
      </c>
      <c r="E463" s="1723">
        <f t="shared" si="53"/>
        <v>0</v>
      </c>
      <c r="F463" s="1723">
        <f t="shared" si="54"/>
        <v>0</v>
      </c>
      <c r="G463" s="1723">
        <f t="shared" si="55"/>
        <v>0</v>
      </c>
    </row>
    <row r="464" spans="1:7">
      <c r="A464" s="1717">
        <f t="shared" si="56"/>
        <v>452</v>
      </c>
      <c r="B464" s="1722" t="str">
        <f t="shared" si="57"/>
        <v/>
      </c>
      <c r="C464" s="1723">
        <f t="shared" si="51"/>
        <v>0</v>
      </c>
      <c r="D464" s="1723">
        <f t="shared" si="52"/>
        <v>0</v>
      </c>
      <c r="E464" s="1723">
        <f t="shared" si="53"/>
        <v>0</v>
      </c>
      <c r="F464" s="1723">
        <f t="shared" si="54"/>
        <v>0</v>
      </c>
      <c r="G464" s="1723">
        <f t="shared" si="55"/>
        <v>0</v>
      </c>
    </row>
    <row r="465" spans="1:7">
      <c r="A465" s="1717">
        <f t="shared" si="56"/>
        <v>453</v>
      </c>
      <c r="B465" s="1722" t="str">
        <f t="shared" si="57"/>
        <v/>
      </c>
      <c r="C465" s="1723">
        <f t="shared" si="51"/>
        <v>0</v>
      </c>
      <c r="D465" s="1723">
        <f t="shared" si="52"/>
        <v>0</v>
      </c>
      <c r="E465" s="1723">
        <f t="shared" si="53"/>
        <v>0</v>
      </c>
      <c r="F465" s="1723">
        <f t="shared" si="54"/>
        <v>0</v>
      </c>
      <c r="G465" s="1723">
        <f t="shared" si="55"/>
        <v>0</v>
      </c>
    </row>
    <row r="466" spans="1:7">
      <c r="A466" s="1717">
        <f t="shared" si="56"/>
        <v>454</v>
      </c>
      <c r="B466" s="1722" t="str">
        <f t="shared" si="57"/>
        <v/>
      </c>
      <c r="C466" s="1723">
        <f t="shared" si="51"/>
        <v>0</v>
      </c>
      <c r="D466" s="1723">
        <f t="shared" si="52"/>
        <v>0</v>
      </c>
      <c r="E466" s="1723">
        <f t="shared" si="53"/>
        <v>0</v>
      </c>
      <c r="F466" s="1723">
        <f t="shared" si="54"/>
        <v>0</v>
      </c>
      <c r="G466" s="1723">
        <f t="shared" si="55"/>
        <v>0</v>
      </c>
    </row>
    <row r="467" spans="1:7">
      <c r="A467" s="1717">
        <f t="shared" si="56"/>
        <v>455</v>
      </c>
      <c r="B467" s="1722" t="str">
        <f t="shared" si="57"/>
        <v/>
      </c>
      <c r="C467" s="1723">
        <f t="shared" si="51"/>
        <v>0</v>
      </c>
      <c r="D467" s="1723">
        <f t="shared" si="52"/>
        <v>0</v>
      </c>
      <c r="E467" s="1723">
        <f t="shared" si="53"/>
        <v>0</v>
      </c>
      <c r="F467" s="1723">
        <f t="shared" si="54"/>
        <v>0</v>
      </c>
      <c r="G467" s="1723">
        <f t="shared" si="55"/>
        <v>0</v>
      </c>
    </row>
    <row r="468" spans="1:7">
      <c r="A468" s="1717">
        <f t="shared" si="56"/>
        <v>456</v>
      </c>
      <c r="B468" s="1722" t="str">
        <f t="shared" si="57"/>
        <v/>
      </c>
      <c r="C468" s="1723">
        <f t="shared" si="51"/>
        <v>0</v>
      </c>
      <c r="D468" s="1723">
        <f t="shared" si="52"/>
        <v>0</v>
      </c>
      <c r="E468" s="1723">
        <f t="shared" si="53"/>
        <v>0</v>
      </c>
      <c r="F468" s="1723">
        <f t="shared" si="54"/>
        <v>0</v>
      </c>
      <c r="G468" s="1723">
        <f t="shared" si="55"/>
        <v>0</v>
      </c>
    </row>
    <row r="469" spans="1:7">
      <c r="A469" s="1717">
        <f t="shared" si="56"/>
        <v>457</v>
      </c>
      <c r="B469" s="1722" t="str">
        <f t="shared" si="57"/>
        <v/>
      </c>
      <c r="C469" s="1723">
        <f t="shared" si="51"/>
        <v>0</v>
      </c>
      <c r="D469" s="1723">
        <f t="shared" si="52"/>
        <v>0</v>
      </c>
      <c r="E469" s="1723">
        <f t="shared" si="53"/>
        <v>0</v>
      </c>
      <c r="F469" s="1723">
        <f t="shared" si="54"/>
        <v>0</v>
      </c>
      <c r="G469" s="1723">
        <f t="shared" si="55"/>
        <v>0</v>
      </c>
    </row>
    <row r="470" spans="1:7">
      <c r="A470" s="1717">
        <f t="shared" si="56"/>
        <v>458</v>
      </c>
      <c r="B470" s="1722" t="str">
        <f t="shared" si="57"/>
        <v/>
      </c>
      <c r="C470" s="1723">
        <f t="shared" si="51"/>
        <v>0</v>
      </c>
      <c r="D470" s="1723">
        <f t="shared" si="52"/>
        <v>0</v>
      </c>
      <c r="E470" s="1723">
        <f t="shared" si="53"/>
        <v>0</v>
      </c>
      <c r="F470" s="1723">
        <f t="shared" si="54"/>
        <v>0</v>
      </c>
      <c r="G470" s="1723">
        <f t="shared" si="55"/>
        <v>0</v>
      </c>
    </row>
    <row r="471" spans="1:7">
      <c r="A471" s="1717">
        <f t="shared" si="56"/>
        <v>459</v>
      </c>
      <c r="B471" s="1722" t="str">
        <f t="shared" si="57"/>
        <v/>
      </c>
      <c r="C471" s="1723">
        <f t="shared" si="51"/>
        <v>0</v>
      </c>
      <c r="D471" s="1723">
        <f t="shared" si="52"/>
        <v>0</v>
      </c>
      <c r="E471" s="1723">
        <f t="shared" si="53"/>
        <v>0</v>
      </c>
      <c r="F471" s="1723">
        <f t="shared" si="54"/>
        <v>0</v>
      </c>
      <c r="G471" s="1723">
        <f t="shared" si="55"/>
        <v>0</v>
      </c>
    </row>
    <row r="472" spans="1:7">
      <c r="A472" s="1717">
        <f t="shared" si="56"/>
        <v>460</v>
      </c>
      <c r="B472" s="1722" t="str">
        <f t="shared" si="57"/>
        <v/>
      </c>
      <c r="C472" s="1723">
        <f t="shared" si="51"/>
        <v>0</v>
      </c>
      <c r="D472" s="1723">
        <f t="shared" si="52"/>
        <v>0</v>
      </c>
      <c r="E472" s="1723">
        <f t="shared" si="53"/>
        <v>0</v>
      </c>
      <c r="F472" s="1723">
        <f t="shared" si="54"/>
        <v>0</v>
      </c>
      <c r="G472" s="1723">
        <f t="shared" si="55"/>
        <v>0</v>
      </c>
    </row>
    <row r="473" spans="1:7">
      <c r="A473" s="1717">
        <f t="shared" si="56"/>
        <v>461</v>
      </c>
      <c r="B473" s="1722" t="str">
        <f t="shared" si="57"/>
        <v/>
      </c>
      <c r="C473" s="1723">
        <f t="shared" si="51"/>
        <v>0</v>
      </c>
      <c r="D473" s="1723">
        <f t="shared" si="52"/>
        <v>0</v>
      </c>
      <c r="E473" s="1723">
        <f t="shared" si="53"/>
        <v>0</v>
      </c>
      <c r="F473" s="1723">
        <f t="shared" si="54"/>
        <v>0</v>
      </c>
      <c r="G473" s="1723">
        <f t="shared" si="55"/>
        <v>0</v>
      </c>
    </row>
    <row r="474" spans="1:7">
      <c r="A474" s="1717">
        <f t="shared" si="56"/>
        <v>462</v>
      </c>
      <c r="B474" s="1722" t="str">
        <f t="shared" si="57"/>
        <v/>
      </c>
      <c r="C474" s="1723">
        <f t="shared" si="51"/>
        <v>0</v>
      </c>
      <c r="D474" s="1723">
        <f t="shared" si="52"/>
        <v>0</v>
      </c>
      <c r="E474" s="1723">
        <f t="shared" si="53"/>
        <v>0</v>
      </c>
      <c r="F474" s="1723">
        <f t="shared" si="54"/>
        <v>0</v>
      </c>
      <c r="G474" s="1723">
        <f t="shared" si="55"/>
        <v>0</v>
      </c>
    </row>
    <row r="475" spans="1:7">
      <c r="A475" s="1717">
        <f t="shared" si="56"/>
        <v>463</v>
      </c>
      <c r="B475" s="1722" t="str">
        <f t="shared" si="57"/>
        <v/>
      </c>
      <c r="C475" s="1723">
        <f t="shared" si="51"/>
        <v>0</v>
      </c>
      <c r="D475" s="1723">
        <f t="shared" si="52"/>
        <v>0</v>
      </c>
      <c r="E475" s="1723">
        <f t="shared" si="53"/>
        <v>0</v>
      </c>
      <c r="F475" s="1723">
        <f t="shared" si="54"/>
        <v>0</v>
      </c>
      <c r="G475" s="1723">
        <f t="shared" si="55"/>
        <v>0</v>
      </c>
    </row>
    <row r="476" spans="1:7">
      <c r="A476" s="1717">
        <f t="shared" si="56"/>
        <v>464</v>
      </c>
      <c r="B476" s="1722" t="str">
        <f t="shared" si="57"/>
        <v/>
      </c>
      <c r="C476" s="1723">
        <f t="shared" si="51"/>
        <v>0</v>
      </c>
      <c r="D476" s="1723">
        <f t="shared" si="52"/>
        <v>0</v>
      </c>
      <c r="E476" s="1723">
        <f t="shared" si="53"/>
        <v>0</v>
      </c>
      <c r="F476" s="1723">
        <f t="shared" si="54"/>
        <v>0</v>
      </c>
      <c r="G476" s="1723">
        <f t="shared" si="55"/>
        <v>0</v>
      </c>
    </row>
    <row r="477" spans="1:7">
      <c r="A477" s="1717">
        <f t="shared" si="56"/>
        <v>465</v>
      </c>
      <c r="B477" s="1722" t="str">
        <f t="shared" si="57"/>
        <v/>
      </c>
      <c r="C477" s="1723">
        <f t="shared" si="51"/>
        <v>0</v>
      </c>
      <c r="D477" s="1723">
        <f t="shared" si="52"/>
        <v>0</v>
      </c>
      <c r="E477" s="1723">
        <f t="shared" si="53"/>
        <v>0</v>
      </c>
      <c r="F477" s="1723">
        <f t="shared" si="54"/>
        <v>0</v>
      </c>
      <c r="G477" s="1723">
        <f t="shared" si="55"/>
        <v>0</v>
      </c>
    </row>
    <row r="478" spans="1:7">
      <c r="A478" s="1717">
        <f t="shared" si="56"/>
        <v>466</v>
      </c>
      <c r="B478" s="1722" t="str">
        <f t="shared" si="57"/>
        <v/>
      </c>
      <c r="C478" s="1723">
        <f t="shared" si="51"/>
        <v>0</v>
      </c>
      <c r="D478" s="1723">
        <f t="shared" si="52"/>
        <v>0</v>
      </c>
      <c r="E478" s="1723">
        <f t="shared" si="53"/>
        <v>0</v>
      </c>
      <c r="F478" s="1723">
        <f t="shared" si="54"/>
        <v>0</v>
      </c>
      <c r="G478" s="1723">
        <f t="shared" si="55"/>
        <v>0</v>
      </c>
    </row>
    <row r="479" spans="1:7">
      <c r="A479" s="1717">
        <f t="shared" si="56"/>
        <v>467</v>
      </c>
      <c r="B479" s="1722" t="str">
        <f t="shared" si="57"/>
        <v/>
      </c>
      <c r="C479" s="1723">
        <f t="shared" si="51"/>
        <v>0</v>
      </c>
      <c r="D479" s="1723">
        <f t="shared" si="52"/>
        <v>0</v>
      </c>
      <c r="E479" s="1723">
        <f t="shared" si="53"/>
        <v>0</v>
      </c>
      <c r="F479" s="1723">
        <f t="shared" si="54"/>
        <v>0</v>
      </c>
      <c r="G479" s="1723">
        <f t="shared" si="55"/>
        <v>0</v>
      </c>
    </row>
    <row r="480" spans="1:7">
      <c r="A480" s="1717">
        <f t="shared" si="56"/>
        <v>468</v>
      </c>
      <c r="B480" s="1722" t="str">
        <f t="shared" si="57"/>
        <v/>
      </c>
      <c r="C480" s="1723">
        <f t="shared" si="51"/>
        <v>0</v>
      </c>
      <c r="D480" s="1723">
        <f t="shared" si="52"/>
        <v>0</v>
      </c>
      <c r="E480" s="1723">
        <f t="shared" si="53"/>
        <v>0</v>
      </c>
      <c r="F480" s="1723">
        <f t="shared" si="54"/>
        <v>0</v>
      </c>
      <c r="G480" s="1723">
        <f t="shared" si="55"/>
        <v>0</v>
      </c>
    </row>
    <row r="481" spans="1:7">
      <c r="A481" s="1717">
        <f t="shared" si="56"/>
        <v>469</v>
      </c>
      <c r="B481" s="1722" t="str">
        <f t="shared" si="57"/>
        <v/>
      </c>
      <c r="C481" s="1723">
        <f t="shared" si="51"/>
        <v>0</v>
      </c>
      <c r="D481" s="1723">
        <f t="shared" si="52"/>
        <v>0</v>
      </c>
      <c r="E481" s="1723">
        <f t="shared" si="53"/>
        <v>0</v>
      </c>
      <c r="F481" s="1723">
        <f t="shared" si="54"/>
        <v>0</v>
      </c>
      <c r="G481" s="1723">
        <f t="shared" si="55"/>
        <v>0</v>
      </c>
    </row>
    <row r="482" spans="1:7">
      <c r="A482" s="1717">
        <f t="shared" si="56"/>
        <v>470</v>
      </c>
      <c r="B482" s="1722" t="str">
        <f t="shared" si="57"/>
        <v/>
      </c>
      <c r="C482" s="1723">
        <f t="shared" si="51"/>
        <v>0</v>
      </c>
      <c r="D482" s="1723">
        <f t="shared" si="52"/>
        <v>0</v>
      </c>
      <c r="E482" s="1723">
        <f t="shared" si="53"/>
        <v>0</v>
      </c>
      <c r="F482" s="1723">
        <f t="shared" si="54"/>
        <v>0</v>
      </c>
      <c r="G482" s="1723">
        <f t="shared" si="55"/>
        <v>0</v>
      </c>
    </row>
    <row r="483" spans="1:7">
      <c r="A483" s="1717">
        <f t="shared" si="56"/>
        <v>471</v>
      </c>
      <c r="B483" s="1722" t="str">
        <f t="shared" si="57"/>
        <v/>
      </c>
      <c r="C483" s="1723">
        <f t="shared" si="51"/>
        <v>0</v>
      </c>
      <c r="D483" s="1723">
        <f t="shared" si="52"/>
        <v>0</v>
      </c>
      <c r="E483" s="1723">
        <f t="shared" si="53"/>
        <v>0</v>
      </c>
      <c r="F483" s="1723">
        <f t="shared" si="54"/>
        <v>0</v>
      </c>
      <c r="G483" s="1723">
        <f t="shared" si="55"/>
        <v>0</v>
      </c>
    </row>
    <row r="484" spans="1:7">
      <c r="A484" s="1717">
        <f t="shared" si="56"/>
        <v>472</v>
      </c>
      <c r="B484" s="1722" t="str">
        <f t="shared" si="57"/>
        <v/>
      </c>
      <c r="C484" s="1723">
        <f t="shared" si="51"/>
        <v>0</v>
      </c>
      <c r="D484" s="1723">
        <f t="shared" si="52"/>
        <v>0</v>
      </c>
      <c r="E484" s="1723">
        <f t="shared" si="53"/>
        <v>0</v>
      </c>
      <c r="F484" s="1723">
        <f t="shared" si="54"/>
        <v>0</v>
      </c>
      <c r="G484" s="1723">
        <f t="shared" si="55"/>
        <v>0</v>
      </c>
    </row>
    <row r="485" spans="1:7">
      <c r="A485" s="1717">
        <f t="shared" si="56"/>
        <v>473</v>
      </c>
      <c r="B485" s="1722" t="str">
        <f t="shared" si="57"/>
        <v/>
      </c>
      <c r="C485" s="1723">
        <f t="shared" si="51"/>
        <v>0</v>
      </c>
      <c r="D485" s="1723">
        <f t="shared" si="52"/>
        <v>0</v>
      </c>
      <c r="E485" s="1723">
        <f t="shared" si="53"/>
        <v>0</v>
      </c>
      <c r="F485" s="1723">
        <f t="shared" si="54"/>
        <v>0</v>
      </c>
      <c r="G485" s="1723">
        <f t="shared" si="55"/>
        <v>0</v>
      </c>
    </row>
    <row r="486" spans="1:7">
      <c r="A486" s="1717">
        <f t="shared" si="56"/>
        <v>474</v>
      </c>
      <c r="B486" s="1722" t="str">
        <f t="shared" si="57"/>
        <v/>
      </c>
      <c r="C486" s="1723">
        <f t="shared" si="51"/>
        <v>0</v>
      </c>
      <c r="D486" s="1723">
        <f t="shared" si="52"/>
        <v>0</v>
      </c>
      <c r="E486" s="1723">
        <f t="shared" si="53"/>
        <v>0</v>
      </c>
      <c r="F486" s="1723">
        <f t="shared" si="54"/>
        <v>0</v>
      </c>
      <c r="G486" s="1723">
        <f t="shared" si="55"/>
        <v>0</v>
      </c>
    </row>
    <row r="487" spans="1:7">
      <c r="A487" s="1717">
        <f t="shared" si="56"/>
        <v>475</v>
      </c>
      <c r="B487" s="1722" t="str">
        <f t="shared" si="57"/>
        <v/>
      </c>
      <c r="C487" s="1723">
        <f t="shared" si="51"/>
        <v>0</v>
      </c>
      <c r="D487" s="1723">
        <f t="shared" si="52"/>
        <v>0</v>
      </c>
      <c r="E487" s="1723">
        <f t="shared" si="53"/>
        <v>0</v>
      </c>
      <c r="F487" s="1723">
        <f t="shared" si="54"/>
        <v>0</v>
      </c>
      <c r="G487" s="1723">
        <f t="shared" si="55"/>
        <v>0</v>
      </c>
    </row>
    <row r="488" spans="1:7">
      <c r="A488" s="1717">
        <f t="shared" si="56"/>
        <v>476</v>
      </c>
      <c r="B488" s="1722" t="str">
        <f t="shared" si="57"/>
        <v/>
      </c>
      <c r="C488" s="1723">
        <f t="shared" si="51"/>
        <v>0</v>
      </c>
      <c r="D488" s="1723">
        <f t="shared" si="52"/>
        <v>0</v>
      </c>
      <c r="E488" s="1723">
        <f t="shared" si="53"/>
        <v>0</v>
      </c>
      <c r="F488" s="1723">
        <f t="shared" si="54"/>
        <v>0</v>
      </c>
      <c r="G488" s="1723">
        <f t="shared" si="55"/>
        <v>0</v>
      </c>
    </row>
    <row r="489" spans="1:7">
      <c r="A489" s="1717">
        <f t="shared" si="56"/>
        <v>477</v>
      </c>
      <c r="B489" s="1722" t="str">
        <f t="shared" si="57"/>
        <v/>
      </c>
      <c r="C489" s="1723">
        <f t="shared" si="51"/>
        <v>0</v>
      </c>
      <c r="D489" s="1723">
        <f t="shared" si="52"/>
        <v>0</v>
      </c>
      <c r="E489" s="1723">
        <f t="shared" si="53"/>
        <v>0</v>
      </c>
      <c r="F489" s="1723">
        <f t="shared" si="54"/>
        <v>0</v>
      </c>
      <c r="G489" s="1723">
        <f t="shared" si="55"/>
        <v>0</v>
      </c>
    </row>
    <row r="490" spans="1:7">
      <c r="A490" s="1717">
        <f t="shared" si="56"/>
        <v>478</v>
      </c>
      <c r="B490" s="1722" t="str">
        <f t="shared" si="57"/>
        <v/>
      </c>
      <c r="C490" s="1723">
        <f t="shared" si="51"/>
        <v>0</v>
      </c>
      <c r="D490" s="1723">
        <f t="shared" si="52"/>
        <v>0</v>
      </c>
      <c r="E490" s="1723">
        <f t="shared" si="53"/>
        <v>0</v>
      </c>
      <c r="F490" s="1723">
        <f t="shared" si="54"/>
        <v>0</v>
      </c>
      <c r="G490" s="1723">
        <f t="shared" si="55"/>
        <v>0</v>
      </c>
    </row>
    <row r="491" spans="1:7">
      <c r="A491" s="1717">
        <f t="shared" si="56"/>
        <v>479</v>
      </c>
      <c r="B491" s="1722" t="str">
        <f t="shared" si="57"/>
        <v/>
      </c>
      <c r="C491" s="1723">
        <f t="shared" si="51"/>
        <v>0</v>
      </c>
      <c r="D491" s="1723">
        <f t="shared" si="52"/>
        <v>0</v>
      </c>
      <c r="E491" s="1723">
        <f t="shared" si="53"/>
        <v>0</v>
      </c>
      <c r="F491" s="1723">
        <f t="shared" si="54"/>
        <v>0</v>
      </c>
      <c r="G491" s="1723">
        <f t="shared" si="55"/>
        <v>0</v>
      </c>
    </row>
    <row r="492" spans="1:7">
      <c r="A492" s="1717">
        <f t="shared" si="56"/>
        <v>480</v>
      </c>
      <c r="B492" s="1722" t="str">
        <f t="shared" si="57"/>
        <v/>
      </c>
      <c r="C492" s="1723">
        <f t="shared" si="51"/>
        <v>0</v>
      </c>
      <c r="D492" s="1723">
        <f t="shared" si="52"/>
        <v>0</v>
      </c>
      <c r="E492" s="1723">
        <f t="shared" si="53"/>
        <v>0</v>
      </c>
      <c r="F492" s="1723">
        <f t="shared" si="54"/>
        <v>0</v>
      </c>
      <c r="G492" s="1723">
        <f t="shared" si="55"/>
        <v>0</v>
      </c>
    </row>
    <row r="493" spans="1:7"/>
  </sheetData>
  <sheetProtection algorithmName="SHA-512" hashValue="k/zx6xPSM0yNIawRc9Ej/tyu/Lqc7w2LfRtSkCHcbELskPRU9VUkow8QkyEQY93tkAw9amq/bbxZWfZpRpzzUQ==" saltValue="jpcS1l9g92rY/8dokBfiQg==" spinCount="100000" sheet="1" objects="1" scenarios="1"/>
  <pageMargins left="0.7" right="0.7" top="0.75" bottom="0.75" header="0.3" footer="0.3"/>
  <pageSetup scale="72" orientation="portrait" r:id="rId1"/>
  <headerFooter>
    <oddHeader>&amp;C&amp;"-,Bold"EXHIBIT A</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A6C38-1C99-437E-BF4A-F77495D81226}">
  <sheetPr codeName="Sheet22">
    <tabColor rgb="FFFFFF99"/>
  </sheetPr>
  <dimension ref="A1:R44"/>
  <sheetViews>
    <sheetView workbookViewId="0">
      <selection activeCell="Q3" sqref="Q3"/>
    </sheetView>
  </sheetViews>
  <sheetFormatPr defaultColWidth="8.6640625" defaultRowHeight="13.2"/>
  <cols>
    <col min="1" max="1" width="34.109375" style="1741" bestFit="1" customWidth="1"/>
    <col min="2" max="2" width="16.33203125" style="1741" customWidth="1"/>
    <col min="3" max="4" width="8.6640625" style="1741"/>
    <col min="5" max="5" width="3.5546875" style="1741" customWidth="1"/>
    <col min="6" max="10" width="14.33203125" style="1741" customWidth="1"/>
    <col min="11" max="13" width="10.44140625" style="1741" customWidth="1"/>
    <col min="14" max="18" width="14.33203125" style="1741" customWidth="1"/>
    <col min="19" max="16384" width="8.6640625" style="1741"/>
  </cols>
  <sheetData>
    <row r="1" spans="1:18" ht="14.4">
      <c r="A1" s="1778" t="s">
        <v>1470</v>
      </c>
      <c r="B1" s="1779"/>
      <c r="C1" s="1780"/>
      <c r="D1" s="1780"/>
      <c r="E1" s="1780"/>
      <c r="F1" s="1780"/>
      <c r="G1" s="1780"/>
      <c r="H1" s="1780"/>
      <c r="I1" s="1780"/>
      <c r="J1" s="1780"/>
      <c r="K1" s="1780"/>
      <c r="L1" s="1780"/>
      <c r="M1" s="1780"/>
      <c r="N1" s="1780"/>
      <c r="O1" s="1780"/>
      <c r="P1" s="1780"/>
      <c r="Q1" s="1780"/>
      <c r="R1" s="1780"/>
    </row>
    <row r="2" spans="1:18" ht="14.4">
      <c r="A2" s="1739" t="s">
        <v>1441</v>
      </c>
      <c r="B2" s="1740"/>
      <c r="F2" s="2447" t="s">
        <v>1442</v>
      </c>
      <c r="G2" s="2447"/>
      <c r="H2" s="2447"/>
    </row>
    <row r="3" spans="1:18" ht="13.8" thickBot="1">
      <c r="F3" s="1741" t="s">
        <v>1443</v>
      </c>
      <c r="G3" s="1741" t="s">
        <v>1444</v>
      </c>
      <c r="H3" s="1741" t="s">
        <v>1445</v>
      </c>
      <c r="I3" s="1741" t="s">
        <v>1446</v>
      </c>
      <c r="K3" s="1741" t="s">
        <v>1447</v>
      </c>
      <c r="L3" s="1741" t="s">
        <v>1447</v>
      </c>
      <c r="M3" s="1741" t="s">
        <v>1447</v>
      </c>
      <c r="N3" s="1741" t="s">
        <v>1447</v>
      </c>
      <c r="O3" s="1741" t="s">
        <v>1447</v>
      </c>
      <c r="P3" s="1741" t="s">
        <v>1447</v>
      </c>
      <c r="Q3" s="1741" t="s">
        <v>1448</v>
      </c>
    </row>
    <row r="4" spans="1:18" ht="14.4">
      <c r="A4" s="1742" t="s">
        <v>1449</v>
      </c>
      <c r="B4" s="1743"/>
      <c r="E4" s="1741" t="s">
        <v>1450</v>
      </c>
      <c r="F4" s="1741" t="s">
        <v>1451</v>
      </c>
      <c r="G4" s="1741" t="s">
        <v>1451</v>
      </c>
      <c r="H4" s="1741" t="s">
        <v>1451</v>
      </c>
      <c r="I4" s="1741" t="s">
        <v>1451</v>
      </c>
      <c r="J4" s="1741" t="s">
        <v>1452</v>
      </c>
      <c r="K4" s="1741" t="s">
        <v>1385</v>
      </c>
      <c r="L4" s="1741" t="s">
        <v>1381</v>
      </c>
      <c r="M4" s="1741" t="s">
        <v>1390</v>
      </c>
      <c r="N4" s="1741" t="s">
        <v>1453</v>
      </c>
      <c r="O4" s="1741" t="s">
        <v>1454</v>
      </c>
      <c r="P4" s="1741" t="s">
        <v>1455</v>
      </c>
      <c r="Q4" s="1741" t="s">
        <v>1456</v>
      </c>
    </row>
    <row r="5" spans="1:18">
      <c r="A5" s="1744" t="s">
        <v>1478</v>
      </c>
      <c r="B5" s="1745">
        <f>'9a.PASS'!F14</f>
        <v>0</v>
      </c>
      <c r="E5" s="1741">
        <v>1</v>
      </c>
      <c r="F5" s="1746">
        <f>FV($B$10/12,'9d.Refi'!$E5*12,$B$15/12,-$B$5)</f>
        <v>0</v>
      </c>
      <c r="G5" s="1746">
        <f>FV($B$11/12,'9d.Refi'!$E5*12,$B$16/12,-$B$6)</f>
        <v>0</v>
      </c>
      <c r="H5" s="1746">
        <f>FV($B$12/12,'9d.Refi'!$E5*12,$B$17/12,-$B$7)</f>
        <v>0</v>
      </c>
      <c r="I5" s="1746">
        <f>SUM(F5:H5)</f>
        <v>0</v>
      </c>
      <c r="J5" s="1746">
        <f>$B$8-I5</f>
        <v>0</v>
      </c>
      <c r="K5" s="1825">
        <v>0.05</v>
      </c>
      <c r="L5" s="1796">
        <v>30</v>
      </c>
      <c r="M5" s="1824">
        <v>1.1499999999999999</v>
      </c>
      <c r="N5" s="1746">
        <f ca="1">-PV(K5/12,L5*12,OFFSET('7a.20YrDetails'!$G$97,0,E5*3)/M5/12,0)</f>
        <v>0</v>
      </c>
      <c r="O5" s="1747">
        <f ca="1">N5*1.5%</f>
        <v>0</v>
      </c>
      <c r="P5" s="1747">
        <f ca="1">N5-O5-I5</f>
        <v>0</v>
      </c>
      <c r="Q5" s="1747" t="str">
        <f ca="1">IFERROR(OFFSET('7a.20YrDetails'!$G$167,0,E5*3)/'1.GeneralProjectInfo'!$A$17,"")</f>
        <v/>
      </c>
      <c r="R5" s="1748"/>
    </row>
    <row r="6" spans="1:18">
      <c r="A6" s="1744" t="s">
        <v>1479</v>
      </c>
      <c r="B6" s="1745">
        <f>'9a.PASS'!G14</f>
        <v>0</v>
      </c>
      <c r="E6" s="1741">
        <v>2</v>
      </c>
      <c r="F6" s="1746">
        <f>FV($B$10/12,'9d.Refi'!$E6*12,$B$15/12,-$B$5)</f>
        <v>0</v>
      </c>
      <c r="G6" s="1746">
        <f>FV($B$11/12,'9d.Refi'!$E6*12,$B$16/12,-$B$6)</f>
        <v>0</v>
      </c>
      <c r="H6" s="1746">
        <f>FV($B$12/12,'9d.Refi'!$E6*12,$B$17/12,-$B$7)</f>
        <v>0</v>
      </c>
      <c r="I6" s="1746">
        <f t="shared" ref="I6:I44" si="0">SUM(F6:H6)</f>
        <v>0</v>
      </c>
      <c r="J6" s="1746">
        <f t="shared" ref="J6:J44" si="1">$B$8-I6</f>
        <v>0</v>
      </c>
      <c r="K6" s="1825">
        <v>0.05</v>
      </c>
      <c r="L6" s="1796">
        <v>30</v>
      </c>
      <c r="M6" s="1824">
        <v>1.1499999999999999</v>
      </c>
      <c r="N6" s="1746">
        <f ca="1">-PV(K6/12,L6*12,OFFSET('7a.20YrDetails'!$G$97,0,E6*3)/M6/12,0)</f>
        <v>0</v>
      </c>
      <c r="O6" s="1747">
        <f t="shared" ref="O6:O24" ca="1" si="2">N6*1.5%</f>
        <v>0</v>
      </c>
      <c r="P6" s="1747">
        <f t="shared" ref="P6:P24" ca="1" si="3">N6-O6-I6</f>
        <v>0</v>
      </c>
      <c r="Q6" s="1747" t="str">
        <f ca="1">IFERROR(OFFSET('7a.20YrDetails'!$G$167,0,E6*3)/'1.GeneralProjectInfo'!$A$17,"")</f>
        <v/>
      </c>
      <c r="R6" s="1748"/>
    </row>
    <row r="7" spans="1:18">
      <c r="A7" s="1744" t="s">
        <v>1480</v>
      </c>
      <c r="B7" s="1745">
        <f>'9a.PASS'!H14</f>
        <v>0</v>
      </c>
      <c r="E7" s="1741">
        <v>3</v>
      </c>
      <c r="F7" s="1746">
        <f>FV($B$10/12,'9d.Refi'!$E7*12,$B$15/12,-$B$5)</f>
        <v>0</v>
      </c>
      <c r="G7" s="1746">
        <f>FV($B$11/12,'9d.Refi'!$E7*12,$B$16/12,-$B$6)</f>
        <v>0</v>
      </c>
      <c r="H7" s="1746">
        <f>FV($B$12/12,'9d.Refi'!$E7*12,$B$17/12,-$B$7)</f>
        <v>0</v>
      </c>
      <c r="I7" s="1746">
        <f t="shared" si="0"/>
        <v>0</v>
      </c>
      <c r="J7" s="1746">
        <f t="shared" si="1"/>
        <v>0</v>
      </c>
      <c r="K7" s="1825">
        <v>0.05</v>
      </c>
      <c r="L7" s="1796">
        <v>30</v>
      </c>
      <c r="M7" s="1824">
        <v>1.1499999999999999</v>
      </c>
      <c r="N7" s="1746">
        <f ca="1">-PV(K7/12,L7*12,OFFSET('7a.20YrDetails'!$G$97,0,E7*3)/M7/12,0)</f>
        <v>0</v>
      </c>
      <c r="O7" s="1747">
        <f t="shared" ca="1" si="2"/>
        <v>0</v>
      </c>
      <c r="P7" s="1747">
        <f t="shared" ca="1" si="3"/>
        <v>0</v>
      </c>
      <c r="Q7" s="1747" t="str">
        <f ca="1">IFERROR(OFFSET('7a.20YrDetails'!$G$167,0,E7*3)/'1.GeneralProjectInfo'!$A$17,"")</f>
        <v/>
      </c>
      <c r="R7" s="1748"/>
    </row>
    <row r="8" spans="1:18">
      <c r="A8" s="1749" t="s">
        <v>1481</v>
      </c>
      <c r="B8" s="1750">
        <f>SUM(B5:B7)</f>
        <v>0</v>
      </c>
      <c r="E8" s="1741">
        <v>4</v>
      </c>
      <c r="F8" s="1746">
        <f>FV($B$10/12,'9d.Refi'!$E8*12,$B$15/12,-$B$5)</f>
        <v>0</v>
      </c>
      <c r="G8" s="1746">
        <f>FV($B$11/12,'9d.Refi'!$E8*12,$B$16/12,-$B$6)</f>
        <v>0</v>
      </c>
      <c r="H8" s="1746">
        <f>FV($B$12/12,'9d.Refi'!$E8*12,$B$17/12,-$B$7)</f>
        <v>0</v>
      </c>
      <c r="I8" s="1746">
        <f t="shared" si="0"/>
        <v>0</v>
      </c>
      <c r="J8" s="1746">
        <f t="shared" si="1"/>
        <v>0</v>
      </c>
      <c r="K8" s="1825">
        <v>0.05</v>
      </c>
      <c r="L8" s="1796">
        <v>30</v>
      </c>
      <c r="M8" s="1824">
        <v>1.1499999999999999</v>
      </c>
      <c r="N8" s="1746">
        <f ca="1">-PV(K8/12,L8*12,OFFSET('7a.20YrDetails'!$G$97,0,E8*3)/M8/12,0)</f>
        <v>0</v>
      </c>
      <c r="O8" s="1747">
        <f t="shared" ca="1" si="2"/>
        <v>0</v>
      </c>
      <c r="P8" s="1747">
        <f t="shared" ca="1" si="3"/>
        <v>0</v>
      </c>
      <c r="Q8" s="1747" t="str">
        <f ca="1">IFERROR(OFFSET('7a.20YrDetails'!$G$167,0,E8*3)/'1.GeneralProjectInfo'!$A$17,"")</f>
        <v/>
      </c>
      <c r="R8" s="1748"/>
    </row>
    <row r="9" spans="1:18">
      <c r="A9" s="1744"/>
      <c r="B9" s="1751"/>
      <c r="E9" s="1741">
        <v>5</v>
      </c>
      <c r="F9" s="1746">
        <f>FV($B$10/12,'9d.Refi'!$E9*12,$B$15/12,-$B$5)</f>
        <v>0</v>
      </c>
      <c r="G9" s="1746">
        <f>FV($B$11/12,'9d.Refi'!$E9*12,$B$16/12,-$B$6)</f>
        <v>0</v>
      </c>
      <c r="H9" s="1746">
        <f>FV($B$12/12,'9d.Refi'!$E9*12,$B$17/12,-$B$7)</f>
        <v>0</v>
      </c>
      <c r="I9" s="1746">
        <f t="shared" si="0"/>
        <v>0</v>
      </c>
      <c r="J9" s="1746">
        <f t="shared" si="1"/>
        <v>0</v>
      </c>
      <c r="K9" s="1825">
        <v>0.05</v>
      </c>
      <c r="L9" s="1796">
        <v>30</v>
      </c>
      <c r="M9" s="1824">
        <v>1.1499999999999999</v>
      </c>
      <c r="N9" s="1746">
        <f ca="1">-PV(K9/12,L9*12,OFFSET('7a.20YrDetails'!$G$97,0,E9*3)/M9/12,0)</f>
        <v>0</v>
      </c>
      <c r="O9" s="1747">
        <f t="shared" ca="1" si="2"/>
        <v>0</v>
      </c>
      <c r="P9" s="1747">
        <f t="shared" ca="1" si="3"/>
        <v>0</v>
      </c>
      <c r="Q9" s="1747" t="str">
        <f ca="1">IFERROR(OFFSET('7a.20YrDetails'!$G$167,0,E9*3)/'1.GeneralProjectInfo'!$A$17,"")</f>
        <v/>
      </c>
      <c r="R9" s="1748"/>
    </row>
    <row r="10" spans="1:18">
      <c r="A10" s="1744" t="s">
        <v>1457</v>
      </c>
      <c r="B10" s="1752">
        <f>'9a.PASS'!F17</f>
        <v>3.8728900000000004E-2</v>
      </c>
      <c r="E10" s="1741">
        <v>6</v>
      </c>
      <c r="F10" s="1746">
        <f>FV($B$10/12,'9d.Refi'!$E10*12,$B$15/12,-$B$5)</f>
        <v>0</v>
      </c>
      <c r="G10" s="1746">
        <f>FV($B$11/12,'9d.Refi'!$E10*12,$B$16/12,-$B$6)</f>
        <v>0</v>
      </c>
      <c r="H10" s="1746">
        <f>FV($B$12/12,'9d.Refi'!$E10*12,$B$17/12,-$B$7)</f>
        <v>0</v>
      </c>
      <c r="I10" s="1746">
        <f t="shared" si="0"/>
        <v>0</v>
      </c>
      <c r="J10" s="1746">
        <f t="shared" si="1"/>
        <v>0</v>
      </c>
      <c r="K10" s="1825">
        <v>0.05</v>
      </c>
      <c r="L10" s="1796">
        <v>30</v>
      </c>
      <c r="M10" s="1824">
        <v>1.1499999999999999</v>
      </c>
      <c r="N10" s="1746">
        <f ca="1">-PV(K10/12,L10*12,OFFSET('7a.20YrDetails'!$G$97,0,E10*3)/M10/12,0)</f>
        <v>0</v>
      </c>
      <c r="O10" s="1747">
        <f t="shared" ca="1" si="2"/>
        <v>0</v>
      </c>
      <c r="P10" s="1747">
        <f t="shared" ca="1" si="3"/>
        <v>0</v>
      </c>
      <c r="Q10" s="1747" t="str">
        <f ca="1">IFERROR(OFFSET('7a.20YrDetails'!$G$167,0,E10*3)/'1.GeneralProjectInfo'!$A$17,"")</f>
        <v/>
      </c>
      <c r="R10" s="1748"/>
    </row>
    <row r="11" spans="1:18">
      <c r="A11" s="1744" t="s">
        <v>1458</v>
      </c>
      <c r="B11" s="1752">
        <f>'9a.PASS'!G17</f>
        <v>9.5762999999999994E-3</v>
      </c>
      <c r="E11" s="1741">
        <v>7</v>
      </c>
      <c r="F11" s="1746">
        <f>FV($B$10/12,'9d.Refi'!$E11*12,$B$15/12,-$B$5)</f>
        <v>0</v>
      </c>
      <c r="G11" s="1746">
        <f>FV($B$11/12,'9d.Refi'!$E11*12,$B$16/12,-$B$6)</f>
        <v>0</v>
      </c>
      <c r="H11" s="1746">
        <f>FV($B$12/12,'9d.Refi'!$E11*12,$B$17/12,-$B$7)</f>
        <v>0</v>
      </c>
      <c r="I11" s="1746">
        <f t="shared" si="0"/>
        <v>0</v>
      </c>
      <c r="J11" s="1746">
        <f t="shared" si="1"/>
        <v>0</v>
      </c>
      <c r="K11" s="1825">
        <v>0.05</v>
      </c>
      <c r="L11" s="1796">
        <v>30</v>
      </c>
      <c r="M11" s="1824">
        <v>1.1499999999999999</v>
      </c>
      <c r="N11" s="1746">
        <f ca="1">-PV(K11/12,L11*12,OFFSET('7a.20YrDetails'!$G$97,0,E11*3)/M11/12,0)</f>
        <v>0</v>
      </c>
      <c r="O11" s="1747">
        <f t="shared" ca="1" si="2"/>
        <v>0</v>
      </c>
      <c r="P11" s="1747">
        <f t="shared" ca="1" si="3"/>
        <v>0</v>
      </c>
      <c r="Q11" s="1747" t="str">
        <f ca="1">IFERROR(OFFSET('7a.20YrDetails'!$G$167,0,E11*3)/'1.GeneralProjectInfo'!$A$17,"")</f>
        <v/>
      </c>
      <c r="R11" s="1748"/>
    </row>
    <row r="12" spans="1:18">
      <c r="A12" s="1744" t="s">
        <v>1459</v>
      </c>
      <c r="B12" s="1752">
        <f>'9a.PASS'!H17</f>
        <v>9.5762999999999994E-3</v>
      </c>
      <c r="E12" s="1741">
        <v>8</v>
      </c>
      <c r="F12" s="1746">
        <f>FV($B$10/12,'9d.Refi'!$E12*12,$B$15/12,-$B$5)</f>
        <v>0</v>
      </c>
      <c r="G12" s="1746">
        <f>FV($B$11/12,'9d.Refi'!$E12*12,$B$16/12,-$B$6)</f>
        <v>0</v>
      </c>
      <c r="H12" s="1746">
        <f>FV($B$12/12,'9d.Refi'!$E12*12,$B$17/12,-$B$7)</f>
        <v>0</v>
      </c>
      <c r="I12" s="1746">
        <f t="shared" si="0"/>
        <v>0</v>
      </c>
      <c r="J12" s="1746">
        <f t="shared" si="1"/>
        <v>0</v>
      </c>
      <c r="K12" s="1825">
        <v>0.05</v>
      </c>
      <c r="L12" s="1796">
        <v>30</v>
      </c>
      <c r="M12" s="1824">
        <v>1.1499999999999999</v>
      </c>
      <c r="N12" s="1746">
        <f ca="1">-PV(K12/12,L12*12,OFFSET('7a.20YrDetails'!$G$97,0,E12*3)/M12/12,0)</f>
        <v>0</v>
      </c>
      <c r="O12" s="1747">
        <f t="shared" ca="1" si="2"/>
        <v>0</v>
      </c>
      <c r="P12" s="1747">
        <f t="shared" ca="1" si="3"/>
        <v>0</v>
      </c>
      <c r="Q12" s="1747" t="str">
        <f ca="1">IFERROR(OFFSET('7a.20YrDetails'!$G$167,0,E12*3)/'1.GeneralProjectInfo'!$A$17,"")</f>
        <v/>
      </c>
      <c r="R12" s="1748"/>
    </row>
    <row r="13" spans="1:18">
      <c r="A13" s="1749" t="s">
        <v>1460</v>
      </c>
      <c r="B13" s="1753" t="str">
        <f>IFERROR(RATE('9a.PASS'!C24*12,B18/12,-B8,FV(B12/12,#REF!*12,B17/12,-B7))*12,"")</f>
        <v/>
      </c>
      <c r="D13" s="1754"/>
      <c r="E13" s="1741">
        <v>9</v>
      </c>
      <c r="F13" s="1746">
        <f>FV($B$10/12,'9d.Refi'!$E13*12,$B$15/12,-$B$5)</f>
        <v>0</v>
      </c>
      <c r="G13" s="1746">
        <f>FV($B$11/12,'9d.Refi'!$E13*12,$B$16/12,-$B$6)</f>
        <v>0</v>
      </c>
      <c r="H13" s="1746">
        <f>FV($B$12/12,'9d.Refi'!$E13*12,$B$17/12,-$B$7)</f>
        <v>0</v>
      </c>
      <c r="I13" s="1746">
        <f t="shared" si="0"/>
        <v>0</v>
      </c>
      <c r="J13" s="1746">
        <f t="shared" si="1"/>
        <v>0</v>
      </c>
      <c r="K13" s="1825">
        <v>0.05</v>
      </c>
      <c r="L13" s="1796">
        <v>30</v>
      </c>
      <c r="M13" s="1824">
        <v>1.1499999999999999</v>
      </c>
      <c r="N13" s="1746">
        <f ca="1">-PV(K13/12,L13*12,OFFSET('7a.20YrDetails'!$G$97,0,E13*3)/M13/12,0)</f>
        <v>0</v>
      </c>
      <c r="O13" s="1747">
        <f t="shared" ca="1" si="2"/>
        <v>0</v>
      </c>
      <c r="P13" s="1747">
        <f t="shared" ca="1" si="3"/>
        <v>0</v>
      </c>
      <c r="Q13" s="1747" t="str">
        <f ca="1">IFERROR(OFFSET('7a.20YrDetails'!$G$167,0,E13*3)/'1.GeneralProjectInfo'!$A$17,"")</f>
        <v/>
      </c>
      <c r="R13" s="1748"/>
    </row>
    <row r="14" spans="1:18" ht="14.4">
      <c r="A14" s="1744"/>
      <c r="B14" s="1751"/>
      <c r="D14" s="1755"/>
      <c r="E14" s="1741">
        <f t="shared" ref="E14:E33" si="4">E13+1</f>
        <v>10</v>
      </c>
      <c r="F14" s="1746">
        <f>FV($B$10/12,'9d.Refi'!$E14*12,$B$15/12,-$B$5)</f>
        <v>0</v>
      </c>
      <c r="G14" s="1746">
        <f>FV($B$11/12,'9d.Refi'!$E14*12,$B$16/12,-$B$6)</f>
        <v>0</v>
      </c>
      <c r="H14" s="1746">
        <f>FV($B$12/12,'9d.Refi'!$E14*12,$B$17/12,-$B$7)</f>
        <v>0</v>
      </c>
      <c r="I14" s="1746">
        <f t="shared" si="0"/>
        <v>0</v>
      </c>
      <c r="J14" s="1746">
        <f t="shared" si="1"/>
        <v>0</v>
      </c>
      <c r="K14" s="1825">
        <v>0.05</v>
      </c>
      <c r="L14" s="1796">
        <v>30</v>
      </c>
      <c r="M14" s="1824">
        <v>1.1499999999999999</v>
      </c>
      <c r="N14" s="1746">
        <f ca="1">-PV(K14/12,L14*12,OFFSET('7a.20YrDetails'!$G$97,0,E14*3)/M14/12,0)</f>
        <v>0</v>
      </c>
      <c r="O14" s="1747">
        <f t="shared" ca="1" si="2"/>
        <v>0</v>
      </c>
      <c r="P14" s="1747">
        <f t="shared" ca="1" si="3"/>
        <v>0</v>
      </c>
      <c r="Q14" s="1747" t="str">
        <f ca="1">IFERROR(OFFSET('7a.20YrDetails'!$G$167,0,E14*3)/'1.GeneralProjectInfo'!$A$17,"")</f>
        <v/>
      </c>
      <c r="R14" s="1748"/>
    </row>
    <row r="15" spans="1:18">
      <c r="A15" s="1744" t="s">
        <v>1482</v>
      </c>
      <c r="B15" s="1745">
        <f>'9a.PASS'!F18</f>
        <v>0</v>
      </c>
      <c r="E15" s="1741">
        <f t="shared" si="4"/>
        <v>11</v>
      </c>
      <c r="F15" s="1746">
        <f>FV($B$10/12,'9d.Refi'!$E15*12,$B$15/12,-$B$5)</f>
        <v>0</v>
      </c>
      <c r="G15" s="1746">
        <f>FV($B$11/12,'9d.Refi'!$E15*12,$B$16/12,-$B$6)</f>
        <v>0</v>
      </c>
      <c r="H15" s="1746">
        <f>FV($B$12/12,'9d.Refi'!$E15*12,$B$17/12,-$B$7)</f>
        <v>0</v>
      </c>
      <c r="I15" s="1746">
        <f t="shared" si="0"/>
        <v>0</v>
      </c>
      <c r="J15" s="1746">
        <f t="shared" si="1"/>
        <v>0</v>
      </c>
      <c r="K15" s="1825">
        <v>0.05</v>
      </c>
      <c r="L15" s="1796">
        <v>30</v>
      </c>
      <c r="M15" s="1824">
        <v>1.1499999999999999</v>
      </c>
      <c r="N15" s="1746">
        <f ca="1">-PV(K15/12,L15*12,OFFSET('7a.20YrDetails'!$G$97,0,E15*3)/M15/12,0)</f>
        <v>0</v>
      </c>
      <c r="O15" s="1747">
        <f t="shared" ca="1" si="2"/>
        <v>0</v>
      </c>
      <c r="P15" s="1747">
        <f t="shared" ca="1" si="3"/>
        <v>0</v>
      </c>
      <c r="Q15" s="1747" t="str">
        <f ca="1">IFERROR(OFFSET('7a.20YrDetails'!$G$167,0,E15*3)/'1.GeneralProjectInfo'!$A$17,"")</f>
        <v/>
      </c>
      <c r="R15" s="1748"/>
    </row>
    <row r="16" spans="1:18">
      <c r="A16" s="1744" t="s">
        <v>1483</v>
      </c>
      <c r="B16" s="1745">
        <f>'9a.PASS'!G18</f>
        <v>0</v>
      </c>
      <c r="E16" s="1741">
        <f t="shared" si="4"/>
        <v>12</v>
      </c>
      <c r="F16" s="1746">
        <f>FV($B$10/12,'9d.Refi'!$E16*12,$B$15/12,-$B$5)</f>
        <v>0</v>
      </c>
      <c r="G16" s="1746">
        <f>FV($B$11/12,'9d.Refi'!$E16*12,$B$16/12,-$B$6)</f>
        <v>0</v>
      </c>
      <c r="H16" s="1746">
        <f>FV($B$12/12,'9d.Refi'!$E16*12,$B$17/12,-$B$7)</f>
        <v>0</v>
      </c>
      <c r="I16" s="1746">
        <f t="shared" si="0"/>
        <v>0</v>
      </c>
      <c r="J16" s="1746">
        <f t="shared" si="1"/>
        <v>0</v>
      </c>
      <c r="K16" s="1825">
        <v>0.05</v>
      </c>
      <c r="L16" s="1796">
        <v>30</v>
      </c>
      <c r="M16" s="1824">
        <v>1.1499999999999999</v>
      </c>
      <c r="N16" s="1746">
        <f ca="1">-PV(K16/12,L16*12,OFFSET('7a.20YrDetails'!$G$97,0,E16*3)/M16/12,0)</f>
        <v>0</v>
      </c>
      <c r="O16" s="1747">
        <f t="shared" ca="1" si="2"/>
        <v>0</v>
      </c>
      <c r="P16" s="1747">
        <f t="shared" ca="1" si="3"/>
        <v>0</v>
      </c>
      <c r="Q16" s="1747" t="str">
        <f ca="1">IFERROR(OFFSET('7a.20YrDetails'!$G$167,0,E16*3)/'1.GeneralProjectInfo'!$A$17,"")</f>
        <v/>
      </c>
      <c r="R16" s="1748"/>
    </row>
    <row r="17" spans="1:18">
      <c r="A17" s="1744" t="s">
        <v>1484</v>
      </c>
      <c r="B17" s="1745">
        <f>'9a.PASS'!H18</f>
        <v>0</v>
      </c>
      <c r="E17" s="1741">
        <f t="shared" si="4"/>
        <v>13</v>
      </c>
      <c r="F17" s="1746">
        <f>FV($B$10/12,'9d.Refi'!$E17*12,$B$15/12,-$B$5)</f>
        <v>0</v>
      </c>
      <c r="G17" s="1746">
        <f>FV($B$11/12,'9d.Refi'!$E17*12,$B$16/12,-$B$6)</f>
        <v>0</v>
      </c>
      <c r="H17" s="1746">
        <f>FV($B$12/12,'9d.Refi'!$E17*12,$B$17/12,-$B$7)</f>
        <v>0</v>
      </c>
      <c r="I17" s="1746">
        <f t="shared" si="0"/>
        <v>0</v>
      </c>
      <c r="J17" s="1746">
        <f t="shared" si="1"/>
        <v>0</v>
      </c>
      <c r="K17" s="1825">
        <v>0.05</v>
      </c>
      <c r="L17" s="1796">
        <v>30</v>
      </c>
      <c r="M17" s="1824">
        <v>1.1499999999999999</v>
      </c>
      <c r="N17" s="1746">
        <f ca="1">-PV(K17/12,L17*12,OFFSET('7a.20YrDetails'!$G$97,0,E17*3)/M17/12,0)</f>
        <v>0</v>
      </c>
      <c r="O17" s="1747">
        <f t="shared" ca="1" si="2"/>
        <v>0</v>
      </c>
      <c r="P17" s="1747">
        <f t="shared" ca="1" si="3"/>
        <v>0</v>
      </c>
      <c r="Q17" s="1747" t="str">
        <f ca="1">IFERROR(OFFSET('7a.20YrDetails'!$G$167,0,E17*3)/'1.GeneralProjectInfo'!$A$17,"")</f>
        <v/>
      </c>
      <c r="R17" s="1748"/>
    </row>
    <row r="18" spans="1:18">
      <c r="A18" s="1749" t="s">
        <v>1485</v>
      </c>
      <c r="B18" s="1750">
        <f>SUM(B15:B17)</f>
        <v>0</v>
      </c>
      <c r="C18" s="1756"/>
      <c r="E18" s="1741">
        <f t="shared" si="4"/>
        <v>14</v>
      </c>
      <c r="F18" s="1746">
        <f>FV($B$10/12,'9d.Refi'!$E18*12,$B$15/12,-$B$5)</f>
        <v>0</v>
      </c>
      <c r="G18" s="1746">
        <f>FV($B$11/12,'9d.Refi'!$E18*12,$B$16/12,-$B$6)</f>
        <v>0</v>
      </c>
      <c r="H18" s="1746">
        <f>FV($B$12/12,'9d.Refi'!$E18*12,$B$17/12,-$B$7)</f>
        <v>0</v>
      </c>
      <c r="I18" s="1746">
        <f t="shared" si="0"/>
        <v>0</v>
      </c>
      <c r="J18" s="1746">
        <f t="shared" si="1"/>
        <v>0</v>
      </c>
      <c r="K18" s="1825">
        <v>0.05</v>
      </c>
      <c r="L18" s="1796">
        <v>30</v>
      </c>
      <c r="M18" s="1824">
        <v>1.1499999999999999</v>
      </c>
      <c r="N18" s="1746">
        <f ca="1">-PV(K18/12,L18*12,OFFSET('7a.20YrDetails'!$G$97,0,E18*3)/M18/12,0)</f>
        <v>0</v>
      </c>
      <c r="O18" s="1747">
        <f t="shared" ca="1" si="2"/>
        <v>0</v>
      </c>
      <c r="P18" s="1747">
        <f t="shared" ca="1" si="3"/>
        <v>0</v>
      </c>
      <c r="Q18" s="1747" t="str">
        <f ca="1">IFERROR(OFFSET('7a.20YrDetails'!$G$167,0,E18*3)/'1.GeneralProjectInfo'!$A$17,"")</f>
        <v/>
      </c>
      <c r="R18" s="1748"/>
    </row>
    <row r="19" spans="1:18">
      <c r="A19" s="1744"/>
      <c r="B19" s="1751"/>
      <c r="C19" s="1757"/>
      <c r="E19" s="1741">
        <f t="shared" si="4"/>
        <v>15</v>
      </c>
      <c r="F19" s="1746">
        <f>FV($B$10/12,'9d.Refi'!$E19*12,$B$15/12,-$B$5)</f>
        <v>0</v>
      </c>
      <c r="G19" s="1746">
        <f>FV($B$11/12,'9d.Refi'!$E19*12,$B$16/12,-$B$6)</f>
        <v>0</v>
      </c>
      <c r="H19" s="1746">
        <f>FV($B$12/12,'9d.Refi'!$E19*12,$B$17/12,-$B$7)</f>
        <v>0</v>
      </c>
      <c r="I19" s="1746">
        <f t="shared" si="0"/>
        <v>0</v>
      </c>
      <c r="J19" s="1746">
        <f t="shared" si="1"/>
        <v>0</v>
      </c>
      <c r="K19" s="1825">
        <v>0.05</v>
      </c>
      <c r="L19" s="1796">
        <v>30</v>
      </c>
      <c r="M19" s="1824">
        <v>1.1499999999999999</v>
      </c>
      <c r="N19" s="1746">
        <f ca="1">-PV(K19/12,L19*12,OFFSET('7a.20YrDetails'!$G$97,0,E19*3)/M19/12,0)</f>
        <v>0</v>
      </c>
      <c r="O19" s="1758">
        <f t="shared" ca="1" si="2"/>
        <v>0</v>
      </c>
      <c r="P19" s="1758">
        <f t="shared" ca="1" si="3"/>
        <v>0</v>
      </c>
      <c r="Q19" s="1747" t="str">
        <f ca="1">IFERROR(OFFSET('7a.20YrDetails'!$G$167,0,E19*3)/'1.GeneralProjectInfo'!$A$17,"")</f>
        <v/>
      </c>
      <c r="R19" s="1748"/>
    </row>
    <row r="20" spans="1:18">
      <c r="A20" s="1760" t="s">
        <v>1461</v>
      </c>
      <c r="B20" s="1751"/>
      <c r="C20" s="1759"/>
      <c r="E20" s="1741">
        <f t="shared" si="4"/>
        <v>16</v>
      </c>
      <c r="F20" s="1746">
        <f>FV($B$10/12,'9d.Refi'!$E20*12,$B$15/12,-$B$5)</f>
        <v>0</v>
      </c>
      <c r="G20" s="1746">
        <f>FV($B$11/12,'9d.Refi'!$E20*12,$B$16/12,-$B$6)</f>
        <v>0</v>
      </c>
      <c r="H20" s="1746">
        <f>FV($B$12/12,'9d.Refi'!$E20*12,$B$17/12,-$B$7)</f>
        <v>0</v>
      </c>
      <c r="I20" s="1746">
        <f t="shared" si="0"/>
        <v>0</v>
      </c>
      <c r="J20" s="1746">
        <f t="shared" si="1"/>
        <v>0</v>
      </c>
      <c r="K20" s="1825">
        <v>0.05</v>
      </c>
      <c r="L20" s="1796">
        <v>30</v>
      </c>
      <c r="M20" s="1824">
        <v>1.1499999999999999</v>
      </c>
      <c r="N20" s="1746">
        <f ca="1">-PV(K20/12,L20*12,OFFSET('7a.20YrDetails'!$G$97,0,E20*3)/M20/12,0)</f>
        <v>0</v>
      </c>
      <c r="O20" s="1747">
        <f t="shared" ca="1" si="2"/>
        <v>0</v>
      </c>
      <c r="P20" s="1747">
        <f t="shared" ca="1" si="3"/>
        <v>0</v>
      </c>
      <c r="Q20" s="1747" t="str">
        <f ca="1">IFERROR(OFFSET('7a.20YrDetails'!$G$167,0,E20*3)/'1.GeneralProjectInfo'!$A$17,"")</f>
        <v/>
      </c>
      <c r="R20" s="1748"/>
    </row>
    <row r="21" spans="1:18">
      <c r="A21" s="1744" t="s">
        <v>1462</v>
      </c>
      <c r="B21" s="1794"/>
      <c r="C21" s="1757"/>
      <c r="E21" s="1741">
        <f t="shared" si="4"/>
        <v>17</v>
      </c>
      <c r="F21" s="1746">
        <f>FV($B$10/12,'9d.Refi'!$E21*12,$B$15/12,-$B$5)</f>
        <v>0</v>
      </c>
      <c r="G21" s="1746">
        <f>FV($B$11/12,'9d.Refi'!$E21*12,$B$16/12,-$B$6)</f>
        <v>0</v>
      </c>
      <c r="H21" s="1746">
        <f>FV($B$12/12,'9d.Refi'!$E21*12,$B$17/12,-$B$7)</f>
        <v>0</v>
      </c>
      <c r="I21" s="1746">
        <f t="shared" si="0"/>
        <v>0</v>
      </c>
      <c r="J21" s="1746">
        <f t="shared" si="1"/>
        <v>0</v>
      </c>
      <c r="K21" s="1825">
        <v>0.05</v>
      </c>
      <c r="L21" s="1796">
        <v>30</v>
      </c>
      <c r="M21" s="1824">
        <v>1.1499999999999999</v>
      </c>
      <c r="N21" s="1746">
        <f ca="1">-PV(K21/12,L21*12,OFFSET('7a.20YrDetails'!$G$97,0,E21*3)/M21/12,0)</f>
        <v>0</v>
      </c>
      <c r="O21" s="1747">
        <f t="shared" ca="1" si="2"/>
        <v>0</v>
      </c>
      <c r="P21" s="1747">
        <f t="shared" ca="1" si="3"/>
        <v>0</v>
      </c>
      <c r="Q21" s="1747" t="str">
        <f ca="1">IFERROR(OFFSET('7a.20YrDetails'!$G$167,0,E21*3)/'1.GeneralProjectInfo'!$A$17,"")</f>
        <v/>
      </c>
      <c r="R21" s="1748"/>
    </row>
    <row r="22" spans="1:18">
      <c r="A22" s="1744" t="s">
        <v>1463</v>
      </c>
      <c r="B22" s="1761">
        <f>IF(B21=0,0,PMT(INDEX($K$5:$K$24,MATCH(B21,$E$5:$E$24,0))/12,INDEX($L$5:$L$24,MATCH(B21,$E$5:$E$24,0))*12,-INDEX($N$5:$N$24,MATCH(B21,$E$5:$E$24,0)))*12)</f>
        <v>0</v>
      </c>
      <c r="E22" s="1741">
        <f t="shared" si="4"/>
        <v>18</v>
      </c>
      <c r="F22" s="1746">
        <f>FV($B$10/12,'9d.Refi'!$E22*12,$B$15/12,-$B$5)</f>
        <v>0</v>
      </c>
      <c r="G22" s="1746">
        <f>FV($B$11/12,'9d.Refi'!$E22*12,$B$16/12,-$B$6)</f>
        <v>0</v>
      </c>
      <c r="H22" s="1746">
        <f>FV($B$12/12,'9d.Refi'!$E22*12,$B$17/12,-$B$7)</f>
        <v>0</v>
      </c>
      <c r="I22" s="1746">
        <f t="shared" si="0"/>
        <v>0</v>
      </c>
      <c r="J22" s="1746">
        <f t="shared" si="1"/>
        <v>0</v>
      </c>
      <c r="K22" s="1825">
        <v>0.05</v>
      </c>
      <c r="L22" s="1796">
        <v>30</v>
      </c>
      <c r="M22" s="1824">
        <v>1.1499999999999999</v>
      </c>
      <c r="N22" s="1746">
        <f ca="1">-PV(K22/12,L22*12,OFFSET('7a.20YrDetails'!$G$97,0,E22*3)/M22/12,0)</f>
        <v>0</v>
      </c>
      <c r="O22" s="1747">
        <f t="shared" ca="1" si="2"/>
        <v>0</v>
      </c>
      <c r="P22" s="1747">
        <f t="shared" ca="1" si="3"/>
        <v>0</v>
      </c>
      <c r="Q22" s="1747" t="str">
        <f ca="1">IFERROR(OFFSET('7a.20YrDetails'!$G$167,0,E22*3)/'1.GeneralProjectInfo'!$A$17,"")</f>
        <v/>
      </c>
      <c r="R22" s="1748"/>
    </row>
    <row r="23" spans="1:18">
      <c r="A23" s="1744" t="s">
        <v>1464</v>
      </c>
      <c r="B23" s="1761">
        <f>IF(B21=0,0,INDEX($P$5:$P$24,MATCH(B21,$E$5:$E$24,0)))</f>
        <v>0</v>
      </c>
      <c r="E23" s="1741">
        <f t="shared" si="4"/>
        <v>19</v>
      </c>
      <c r="F23" s="1746">
        <f>FV($B$10/12,'9d.Refi'!$E23*12,$B$15/12,-$B$5)</f>
        <v>0</v>
      </c>
      <c r="G23" s="1746">
        <f>FV($B$11/12,'9d.Refi'!$E23*12,$B$16/12,-$B$6)</f>
        <v>0</v>
      </c>
      <c r="H23" s="1746">
        <f>FV($B$12/12,'9d.Refi'!$E23*12,$B$17/12,-$B$7)</f>
        <v>0</v>
      </c>
      <c r="I23" s="1746">
        <f t="shared" si="0"/>
        <v>0</v>
      </c>
      <c r="J23" s="1746">
        <f t="shared" si="1"/>
        <v>0</v>
      </c>
      <c r="K23" s="1825">
        <v>0.05</v>
      </c>
      <c r="L23" s="1796">
        <v>30</v>
      </c>
      <c r="M23" s="1824">
        <v>1.1499999999999999</v>
      </c>
      <c r="N23" s="1746">
        <f ca="1">-PV(K23/12,L23*12,OFFSET('7a.20YrDetails'!$G$97,0,E23*3)/M23/12,0)</f>
        <v>0</v>
      </c>
      <c r="O23" s="1747">
        <f t="shared" ca="1" si="2"/>
        <v>0</v>
      </c>
      <c r="P23" s="1747">
        <f t="shared" ca="1" si="3"/>
        <v>0</v>
      </c>
      <c r="Q23" s="1747" t="str">
        <f ca="1">IFERROR(OFFSET('7a.20YrDetails'!$G$167,0,E23*3)/'1.GeneralProjectInfo'!$A$17,"")</f>
        <v/>
      </c>
      <c r="R23" s="1748"/>
    </row>
    <row r="24" spans="1:18">
      <c r="A24" s="1744"/>
      <c r="B24" s="1745"/>
      <c r="E24" s="1741">
        <f t="shared" si="4"/>
        <v>20</v>
      </c>
      <c r="F24" s="1746">
        <f>FV($B$10/12,'9d.Refi'!$E24*12,$B$15/12,-$B$5)</f>
        <v>0</v>
      </c>
      <c r="G24" s="1746">
        <f>FV($B$11/12,'9d.Refi'!$E24*12,$B$16/12,-$B$6)</f>
        <v>0</v>
      </c>
      <c r="H24" s="1746">
        <f>FV($B$12/12,'9d.Refi'!$E24*12,$B$17/12,-$B$7)</f>
        <v>0</v>
      </c>
      <c r="I24" s="1746">
        <f t="shared" si="0"/>
        <v>0</v>
      </c>
      <c r="J24" s="1746">
        <f t="shared" si="1"/>
        <v>0</v>
      </c>
      <c r="K24" s="1825">
        <v>0.05</v>
      </c>
      <c r="L24" s="1796">
        <v>30</v>
      </c>
      <c r="M24" s="1824">
        <v>1.1499999999999999</v>
      </c>
      <c r="N24" s="1746">
        <f ca="1">-PV(K24/12,L24*12,OFFSET('7a.20YrDetails'!$G$97,0,E24*3)/M24/12,0)</f>
        <v>0</v>
      </c>
      <c r="O24" s="1747">
        <f t="shared" ca="1" si="2"/>
        <v>0</v>
      </c>
      <c r="P24" s="1747">
        <f t="shared" ca="1" si="3"/>
        <v>0</v>
      </c>
      <c r="Q24" s="1747" t="str">
        <f ca="1">IFERROR(OFFSET('7a.20YrDetails'!$G$167,0,E24*3)/'1.GeneralProjectInfo'!$A$17,"")</f>
        <v/>
      </c>
      <c r="R24" s="1748"/>
    </row>
    <row r="25" spans="1:18">
      <c r="A25" s="1744" t="s">
        <v>72</v>
      </c>
      <c r="B25" s="1795">
        <f ca="1">B26</f>
        <v>0</v>
      </c>
      <c r="E25" s="1741">
        <f t="shared" si="4"/>
        <v>21</v>
      </c>
      <c r="F25" s="1746">
        <f>FV($B$10/12,'9d.Refi'!$E25*12,$B$15/12,-$B$5)</f>
        <v>0</v>
      </c>
      <c r="G25" s="1746">
        <f>FV($B$11/12,'9d.Refi'!$E25*12,$B$16/12,-$B$6)</f>
        <v>0</v>
      </c>
      <c r="H25" s="1746">
        <f>FV($B$12/12,'9d.Refi'!$E25*12,$B$17/12,-$B$7)</f>
        <v>0</v>
      </c>
      <c r="I25" s="1746">
        <f t="shared" si="0"/>
        <v>0</v>
      </c>
      <c r="J25" s="1746">
        <f t="shared" si="1"/>
        <v>0</v>
      </c>
      <c r="K25" s="1762"/>
      <c r="L25" s="1763"/>
      <c r="M25" s="1764"/>
      <c r="N25" s="1746"/>
      <c r="O25" s="1747"/>
      <c r="Q25" s="1765"/>
    </row>
    <row r="26" spans="1:18" ht="13.8" thickBot="1">
      <c r="A26" s="1769" t="s">
        <v>1465</v>
      </c>
      <c r="B26" s="1761">
        <f ca="1">CNA!T4</f>
        <v>0</v>
      </c>
      <c r="E26" s="1741">
        <f t="shared" si="4"/>
        <v>22</v>
      </c>
      <c r="F26" s="1746">
        <f>FV($B$10/12,'9d.Refi'!$E26*12,$B$15/12,-$B$5)</f>
        <v>0</v>
      </c>
      <c r="G26" s="1746">
        <f>FV($B$11/12,'9d.Refi'!$E26*12,$B$16/12,-$B$6)</f>
        <v>0</v>
      </c>
      <c r="H26" s="1746">
        <f>FV($B$12/12,'9d.Refi'!$E26*12,$B$17/12,-$B$7)</f>
        <v>0</v>
      </c>
      <c r="I26" s="1746">
        <f t="shared" si="0"/>
        <v>0</v>
      </c>
      <c r="J26" s="1746">
        <f t="shared" si="1"/>
        <v>0</v>
      </c>
      <c r="K26" s="1766"/>
      <c r="L26" s="1746"/>
      <c r="M26" s="1767"/>
      <c r="N26" s="1746"/>
      <c r="O26" s="1747"/>
    </row>
    <row r="27" spans="1:18" ht="13.8" thickBot="1">
      <c r="A27" s="1744"/>
      <c r="B27" s="1771"/>
      <c r="C27" s="1768"/>
      <c r="E27" s="1741">
        <f t="shared" si="4"/>
        <v>23</v>
      </c>
      <c r="F27" s="1746">
        <f>FV($B$10/12,'9d.Refi'!$E27*12,$B$15/12,-$B$5)</f>
        <v>0</v>
      </c>
      <c r="G27" s="1746">
        <f>FV($B$11/12,'9d.Refi'!$E27*12,$B$16/12,-$B$6)</f>
        <v>0</v>
      </c>
      <c r="H27" s="1746">
        <f>FV($B$12/12,'9d.Refi'!$E27*12,$B$17/12,-$B$7)</f>
        <v>0</v>
      </c>
      <c r="I27" s="1746">
        <f t="shared" si="0"/>
        <v>0</v>
      </c>
      <c r="J27" s="1746">
        <f t="shared" si="1"/>
        <v>0</v>
      </c>
      <c r="K27" s="1766"/>
      <c r="L27" s="1746"/>
      <c r="M27" s="1767"/>
      <c r="N27" s="1746"/>
      <c r="O27" s="1747"/>
    </row>
    <row r="28" spans="1:18" ht="14.4">
      <c r="A28" s="1742" t="s">
        <v>1466</v>
      </c>
      <c r="B28" s="1743"/>
      <c r="C28" s="1770"/>
      <c r="E28" s="1741">
        <f t="shared" si="4"/>
        <v>24</v>
      </c>
      <c r="F28" s="1746">
        <f>FV($B$10/12,'9d.Refi'!$E28*12,$B$15/12,-$B$5)</f>
        <v>0</v>
      </c>
      <c r="G28" s="1746">
        <f>FV($B$11/12,'9d.Refi'!$E28*12,$B$16/12,-$B$6)</f>
        <v>0</v>
      </c>
      <c r="H28" s="1746">
        <f>FV($B$12/12,'9d.Refi'!$E28*12,$B$17/12,-$B$7)</f>
        <v>0</v>
      </c>
      <c r="I28" s="1746">
        <f t="shared" si="0"/>
        <v>0</v>
      </c>
      <c r="J28" s="1746">
        <f t="shared" si="1"/>
        <v>0</v>
      </c>
      <c r="K28" s="1766"/>
      <c r="L28" s="1746"/>
      <c r="M28" s="1767"/>
      <c r="N28" s="1746"/>
      <c r="O28" s="1747"/>
    </row>
    <row r="29" spans="1:18">
      <c r="A29" s="1744" t="s">
        <v>1467</v>
      </c>
      <c r="B29" s="1745">
        <f>'4b.PermS&amp;U'!D7</f>
        <v>0</v>
      </c>
      <c r="E29" s="1741">
        <f t="shared" si="4"/>
        <v>25</v>
      </c>
      <c r="F29" s="1746">
        <f>FV($B$10/12,'9d.Refi'!$E29*12,$B$15/12,-$B$5)</f>
        <v>0</v>
      </c>
      <c r="G29" s="1746">
        <f>FV($B$11/12,'9d.Refi'!$E29*12,$B$16/12,-$B$6)</f>
        <v>0</v>
      </c>
      <c r="H29" s="1746">
        <f>FV($B$12/12,'9d.Refi'!$E29*12,$B$17/12,-$B$7)</f>
        <v>0</v>
      </c>
      <c r="I29" s="1746">
        <f t="shared" si="0"/>
        <v>0</v>
      </c>
      <c r="J29" s="1746">
        <f t="shared" si="1"/>
        <v>0</v>
      </c>
      <c r="K29" s="1766"/>
      <c r="L29" s="1746"/>
      <c r="M29" s="1767"/>
      <c r="N29" s="1746"/>
      <c r="O29" s="1747"/>
    </row>
    <row r="30" spans="1:18" ht="13.8" thickBot="1">
      <c r="A30" s="1772" t="s">
        <v>1468</v>
      </c>
      <c r="B30" s="1773">
        <f>SUM(B29)</f>
        <v>0</v>
      </c>
      <c r="E30" s="1741">
        <f t="shared" si="4"/>
        <v>26</v>
      </c>
      <c r="F30" s="1746">
        <f>FV($B$10/12,'9d.Refi'!$E30*12,$B$15/12,-$B$5)</f>
        <v>0</v>
      </c>
      <c r="G30" s="1746">
        <f>FV($B$11/12,'9d.Refi'!$E30*12,$B$16/12,-$B$6)</f>
        <v>0</v>
      </c>
      <c r="H30" s="1746">
        <f>FV($B$12/12,'9d.Refi'!$E30*12,$B$17/12,-$B$7)</f>
        <v>0</v>
      </c>
      <c r="I30" s="1746">
        <f t="shared" si="0"/>
        <v>0</v>
      </c>
      <c r="J30" s="1746">
        <f t="shared" si="1"/>
        <v>0</v>
      </c>
      <c r="K30" s="1766"/>
      <c r="L30" s="1746"/>
      <c r="M30" s="1767"/>
      <c r="N30" s="1746"/>
      <c r="O30" s="1747"/>
    </row>
    <row r="31" spans="1:18">
      <c r="E31" s="1741">
        <f t="shared" si="4"/>
        <v>27</v>
      </c>
      <c r="F31" s="1746">
        <f>FV($B$10/12,'9d.Refi'!$E31*12,$B$15/12,-$B$5)</f>
        <v>0</v>
      </c>
      <c r="G31" s="1746">
        <f>FV($B$11/12,'9d.Refi'!$E31*12,$B$16/12,-$B$6)</f>
        <v>0</v>
      </c>
      <c r="H31" s="1746">
        <f>FV($B$12/12,'9d.Refi'!$E31*12,$B$17/12,-$B$7)</f>
        <v>0</v>
      </c>
      <c r="I31" s="1746">
        <f t="shared" si="0"/>
        <v>0</v>
      </c>
      <c r="J31" s="1746">
        <f t="shared" si="1"/>
        <v>0</v>
      </c>
      <c r="K31" s="1766"/>
      <c r="L31" s="1746"/>
      <c r="M31" s="1767"/>
      <c r="N31" s="1746"/>
      <c r="O31" s="1747"/>
    </row>
    <row r="32" spans="1:18">
      <c r="E32" s="1741">
        <f t="shared" si="4"/>
        <v>28</v>
      </c>
      <c r="F32" s="1746">
        <f>FV($B$10/12,'9d.Refi'!$E32*12,$B$15/12,-$B$5)</f>
        <v>0</v>
      </c>
      <c r="G32" s="1746">
        <f>FV($B$11/12,'9d.Refi'!$E32*12,$B$16/12,-$B$6)</f>
        <v>0</v>
      </c>
      <c r="H32" s="1746">
        <f>FV($B$12/12,'9d.Refi'!$E32*12,$B$17/12,-$B$7)</f>
        <v>0</v>
      </c>
      <c r="I32" s="1746">
        <f t="shared" si="0"/>
        <v>0</v>
      </c>
      <c r="J32" s="1746">
        <f t="shared" si="1"/>
        <v>0</v>
      </c>
      <c r="K32" s="1766"/>
      <c r="L32" s="1746"/>
      <c r="M32" s="1767"/>
      <c r="N32" s="1746"/>
      <c r="O32" s="1747"/>
    </row>
    <row r="33" spans="1:15">
      <c r="E33" s="1741">
        <f t="shared" si="4"/>
        <v>29</v>
      </c>
      <c r="F33" s="1746">
        <f>FV($B$10/12,'9d.Refi'!$E33*12,$B$15/12,-$B$5)</f>
        <v>0</v>
      </c>
      <c r="G33" s="1746">
        <f>FV($B$11/12,'9d.Refi'!$E33*12,$B$16/12,-$B$6)</f>
        <v>0</v>
      </c>
      <c r="H33" s="1746">
        <f>FV($B$12/12,'9d.Refi'!$E33*12,$B$17/12,-$B$7)</f>
        <v>0</v>
      </c>
      <c r="I33" s="1746">
        <f t="shared" si="0"/>
        <v>0</v>
      </c>
      <c r="J33" s="1746">
        <f t="shared" si="1"/>
        <v>0</v>
      </c>
      <c r="K33" s="1766"/>
      <c r="L33" s="1746"/>
      <c r="M33" s="1767"/>
      <c r="N33" s="1746"/>
      <c r="O33" s="1747"/>
    </row>
    <row r="34" spans="1:15">
      <c r="E34" s="1741">
        <v>30</v>
      </c>
      <c r="F34" s="1746">
        <f>FV($B$10/12,'9d.Refi'!$E34*12,$B$15/12,-$B$5)</f>
        <v>0</v>
      </c>
      <c r="G34" s="1746">
        <f>FV($B$11/12,'9d.Refi'!$E34*12,$B$16/12,-$B$6)</f>
        <v>0</v>
      </c>
      <c r="H34" s="1746">
        <f>FV($B$12/12,'9d.Refi'!$E34*12,$B$17/12,-$B$7)</f>
        <v>0</v>
      </c>
      <c r="I34" s="1746">
        <f t="shared" si="0"/>
        <v>0</v>
      </c>
      <c r="J34" s="1746">
        <f t="shared" si="1"/>
        <v>0</v>
      </c>
      <c r="K34" s="1766"/>
      <c r="L34" s="1746"/>
      <c r="M34" s="1767"/>
      <c r="N34" s="1746"/>
      <c r="O34" s="1774"/>
    </row>
    <row r="35" spans="1:15">
      <c r="A35" s="1775" t="s">
        <v>1469</v>
      </c>
      <c r="E35" s="1741">
        <v>31</v>
      </c>
      <c r="F35" s="1746">
        <f>FV($B$10/12,'9d.Refi'!$E35*12,$B$15/12,-$B$5)</f>
        <v>0</v>
      </c>
      <c r="G35" s="1746">
        <f>FV($B$11/12,'9d.Refi'!$E35*12,$B$16/12,-$B$6)</f>
        <v>0</v>
      </c>
      <c r="H35" s="1746">
        <f>FV($B$12/12,'9d.Refi'!$E35*12,$B$17/12,-$B$7)</f>
        <v>0</v>
      </c>
      <c r="I35" s="1746">
        <f t="shared" si="0"/>
        <v>0</v>
      </c>
      <c r="J35" s="1746">
        <f t="shared" si="1"/>
        <v>0</v>
      </c>
      <c r="K35" s="1766"/>
      <c r="L35" s="1746"/>
      <c r="M35" s="1767"/>
      <c r="N35" s="1746"/>
      <c r="O35" s="1774"/>
    </row>
    <row r="36" spans="1:15">
      <c r="A36" s="1741" t="s">
        <v>1469</v>
      </c>
      <c r="B36" s="1776"/>
      <c r="E36" s="1741">
        <v>32</v>
      </c>
      <c r="F36" s="1746">
        <f>FV($B$10/12,'9d.Refi'!$E36*12,$B$15/12,-$B$5)</f>
        <v>0</v>
      </c>
      <c r="G36" s="1746">
        <f>FV($B$11/12,'9d.Refi'!$E36*12,$B$16/12,-$B$6)</f>
        <v>0</v>
      </c>
      <c r="H36" s="1746">
        <f>FV($B$12/12,'9d.Refi'!$E36*12,$B$17/12,-$B$7)</f>
        <v>0</v>
      </c>
      <c r="I36" s="1746">
        <f t="shared" si="0"/>
        <v>0</v>
      </c>
      <c r="J36" s="1746">
        <f t="shared" si="1"/>
        <v>0</v>
      </c>
      <c r="K36" s="1766"/>
      <c r="L36" s="1746"/>
      <c r="M36" s="1767"/>
      <c r="N36" s="1746"/>
      <c r="O36" s="1774"/>
    </row>
    <row r="37" spans="1:15">
      <c r="B37" s="1776"/>
      <c r="E37" s="1741">
        <v>33</v>
      </c>
      <c r="F37" s="1746">
        <f>FV($B$10/12,'9d.Refi'!$E37*12,$B$15/12,-$B$5)</f>
        <v>0</v>
      </c>
      <c r="G37" s="1746">
        <f>FV($B$11/12,'9d.Refi'!$E37*12,$B$16/12,-$B$6)</f>
        <v>0</v>
      </c>
      <c r="H37" s="1746">
        <f>FV($B$12/12,'9d.Refi'!$E37*12,$B$17/12,-$B$7)</f>
        <v>0</v>
      </c>
      <c r="I37" s="1746">
        <f t="shared" si="0"/>
        <v>0</v>
      </c>
      <c r="J37" s="1746">
        <f t="shared" si="1"/>
        <v>0</v>
      </c>
      <c r="K37" s="1766"/>
      <c r="L37" s="1746"/>
      <c r="M37" s="1767"/>
      <c r="N37" s="1746"/>
      <c r="O37" s="1774"/>
    </row>
    <row r="38" spans="1:15">
      <c r="B38" s="1777"/>
      <c r="E38" s="1741">
        <v>34</v>
      </c>
      <c r="F38" s="1746">
        <f>FV($B$10/12,'9d.Refi'!$E38*12,$B$15/12,-$B$5)</f>
        <v>0</v>
      </c>
      <c r="G38" s="1746">
        <f>FV($B$11/12,'9d.Refi'!$E38*12,$B$16/12,-$B$6)</f>
        <v>0</v>
      </c>
      <c r="H38" s="1746">
        <f>FV($B$12/12,'9d.Refi'!$E38*12,$B$17/12,-$B$7)</f>
        <v>0</v>
      </c>
      <c r="I38" s="1746">
        <f t="shared" si="0"/>
        <v>0</v>
      </c>
      <c r="J38" s="1746">
        <f t="shared" si="1"/>
        <v>0</v>
      </c>
      <c r="K38" s="1766"/>
      <c r="L38" s="1746"/>
      <c r="M38" s="1767"/>
      <c r="N38" s="1746"/>
      <c r="O38" s="1774"/>
    </row>
    <row r="39" spans="1:15">
      <c r="B39" s="1775"/>
      <c r="E39" s="1741">
        <v>35</v>
      </c>
      <c r="F39" s="1746">
        <f>FV($B$10/12,'9d.Refi'!$E39*12,$B$15/12,-$B$5)</f>
        <v>0</v>
      </c>
      <c r="G39" s="1746">
        <f>FV($B$11/12,'9d.Refi'!$E39*12,$B$16/12,-$B$6)</f>
        <v>0</v>
      </c>
      <c r="H39" s="1746">
        <f>FV($B$12/12,'9d.Refi'!$E39*12,$B$17/12,-$B$7)</f>
        <v>0</v>
      </c>
      <c r="I39" s="1746">
        <f t="shared" si="0"/>
        <v>0</v>
      </c>
      <c r="J39" s="1746">
        <f t="shared" si="1"/>
        <v>0</v>
      </c>
      <c r="K39" s="1766"/>
      <c r="L39" s="1746"/>
      <c r="M39" s="1767"/>
      <c r="N39" s="1746"/>
      <c r="O39" s="1774"/>
    </row>
    <row r="40" spans="1:15">
      <c r="E40" s="1741">
        <v>36</v>
      </c>
      <c r="F40" s="1746">
        <f>FV($B$10/12,'9d.Refi'!$E40*12,$B$15/12,-$B$5)</f>
        <v>0</v>
      </c>
      <c r="G40" s="1746">
        <f>FV($B$11/12,'9d.Refi'!$E40*12,$B$16/12,-$B$6)</f>
        <v>0</v>
      </c>
      <c r="H40" s="1746">
        <f>FV($B$12/12,'9d.Refi'!$E40*12,$B$17/12,-$B$7)</f>
        <v>0</v>
      </c>
      <c r="I40" s="1746">
        <f t="shared" si="0"/>
        <v>0</v>
      </c>
      <c r="J40" s="1746">
        <f t="shared" si="1"/>
        <v>0</v>
      </c>
      <c r="K40" s="1766"/>
      <c r="L40" s="1746"/>
      <c r="M40" s="1767"/>
      <c r="N40" s="1746"/>
      <c r="O40" s="1774"/>
    </row>
    <row r="41" spans="1:15">
      <c r="E41" s="1741">
        <v>37</v>
      </c>
      <c r="F41" s="1746">
        <f>FV($B$10/12,'9d.Refi'!$E41*12,$B$15/12,-$B$5)</f>
        <v>0</v>
      </c>
      <c r="G41" s="1746">
        <f>FV($B$11/12,'9d.Refi'!$E41*12,$B$16/12,-$B$6)</f>
        <v>0</v>
      </c>
      <c r="H41" s="1746">
        <f>FV($B$12/12,'9d.Refi'!$E41*12,$B$17/12,-$B$7)</f>
        <v>0</v>
      </c>
      <c r="I41" s="1746">
        <f t="shared" si="0"/>
        <v>0</v>
      </c>
      <c r="J41" s="1746">
        <f t="shared" si="1"/>
        <v>0</v>
      </c>
      <c r="K41" s="1766"/>
      <c r="L41" s="1746"/>
      <c r="M41" s="1767"/>
      <c r="N41" s="1746"/>
      <c r="O41" s="1774"/>
    </row>
    <row r="42" spans="1:15">
      <c r="E42" s="1741">
        <v>38</v>
      </c>
      <c r="F42" s="1746">
        <f>FV($B$10/12,'9d.Refi'!$E42*12,$B$15/12,-$B$5)</f>
        <v>0</v>
      </c>
      <c r="G42" s="1746">
        <f>FV($B$11/12,'9d.Refi'!$E42*12,$B$16/12,-$B$6)</f>
        <v>0</v>
      </c>
      <c r="H42" s="1746">
        <f>FV($B$12/12,'9d.Refi'!$E42*12,$B$17/12,-$B$7)</f>
        <v>0</v>
      </c>
      <c r="I42" s="1746">
        <f t="shared" si="0"/>
        <v>0</v>
      </c>
      <c r="J42" s="1746">
        <f t="shared" si="1"/>
        <v>0</v>
      </c>
      <c r="K42" s="1766"/>
      <c r="L42" s="1746"/>
      <c r="M42" s="1767"/>
      <c r="N42" s="1746"/>
      <c r="O42" s="1774"/>
    </row>
    <row r="43" spans="1:15">
      <c r="E43" s="1741">
        <v>39</v>
      </c>
      <c r="F43" s="1746">
        <f>FV($B$10/12,'9d.Refi'!$E43*12,$B$15/12,-$B$5)</f>
        <v>0</v>
      </c>
      <c r="G43" s="1746">
        <f>FV($B$11/12,'9d.Refi'!$E43*12,$B$16/12,-$B$6)</f>
        <v>0</v>
      </c>
      <c r="H43" s="1746">
        <f>FV($B$12/12,'9d.Refi'!$E43*12,$B$17/12,-$B$7)</f>
        <v>0</v>
      </c>
      <c r="I43" s="1746">
        <f t="shared" si="0"/>
        <v>0</v>
      </c>
      <c r="J43" s="1746">
        <f t="shared" si="1"/>
        <v>0</v>
      </c>
      <c r="K43" s="1766"/>
      <c r="L43" s="1746"/>
      <c r="M43" s="1767"/>
      <c r="N43" s="1746"/>
      <c r="O43" s="1774"/>
    </row>
    <row r="44" spans="1:15">
      <c r="E44" s="1741">
        <v>40</v>
      </c>
      <c r="F44" s="1746">
        <f>FV($B$10/12,'9d.Refi'!$E44*12,$B$15/12,-$B$5)</f>
        <v>0</v>
      </c>
      <c r="G44" s="1746">
        <f>FV($B$11/12,'9d.Refi'!$E44*12,$B$16/12,-$B$6)</f>
        <v>0</v>
      </c>
      <c r="H44" s="1746">
        <f>FV($B$12/12,'9d.Refi'!$E44*12,$B$17/12,-$B$7)</f>
        <v>0</v>
      </c>
      <c r="I44" s="1746">
        <f t="shared" si="0"/>
        <v>0</v>
      </c>
      <c r="J44" s="1746">
        <f t="shared" si="1"/>
        <v>0</v>
      </c>
      <c r="K44" s="1766"/>
      <c r="L44" s="1746"/>
      <c r="M44" s="1767"/>
      <c r="N44" s="1746"/>
      <c r="O44" s="1774"/>
    </row>
  </sheetData>
  <sheetProtection algorithmName="SHA-512" hashValue="DeAJERwGhc7ZGr39FoCOwPFCYSPUaRTx2tnuFN8L6LwXFT6lW67TMMSAOv82Go9G0L3sf5Iu4yqS6Kl37u0qBA==" saltValue="AVelXOJOE6NcoTAzPKByoA==" spinCount="100000" sheet="1" objects="1" scenarios="1"/>
  <mergeCells count="1">
    <mergeCell ref="F2:H2"/>
  </mergeCells>
  <conditionalFormatting sqref="Q5:Q24">
    <cfRule type="cellIs" dxfId="0" priority="1" operator="lessThan">
      <formula>2000</formula>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97440-1950-4181-A1FB-7AC59766A737}">
  <sheetPr codeName="Sheet31"/>
  <dimension ref="A2:P177"/>
  <sheetViews>
    <sheetView topLeftCell="A100" zoomScale="90" zoomScaleNormal="90" workbookViewId="0">
      <selection activeCell="D110" sqref="D110"/>
    </sheetView>
  </sheetViews>
  <sheetFormatPr defaultColWidth="9.109375" defaultRowHeight="13.2"/>
  <cols>
    <col min="1" max="1" width="50.44140625" style="1835" customWidth="1"/>
    <col min="2" max="2" width="44.44140625" style="1741" bestFit="1" customWidth="1"/>
    <col min="3" max="3" width="31.6640625" style="1741" customWidth="1"/>
    <col min="4" max="4" width="19.109375" style="1741" customWidth="1"/>
    <col min="5" max="5" width="26" style="1741" customWidth="1"/>
    <col min="6" max="6" width="19.109375" style="1741" customWidth="1"/>
    <col min="7" max="7" width="18.5546875" style="1741" bestFit="1" customWidth="1"/>
    <col min="8" max="8" width="17.109375" style="1741" bestFit="1" customWidth="1"/>
    <col min="9" max="9" width="11.6640625" style="1741" bestFit="1" customWidth="1"/>
    <col min="10" max="10" width="26.109375" style="1741" customWidth="1"/>
    <col min="11" max="11" width="28.109375" style="1741" customWidth="1"/>
    <col min="12" max="15" width="21.109375" style="1741" customWidth="1"/>
    <col min="16" max="16384" width="9.109375" style="1741"/>
  </cols>
  <sheetData>
    <row r="2" spans="1:8">
      <c r="B2" s="1839" t="s">
        <v>1560</v>
      </c>
      <c r="C2" s="1839"/>
    </row>
    <row r="3" spans="1:8" ht="13.8" thickBot="1"/>
    <row r="4" spans="1:8" ht="13.8" thickBot="1">
      <c r="A4" s="1836" t="s">
        <v>1501</v>
      </c>
      <c r="B4" s="1856" t="s">
        <v>1502</v>
      </c>
      <c r="C4" s="1857" t="s">
        <v>633</v>
      </c>
      <c r="D4" s="1857" t="s">
        <v>1531</v>
      </c>
      <c r="E4" s="1857" t="s">
        <v>1503</v>
      </c>
      <c r="F4" s="1858" t="s">
        <v>1504</v>
      </c>
    </row>
    <row r="5" spans="1:8" ht="12.75" customHeight="1" thickBot="1">
      <c r="A5" s="1836" t="s">
        <v>1505</v>
      </c>
      <c r="B5" s="1859" t="str">
        <f>'4a.PredevS&amp;U'!D8</f>
        <v>MOHCD/OCII</v>
      </c>
      <c r="C5" s="1860">
        <f>'4a.PredevS&amp;U'!D126</f>
        <v>0</v>
      </c>
      <c r="D5" s="1860" t="str">
        <f>IF(C5&gt;0,C5/'4b.PermS&amp;U'!$H$1,"")</f>
        <v/>
      </c>
      <c r="E5" s="1861" t="s">
        <v>1506</v>
      </c>
      <c r="F5" s="1862" t="s">
        <v>1507</v>
      </c>
      <c r="H5" s="1837" t="s">
        <v>1508</v>
      </c>
    </row>
    <row r="6" spans="1:8" ht="12.75" customHeight="1" thickBot="1">
      <c r="A6" s="1836" t="s">
        <v>1509</v>
      </c>
      <c r="B6" s="1859">
        <f>'4a.PredevS&amp;U'!E8</f>
        <v>0</v>
      </c>
      <c r="C6" s="1860">
        <f>'4a.PredevS&amp;U'!E126</f>
        <v>0</v>
      </c>
      <c r="D6" s="1860" t="str">
        <f>IF(C6&gt;0,C6/'4b.PermS&amp;U'!$H$1,"")</f>
        <v/>
      </c>
      <c r="E6" s="1861" t="s">
        <v>1506</v>
      </c>
      <c r="F6" s="1862" t="s">
        <v>1507</v>
      </c>
      <c r="H6" s="1837" t="s">
        <v>1510</v>
      </c>
    </row>
    <row r="7" spans="1:8" ht="12.75" customHeight="1" thickBot="1">
      <c r="A7" s="1836" t="s">
        <v>1511</v>
      </c>
      <c r="B7" s="1859">
        <f>'4a.PredevS&amp;U'!F8</f>
        <v>0</v>
      </c>
      <c r="C7" s="1860">
        <f>'4a.PredevS&amp;U'!F126</f>
        <v>0</v>
      </c>
      <c r="D7" s="1860" t="str">
        <f>IF(C7&gt;0,C7/'4b.PermS&amp;U'!$H$1,"")</f>
        <v/>
      </c>
      <c r="E7" s="1861" t="s">
        <v>1506</v>
      </c>
      <c r="F7" s="1862" t="s">
        <v>1507</v>
      </c>
      <c r="H7" s="1837" t="s">
        <v>1512</v>
      </c>
    </row>
    <row r="8" spans="1:8" ht="12.75" customHeight="1" thickBot="1">
      <c r="A8" s="1836" t="s">
        <v>1513</v>
      </c>
      <c r="B8" s="1859">
        <f>'4a.PredevS&amp;U'!G8</f>
        <v>0</v>
      </c>
      <c r="C8" s="1860">
        <f>'4a.PredevS&amp;U'!G126</f>
        <v>0</v>
      </c>
      <c r="D8" s="1860" t="str">
        <f>IF(C8&gt;0,C8/'4b.PermS&amp;U'!$H$1,"")</f>
        <v/>
      </c>
      <c r="E8" s="1861" t="s">
        <v>1506</v>
      </c>
      <c r="F8" s="1862" t="s">
        <v>1507</v>
      </c>
      <c r="H8" s="1837" t="s">
        <v>1514</v>
      </c>
    </row>
    <row r="9" spans="1:8" ht="12.75" customHeight="1" thickBot="1">
      <c r="A9" s="1836" t="s">
        <v>1515</v>
      </c>
      <c r="B9" s="1859">
        <f>'4a.PredevS&amp;U'!H8</f>
        <v>0</v>
      </c>
      <c r="C9" s="1860">
        <f>'4a.PredevS&amp;U'!H126</f>
        <v>0</v>
      </c>
      <c r="D9" s="1860" t="str">
        <f>IF(C9&gt;0,C9/'4b.PermS&amp;U'!$H$1,"")</f>
        <v/>
      </c>
      <c r="E9" s="1861" t="s">
        <v>1506</v>
      </c>
      <c r="F9" s="1862" t="s">
        <v>1507</v>
      </c>
      <c r="H9" s="1837" t="s">
        <v>1516</v>
      </c>
    </row>
    <row r="10" spans="1:8" ht="12.75" customHeight="1" thickBot="1">
      <c r="A10" s="1836" t="s">
        <v>1517</v>
      </c>
      <c r="B10" s="1859">
        <f>'4a.PredevS&amp;U'!I8</f>
        <v>0</v>
      </c>
      <c r="C10" s="1860">
        <f>'4a.PredevS&amp;U'!I126</f>
        <v>0</v>
      </c>
      <c r="D10" s="1860" t="str">
        <f>IF(C10&gt;0,C10/'4b.PermS&amp;U'!$H$1,"")</f>
        <v/>
      </c>
      <c r="E10" s="1861" t="s">
        <v>1506</v>
      </c>
      <c r="F10" s="1862" t="s">
        <v>1507</v>
      </c>
      <c r="H10" s="1837" t="s">
        <v>1518</v>
      </c>
    </row>
    <row r="11" spans="1:8" ht="12.75" customHeight="1" thickBot="1">
      <c r="A11" s="1836" t="s">
        <v>1519</v>
      </c>
      <c r="B11" s="1863" t="s">
        <v>117</v>
      </c>
      <c r="C11" s="1864">
        <f>'4a.PredevS&amp;U'!J126</f>
        <v>0</v>
      </c>
      <c r="D11" s="1864" t="str">
        <f>IF(C11&gt;0,C11/'4b.PermS&amp;U'!$H$1,"")</f>
        <v/>
      </c>
      <c r="E11" s="1865"/>
      <c r="F11" s="1866"/>
      <c r="H11" s="1837" t="s">
        <v>1520</v>
      </c>
    </row>
    <row r="12" spans="1:8" ht="12.75" customHeight="1"/>
    <row r="13" spans="1:8" ht="12.75" customHeight="1" thickBot="1"/>
    <row r="14" spans="1:8" ht="12.75" customHeight="1" thickBot="1">
      <c r="A14" s="1836" t="s">
        <v>1521</v>
      </c>
      <c r="B14" s="1856" t="s">
        <v>1522</v>
      </c>
      <c r="C14" s="1857" t="s">
        <v>633</v>
      </c>
      <c r="D14" s="1857" t="s">
        <v>1531</v>
      </c>
      <c r="E14" s="1857" t="s">
        <v>1503</v>
      </c>
      <c r="F14" s="1858" t="s">
        <v>1504</v>
      </c>
      <c r="H14" s="1837" t="s">
        <v>1508</v>
      </c>
    </row>
    <row r="15" spans="1:8" ht="12.75" customHeight="1" thickBot="1">
      <c r="A15" s="1836" t="s">
        <v>1505</v>
      </c>
      <c r="B15" s="1859" t="str">
        <f>'4b.PermS&amp;U'!D8</f>
        <v>MOHCD/OCII</v>
      </c>
      <c r="C15" s="1860">
        <f>'4b.PermS&amp;U'!D126</f>
        <v>0</v>
      </c>
      <c r="D15" s="1860" t="str">
        <f>IF(C15&gt;0,C15/'4b.PermS&amp;U'!$H$1,"")</f>
        <v/>
      </c>
      <c r="E15" s="1861" t="s">
        <v>1523</v>
      </c>
      <c r="F15" s="1862" t="s">
        <v>1507</v>
      </c>
      <c r="H15" s="1837" t="s">
        <v>1524</v>
      </c>
    </row>
    <row r="16" spans="1:8" ht="12.75" customHeight="1" thickBot="1">
      <c r="A16" s="1836" t="s">
        <v>1509</v>
      </c>
      <c r="B16" s="1859">
        <f>'4b.PermS&amp;U'!E8</f>
        <v>0</v>
      </c>
      <c r="C16" s="1860">
        <f>'4b.PermS&amp;U'!E126</f>
        <v>0</v>
      </c>
      <c r="D16" s="1860" t="str">
        <f>IF(C16&gt;0,C16/'4b.PermS&amp;U'!$H$1,"")</f>
        <v/>
      </c>
      <c r="E16" s="1861" t="s">
        <v>1523</v>
      </c>
      <c r="F16" s="1862" t="s">
        <v>1507</v>
      </c>
      <c r="H16" s="1837" t="s">
        <v>1525</v>
      </c>
    </row>
    <row r="17" spans="1:8" ht="12.75" customHeight="1" thickBot="1">
      <c r="A17" s="1836" t="s">
        <v>1511</v>
      </c>
      <c r="B17" s="1859">
        <f>'4b.PermS&amp;U'!F8</f>
        <v>0</v>
      </c>
      <c r="C17" s="1860">
        <f>'4b.PermS&amp;U'!F126</f>
        <v>0</v>
      </c>
      <c r="D17" s="1860" t="str">
        <f>IF(C17&gt;0,C17/'4b.PermS&amp;U'!$H$1,"")</f>
        <v/>
      </c>
      <c r="E17" s="1861" t="s">
        <v>1523</v>
      </c>
      <c r="F17" s="1862" t="s">
        <v>1507</v>
      </c>
      <c r="H17" s="1837" t="s">
        <v>1512</v>
      </c>
    </row>
    <row r="18" spans="1:8" ht="12.75" customHeight="1" thickBot="1">
      <c r="A18" s="1836" t="s">
        <v>1513</v>
      </c>
      <c r="B18" s="1859">
        <f>'4b.PermS&amp;U'!G8</f>
        <v>0</v>
      </c>
      <c r="C18" s="1860">
        <f>'4b.PermS&amp;U'!G126</f>
        <v>0</v>
      </c>
      <c r="D18" s="1860" t="str">
        <f>IF(C18&gt;0,C18/'4b.PermS&amp;U'!$H$1,"")</f>
        <v/>
      </c>
      <c r="E18" s="1861" t="s">
        <v>1523</v>
      </c>
      <c r="F18" s="1862" t="s">
        <v>1507</v>
      </c>
      <c r="H18" s="1837" t="s">
        <v>1526</v>
      </c>
    </row>
    <row r="19" spans="1:8" ht="12.75" customHeight="1" thickBot="1">
      <c r="A19" s="1836" t="s">
        <v>1515</v>
      </c>
      <c r="B19" s="1859">
        <f>'4b.PermS&amp;U'!H8</f>
        <v>0</v>
      </c>
      <c r="C19" s="1860">
        <f>'4b.PermS&amp;U'!H126</f>
        <v>0</v>
      </c>
      <c r="D19" s="1860" t="str">
        <f>IF(C19&gt;0,C19/'4b.PermS&amp;U'!$H$1,"")</f>
        <v/>
      </c>
      <c r="E19" s="1861" t="s">
        <v>1523</v>
      </c>
      <c r="F19" s="1862" t="s">
        <v>1507</v>
      </c>
      <c r="H19" s="1837" t="s">
        <v>1516</v>
      </c>
    </row>
    <row r="20" spans="1:8" ht="12.75" customHeight="1" thickBot="1">
      <c r="A20" s="1836" t="s">
        <v>1517</v>
      </c>
      <c r="B20" s="1859">
        <f>'4b.PermS&amp;U'!I8</f>
        <v>0</v>
      </c>
      <c r="C20" s="1860">
        <f>'4b.PermS&amp;U'!I126</f>
        <v>0</v>
      </c>
      <c r="D20" s="1860" t="str">
        <f>IF(C20&gt;0,C20/'4b.PermS&amp;U'!$H$1,"")</f>
        <v/>
      </c>
      <c r="E20" s="1861" t="s">
        <v>1527</v>
      </c>
      <c r="F20" s="1862" t="s">
        <v>1507</v>
      </c>
      <c r="H20" s="1837" t="s">
        <v>1528</v>
      </c>
    </row>
    <row r="21" spans="1:8" ht="12.75" customHeight="1" thickBot="1">
      <c r="A21" s="1838" t="s">
        <v>1519</v>
      </c>
      <c r="B21" s="1863" t="s">
        <v>117</v>
      </c>
      <c r="C21" s="1864">
        <f>'4b.PermS&amp;U'!J126</f>
        <v>0</v>
      </c>
      <c r="D21" s="1864" t="str">
        <f>IF(C21&gt;0,C21/'4b.PermS&amp;U'!$H$1,"")</f>
        <v/>
      </c>
      <c r="E21" s="1867"/>
      <c r="F21" s="1866"/>
      <c r="H21" s="1837" t="s">
        <v>1529</v>
      </c>
    </row>
    <row r="22" spans="1:8" ht="12.75" customHeight="1" thickBot="1"/>
    <row r="23" spans="1:8" ht="12.75" customHeight="1" thickBot="1">
      <c r="A23" s="1836" t="s">
        <v>1521</v>
      </c>
      <c r="B23" s="1856" t="s">
        <v>1530</v>
      </c>
      <c r="C23" s="1857" t="s">
        <v>633</v>
      </c>
      <c r="D23" s="1857" t="s">
        <v>1531</v>
      </c>
      <c r="E23" s="1858" t="s">
        <v>1532</v>
      </c>
    </row>
    <row r="24" spans="1:8" ht="12.75" customHeight="1" thickBot="1">
      <c r="A24" s="1836" t="s">
        <v>1533</v>
      </c>
      <c r="B24" s="1868" t="s">
        <v>1534</v>
      </c>
      <c r="C24" s="1860">
        <f>'4b.PermS&amp;U'!J16</f>
        <v>0</v>
      </c>
      <c r="D24" s="1869" t="e">
        <f>C24/'4b.PermS&amp;U'!$H$1</f>
        <v>#VALUE!</v>
      </c>
      <c r="E24" s="1870" t="e">
        <f>C24/'1.GeneralProjectInfo'!$J$15</f>
        <v>#DIV/0!</v>
      </c>
    </row>
    <row r="25" spans="1:8" ht="12.75" customHeight="1" thickBot="1">
      <c r="A25" s="1836" t="s">
        <v>1535</v>
      </c>
      <c r="B25" s="1868" t="s">
        <v>1536</v>
      </c>
      <c r="C25" s="1860">
        <f>'4b.PermS&amp;U'!J37</f>
        <v>0</v>
      </c>
      <c r="D25" s="1869" t="e">
        <f>C25/'4b.PermS&amp;U'!$H$1</f>
        <v>#VALUE!</v>
      </c>
      <c r="E25" s="1870" t="e">
        <f>C25/'1.GeneralProjectInfo'!$J$15</f>
        <v>#DIV/0!</v>
      </c>
    </row>
    <row r="26" spans="1:8" ht="12.75" customHeight="1" thickBot="1">
      <c r="A26" s="1836" t="s">
        <v>1537</v>
      </c>
      <c r="B26" s="1868" t="s">
        <v>1538</v>
      </c>
      <c r="C26" s="1860">
        <f>'4b.PermS&amp;U'!J105</f>
        <v>0</v>
      </c>
      <c r="D26" s="1869" t="e">
        <f>C26/'4b.PermS&amp;U'!$H$1</f>
        <v>#VALUE!</v>
      </c>
      <c r="E26" s="1870" t="e">
        <f>C26/'1.GeneralProjectInfo'!$J$15</f>
        <v>#DIV/0!</v>
      </c>
    </row>
    <row r="27" spans="1:8" ht="12.75" customHeight="1" thickBot="1">
      <c r="A27" s="1836" t="s">
        <v>1569</v>
      </c>
      <c r="B27" s="1868" t="s">
        <v>1570</v>
      </c>
      <c r="C27" s="1860">
        <f>'4b.PermS&amp;U'!J114</f>
        <v>0</v>
      </c>
      <c r="D27" s="1869" t="e">
        <f>C27/'4b.PermS&amp;U'!$H$1</f>
        <v>#VALUE!</v>
      </c>
      <c r="E27" s="1870" t="e">
        <f>C27/'1.GeneralProjectInfo'!$J$15</f>
        <v>#DIV/0!</v>
      </c>
    </row>
    <row r="28" spans="1:8" ht="12.75" customHeight="1" thickBot="1">
      <c r="A28" s="1836" t="s">
        <v>1539</v>
      </c>
      <c r="B28" s="1868" t="s">
        <v>1540</v>
      </c>
      <c r="C28" s="1860">
        <f>'4b.PermS&amp;U'!J124</f>
        <v>0</v>
      </c>
      <c r="D28" s="1869" t="e">
        <f>C28/'4b.PermS&amp;U'!$H$1</f>
        <v>#VALUE!</v>
      </c>
      <c r="E28" s="1870" t="e">
        <f>C28/'1.GeneralProjectInfo'!$J$15</f>
        <v>#DIV/0!</v>
      </c>
    </row>
    <row r="29" spans="1:8" ht="12.75" customHeight="1" thickBot="1">
      <c r="B29" s="1863" t="s">
        <v>117</v>
      </c>
      <c r="C29" s="1864">
        <f>SUM(C24:C28)</f>
        <v>0</v>
      </c>
      <c r="D29" s="1864" t="e">
        <f>C29/'4b.PermS&amp;U'!$H$1</f>
        <v>#VALUE!</v>
      </c>
      <c r="E29" s="1871" t="e">
        <f>C29/'1.GeneralProjectInfo'!$J$15</f>
        <v>#DIV/0!</v>
      </c>
    </row>
    <row r="33" spans="1:8">
      <c r="B33" s="1839" t="s">
        <v>1561</v>
      </c>
    </row>
    <row r="34" spans="1:8" ht="13.8" thickBot="1"/>
    <row r="35" spans="1:8" ht="13.8" thickBot="1">
      <c r="A35" s="1836" t="s">
        <v>1557</v>
      </c>
      <c r="B35" s="1840" t="s">
        <v>1549</v>
      </c>
      <c r="C35" s="1841">
        <f>C37-C36</f>
        <v>0</v>
      </c>
    </row>
    <row r="36" spans="1:8" ht="13.8" thickBot="1">
      <c r="A36" s="1836" t="s">
        <v>1552</v>
      </c>
      <c r="B36" s="1842" t="s">
        <v>1550</v>
      </c>
      <c r="C36" s="1843">
        <f>'1.GeneralProjectInfo'!$C$19</f>
        <v>0</v>
      </c>
    </row>
    <row r="37" spans="1:8" ht="13.8" thickBot="1">
      <c r="A37" s="1836" t="s">
        <v>1553</v>
      </c>
      <c r="B37" s="1844" t="s">
        <v>1551</v>
      </c>
      <c r="C37" s="1845">
        <f>'1.GeneralProjectInfo'!$J$15</f>
        <v>0</v>
      </c>
    </row>
    <row r="38" spans="1:8" ht="13.8" thickBot="1"/>
    <row r="39" spans="1:8" ht="24.75" customHeight="1">
      <c r="B39" s="1849" t="s">
        <v>1554</v>
      </c>
      <c r="C39" s="1850" t="s">
        <v>1555</v>
      </c>
      <c r="D39" s="1851" t="s">
        <v>1562</v>
      </c>
    </row>
    <row r="40" spans="1:8" ht="12.75" customHeight="1">
      <c r="A40" s="2448" t="s">
        <v>1556</v>
      </c>
      <c r="B40" s="1847" t="str">
        <f>IF('1.GeneralProjectInfo'!$C29&lt;&gt;"","SRO:","")</f>
        <v/>
      </c>
      <c r="C40" s="1848"/>
      <c r="D40" s="1846" t="str">
        <f>IF('1.GeneralProjectInfo'!$C29&lt;&gt;"","200","")</f>
        <v/>
      </c>
      <c r="E40" s="5"/>
      <c r="F40"/>
    </row>
    <row r="41" spans="1:8" ht="12.75" customHeight="1">
      <c r="A41" s="2448"/>
      <c r="B41" s="1847" t="str">
        <f>IF('1.GeneralProjectInfo'!$C30&lt;&gt;"","Studio:","")</f>
        <v/>
      </c>
      <c r="C41" s="1848"/>
      <c r="D41" s="1846" t="str">
        <f>IF('1.GeneralProjectInfo'!$C30&lt;&gt;"","200","")</f>
        <v/>
      </c>
      <c r="E41" s="5"/>
      <c r="F41"/>
    </row>
    <row r="42" spans="1:8" ht="12.75" customHeight="1">
      <c r="A42" s="2448"/>
      <c r="B42" s="1847" t="str">
        <f>IF('1.GeneralProjectInfo'!$C31&lt;&gt;"","1BR:","")</f>
        <v/>
      </c>
      <c r="C42" s="1848"/>
      <c r="D42" s="1846" t="str">
        <f>IF('1.GeneralProjectInfo'!$C31&lt;&gt;"","450","")</f>
        <v/>
      </c>
      <c r="E42" s="5"/>
      <c r="F42"/>
    </row>
    <row r="43" spans="1:8" ht="12.75" customHeight="1">
      <c r="A43" s="2448"/>
      <c r="B43" s="1847" t="str">
        <f>IF('1.GeneralProjectInfo'!$C32&lt;&gt;"","2BR:","")</f>
        <v/>
      </c>
      <c r="C43" s="1848"/>
      <c r="D43" s="1846" t="str">
        <f>IF('1.GeneralProjectInfo'!$C32&lt;&gt;"","700","")</f>
        <v/>
      </c>
      <c r="E43" s="5"/>
      <c r="F43"/>
    </row>
    <row r="44" spans="1:8" ht="12.75" customHeight="1">
      <c r="A44" s="2448"/>
      <c r="B44" s="1847" t="str">
        <f>IF('1.GeneralProjectInfo'!$C33&lt;&gt;"","3BR:","")</f>
        <v/>
      </c>
      <c r="C44" s="1848"/>
      <c r="D44" s="1846" t="str">
        <f>IF('1.GeneralProjectInfo'!$C33&lt;&gt;"","900","")</f>
        <v/>
      </c>
      <c r="E44" s="5"/>
      <c r="F44"/>
    </row>
    <row r="45" spans="1:8" ht="12.75" customHeight="1">
      <c r="A45" s="2448"/>
      <c r="B45" s="1847" t="str">
        <f>IF('1.GeneralProjectInfo'!$C34&lt;&gt;"","4BR:","")</f>
        <v/>
      </c>
      <c r="C45" s="1848"/>
      <c r="D45" s="1846" t="str">
        <f>IF('1.GeneralProjectInfo'!$C34&lt;&gt;"","1100","")</f>
        <v/>
      </c>
      <c r="E45" s="5"/>
      <c r="F45" s="1854" t="s">
        <v>1563</v>
      </c>
    </row>
    <row r="46" spans="1:8" ht="12.75" customHeight="1" thickBot="1">
      <c r="A46" s="2448"/>
      <c r="B46" s="1852" t="str">
        <f>IF('1.GeneralProjectInfo'!$C35&lt;&gt;"","5BR:","")</f>
        <v/>
      </c>
      <c r="C46" s="1853"/>
      <c r="D46" s="1846" t="str">
        <f>IF('1.GeneralProjectInfo'!$C35&lt;&gt;"","1100","")</f>
        <v/>
      </c>
      <c r="E46" s="5"/>
      <c r="F46" s="1855" t="s">
        <v>1559</v>
      </c>
      <c r="G46"/>
      <c r="H46"/>
    </row>
    <row r="47" spans="1:8" ht="39" customHeight="1" thickBot="1">
      <c r="A47" s="1838" t="s">
        <v>1558</v>
      </c>
      <c r="B47" s="1840" t="s">
        <v>1547</v>
      </c>
      <c r="C47" s="2449" t="s">
        <v>1548</v>
      </c>
      <c r="D47" s="2450"/>
    </row>
    <row r="51" spans="2:16">
      <c r="B51" s="1839" t="s">
        <v>1625</v>
      </c>
      <c r="C51"/>
      <c r="D51"/>
      <c r="E51"/>
      <c r="F51"/>
      <c r="G51"/>
      <c r="H51"/>
      <c r="I51"/>
      <c r="J51"/>
    </row>
    <row r="53" spans="2:16">
      <c r="B53" s="1741" t="s">
        <v>1616</v>
      </c>
    </row>
    <row r="54" spans="2:16">
      <c r="B54" s="1741" t="s">
        <v>1617</v>
      </c>
    </row>
    <row r="55" spans="2:16">
      <c r="B55" s="1741" t="s">
        <v>1623</v>
      </c>
    </row>
    <row r="56" spans="2:16">
      <c r="B56" s="1741" t="s">
        <v>1618</v>
      </c>
    </row>
    <row r="57" spans="2:16">
      <c r="B57" s="1741" t="s">
        <v>1620</v>
      </c>
    </row>
    <row r="58" spans="2:16">
      <c r="B58" s="1741" t="s">
        <v>1621</v>
      </c>
    </row>
    <row r="59" spans="2:16">
      <c r="B59" s="1741" t="s">
        <v>1622</v>
      </c>
    </row>
    <row r="60" spans="2:16">
      <c r="B60" s="1741" t="s">
        <v>1624</v>
      </c>
    </row>
    <row r="61" spans="2:16">
      <c r="B61" s="1741" t="s">
        <v>1619</v>
      </c>
    </row>
    <row r="62" spans="2:16" ht="13.8" thickBot="1">
      <c r="C62"/>
      <c r="D62"/>
      <c r="E62"/>
      <c r="F62"/>
      <c r="G62"/>
      <c r="H62"/>
      <c r="I62"/>
      <c r="J62"/>
      <c r="K62"/>
      <c r="L62"/>
      <c r="M62"/>
      <c r="N62"/>
      <c r="O62"/>
      <c r="P62"/>
    </row>
    <row r="63" spans="2:16" ht="33" customHeight="1" thickBot="1">
      <c r="C63" s="1884" t="s">
        <v>1615</v>
      </c>
    </row>
    <row r="64" spans="2:16" ht="27.75" customHeight="1" thickBot="1">
      <c r="B64" s="1878" t="s">
        <v>1594</v>
      </c>
      <c r="C64" s="1856" t="s">
        <v>1576</v>
      </c>
      <c r="D64" s="1856" t="s">
        <v>1572</v>
      </c>
      <c r="E64" s="1856" t="s">
        <v>1432</v>
      </c>
      <c r="F64" s="1856" t="s">
        <v>180</v>
      </c>
      <c r="G64" s="1856" t="s">
        <v>1595</v>
      </c>
      <c r="H64" s="1856" t="s">
        <v>241</v>
      </c>
      <c r="I64" s="1856" t="s">
        <v>182</v>
      </c>
      <c r="J64" s="1856" t="s">
        <v>1573</v>
      </c>
      <c r="K64" s="1856" t="s">
        <v>1574</v>
      </c>
    </row>
    <row r="65" spans="1:11" ht="13.8" thickBot="1">
      <c r="A65" s="1885"/>
      <c r="B65" s="1888"/>
      <c r="C65" s="1889"/>
      <c r="D65" s="1890"/>
      <c r="E65" s="1891"/>
      <c r="F65" s="1892"/>
      <c r="G65" s="1893"/>
      <c r="H65" s="1893"/>
      <c r="I65" s="1890"/>
      <c r="J65" s="1891"/>
      <c r="K65" s="1891"/>
    </row>
    <row r="66" spans="1:11" ht="13.8" thickBot="1">
      <c r="B66" s="1894"/>
      <c r="C66" s="1895"/>
      <c r="D66" s="1896"/>
      <c r="E66" s="1891"/>
      <c r="F66" s="1897"/>
      <c r="G66" s="1898"/>
      <c r="H66" s="1898"/>
      <c r="I66" s="1896"/>
      <c r="J66" s="1891"/>
      <c r="K66" s="1891"/>
    </row>
    <row r="67" spans="1:11" ht="13.8" thickBot="1">
      <c r="B67" s="1899"/>
      <c r="C67" s="1895"/>
      <c r="D67" s="1896"/>
      <c r="E67" s="1891"/>
      <c r="F67" s="1897"/>
      <c r="G67" s="1898"/>
      <c r="H67" s="1898"/>
      <c r="I67" s="1896"/>
      <c r="J67" s="1891"/>
      <c r="K67" s="1891"/>
    </row>
    <row r="68" spans="1:11" ht="13.8" thickBot="1">
      <c r="B68" s="1894"/>
      <c r="C68" s="1895"/>
      <c r="D68" s="1896"/>
      <c r="E68" s="1891"/>
      <c r="F68" s="1897"/>
      <c r="G68" s="1898"/>
      <c r="H68" s="1898"/>
      <c r="I68" s="1896"/>
      <c r="J68" s="1891"/>
      <c r="K68" s="1891"/>
    </row>
    <row r="69" spans="1:11" ht="13.8" thickBot="1">
      <c r="B69" s="1899"/>
      <c r="C69" s="1895"/>
      <c r="D69" s="1896"/>
      <c r="E69" s="1891"/>
      <c r="F69" s="1897"/>
      <c r="G69" s="1898"/>
      <c r="H69" s="1898"/>
      <c r="I69" s="1896"/>
      <c r="J69" s="1891"/>
      <c r="K69" s="1891"/>
    </row>
    <row r="70" spans="1:11" ht="13.8" thickBot="1">
      <c r="B70" s="1900"/>
      <c r="C70" s="1895"/>
      <c r="D70" s="1896"/>
      <c r="E70" s="1891"/>
      <c r="F70" s="1897"/>
      <c r="G70" s="1898"/>
      <c r="H70" s="1898"/>
      <c r="I70" s="1896"/>
      <c r="J70" s="1891"/>
      <c r="K70" s="1891"/>
    </row>
    <row r="71" spans="1:11" ht="13.8" thickBot="1">
      <c r="B71" s="1894"/>
      <c r="C71" s="1895"/>
      <c r="D71" s="1896"/>
      <c r="E71" s="1891"/>
      <c r="F71" s="1897"/>
      <c r="G71" s="1898"/>
      <c r="H71" s="1898"/>
      <c r="I71" s="1896"/>
      <c r="J71" s="1891"/>
      <c r="K71" s="1891"/>
    </row>
    <row r="72" spans="1:11" ht="13.8" thickBot="1">
      <c r="B72" s="1894"/>
      <c r="C72" s="1895"/>
      <c r="D72" s="1896"/>
      <c r="E72" s="1891"/>
      <c r="F72" s="1897"/>
      <c r="G72" s="1898"/>
      <c r="H72" s="1898"/>
      <c r="I72" s="1896"/>
      <c r="J72" s="1891"/>
      <c r="K72" s="1891"/>
    </row>
    <row r="73" spans="1:11" ht="13.8" thickBot="1">
      <c r="B73" s="1894"/>
      <c r="C73" s="1895"/>
      <c r="D73" s="1896"/>
      <c r="E73" s="1891"/>
      <c r="F73" s="1897"/>
      <c r="G73" s="1898"/>
      <c r="H73" s="1898"/>
      <c r="I73" s="1896"/>
      <c r="J73" s="1891"/>
      <c r="K73" s="1891"/>
    </row>
    <row r="74" spans="1:11" ht="13.8" thickBot="1">
      <c r="B74" s="1894"/>
      <c r="C74" s="1895"/>
      <c r="D74" s="1896"/>
      <c r="E74" s="1891"/>
      <c r="F74" s="1897"/>
      <c r="G74" s="1898"/>
      <c r="H74" s="1898"/>
      <c r="I74" s="1896"/>
      <c r="J74" s="1891"/>
      <c r="K74" s="1891"/>
    </row>
    <row r="75" spans="1:11" ht="13.8" thickBot="1">
      <c r="B75" s="1894"/>
      <c r="C75" s="1895"/>
      <c r="D75" s="1896"/>
      <c r="E75" s="1891"/>
      <c r="F75" s="1897"/>
      <c r="G75" s="1898"/>
      <c r="H75" s="1898"/>
      <c r="I75" s="1896"/>
      <c r="J75" s="1891"/>
      <c r="K75" s="1891"/>
    </row>
    <row r="76" spans="1:11" ht="13.8" thickBot="1">
      <c r="B76" s="1899"/>
      <c r="C76" s="1895"/>
      <c r="D76" s="1896"/>
      <c r="E76" s="1891"/>
      <c r="F76" s="1897"/>
      <c r="G76" s="1898"/>
      <c r="H76" s="1898"/>
      <c r="I76" s="1896"/>
      <c r="J76" s="1891"/>
      <c r="K76" s="1891"/>
    </row>
    <row r="77" spans="1:11" ht="13.8" thickBot="1">
      <c r="B77" s="1900"/>
      <c r="C77" s="1895"/>
      <c r="D77" s="1896"/>
      <c r="E77" s="1891"/>
      <c r="F77" s="1897"/>
      <c r="G77" s="1898"/>
      <c r="H77" s="1898"/>
      <c r="I77" s="1896"/>
      <c r="J77" s="1891"/>
      <c r="K77" s="1891"/>
    </row>
    <row r="78" spans="1:11" ht="13.8" thickBot="1">
      <c r="B78" s="1900"/>
      <c r="C78" s="1895"/>
      <c r="D78" s="1896"/>
      <c r="E78" s="1891"/>
      <c r="F78" s="1897"/>
      <c r="G78" s="1898"/>
      <c r="H78" s="1898"/>
      <c r="I78" s="1896"/>
      <c r="J78" s="1891"/>
      <c r="K78" s="1891"/>
    </row>
    <row r="79" spans="1:11" ht="13.8" thickBot="1">
      <c r="B79" s="1894"/>
      <c r="C79" s="1895"/>
      <c r="D79" s="1896"/>
      <c r="E79" s="1891"/>
      <c r="F79" s="1897"/>
      <c r="G79" s="1898"/>
      <c r="H79" s="1898"/>
      <c r="I79" s="1896"/>
      <c r="J79" s="1891"/>
      <c r="K79" s="1891"/>
    </row>
    <row r="80" spans="1:11" ht="13.8" thickBot="1">
      <c r="B80" s="1894"/>
      <c r="C80" s="1895"/>
      <c r="D80" s="1896"/>
      <c r="E80" s="1891"/>
      <c r="F80" s="1897"/>
      <c r="G80" s="1898"/>
      <c r="H80" s="1898"/>
      <c r="I80" s="1896"/>
      <c r="J80" s="1891"/>
      <c r="K80" s="1891"/>
    </row>
    <row r="81" spans="2:11" ht="13.8" thickBot="1">
      <c r="B81" s="1899"/>
      <c r="C81" s="1895"/>
      <c r="D81" s="1896"/>
      <c r="E81" s="1891"/>
      <c r="F81" s="1897"/>
      <c r="G81" s="1898"/>
      <c r="H81" s="1898"/>
      <c r="I81" s="1896"/>
      <c r="J81" s="1891"/>
      <c r="K81" s="1891"/>
    </row>
    <row r="82" spans="2:11" ht="13.8" thickBot="1">
      <c r="B82" s="1900"/>
      <c r="C82" s="1895"/>
      <c r="D82" s="1896"/>
      <c r="E82" s="1891"/>
      <c r="F82" s="1897"/>
      <c r="G82" s="1898"/>
      <c r="H82" s="1898"/>
      <c r="I82" s="1896"/>
      <c r="J82" s="1891"/>
      <c r="K82" s="1891"/>
    </row>
    <row r="83" spans="2:11" ht="13.8" thickBot="1">
      <c r="B83" s="1901"/>
      <c r="C83" s="1895"/>
      <c r="D83" s="1896"/>
      <c r="E83" s="1891"/>
      <c r="F83" s="1897"/>
      <c r="G83" s="1898"/>
      <c r="H83" s="1898"/>
      <c r="I83" s="1896"/>
      <c r="J83" s="1891"/>
      <c r="K83" s="1891"/>
    </row>
    <row r="84" spans="2:11" ht="13.8" thickBot="1">
      <c r="B84" s="1902"/>
      <c r="C84" s="1902"/>
      <c r="D84" s="1903" t="s">
        <v>1575</v>
      </c>
      <c r="E84" s="1904">
        <f>SUM(E65:E83)</f>
        <v>0</v>
      </c>
      <c r="F84" s="182"/>
      <c r="G84" s="182"/>
      <c r="H84" s="182"/>
      <c r="I84" s="1903" t="s">
        <v>1575</v>
      </c>
      <c r="J84" s="1904">
        <f>SUM(J65:J83)</f>
        <v>0</v>
      </c>
      <c r="K84" s="1904">
        <f>SUM(K65:K83)</f>
        <v>0</v>
      </c>
    </row>
    <row r="85" spans="2:11">
      <c r="C85" s="1877"/>
    </row>
    <row r="86" spans="2:11">
      <c r="B86" s="1741" t="s">
        <v>1596</v>
      </c>
    </row>
    <row r="88" spans="2:11" ht="14.4">
      <c r="B88" s="1879" t="s">
        <v>1597</v>
      </c>
      <c r="C88" s="1879" t="s">
        <v>1598</v>
      </c>
      <c r="D88" s="1879" t="s">
        <v>1599</v>
      </c>
      <c r="E88" s="1879" t="s">
        <v>1600</v>
      </c>
      <c r="F88" s="1879" t="s">
        <v>1601</v>
      </c>
      <c r="G88" s="1879" t="s">
        <v>1602</v>
      </c>
      <c r="H88" s="1879" t="s">
        <v>1603</v>
      </c>
      <c r="I88" s="1879" t="s">
        <v>1604</v>
      </c>
      <c r="J88" s="1879" t="s">
        <v>1605</v>
      </c>
      <c r="K88" s="1886" t="s">
        <v>902</v>
      </c>
    </row>
    <row r="89" spans="2:11" ht="28.8">
      <c r="B89" s="1880">
        <v>1093</v>
      </c>
      <c r="C89" s="1881" t="s">
        <v>1606</v>
      </c>
      <c r="D89" s="1882">
        <v>39192</v>
      </c>
      <c r="E89" s="1883">
        <v>746356</v>
      </c>
      <c r="F89" s="1880">
        <v>0</v>
      </c>
      <c r="G89" s="1881" t="s">
        <v>424</v>
      </c>
      <c r="H89" s="1881" t="s">
        <v>1607</v>
      </c>
      <c r="I89" s="1882">
        <v>59281</v>
      </c>
      <c r="J89" s="1883">
        <v>746356</v>
      </c>
      <c r="K89" s="1887" t="s">
        <v>1608</v>
      </c>
    </row>
    <row r="90" spans="2:11" ht="14.4">
      <c r="B90" s="1880">
        <v>1092</v>
      </c>
      <c r="C90" s="1881" t="s">
        <v>1609</v>
      </c>
      <c r="D90" s="1882">
        <v>39192</v>
      </c>
      <c r="E90" s="1883">
        <v>1142535</v>
      </c>
      <c r="F90" s="1880">
        <v>3</v>
      </c>
      <c r="G90" s="1881" t="s">
        <v>424</v>
      </c>
      <c r="H90" s="1881" t="s">
        <v>1610</v>
      </c>
      <c r="I90" s="1882">
        <v>59281</v>
      </c>
      <c r="J90" s="1883">
        <v>1108730</v>
      </c>
      <c r="K90" s="1887" t="s">
        <v>1608</v>
      </c>
    </row>
    <row r="91" spans="2:11" ht="14.4">
      <c r="B91" s="1880">
        <v>1777</v>
      </c>
      <c r="C91" s="1881" t="s">
        <v>1611</v>
      </c>
      <c r="D91" s="1882">
        <v>40071</v>
      </c>
      <c r="E91" s="1883">
        <v>5270757</v>
      </c>
      <c r="F91" s="1880">
        <v>0</v>
      </c>
      <c r="G91" s="1881" t="s">
        <v>424</v>
      </c>
      <c r="H91" s="1881" t="s">
        <v>1607</v>
      </c>
      <c r="I91" s="1882">
        <v>43358</v>
      </c>
      <c r="J91" s="1883">
        <v>4834580</v>
      </c>
      <c r="K91" s="1887" t="s">
        <v>1608</v>
      </c>
    </row>
    <row r="92" spans="2:11" ht="14.4">
      <c r="B92" s="1880">
        <v>1432</v>
      </c>
      <c r="C92" s="1881" t="s">
        <v>1612</v>
      </c>
      <c r="D92" s="1882">
        <v>38629</v>
      </c>
      <c r="E92" s="1883">
        <v>26824338</v>
      </c>
      <c r="F92" s="1880">
        <v>3</v>
      </c>
      <c r="G92" s="1881" t="s">
        <v>1613</v>
      </c>
      <c r="H92" s="1881" t="s">
        <v>1614</v>
      </c>
      <c r="I92" s="1882">
        <v>58718</v>
      </c>
      <c r="J92" s="1883">
        <v>26030697</v>
      </c>
      <c r="K92" s="1887" t="s">
        <v>1608</v>
      </c>
    </row>
    <row r="96" spans="2:11" ht="17.399999999999999">
      <c r="B96" s="2066" t="s">
        <v>1729</v>
      </c>
    </row>
    <row r="97" spans="1:6" ht="30">
      <c r="B97" s="2067" t="s">
        <v>15</v>
      </c>
      <c r="C97" s="2067" t="s">
        <v>1730</v>
      </c>
      <c r="D97" s="2067" t="s">
        <v>1731</v>
      </c>
      <c r="E97" s="2068" t="s">
        <v>1732</v>
      </c>
      <c r="F97" s="2069" t="s">
        <v>1733</v>
      </c>
    </row>
    <row r="98" spans="1:6" ht="15">
      <c r="B98" s="2072">
        <f>'4c.CommS&amp;U'!D7</f>
        <v>0</v>
      </c>
      <c r="C98" s="2080">
        <f>'4c.CommS&amp;U'!D26</f>
        <v>0</v>
      </c>
      <c r="D98" s="2080">
        <f>'4c.CommS&amp;U'!D25</f>
        <v>0</v>
      </c>
      <c r="E98" s="2081">
        <f>'4c.CommS&amp;U'!D117</f>
        <v>0</v>
      </c>
      <c r="F98" s="2069"/>
    </row>
    <row r="99" spans="1:6" ht="15">
      <c r="B99" s="2067">
        <f>'4c.CommS&amp;U'!E7</f>
        <v>0</v>
      </c>
      <c r="C99" s="2070">
        <f>'4c.CommS&amp;U'!E26</f>
        <v>0</v>
      </c>
      <c r="D99" s="2070">
        <f>'4c.CommS&amp;U'!E25</f>
        <v>0</v>
      </c>
      <c r="E99" s="2070">
        <f>'4c.CommS&amp;U'!E117</f>
        <v>0</v>
      </c>
      <c r="F99" s="2071"/>
    </row>
    <row r="100" spans="1:6" ht="15">
      <c r="B100" s="2067">
        <f>'4c.CommS&amp;U'!F7</f>
        <v>0</v>
      </c>
      <c r="C100" s="2070">
        <f>'4c.CommS&amp;U'!F26</f>
        <v>0</v>
      </c>
      <c r="D100" s="2070">
        <f>'4c.CommS&amp;U'!F25</f>
        <v>0</v>
      </c>
      <c r="E100" s="2070">
        <f>'4c.CommS&amp;U'!F117</f>
        <v>0</v>
      </c>
      <c r="F100" s="2071"/>
    </row>
    <row r="101" spans="1:6">
      <c r="C101" s="1741" t="s">
        <v>1734</v>
      </c>
    </row>
    <row r="103" spans="1:6" ht="40.200000000000003">
      <c r="A103" s="2082" t="s">
        <v>1746</v>
      </c>
      <c r="B103" s="2074" t="s">
        <v>1735</v>
      </c>
    </row>
    <row r="104" spans="1:6" ht="30">
      <c r="B104" s="2068" t="s">
        <v>1736</v>
      </c>
      <c r="C104" s="2073">
        <f>'4b.PermS&amp;U'!D126</f>
        <v>0</v>
      </c>
    </row>
    <row r="105" spans="1:6" ht="15">
      <c r="B105" s="2067" t="s">
        <v>1737</v>
      </c>
      <c r="C105" s="2073">
        <f>'4b.PermS&amp;U'!J126</f>
        <v>0</v>
      </c>
    </row>
    <row r="106" spans="1:6" ht="15">
      <c r="B106" s="2067" t="s">
        <v>1738</v>
      </c>
      <c r="C106" s="2073">
        <f>'4b.PermS&amp;U'!J37</f>
        <v>0</v>
      </c>
    </row>
    <row r="107" spans="1:6" ht="15.6">
      <c r="B107" s="2451" t="s">
        <v>1739</v>
      </c>
      <c r="C107" s="2451"/>
    </row>
    <row r="108" spans="1:6" ht="15">
      <c r="B108" s="2075">
        <v>0.01</v>
      </c>
      <c r="C108" s="2076">
        <f>B108</f>
        <v>0.01</v>
      </c>
    </row>
    <row r="109" spans="1:6" ht="15">
      <c r="B109" s="2067" t="s">
        <v>1740</v>
      </c>
      <c r="C109" s="2073">
        <f>C106</f>
        <v>0</v>
      </c>
    </row>
    <row r="110" spans="1:6" ht="30">
      <c r="B110" s="2068" t="s">
        <v>1741</v>
      </c>
      <c r="C110" s="2077" t="e">
        <f>C104/C105</f>
        <v>#DIV/0!</v>
      </c>
    </row>
    <row r="111" spans="1:6" ht="15.6">
      <c r="B111" s="2078" t="s">
        <v>1742</v>
      </c>
      <c r="C111" s="2079" t="e">
        <f>C108*C109*C110</f>
        <v>#DIV/0!</v>
      </c>
    </row>
    <row r="112" spans="1:6">
      <c r="B112" s="1741" t="s">
        <v>1743</v>
      </c>
    </row>
    <row r="113" spans="2:14">
      <c r="B113" s="1741" t="s">
        <v>1756</v>
      </c>
    </row>
    <row r="115" spans="2:14" ht="17.399999999999999">
      <c r="B115" s="2083" t="s">
        <v>1748</v>
      </c>
      <c r="C115" s="2084"/>
      <c r="D115" s="2084"/>
      <c r="E115" s="2085"/>
    </row>
    <row r="116" spans="2:14">
      <c r="B116" s="2086"/>
      <c r="E116" s="2087"/>
    </row>
    <row r="117" spans="2:14" ht="30">
      <c r="B117" s="2067" t="s">
        <v>561</v>
      </c>
      <c r="C117" s="2067" t="s">
        <v>95</v>
      </c>
      <c r="D117" s="2068" t="s">
        <v>1747</v>
      </c>
      <c r="E117" s="2068" t="s">
        <v>1749</v>
      </c>
    </row>
    <row r="118" spans="2:14">
      <c r="B118" s="2086" t="str">
        <f>'3a.NewProj-Rent&amp;UnitMix'!D10</f>
        <v>Studio</v>
      </c>
      <c r="C118" s="1741">
        <f>'3a.NewProj-Rent&amp;UnitMix'!E10</f>
        <v>0</v>
      </c>
      <c r="D118" s="1775">
        <f>'3a.NewProj-Rent&amp;UnitMix'!A9</f>
        <v>0</v>
      </c>
      <c r="E118" s="2087"/>
    </row>
    <row r="119" spans="2:14">
      <c r="B119" s="2086" t="str">
        <f>'3a.NewProj-Rent&amp;UnitMix'!D11</f>
        <v>1BR</v>
      </c>
      <c r="C119" s="1741">
        <f>'3a.NewProj-Rent&amp;UnitMix'!E11</f>
        <v>0</v>
      </c>
      <c r="D119" s="1775">
        <f>'3a.NewProj-Rent&amp;UnitMix'!A9</f>
        <v>0</v>
      </c>
      <c r="E119" s="2087"/>
    </row>
    <row r="120" spans="2:14">
      <c r="B120" s="2086" t="str">
        <f>'3a.NewProj-Rent&amp;UnitMix'!D12</f>
        <v>2BR</v>
      </c>
      <c r="C120" s="1741">
        <f>'3a.NewProj-Rent&amp;UnitMix'!E12</f>
        <v>0</v>
      </c>
      <c r="D120" s="1775">
        <f>'3a.NewProj-Rent&amp;UnitMix'!A9</f>
        <v>0</v>
      </c>
      <c r="E120" s="2087"/>
    </row>
    <row r="121" spans="2:14">
      <c r="B121" s="2086" t="str">
        <f>'3a.NewProj-Rent&amp;UnitMix'!D13</f>
        <v>3BR</v>
      </c>
      <c r="C121" s="1741">
        <f>'3a.NewProj-Rent&amp;UnitMix'!E13</f>
        <v>0</v>
      </c>
      <c r="D121" s="1775">
        <f>'3a.NewProj-Rent&amp;UnitMix'!A9</f>
        <v>0</v>
      </c>
      <c r="E121" s="2087"/>
      <c r="G121" s="2095" t="s">
        <v>1750</v>
      </c>
      <c r="H121" s="2095" t="s">
        <v>1751</v>
      </c>
      <c r="I121"/>
      <c r="J121"/>
      <c r="K121"/>
      <c r="L121"/>
      <c r="M121"/>
      <c r="N121"/>
    </row>
    <row r="122" spans="2:14">
      <c r="B122" s="2086" t="str">
        <f>'3a.NewProj-Rent&amp;UnitMix'!D14</f>
        <v>4BR</v>
      </c>
      <c r="C122" s="1741">
        <f>'3a.NewProj-Rent&amp;UnitMix'!E14</f>
        <v>0</v>
      </c>
      <c r="D122" s="1775">
        <f>'3a.NewProj-Rent&amp;UnitMix'!A9</f>
        <v>0</v>
      </c>
      <c r="E122" s="2087"/>
      <c r="G122" s="2095" t="s">
        <v>1752</v>
      </c>
      <c r="H122" s="24">
        <v>0</v>
      </c>
      <c r="I122" s="24" t="s">
        <v>1753</v>
      </c>
      <c r="J122"/>
      <c r="K122"/>
      <c r="L122"/>
      <c r="M122"/>
      <c r="N122"/>
    </row>
    <row r="123" spans="2:14">
      <c r="B123" s="2086" t="str">
        <f>'3a.NewProj-Rent&amp;UnitMix'!D20</f>
        <v>Studio</v>
      </c>
      <c r="C123" s="1741">
        <f>'3a.NewProj-Rent&amp;UnitMix'!E20</f>
        <v>0</v>
      </c>
      <c r="D123" s="1775">
        <f>'3a.NewProj-Rent&amp;UnitMix'!$A$19</f>
        <v>0</v>
      </c>
      <c r="E123" s="2087"/>
      <c r="G123" s="256" t="s">
        <v>98</v>
      </c>
      <c r="H123">
        <v>0</v>
      </c>
      <c r="I123">
        <v>0</v>
      </c>
      <c r="J123"/>
      <c r="K123"/>
      <c r="L123"/>
      <c r="M123"/>
      <c r="N123"/>
    </row>
    <row r="124" spans="2:14">
      <c r="B124" s="2086" t="str">
        <f>'3a.NewProj-Rent&amp;UnitMix'!D21</f>
        <v>1BR</v>
      </c>
      <c r="C124" s="1741">
        <f>'3a.NewProj-Rent&amp;UnitMix'!E21</f>
        <v>0</v>
      </c>
      <c r="D124" s="1775">
        <f>'3a.NewProj-Rent&amp;UnitMix'!$A$19</f>
        <v>0</v>
      </c>
      <c r="E124" s="2087"/>
      <c r="G124" s="2096">
        <v>0</v>
      </c>
      <c r="H124">
        <v>0</v>
      </c>
      <c r="I124">
        <v>0</v>
      </c>
      <c r="J124"/>
      <c r="K124"/>
      <c r="L124"/>
      <c r="M124"/>
      <c r="N124"/>
    </row>
    <row r="125" spans="2:14">
      <c r="B125" s="2086" t="str">
        <f>'3a.NewProj-Rent&amp;UnitMix'!D22</f>
        <v>2BR</v>
      </c>
      <c r="C125" s="1741">
        <f>'3a.NewProj-Rent&amp;UnitMix'!E22</f>
        <v>0</v>
      </c>
      <c r="D125" s="1775">
        <f>'3a.NewProj-Rent&amp;UnitMix'!$A$19</f>
        <v>0</v>
      </c>
      <c r="E125" s="2087"/>
      <c r="G125" s="2096" t="s">
        <v>1754</v>
      </c>
      <c r="H125">
        <v>0</v>
      </c>
      <c r="I125">
        <v>0</v>
      </c>
      <c r="J125"/>
      <c r="K125"/>
      <c r="L125"/>
      <c r="M125"/>
      <c r="N125"/>
    </row>
    <row r="126" spans="2:14">
      <c r="B126" s="2086" t="str">
        <f>'3a.NewProj-Rent&amp;UnitMix'!D23</f>
        <v>3BR</v>
      </c>
      <c r="C126" s="1741">
        <f>'3a.NewProj-Rent&amp;UnitMix'!E23</f>
        <v>0</v>
      </c>
      <c r="D126" s="1775">
        <f>'3a.NewProj-Rent&amp;UnitMix'!$A$19</f>
        <v>0</v>
      </c>
      <c r="E126" s="2087"/>
      <c r="G126" s="256" t="s">
        <v>735</v>
      </c>
      <c r="H126">
        <v>0</v>
      </c>
      <c r="I126">
        <v>0</v>
      </c>
      <c r="J126"/>
      <c r="K126"/>
      <c r="L126"/>
      <c r="M126"/>
      <c r="N126"/>
    </row>
    <row r="127" spans="2:14">
      <c r="B127" s="2086" t="str">
        <f>'3a.NewProj-Rent&amp;UnitMix'!D24</f>
        <v>4BR</v>
      </c>
      <c r="C127" s="1741">
        <f>'3a.NewProj-Rent&amp;UnitMix'!E24</f>
        <v>0</v>
      </c>
      <c r="D127" s="1775">
        <f>'3a.NewProj-Rent&amp;UnitMix'!$A$19</f>
        <v>0</v>
      </c>
      <c r="E127" s="2087"/>
      <c r="G127" s="2096">
        <v>0</v>
      </c>
      <c r="H127">
        <v>0</v>
      </c>
      <c r="I127">
        <v>0</v>
      </c>
      <c r="J127"/>
      <c r="K127"/>
      <c r="L127"/>
      <c r="M127"/>
      <c r="N127"/>
    </row>
    <row r="128" spans="2:14">
      <c r="B128" s="2086" t="str">
        <f>'3a.NewProj-Rent&amp;UnitMix'!D30</f>
        <v>Studio</v>
      </c>
      <c r="C128" s="1741">
        <f>'3a.NewProj-Rent&amp;UnitMix'!E30</f>
        <v>0</v>
      </c>
      <c r="D128" s="1775">
        <f>'3a.NewProj-Rent&amp;UnitMix'!$A$29</f>
        <v>0</v>
      </c>
      <c r="E128" s="2087"/>
      <c r="G128" s="2096" t="s">
        <v>1754</v>
      </c>
      <c r="H128">
        <v>0</v>
      </c>
      <c r="I128">
        <v>0</v>
      </c>
      <c r="J128"/>
      <c r="K128"/>
      <c r="L128"/>
      <c r="M128"/>
      <c r="N128"/>
    </row>
    <row r="129" spans="2:14">
      <c r="B129" s="2086" t="str">
        <f>'3a.NewProj-Rent&amp;UnitMix'!D31</f>
        <v>1BR</v>
      </c>
      <c r="C129" s="1741">
        <f>'3a.NewProj-Rent&amp;UnitMix'!E31</f>
        <v>0</v>
      </c>
      <c r="D129" s="1775">
        <f>'3a.NewProj-Rent&amp;UnitMix'!$A$29</f>
        <v>0</v>
      </c>
      <c r="E129" s="2087"/>
      <c r="G129" s="256" t="s">
        <v>736</v>
      </c>
      <c r="H129">
        <v>0</v>
      </c>
      <c r="I129">
        <v>0</v>
      </c>
      <c r="J129"/>
      <c r="K129"/>
      <c r="L129"/>
      <c r="M129"/>
      <c r="N129"/>
    </row>
    <row r="130" spans="2:14">
      <c r="B130" s="2086" t="str">
        <f>'3a.NewProj-Rent&amp;UnitMix'!D32</f>
        <v>2BR</v>
      </c>
      <c r="C130" s="1741">
        <f>'3a.NewProj-Rent&amp;UnitMix'!E32</f>
        <v>0</v>
      </c>
      <c r="D130" s="1775">
        <f>'3a.NewProj-Rent&amp;UnitMix'!$A$29</f>
        <v>0</v>
      </c>
      <c r="E130" s="2087"/>
      <c r="G130" s="2096">
        <v>0</v>
      </c>
      <c r="H130">
        <v>0</v>
      </c>
      <c r="I130">
        <v>0</v>
      </c>
      <c r="J130"/>
      <c r="K130"/>
      <c r="L130"/>
      <c r="M130"/>
      <c r="N130"/>
    </row>
    <row r="131" spans="2:14">
      <c r="B131" s="2086" t="str">
        <f>'3a.NewProj-Rent&amp;UnitMix'!D33</f>
        <v>3BR</v>
      </c>
      <c r="C131" s="1741">
        <f>'3a.NewProj-Rent&amp;UnitMix'!E33</f>
        <v>0</v>
      </c>
      <c r="D131" s="1775">
        <f>'3a.NewProj-Rent&amp;UnitMix'!$A$29</f>
        <v>0</v>
      </c>
      <c r="E131" s="2087"/>
      <c r="G131" s="2096" t="s">
        <v>1754</v>
      </c>
      <c r="H131">
        <v>0</v>
      </c>
      <c r="I131">
        <v>0</v>
      </c>
      <c r="J131"/>
      <c r="K131"/>
      <c r="L131"/>
      <c r="M131"/>
      <c r="N131"/>
    </row>
    <row r="132" spans="2:14">
      <c r="B132" s="2086" t="str">
        <f>'3a.NewProj-Rent&amp;UnitMix'!D34</f>
        <v>4BR</v>
      </c>
      <c r="C132" s="1741">
        <f>'3a.NewProj-Rent&amp;UnitMix'!E34</f>
        <v>0</v>
      </c>
      <c r="D132" s="1775">
        <f>'3a.NewProj-Rent&amp;UnitMix'!$A$29</f>
        <v>0</v>
      </c>
      <c r="E132" s="2087"/>
      <c r="G132" s="256" t="s">
        <v>737</v>
      </c>
      <c r="H132">
        <v>0</v>
      </c>
      <c r="I132">
        <v>0</v>
      </c>
      <c r="J132"/>
      <c r="K132"/>
      <c r="L132"/>
      <c r="M132"/>
      <c r="N132"/>
    </row>
    <row r="133" spans="2:14">
      <c r="B133" s="2086" t="str">
        <f>'3a.NewProj-Rent&amp;UnitMix'!D40</f>
        <v>Studio</v>
      </c>
      <c r="C133" s="1741">
        <f>'3a.NewProj-Rent&amp;UnitMix'!E40</f>
        <v>0</v>
      </c>
      <c r="D133" s="1775">
        <f>'3a.NewProj-Rent&amp;UnitMix'!$A$39</f>
        <v>0</v>
      </c>
      <c r="E133" s="2087"/>
      <c r="G133" s="2096">
        <v>0</v>
      </c>
      <c r="H133">
        <v>0</v>
      </c>
      <c r="I133">
        <v>0</v>
      </c>
      <c r="J133"/>
      <c r="K133"/>
      <c r="L133"/>
      <c r="M133"/>
      <c r="N133"/>
    </row>
    <row r="134" spans="2:14">
      <c r="B134" s="2086" t="str">
        <f>'3a.NewProj-Rent&amp;UnitMix'!D41</f>
        <v>1BR</v>
      </c>
      <c r="C134" s="1741">
        <f>'3a.NewProj-Rent&amp;UnitMix'!E41</f>
        <v>0</v>
      </c>
      <c r="D134" s="1775">
        <f>'3a.NewProj-Rent&amp;UnitMix'!$A$39</f>
        <v>0</v>
      </c>
      <c r="E134" s="2088"/>
      <c r="G134" s="2096" t="s">
        <v>1754</v>
      </c>
      <c r="H134">
        <v>0</v>
      </c>
      <c r="I134">
        <v>0</v>
      </c>
      <c r="J134"/>
      <c r="K134"/>
      <c r="L134"/>
      <c r="M134"/>
      <c r="N134"/>
    </row>
    <row r="135" spans="2:14">
      <c r="B135" s="2086" t="str">
        <f>'3a.NewProj-Rent&amp;UnitMix'!D42</f>
        <v>2BR</v>
      </c>
      <c r="C135" s="1741">
        <f>'3a.NewProj-Rent&amp;UnitMix'!E42</f>
        <v>0</v>
      </c>
      <c r="D135" s="1775">
        <f>'3a.NewProj-Rent&amp;UnitMix'!$A$39</f>
        <v>0</v>
      </c>
      <c r="E135" s="2087"/>
      <c r="G135" s="256" t="s">
        <v>1753</v>
      </c>
      <c r="H135">
        <v>0</v>
      </c>
      <c r="I135">
        <v>0</v>
      </c>
      <c r="J135"/>
      <c r="K135"/>
      <c r="L135"/>
      <c r="M135"/>
      <c r="N135"/>
    </row>
    <row r="136" spans="2:14">
      <c r="B136" s="2086" t="str">
        <f>'3a.NewProj-Rent&amp;UnitMix'!D43</f>
        <v>3BR</v>
      </c>
      <c r="C136" s="1741">
        <f>'3a.NewProj-Rent&amp;UnitMix'!E43</f>
        <v>0</v>
      </c>
      <c r="D136" s="1775">
        <f>'3a.NewProj-Rent&amp;UnitMix'!$A$39</f>
        <v>0</v>
      </c>
      <c r="E136" s="2087"/>
      <c r="G136"/>
      <c r="H136"/>
      <c r="I136"/>
      <c r="J136"/>
      <c r="K136"/>
      <c r="L136"/>
      <c r="M136"/>
      <c r="N136"/>
    </row>
    <row r="137" spans="2:14">
      <c r="B137" s="2086" t="str">
        <f>'3a.NewProj-Rent&amp;UnitMix'!D44</f>
        <v>4BR</v>
      </c>
      <c r="C137" s="1741">
        <f>'3a.NewProj-Rent&amp;UnitMix'!E44</f>
        <v>0</v>
      </c>
      <c r="D137" s="1775">
        <f>'3a.NewProj-Rent&amp;UnitMix'!$A$39</f>
        <v>0</v>
      </c>
      <c r="E137" s="2087"/>
      <c r="G137"/>
      <c r="H137"/>
      <c r="I137"/>
      <c r="J137"/>
      <c r="K137"/>
      <c r="L137"/>
      <c r="M137"/>
      <c r="N137"/>
    </row>
    <row r="138" spans="2:14">
      <c r="B138" s="2086" t="str">
        <f>'3a.NewProj-Rent&amp;UnitMix'!D50</f>
        <v>Studio</v>
      </c>
      <c r="C138" s="1741">
        <f>'3a.NewProj-Rent&amp;UnitMix'!E50</f>
        <v>0</v>
      </c>
      <c r="D138" s="1775">
        <f>'3a.NewProj-Rent&amp;UnitMix'!$A$49</f>
        <v>0</v>
      </c>
      <c r="E138" s="2087"/>
      <c r="G138"/>
      <c r="H138"/>
      <c r="I138"/>
      <c r="J138"/>
      <c r="K138"/>
      <c r="L138"/>
      <c r="M138"/>
      <c r="N138"/>
    </row>
    <row r="139" spans="2:14">
      <c r="B139" s="2086" t="str">
        <f>'3a.NewProj-Rent&amp;UnitMix'!D51</f>
        <v>1BR</v>
      </c>
      <c r="C139" s="1741">
        <f>'3a.NewProj-Rent&amp;UnitMix'!E51</f>
        <v>0</v>
      </c>
      <c r="D139" s="1775">
        <f>'3a.NewProj-Rent&amp;UnitMix'!$A$49</f>
        <v>0</v>
      </c>
      <c r="E139" s="2087"/>
    </row>
    <row r="140" spans="2:14">
      <c r="B140" s="2086" t="str">
        <f>'3a.NewProj-Rent&amp;UnitMix'!D52</f>
        <v>2BR</v>
      </c>
      <c r="C140" s="1741">
        <f>'3a.NewProj-Rent&amp;UnitMix'!E52</f>
        <v>0</v>
      </c>
      <c r="D140" s="1775">
        <f>'3a.NewProj-Rent&amp;UnitMix'!$A$49</f>
        <v>0</v>
      </c>
      <c r="E140" s="2087"/>
    </row>
    <row r="141" spans="2:14">
      <c r="B141" s="2086" t="str">
        <f>'3a.NewProj-Rent&amp;UnitMix'!D53</f>
        <v>3BR</v>
      </c>
      <c r="C141" s="1741">
        <f>'3a.NewProj-Rent&amp;UnitMix'!E53</f>
        <v>0</v>
      </c>
      <c r="D141" s="1775">
        <f>'3a.NewProj-Rent&amp;UnitMix'!$A$49</f>
        <v>0</v>
      </c>
      <c r="E141" s="2087"/>
    </row>
    <row r="142" spans="2:14">
      <c r="B142" s="2086" t="str">
        <f>'3a.NewProj-Rent&amp;UnitMix'!D54</f>
        <v>4BR</v>
      </c>
      <c r="C142" s="1741">
        <f>'3a.NewProj-Rent&amp;UnitMix'!E54</f>
        <v>0</v>
      </c>
      <c r="D142" s="1775">
        <f>'3a.NewProj-Rent&amp;UnitMix'!$A$49</f>
        <v>0</v>
      </c>
      <c r="E142" s="2087"/>
    </row>
    <row r="143" spans="2:14">
      <c r="B143" s="2086" t="str">
        <f>'3a.NewProj-Rent&amp;UnitMix'!D60</f>
        <v>Studio</v>
      </c>
      <c r="C143" s="1741">
        <f>'3a.NewProj-Rent&amp;UnitMix'!E60</f>
        <v>0</v>
      </c>
      <c r="D143" s="1775">
        <f>'3a.NewProj-Rent&amp;UnitMix'!$A$59</f>
        <v>0</v>
      </c>
      <c r="E143" s="2087"/>
    </row>
    <row r="144" spans="2:14">
      <c r="B144" s="2086" t="str">
        <f>'3a.NewProj-Rent&amp;UnitMix'!D61</f>
        <v>1BR</v>
      </c>
      <c r="C144" s="1741">
        <f>'3a.NewProj-Rent&amp;UnitMix'!E61</f>
        <v>0</v>
      </c>
      <c r="D144" s="1775">
        <f>'3a.NewProj-Rent&amp;UnitMix'!$A$59</f>
        <v>0</v>
      </c>
      <c r="E144" s="2087"/>
    </row>
    <row r="145" spans="2:5">
      <c r="B145" s="2086" t="str">
        <f>'3a.NewProj-Rent&amp;UnitMix'!D62</f>
        <v>2BR</v>
      </c>
      <c r="C145" s="1741">
        <f>'3a.NewProj-Rent&amp;UnitMix'!E62</f>
        <v>0</v>
      </c>
      <c r="D145" s="1775">
        <f>'3a.NewProj-Rent&amp;UnitMix'!$A$59</f>
        <v>0</v>
      </c>
      <c r="E145" s="2087"/>
    </row>
    <row r="146" spans="2:5">
      <c r="B146" s="2086" t="str">
        <f>'3a.NewProj-Rent&amp;UnitMix'!D63</f>
        <v>3BR</v>
      </c>
      <c r="C146" s="1741">
        <f>'3a.NewProj-Rent&amp;UnitMix'!E63</f>
        <v>0</v>
      </c>
      <c r="D146" s="1775">
        <f>'3a.NewProj-Rent&amp;UnitMix'!$A$59</f>
        <v>0</v>
      </c>
      <c r="E146" s="2087"/>
    </row>
    <row r="147" spans="2:5">
      <c r="B147" s="2086" t="str">
        <f>'3a.NewProj-Rent&amp;UnitMix'!D64</f>
        <v>4BR</v>
      </c>
      <c r="C147" s="1741">
        <f>'3a.NewProj-Rent&amp;UnitMix'!E64</f>
        <v>0</v>
      </c>
      <c r="D147" s="1775">
        <f>'3a.NewProj-Rent&amp;UnitMix'!$A$59</f>
        <v>0</v>
      </c>
      <c r="E147" s="2087"/>
    </row>
    <row r="148" spans="2:5">
      <c r="B148" s="2086" t="str">
        <f>'3a.NewProj-Rent&amp;UnitMix'!D75</f>
        <v>Studio</v>
      </c>
      <c r="C148" s="2089">
        <f>'3a.NewProj-Rent&amp;UnitMix'!H75</f>
        <v>0</v>
      </c>
      <c r="D148" s="2090">
        <f>MROUND('3a.NewProj-Rent&amp;UnitMix'!P75,0.05)</f>
        <v>0</v>
      </c>
      <c r="E148" s="2087">
        <f>'3a.NewProj-Rent&amp;UnitMix'!$A$78</f>
        <v>0</v>
      </c>
    </row>
    <row r="149" spans="2:5">
      <c r="B149" s="2086" t="str">
        <f>'3a.NewProj-Rent&amp;UnitMix'!D76</f>
        <v>1BR</v>
      </c>
      <c r="C149" s="2089">
        <f>'3a.NewProj-Rent&amp;UnitMix'!H76</f>
        <v>0</v>
      </c>
      <c r="D149" s="2090">
        <f>MROUND('3a.NewProj-Rent&amp;UnitMix'!P76,0.05)</f>
        <v>0</v>
      </c>
      <c r="E149" s="2087">
        <f>'3a.NewProj-Rent&amp;UnitMix'!$A$78</f>
        <v>0</v>
      </c>
    </row>
    <row r="150" spans="2:5">
      <c r="B150" s="2086" t="str">
        <f>'3a.NewProj-Rent&amp;UnitMix'!D77</f>
        <v>2BR</v>
      </c>
      <c r="C150" s="2089">
        <f>'3a.NewProj-Rent&amp;UnitMix'!H77</f>
        <v>0</v>
      </c>
      <c r="D150" s="2090">
        <f>MROUND('3a.NewProj-Rent&amp;UnitMix'!P77,0.05)</f>
        <v>0</v>
      </c>
      <c r="E150" s="2087">
        <f>'3a.NewProj-Rent&amp;UnitMix'!$A$78</f>
        <v>0</v>
      </c>
    </row>
    <row r="151" spans="2:5">
      <c r="B151" s="2086" t="str">
        <f>'3a.NewProj-Rent&amp;UnitMix'!D78</f>
        <v>3BR</v>
      </c>
      <c r="C151" s="2089">
        <f>'3a.NewProj-Rent&amp;UnitMix'!H78</f>
        <v>0</v>
      </c>
      <c r="D151" s="2090">
        <f>MROUND('3a.NewProj-Rent&amp;UnitMix'!P78,0.05)</f>
        <v>0</v>
      </c>
      <c r="E151" s="2087">
        <f>'3a.NewProj-Rent&amp;UnitMix'!$A$78</f>
        <v>0</v>
      </c>
    </row>
    <row r="152" spans="2:5">
      <c r="B152" s="2086" t="str">
        <f>'3a.NewProj-Rent&amp;UnitMix'!D79</f>
        <v>4BR</v>
      </c>
      <c r="C152" s="2089">
        <f>'3a.NewProj-Rent&amp;UnitMix'!H79</f>
        <v>0</v>
      </c>
      <c r="D152" s="2090">
        <f>MROUND('3a.NewProj-Rent&amp;UnitMix'!P79,0.05)</f>
        <v>0</v>
      </c>
      <c r="E152" s="2087">
        <f>'3a.NewProj-Rent&amp;UnitMix'!$A$78</f>
        <v>0</v>
      </c>
    </row>
    <row r="153" spans="2:5">
      <c r="B153" s="2086" t="str">
        <f>'3a.NewProj-Rent&amp;UnitMix'!D85</f>
        <v>Studio</v>
      </c>
      <c r="C153" s="1741">
        <f>'3a.NewProj-Rent&amp;UnitMix'!H85</f>
        <v>0</v>
      </c>
      <c r="D153" s="2090">
        <f>MROUND('3a.NewProj-Rent&amp;UnitMix'!P85,0.05)</f>
        <v>0</v>
      </c>
      <c r="E153" s="2087">
        <f>'3a.NewProj-Rent&amp;UnitMix'!$A$88</f>
        <v>0</v>
      </c>
    </row>
    <row r="154" spans="2:5">
      <c r="B154" s="2086" t="str">
        <f>'3a.NewProj-Rent&amp;UnitMix'!D86</f>
        <v>1BR</v>
      </c>
      <c r="C154" s="1741">
        <f>'3a.NewProj-Rent&amp;UnitMix'!H86</f>
        <v>0</v>
      </c>
      <c r="D154" s="2090">
        <f>MROUND('3a.NewProj-Rent&amp;UnitMix'!P86,0.05)</f>
        <v>0</v>
      </c>
      <c r="E154" s="2087">
        <f>'3a.NewProj-Rent&amp;UnitMix'!$A$88</f>
        <v>0</v>
      </c>
    </row>
    <row r="155" spans="2:5">
      <c r="B155" s="2086" t="str">
        <f>'3a.NewProj-Rent&amp;UnitMix'!D87</f>
        <v>2BR</v>
      </c>
      <c r="C155" s="1741">
        <f>'3a.NewProj-Rent&amp;UnitMix'!H87</f>
        <v>0</v>
      </c>
      <c r="D155" s="2090">
        <f>MROUND('3a.NewProj-Rent&amp;UnitMix'!P87,0.05)</f>
        <v>0</v>
      </c>
      <c r="E155" s="2087">
        <f>'3a.NewProj-Rent&amp;UnitMix'!$A$88</f>
        <v>0</v>
      </c>
    </row>
    <row r="156" spans="2:5">
      <c r="B156" s="2086" t="str">
        <f>'3a.NewProj-Rent&amp;UnitMix'!D88</f>
        <v>3BR</v>
      </c>
      <c r="C156" s="1741">
        <f>'3a.NewProj-Rent&amp;UnitMix'!H88</f>
        <v>0</v>
      </c>
      <c r="D156" s="2090">
        <f>MROUND('3a.NewProj-Rent&amp;UnitMix'!P88,0.05)</f>
        <v>0</v>
      </c>
      <c r="E156" s="2087">
        <f>'3a.NewProj-Rent&amp;UnitMix'!$A$88</f>
        <v>0</v>
      </c>
    </row>
    <row r="157" spans="2:5">
      <c r="B157" s="2086" t="str">
        <f>'3a.NewProj-Rent&amp;UnitMix'!D89</f>
        <v>4BR</v>
      </c>
      <c r="C157" s="1741">
        <f>'3a.NewProj-Rent&amp;UnitMix'!H89</f>
        <v>0</v>
      </c>
      <c r="D157" s="2090">
        <f>MROUND('3a.NewProj-Rent&amp;UnitMix'!P89,0.05)</f>
        <v>0</v>
      </c>
      <c r="E157" s="2087">
        <f>'3a.NewProj-Rent&amp;UnitMix'!$A$88</f>
        <v>0</v>
      </c>
    </row>
    <row r="158" spans="2:5">
      <c r="B158" s="2086" t="str">
        <f>'3a.NewProj-Rent&amp;UnitMix'!D95</f>
        <v>Studio</v>
      </c>
      <c r="C158" s="1741">
        <f>'3a.NewProj-Rent&amp;UnitMix'!H95</f>
        <v>0</v>
      </c>
      <c r="D158" s="2090">
        <f>MROUND('3a.NewProj-Rent&amp;UnitMix'!P95,0.05)</f>
        <v>0</v>
      </c>
      <c r="E158" s="2087">
        <f>'3a.NewProj-Rent&amp;UnitMix'!$A$98</f>
        <v>0</v>
      </c>
    </row>
    <row r="159" spans="2:5">
      <c r="B159" s="2086" t="str">
        <f>'3a.NewProj-Rent&amp;UnitMix'!D96</f>
        <v>1BR</v>
      </c>
      <c r="C159" s="1741">
        <f>'3a.NewProj-Rent&amp;UnitMix'!H96</f>
        <v>0</v>
      </c>
      <c r="D159" s="2090">
        <f>MROUND('3a.NewProj-Rent&amp;UnitMix'!P96,0.05)</f>
        <v>0</v>
      </c>
      <c r="E159" s="2087">
        <f>'3a.NewProj-Rent&amp;UnitMix'!$A$98</f>
        <v>0</v>
      </c>
    </row>
    <row r="160" spans="2:5">
      <c r="B160" s="2086" t="str">
        <f>'3a.NewProj-Rent&amp;UnitMix'!D97</f>
        <v>2BR</v>
      </c>
      <c r="C160" s="1741">
        <f>'3a.NewProj-Rent&amp;UnitMix'!H97</f>
        <v>0</v>
      </c>
      <c r="D160" s="2090">
        <f>MROUND('3a.NewProj-Rent&amp;UnitMix'!P97,0.05)</f>
        <v>0</v>
      </c>
      <c r="E160" s="2087">
        <f>'3a.NewProj-Rent&amp;UnitMix'!$A$98</f>
        <v>0</v>
      </c>
    </row>
    <row r="161" spans="2:5">
      <c r="B161" s="2086" t="str">
        <f>'3a.NewProj-Rent&amp;UnitMix'!D98</f>
        <v>3BR</v>
      </c>
      <c r="C161" s="1741">
        <f>'3a.NewProj-Rent&amp;UnitMix'!H98</f>
        <v>0</v>
      </c>
      <c r="D161" s="2090">
        <f>MROUND('3a.NewProj-Rent&amp;UnitMix'!P98,0.05)</f>
        <v>0</v>
      </c>
      <c r="E161" s="2087">
        <f>'3a.NewProj-Rent&amp;UnitMix'!$A$98</f>
        <v>0</v>
      </c>
    </row>
    <row r="162" spans="2:5">
      <c r="B162" s="2086" t="str">
        <f>'3a.NewProj-Rent&amp;UnitMix'!D99</f>
        <v>4BR</v>
      </c>
      <c r="C162" s="1741">
        <f>'3a.NewProj-Rent&amp;UnitMix'!H99</f>
        <v>0</v>
      </c>
      <c r="D162" s="2090">
        <f>MROUND('3a.NewProj-Rent&amp;UnitMix'!P99,0.05)</f>
        <v>0</v>
      </c>
      <c r="E162" s="2087">
        <f>'3a.NewProj-Rent&amp;UnitMix'!$A$98</f>
        <v>0</v>
      </c>
    </row>
    <row r="163" spans="2:5">
      <c r="B163" s="2086" t="str">
        <f>'3a.NewProj-Rent&amp;UnitMix'!D105</f>
        <v>Studio</v>
      </c>
      <c r="C163" s="1741">
        <f>'3a.NewProj-Rent&amp;UnitMix'!H105</f>
        <v>0</v>
      </c>
      <c r="D163" s="2090">
        <f>MROUND('3a.NewProj-Rent&amp;UnitMix'!P105,0.05)</f>
        <v>0</v>
      </c>
      <c r="E163" s="2087">
        <f>'3a.NewProj-Rent&amp;UnitMix'!$A$108</f>
        <v>0</v>
      </c>
    </row>
    <row r="164" spans="2:5">
      <c r="B164" s="2086" t="str">
        <f>'3a.NewProj-Rent&amp;UnitMix'!D106</f>
        <v>1BR</v>
      </c>
      <c r="C164" s="1741">
        <f>'3a.NewProj-Rent&amp;UnitMix'!H106</f>
        <v>0</v>
      </c>
      <c r="D164" s="2090">
        <f>MROUND('3a.NewProj-Rent&amp;UnitMix'!P106,0.05)</f>
        <v>0</v>
      </c>
      <c r="E164" s="2087">
        <f>'3a.NewProj-Rent&amp;UnitMix'!$A$108</f>
        <v>0</v>
      </c>
    </row>
    <row r="165" spans="2:5">
      <c r="B165" s="2086" t="str">
        <f>'3a.NewProj-Rent&amp;UnitMix'!D107</f>
        <v>2BR</v>
      </c>
      <c r="C165" s="1741">
        <f>'3a.NewProj-Rent&amp;UnitMix'!H107</f>
        <v>0</v>
      </c>
      <c r="D165" s="2090">
        <f>MROUND('3a.NewProj-Rent&amp;UnitMix'!P107,0.05)</f>
        <v>0</v>
      </c>
      <c r="E165" s="2087">
        <f>'3a.NewProj-Rent&amp;UnitMix'!$A$108</f>
        <v>0</v>
      </c>
    </row>
    <row r="166" spans="2:5">
      <c r="B166" s="2086" t="str">
        <f>'3a.NewProj-Rent&amp;UnitMix'!D108</f>
        <v>3BR</v>
      </c>
      <c r="C166" s="1741">
        <f>'3a.NewProj-Rent&amp;UnitMix'!H108</f>
        <v>0</v>
      </c>
      <c r="D166" s="2090">
        <f>MROUND('3a.NewProj-Rent&amp;UnitMix'!P108,0.05)</f>
        <v>0</v>
      </c>
      <c r="E166" s="2087">
        <f>'3a.NewProj-Rent&amp;UnitMix'!$A$108</f>
        <v>0</v>
      </c>
    </row>
    <row r="167" spans="2:5">
      <c r="B167" s="2086" t="str">
        <f>'3a.NewProj-Rent&amp;UnitMix'!D109</f>
        <v>4BR</v>
      </c>
      <c r="C167" s="1741">
        <f>'3a.NewProj-Rent&amp;UnitMix'!H109</f>
        <v>0</v>
      </c>
      <c r="D167" s="2090">
        <f>MROUND('3a.NewProj-Rent&amp;UnitMix'!P109,0.05)</f>
        <v>0</v>
      </c>
      <c r="E167" s="2087">
        <f>'3a.NewProj-Rent&amp;UnitMix'!$A$108</f>
        <v>0</v>
      </c>
    </row>
    <row r="168" spans="2:5">
      <c r="B168" s="2086" t="str">
        <f>'3a.NewProj-Rent&amp;UnitMix'!D115</f>
        <v>Studio</v>
      </c>
      <c r="C168" s="1741">
        <f>'3a.NewProj-Rent&amp;UnitMix'!H115</f>
        <v>0</v>
      </c>
      <c r="D168" s="2090">
        <f>MROUND('3a.NewProj-Rent&amp;UnitMix'!P115,0.05)</f>
        <v>0</v>
      </c>
      <c r="E168" s="2087">
        <f>'3a.NewProj-Rent&amp;UnitMix'!$A$118</f>
        <v>0</v>
      </c>
    </row>
    <row r="169" spans="2:5">
      <c r="B169" s="2086" t="str">
        <f>'3a.NewProj-Rent&amp;UnitMix'!D116</f>
        <v>1BR</v>
      </c>
      <c r="C169" s="1741">
        <f>'3a.NewProj-Rent&amp;UnitMix'!H116</f>
        <v>0</v>
      </c>
      <c r="D169" s="2090">
        <f>MROUND('3a.NewProj-Rent&amp;UnitMix'!P116,0.05)</f>
        <v>0</v>
      </c>
      <c r="E169" s="2087">
        <f>'3a.NewProj-Rent&amp;UnitMix'!$A$118</f>
        <v>0</v>
      </c>
    </row>
    <row r="170" spans="2:5">
      <c r="B170" s="2086" t="str">
        <f>'3a.NewProj-Rent&amp;UnitMix'!D117</f>
        <v>2BR</v>
      </c>
      <c r="C170" s="1741">
        <f>'3a.NewProj-Rent&amp;UnitMix'!H117</f>
        <v>0</v>
      </c>
      <c r="D170" s="2090">
        <f>MROUND('3a.NewProj-Rent&amp;UnitMix'!P117,0.05)</f>
        <v>0</v>
      </c>
      <c r="E170" s="2087">
        <f>'3a.NewProj-Rent&amp;UnitMix'!$A$118</f>
        <v>0</v>
      </c>
    </row>
    <row r="171" spans="2:5">
      <c r="B171" s="2086" t="str">
        <f>'3a.NewProj-Rent&amp;UnitMix'!D118</f>
        <v>3BR</v>
      </c>
      <c r="C171" s="1741">
        <f>'3a.NewProj-Rent&amp;UnitMix'!H118</f>
        <v>0</v>
      </c>
      <c r="D171" s="2090">
        <f>MROUND('3a.NewProj-Rent&amp;UnitMix'!P118,0.05)</f>
        <v>0</v>
      </c>
      <c r="E171" s="2087">
        <f>'3a.NewProj-Rent&amp;UnitMix'!$A$118</f>
        <v>0</v>
      </c>
    </row>
    <row r="172" spans="2:5">
      <c r="B172" s="2086" t="str">
        <f>'3a.NewProj-Rent&amp;UnitMix'!D119</f>
        <v>4BR</v>
      </c>
      <c r="C172" s="1741">
        <f>'3a.NewProj-Rent&amp;UnitMix'!H119</f>
        <v>0</v>
      </c>
      <c r="D172" s="2090">
        <f>MROUND('3a.NewProj-Rent&amp;UnitMix'!P119,0.05)</f>
        <v>0</v>
      </c>
      <c r="E172" s="2087">
        <f>'3a.NewProj-Rent&amp;UnitMix'!$A$118</f>
        <v>0</v>
      </c>
    </row>
    <row r="173" spans="2:5">
      <c r="B173" s="2086" t="str">
        <f>'3a.NewProj-Rent&amp;UnitMix'!D125</f>
        <v>Studio</v>
      </c>
      <c r="C173" s="1741">
        <f>'3a.NewProj-Rent&amp;UnitMix'!H125</f>
        <v>0</v>
      </c>
      <c r="D173" s="2090">
        <f>MROUND('3a.NewProj-Rent&amp;UnitMix'!P125,0.05)</f>
        <v>0</v>
      </c>
      <c r="E173" s="2087">
        <f>'3a.NewProj-Rent&amp;UnitMix'!$A$128</f>
        <v>0</v>
      </c>
    </row>
    <row r="174" spans="2:5">
      <c r="B174" s="2086" t="str">
        <f>'3a.NewProj-Rent&amp;UnitMix'!D126</f>
        <v>1BR</v>
      </c>
      <c r="C174" s="1741">
        <f>'3a.NewProj-Rent&amp;UnitMix'!H126</f>
        <v>0</v>
      </c>
      <c r="D174" s="2090">
        <f>MROUND('3a.NewProj-Rent&amp;UnitMix'!P126,0.05)</f>
        <v>0</v>
      </c>
      <c r="E174" s="2087">
        <f>'3a.NewProj-Rent&amp;UnitMix'!$A$128</f>
        <v>0</v>
      </c>
    </row>
    <row r="175" spans="2:5">
      <c r="B175" s="2086" t="str">
        <f>'3a.NewProj-Rent&amp;UnitMix'!D127</f>
        <v>2BR</v>
      </c>
      <c r="C175" s="1741">
        <f>'3a.NewProj-Rent&amp;UnitMix'!H127</f>
        <v>0</v>
      </c>
      <c r="D175" s="2090">
        <f>MROUND('3a.NewProj-Rent&amp;UnitMix'!P127,0.05)</f>
        <v>0</v>
      </c>
      <c r="E175" s="2087">
        <f>'3a.NewProj-Rent&amp;UnitMix'!$A$128</f>
        <v>0</v>
      </c>
    </row>
    <row r="176" spans="2:5">
      <c r="B176" s="2086" t="str">
        <f>'3a.NewProj-Rent&amp;UnitMix'!D128</f>
        <v>3BR</v>
      </c>
      <c r="C176" s="1741">
        <f>'3a.NewProj-Rent&amp;UnitMix'!H128</f>
        <v>0</v>
      </c>
      <c r="D176" s="2090">
        <f>MROUND('3a.NewProj-Rent&amp;UnitMix'!P128,0.05)</f>
        <v>0</v>
      </c>
      <c r="E176" s="2087">
        <f>'3a.NewProj-Rent&amp;UnitMix'!$A$128</f>
        <v>0</v>
      </c>
    </row>
    <row r="177" spans="2:5">
      <c r="B177" s="2091" t="str">
        <f>'3a.NewProj-Rent&amp;UnitMix'!D129</f>
        <v>4BR</v>
      </c>
      <c r="C177" s="2092">
        <f>'3a.NewProj-Rent&amp;UnitMix'!H129</f>
        <v>0</v>
      </c>
      <c r="D177" s="2093">
        <f>MROUND('3a.NewProj-Rent&amp;UnitMix'!P129,0.05)</f>
        <v>0</v>
      </c>
      <c r="E177" s="2094">
        <f>'3a.NewProj-Rent&amp;UnitMix'!$A$128</f>
        <v>0</v>
      </c>
    </row>
  </sheetData>
  <mergeCells count="3">
    <mergeCell ref="A40:A46"/>
    <mergeCell ref="C47:D47"/>
    <mergeCell ref="B107:C107"/>
  </mergeCells>
  <hyperlinks>
    <hyperlink ref="F46" r:id="rId2" xr:uid="{90EE5C93-C359-46C4-B87F-73D3472E7229}"/>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CB4C1-5225-4B9E-8DF6-BD9E408D53BD}">
  <sheetPr codeName="Sheet32">
    <tabColor rgb="FFFF66FF"/>
  </sheetPr>
  <dimension ref="A1:D42"/>
  <sheetViews>
    <sheetView topLeftCell="A19" workbookViewId="0">
      <selection activeCell="A38" sqref="A38:D42"/>
    </sheetView>
  </sheetViews>
  <sheetFormatPr defaultRowHeight="13.2"/>
  <cols>
    <col min="1" max="1" width="10.109375" style="529" bestFit="1" customWidth="1"/>
    <col min="4" max="4" width="183.44140625" customWidth="1"/>
  </cols>
  <sheetData>
    <row r="1" spans="1:4">
      <c r="A1" s="1906" t="s">
        <v>1577</v>
      </c>
    </row>
    <row r="2" spans="1:4">
      <c r="A2" s="1906"/>
    </row>
    <row r="3" spans="1:4">
      <c r="A3" s="1907" t="s">
        <v>1422</v>
      </c>
      <c r="B3" s="1876" t="s">
        <v>1588</v>
      </c>
      <c r="C3" s="1876" t="s">
        <v>1718</v>
      </c>
      <c r="D3" s="1876" t="s">
        <v>1589</v>
      </c>
    </row>
    <row r="4" spans="1:4">
      <c r="A4" s="432">
        <v>44665</v>
      </c>
      <c r="B4" s="10" t="s">
        <v>1590</v>
      </c>
      <c r="C4" s="10"/>
      <c r="D4" s="352" t="s">
        <v>1578</v>
      </c>
    </row>
    <row r="5" spans="1:4">
      <c r="A5" s="432">
        <v>44665</v>
      </c>
      <c r="B5" s="10" t="s">
        <v>1590</v>
      </c>
      <c r="C5" s="10"/>
      <c r="D5" s="352" t="s">
        <v>1579</v>
      </c>
    </row>
    <row r="6" spans="1:4">
      <c r="A6" s="432">
        <v>44665</v>
      </c>
      <c r="B6" s="10" t="s">
        <v>1590</v>
      </c>
      <c r="C6" s="10"/>
      <c r="D6" s="352" t="s">
        <v>1580</v>
      </c>
    </row>
    <row r="7" spans="1:4">
      <c r="A7" s="432"/>
      <c r="B7" s="352"/>
      <c r="C7" s="352"/>
      <c r="D7" s="352" t="s">
        <v>1581</v>
      </c>
    </row>
    <row r="8" spans="1:4">
      <c r="A8" s="432">
        <v>44670</v>
      </c>
      <c r="B8" s="10" t="s">
        <v>1590</v>
      </c>
      <c r="C8" s="10"/>
      <c r="D8" s="352" t="s">
        <v>1582</v>
      </c>
    </row>
    <row r="9" spans="1:4">
      <c r="A9" s="432"/>
      <c r="B9" s="10" t="s">
        <v>1591</v>
      </c>
      <c r="C9" s="10"/>
      <c r="D9" s="352" t="s">
        <v>1583</v>
      </c>
    </row>
    <row r="10" spans="1:4">
      <c r="A10" s="432"/>
      <c r="B10" s="10" t="s">
        <v>1591</v>
      </c>
      <c r="C10" s="10"/>
      <c r="D10" s="352" t="s">
        <v>1584</v>
      </c>
    </row>
    <row r="11" spans="1:4">
      <c r="A11" s="2452" t="s">
        <v>1592</v>
      </c>
      <c r="B11" s="2453"/>
      <c r="C11" s="2051"/>
      <c r="D11" s="352" t="s">
        <v>1585</v>
      </c>
    </row>
    <row r="12" spans="1:4">
      <c r="A12" s="432"/>
      <c r="B12" s="10" t="s">
        <v>1593</v>
      </c>
      <c r="C12" s="10"/>
      <c r="D12" s="352" t="s">
        <v>1586</v>
      </c>
    </row>
    <row r="13" spans="1:4">
      <c r="A13" s="432"/>
      <c r="B13" s="10" t="s">
        <v>1591</v>
      </c>
      <c r="C13" s="10"/>
      <c r="D13" s="352" t="s">
        <v>1587</v>
      </c>
    </row>
    <row r="14" spans="1:4">
      <c r="A14" s="432">
        <v>45077</v>
      </c>
      <c r="B14" s="10" t="s">
        <v>1590</v>
      </c>
      <c r="C14" s="10"/>
      <c r="D14" s="10" t="s">
        <v>1633</v>
      </c>
    </row>
    <row r="15" spans="1:4">
      <c r="A15" s="432">
        <v>45083</v>
      </c>
      <c r="B15" s="10" t="s">
        <v>1590</v>
      </c>
      <c r="C15" s="10"/>
      <c r="D15" s="10" t="s">
        <v>1634</v>
      </c>
    </row>
    <row r="16" spans="1:4">
      <c r="A16" s="432">
        <v>45126</v>
      </c>
      <c r="B16" s="10" t="s">
        <v>1590</v>
      </c>
      <c r="C16" s="10"/>
      <c r="D16" s="10" t="s">
        <v>1694</v>
      </c>
    </row>
    <row r="17" spans="1:4">
      <c r="A17" s="2044" t="s">
        <v>1695</v>
      </c>
      <c r="B17" s="10" t="s">
        <v>1696</v>
      </c>
      <c r="C17" s="10"/>
      <c r="D17" s="10" t="s">
        <v>1697</v>
      </c>
    </row>
    <row r="18" spans="1:4">
      <c r="A18" s="432"/>
      <c r="B18" s="10"/>
      <c r="C18" s="10"/>
      <c r="D18" s="352"/>
    </row>
    <row r="19" spans="1:4">
      <c r="A19" s="432">
        <v>45273</v>
      </c>
      <c r="B19" s="10"/>
      <c r="C19" s="10"/>
      <c r="D19" s="352" t="s">
        <v>1703</v>
      </c>
    </row>
    <row r="20" spans="1:4">
      <c r="A20" s="432"/>
      <c r="B20" s="10" t="s">
        <v>1696</v>
      </c>
      <c r="C20" s="10">
        <v>2.76</v>
      </c>
      <c r="D20" s="352" t="s">
        <v>1704</v>
      </c>
    </row>
    <row r="21" spans="1:4">
      <c r="A21" s="432"/>
      <c r="B21" s="10" t="s">
        <v>1696</v>
      </c>
      <c r="C21" s="10">
        <v>2.76</v>
      </c>
      <c r="D21" s="352" t="s">
        <v>1705</v>
      </c>
    </row>
    <row r="22" spans="1:4">
      <c r="A22" s="432"/>
      <c r="B22" s="10" t="s">
        <v>1696</v>
      </c>
      <c r="C22" s="10">
        <v>2.76</v>
      </c>
      <c r="D22" s="352" t="s">
        <v>1706</v>
      </c>
    </row>
    <row r="23" spans="1:4">
      <c r="A23" s="432"/>
      <c r="B23" s="10" t="s">
        <v>1696</v>
      </c>
      <c r="C23" s="10">
        <v>2.76</v>
      </c>
      <c r="D23" s="352" t="s">
        <v>1707</v>
      </c>
    </row>
    <row r="24" spans="1:4">
      <c r="A24" s="432"/>
      <c r="B24" s="10" t="s">
        <v>1696</v>
      </c>
      <c r="C24" s="10">
        <v>2.76</v>
      </c>
      <c r="D24" s="352" t="s">
        <v>1708</v>
      </c>
    </row>
    <row r="25" spans="1:4">
      <c r="A25" s="432"/>
      <c r="B25" s="10" t="s">
        <v>1696</v>
      </c>
      <c r="C25" s="10">
        <v>2.76</v>
      </c>
      <c r="D25" s="352" t="s">
        <v>1709</v>
      </c>
    </row>
    <row r="26" spans="1:4">
      <c r="A26" s="432"/>
      <c r="B26" s="10" t="s">
        <v>1696</v>
      </c>
      <c r="C26" s="10">
        <v>2.76</v>
      </c>
      <c r="D26" s="352" t="s">
        <v>1710</v>
      </c>
    </row>
    <row r="27" spans="1:4">
      <c r="A27" s="432"/>
      <c r="B27" s="10" t="s">
        <v>1696</v>
      </c>
      <c r="C27" s="10">
        <v>2.76</v>
      </c>
      <c r="D27" s="352" t="s">
        <v>1711</v>
      </c>
    </row>
    <row r="28" spans="1:4">
      <c r="A28" s="432"/>
      <c r="B28" s="10" t="s">
        <v>1696</v>
      </c>
      <c r="C28" s="10">
        <v>2.76</v>
      </c>
      <c r="D28" s="352" t="s">
        <v>1712</v>
      </c>
    </row>
    <row r="29" spans="1:4">
      <c r="A29" s="432"/>
      <c r="B29" s="352"/>
      <c r="C29" s="10">
        <v>2.76</v>
      </c>
      <c r="D29" s="352" t="s">
        <v>1713</v>
      </c>
    </row>
    <row r="30" spans="1:4">
      <c r="A30" s="432"/>
      <c r="B30" s="10" t="s">
        <v>1696</v>
      </c>
      <c r="C30" s="10">
        <v>2.76</v>
      </c>
      <c r="D30" s="352" t="s">
        <v>1714</v>
      </c>
    </row>
    <row r="31" spans="1:4">
      <c r="A31" s="432">
        <v>45274</v>
      </c>
      <c r="B31" s="10" t="s">
        <v>1590</v>
      </c>
      <c r="C31" s="10">
        <v>2.76</v>
      </c>
      <c r="D31" s="10" t="s">
        <v>1715</v>
      </c>
    </row>
    <row r="32" spans="1:4">
      <c r="A32" s="432"/>
      <c r="B32" s="10" t="s">
        <v>1590</v>
      </c>
      <c r="C32" s="10">
        <v>2.76</v>
      </c>
      <c r="D32" s="10" t="s">
        <v>1717</v>
      </c>
    </row>
    <row r="33" spans="1:4">
      <c r="A33" s="432"/>
      <c r="B33" s="10" t="s">
        <v>1590</v>
      </c>
      <c r="C33" s="10">
        <v>2.76</v>
      </c>
      <c r="D33" s="10" t="s">
        <v>1716</v>
      </c>
    </row>
    <row r="34" spans="1:4">
      <c r="A34" s="432">
        <v>45335</v>
      </c>
      <c r="B34" s="10" t="s">
        <v>1590</v>
      </c>
      <c r="C34" s="10">
        <v>2.77</v>
      </c>
      <c r="D34" s="10" t="s">
        <v>1719</v>
      </c>
    </row>
    <row r="35" spans="1:4">
      <c r="A35" s="432">
        <v>45335</v>
      </c>
      <c r="B35" s="10" t="s">
        <v>1590</v>
      </c>
      <c r="C35" s="10">
        <v>2.77</v>
      </c>
      <c r="D35" s="10" t="s">
        <v>1722</v>
      </c>
    </row>
    <row r="36" spans="1:4" ht="26.4">
      <c r="A36" s="432">
        <v>45342</v>
      </c>
      <c r="B36" s="10" t="s">
        <v>1590</v>
      </c>
      <c r="C36" s="352">
        <v>2.78</v>
      </c>
      <c r="D36" s="13" t="s">
        <v>1724</v>
      </c>
    </row>
    <row r="37" spans="1:4">
      <c r="A37" s="432"/>
      <c r="B37" s="10" t="s">
        <v>1590</v>
      </c>
      <c r="C37" s="352">
        <v>2.78</v>
      </c>
      <c r="D37" s="10" t="s">
        <v>1723</v>
      </c>
    </row>
    <row r="38" spans="1:4">
      <c r="A38" s="432">
        <v>45412</v>
      </c>
      <c r="B38" s="10" t="s">
        <v>1725</v>
      </c>
      <c r="C38" s="352">
        <v>2.79</v>
      </c>
      <c r="D38" s="10" t="s">
        <v>1726</v>
      </c>
    </row>
    <row r="39" spans="1:4">
      <c r="A39" s="432">
        <v>45415</v>
      </c>
      <c r="B39" s="10" t="s">
        <v>1744</v>
      </c>
      <c r="C39" s="352">
        <v>2.79</v>
      </c>
      <c r="D39" s="10" t="s">
        <v>1745</v>
      </c>
    </row>
    <row r="40" spans="1:4" ht="26.4">
      <c r="A40" s="432">
        <v>45415</v>
      </c>
      <c r="B40" s="10" t="s">
        <v>1744</v>
      </c>
      <c r="C40" s="352">
        <v>2.79</v>
      </c>
      <c r="D40" s="13" t="s">
        <v>1759</v>
      </c>
    </row>
    <row r="41" spans="1:4">
      <c r="A41" s="432">
        <v>45418</v>
      </c>
      <c r="B41" s="10" t="s">
        <v>1755</v>
      </c>
      <c r="C41" s="352">
        <v>2.79</v>
      </c>
      <c r="D41" s="10" t="s">
        <v>1760</v>
      </c>
    </row>
    <row r="42" spans="1:4">
      <c r="A42" s="432">
        <v>45419</v>
      </c>
      <c r="B42" s="10" t="s">
        <v>1744</v>
      </c>
      <c r="C42" s="352">
        <v>2.79</v>
      </c>
      <c r="D42" s="10" t="s">
        <v>1758</v>
      </c>
    </row>
  </sheetData>
  <mergeCells count="1">
    <mergeCell ref="A11:B1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
  <sheetViews>
    <sheetView workbookViewId="0">
      <selection activeCell="G32" sqref="G32"/>
    </sheetView>
  </sheetViews>
  <sheetFormatPr defaultRowHeight="13.2"/>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
  <sheetViews>
    <sheetView workbookViewId="0"/>
  </sheetViews>
  <sheetFormatPr defaultRowHeight="13.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theme="9" tint="0.59999389629810485"/>
    <pageSetUpPr autoPageBreaks="0"/>
  </sheetPr>
  <dimension ref="A1:N210"/>
  <sheetViews>
    <sheetView showGridLines="0" workbookViewId="0">
      <selection activeCell="G12" sqref="G12"/>
    </sheetView>
  </sheetViews>
  <sheetFormatPr defaultColWidth="9.109375" defaultRowHeight="0" customHeight="1" zeroHeight="1"/>
  <cols>
    <col min="1" max="1" width="7.5546875" customWidth="1"/>
    <col min="2" max="2" width="9.88671875" customWidth="1"/>
    <col min="3" max="3" width="11.44140625" customWidth="1"/>
    <col min="4" max="4" width="13" customWidth="1"/>
    <col min="5" max="5" width="11" customWidth="1"/>
    <col min="6" max="6" width="15.5546875" customWidth="1"/>
    <col min="7" max="7" width="11.5546875" customWidth="1"/>
    <col min="8" max="8" width="11.6640625" customWidth="1"/>
    <col min="9" max="9" width="12.33203125" customWidth="1"/>
    <col min="10" max="10" width="12" customWidth="1"/>
    <col min="11" max="11" width="12.6640625" customWidth="1"/>
    <col min="12" max="12" width="11" customWidth="1"/>
    <col min="13" max="13" width="11.109375" customWidth="1"/>
    <col min="14" max="14" width="5" hidden="1" customWidth="1"/>
    <col min="15" max="15" width="10.109375" customWidth="1"/>
    <col min="16" max="16" width="10.88671875" customWidth="1"/>
    <col min="17" max="17" width="10.6640625" customWidth="1"/>
    <col min="18" max="18" width="11.109375" customWidth="1"/>
  </cols>
  <sheetData>
    <row r="1" spans="1:14" ht="15.6">
      <c r="A1" s="1312" t="s">
        <v>693</v>
      </c>
      <c r="B1" s="520"/>
      <c r="C1" s="520"/>
      <c r="D1" s="476"/>
      <c r="E1" s="476"/>
      <c r="F1" s="476"/>
      <c r="G1" s="476"/>
      <c r="H1" s="476"/>
      <c r="I1" s="476"/>
      <c r="J1" s="476"/>
      <c r="K1" s="476"/>
      <c r="L1" s="476"/>
    </row>
    <row r="2" spans="1:14" ht="13.8">
      <c r="A2" s="560" t="str">
        <f>IF('6.1stYrOpBudget'!$H$4&lt;&gt;"",'6.1stYrOpBudget'!$H$4,"")</f>
        <v/>
      </c>
      <c r="B2" s="6"/>
      <c r="C2" s="6"/>
      <c r="L2" s="1096" t="str">
        <f>IF(SmallSites=TRUE,"Small Sites Project","")</f>
        <v/>
      </c>
    </row>
    <row r="3" spans="1:14" ht="13.2">
      <c r="A3" s="55" t="str">
        <f>IF(LOSP=TRUE,"LOSP Project","")</f>
        <v/>
      </c>
      <c r="B3" s="6"/>
      <c r="C3" s="6"/>
      <c r="K3" s="54" t="s">
        <v>556</v>
      </c>
      <c r="L3" s="529" t="str">
        <f>IF('1.GeneralProjectInfo'!$D$3="","",'1.GeneralProjectInfo'!$D$3)</f>
        <v/>
      </c>
    </row>
    <row r="4" spans="1:14" ht="13.2">
      <c r="A4" s="512" t="s">
        <v>554</v>
      </c>
      <c r="B4" s="524"/>
      <c r="C4" s="524"/>
      <c r="D4" s="521"/>
      <c r="E4" s="521"/>
      <c r="F4" s="521"/>
      <c r="G4" s="521"/>
      <c r="H4" s="521"/>
      <c r="I4" s="521"/>
      <c r="J4" s="521"/>
      <c r="K4" s="521"/>
      <c r="L4" s="522"/>
      <c r="N4" s="5" t="s">
        <v>160</v>
      </c>
    </row>
    <row r="5" spans="1:14" ht="56.25" customHeight="1">
      <c r="A5" s="2179" t="s">
        <v>865</v>
      </c>
      <c r="B5" s="2180"/>
      <c r="C5" s="2180"/>
      <c r="D5" s="2180"/>
      <c r="E5" s="2180"/>
      <c r="F5" s="2180"/>
      <c r="G5" s="2180"/>
      <c r="H5" s="2180"/>
      <c r="I5" s="2180"/>
      <c r="J5" s="2180"/>
      <c r="K5" s="2180"/>
      <c r="L5" s="2181"/>
      <c r="N5" s="5"/>
    </row>
    <row r="6" spans="1:14" ht="18.75" customHeight="1">
      <c r="A6" s="2186" t="s">
        <v>746</v>
      </c>
      <c r="B6" s="2187"/>
      <c r="C6" s="245"/>
      <c r="D6" s="547" t="s">
        <v>153</v>
      </c>
      <c r="E6" s="245" t="s">
        <v>108</v>
      </c>
      <c r="F6" s="248"/>
      <c r="G6" s="248"/>
      <c r="H6" s="248"/>
      <c r="I6" s="248"/>
      <c r="J6" s="248"/>
      <c r="K6" s="248"/>
      <c r="L6" s="479"/>
    </row>
    <row r="7" spans="1:14" ht="13.2">
      <c r="A7" s="2188"/>
      <c r="B7" s="2189"/>
      <c r="C7" s="6">
        <f>RentsUA!$V$11</f>
        <v>2024</v>
      </c>
      <c r="D7" s="548" t="s">
        <v>164</v>
      </c>
      <c r="E7" s="549"/>
      <c r="F7" s="550" t="s">
        <v>97</v>
      </c>
      <c r="G7" s="550" t="s">
        <v>98</v>
      </c>
      <c r="H7" s="550" t="s">
        <v>735</v>
      </c>
      <c r="I7" s="550" t="s">
        <v>736</v>
      </c>
      <c r="J7" s="550" t="s">
        <v>737</v>
      </c>
      <c r="K7" s="550" t="s">
        <v>738</v>
      </c>
      <c r="L7" s="551" t="s">
        <v>739</v>
      </c>
    </row>
    <row r="8" spans="1:14" ht="13.2">
      <c r="A8" s="2183" t="s">
        <v>864</v>
      </c>
      <c r="B8" s="2184"/>
      <c r="C8" s="2185"/>
      <c r="D8" s="262" t="s">
        <v>116</v>
      </c>
      <c r="E8" s="660" t="s">
        <v>152</v>
      </c>
      <c r="F8" s="552">
        <f>IF($D8="Tenant",VLOOKUP($N8,RentsUA!$U$17:$AB$23,MATCH(F$7,RentsUA!$U$16:$AB$16,0),FALSE),0)</f>
        <v>0</v>
      </c>
      <c r="G8" s="552">
        <f>IF($D8="Tenant",VLOOKUP($N8,RentsUA!$U$17:$AB$23,MATCH(G$7,RentsUA!$U$16:$AB$16,0),FALSE),0)</f>
        <v>13</v>
      </c>
      <c r="H8" s="552">
        <f>IF($D8="Tenant",VLOOKUP($N8,RentsUA!$U$17:$AB$23,MATCH(H$7,RentsUA!$U$16:$AB$16,0),FALSE),0)</f>
        <v>18</v>
      </c>
      <c r="I8" s="552">
        <f>IF($D8="Tenant",VLOOKUP($N8,RentsUA!$U$17:$AB$23,MATCH(I$7,RentsUA!$U$16:$AB$16,0),FALSE),0)</f>
        <v>23</v>
      </c>
      <c r="J8" s="552">
        <f>IF($D8="Tenant",VLOOKUP($N8,RentsUA!$U$17:$AB$23,MATCH(J$7,RentsUA!$U$16:$AB$16,0),FALSE),0)</f>
        <v>28</v>
      </c>
      <c r="K8" s="552">
        <f>IF($D8="Tenant",VLOOKUP($N8,RentsUA!$U$17:$AB$23,MATCH(K$7,RentsUA!$U$16:$AB$16,0),FALSE),0)</f>
        <v>36</v>
      </c>
      <c r="L8" s="552">
        <f>IF($D8="Tenant",VLOOKUP($N8,RentsUA!$U$17:$AB$23,MATCH(L$7,RentsUA!$U$16:$AB$16,0),FALSE),0)</f>
        <v>41</v>
      </c>
      <c r="N8" t="str">
        <f>IF(D8="Tenant",IF(E8="Natural Gas",CONCATENATE(1,"a"),IF(E8="Electric",CONCATENATE(1,"b"))),"")</f>
        <v>1b</v>
      </c>
    </row>
    <row r="9" spans="1:14" ht="13.2">
      <c r="A9" s="2183" t="s">
        <v>863</v>
      </c>
      <c r="B9" s="2184"/>
      <c r="C9" s="2185"/>
      <c r="D9" s="262" t="s">
        <v>116</v>
      </c>
      <c r="E9" s="660" t="s">
        <v>152</v>
      </c>
      <c r="F9" s="553">
        <f>IF($D9="Tenant",VLOOKUP($N9,RentsUA!$U$17:$AB$23,MATCH(F$7,RentsUA!$U$16:$AB$16,0),FALSE),0)</f>
        <v>0</v>
      </c>
      <c r="G9" s="553">
        <f>IF($D9="Tenant",VLOOKUP($N9,RentsUA!$U$17:$AB$23,MATCH(G$7,RentsUA!$U$16:$AB$16,0),FALSE),0)</f>
        <v>18</v>
      </c>
      <c r="H9" s="553">
        <f>IF($D9="Tenant",VLOOKUP($N9,RentsUA!$U$17:$AB$23,MATCH(H$7,RentsUA!$U$16:$AB$16,0),FALSE),0)</f>
        <v>25</v>
      </c>
      <c r="I9" s="553">
        <f>IF($D9="Tenant",VLOOKUP($N9,RentsUA!$U$17:$AB$23,MATCH(I$7,RentsUA!$U$16:$AB$16,0),FALSE),0)</f>
        <v>33</v>
      </c>
      <c r="J9" s="553">
        <f>IF($D9="Tenant",VLOOKUP($N9,RentsUA!$U$17:$AB$23,MATCH(J$7,RentsUA!$U$16:$AB$16,0),FALSE),0)</f>
        <v>40</v>
      </c>
      <c r="K9" s="553">
        <f>IF($D9="Tenant",VLOOKUP($N9,RentsUA!$U$17:$AB$23,MATCH(K$7,RentsUA!$U$16:$AB$16,0),FALSE),0)</f>
        <v>51</v>
      </c>
      <c r="L9" s="553">
        <f>IF($D9="Tenant",VLOOKUP($N9,RentsUA!$U$17:$AB$23,MATCH(L$7,RentsUA!$U$16:$AB$16,0),FALSE),0)</f>
        <v>58</v>
      </c>
      <c r="N9" t="str">
        <f>IF(D9="Tenant",IF(E9="Natural Gas",CONCATENATE(2,"a"),IF(E9="Electric",CONCATENATE(2,"b"))),"")</f>
        <v>2b</v>
      </c>
    </row>
    <row r="10" spans="1:14" ht="13.2">
      <c r="A10" s="2183" t="s">
        <v>862</v>
      </c>
      <c r="B10" s="2184"/>
      <c r="C10" s="2185"/>
      <c r="D10" s="262" t="s">
        <v>116</v>
      </c>
      <c r="E10" s="556"/>
      <c r="F10" s="553">
        <f>IF($D10="Tenant",VLOOKUP($N10,RentsUA!$U$17:$AB$23,MATCH(F$7,RentsUA!$U$16:$AB$16,0),FALSE),0)</f>
        <v>0</v>
      </c>
      <c r="G10" s="553">
        <f>IF($D10="Tenant",VLOOKUP($N10,RentsUA!$U$17:$AB$23,MATCH(G$7,RentsUA!$U$16:$AB$16,0),FALSE),0)</f>
        <v>52</v>
      </c>
      <c r="H10" s="553">
        <f>IF($D10="Tenant",VLOOKUP($N10,RentsUA!$U$17:$AB$23,MATCH(H$7,RentsUA!$U$16:$AB$16,0),FALSE),0)</f>
        <v>73</v>
      </c>
      <c r="I10" s="553">
        <f>IF($D10="Tenant",VLOOKUP($N10,RentsUA!$U$17:$AB$23,MATCH(I$7,RentsUA!$U$16:$AB$16,0),FALSE),0)</f>
        <v>94</v>
      </c>
      <c r="J10" s="553">
        <f>IF($D10="Tenant",VLOOKUP($N10,RentsUA!$U$17:$AB$23,MATCH(J$7,RentsUA!$U$16:$AB$16,0),FALSE),0)</f>
        <v>115</v>
      </c>
      <c r="K10" s="553">
        <f>IF($D10="Tenant",VLOOKUP($N10,RentsUA!$U$17:$AB$23,MATCH(K$7,RentsUA!$U$16:$AB$16,0),FALSE),0)</f>
        <v>147</v>
      </c>
      <c r="L10" s="553">
        <f>IF($D10="Tenant",VLOOKUP($N10,RentsUA!$U$17:$AB$23,MATCH(L$7,RentsUA!$U$16:$AB$16,0),FALSE),0)</f>
        <v>168</v>
      </c>
      <c r="N10">
        <f>IF(D10="","",IF(D10="Tenant",3,IF(D10="Owner","")))</f>
        <v>3</v>
      </c>
    </row>
    <row r="11" spans="1:14" ht="13.2">
      <c r="A11" s="2183" t="s">
        <v>861</v>
      </c>
      <c r="B11" s="2184"/>
      <c r="C11" s="2185"/>
      <c r="D11" s="262" t="s">
        <v>116</v>
      </c>
      <c r="E11" s="660" t="s">
        <v>152</v>
      </c>
      <c r="F11" s="553">
        <f>IF($D11="Tenant",VLOOKUP($N11,RentsUA!$U$17:$AB$23,MATCH(F$7,RentsUA!$U$16:$AB$16,0),FALSE),0)</f>
        <v>0</v>
      </c>
      <c r="G11" s="553">
        <f>IF($D11="Tenant",VLOOKUP($N11,RentsUA!$U$17:$AB$23,MATCH(G$7,RentsUA!$U$16:$AB$16,0),FALSE),0)</f>
        <v>47</v>
      </c>
      <c r="H11" s="553">
        <f>IF($D11="Tenant",VLOOKUP($N11,RentsUA!$U$17:$AB$23,MATCH(H$7,RentsUA!$U$16:$AB$16,0),FALSE),0)</f>
        <v>66</v>
      </c>
      <c r="I11" s="553">
        <f>IF($D11="Tenant",VLOOKUP($N11,RentsUA!$U$17:$AB$23,MATCH(I$7,RentsUA!$U$16:$AB$16,0),FALSE),0)</f>
        <v>84</v>
      </c>
      <c r="J11" s="553">
        <f>IF($D11="Tenant",VLOOKUP($N11,RentsUA!$U$17:$AB$23,MATCH(J$7,RentsUA!$U$16:$AB$16,0),FALSE),0)</f>
        <v>103</v>
      </c>
      <c r="K11" s="553">
        <f>IF($D11="Tenant",VLOOKUP($N11,RentsUA!$U$17:$AB$23,MATCH(K$7,RentsUA!$U$16:$AB$16,0),FALSE),0)</f>
        <v>131</v>
      </c>
      <c r="L11" s="553">
        <f>IF($D11="Tenant",VLOOKUP($N11,RentsUA!$U$17:$AB$23,MATCH(L$7,RentsUA!$U$16:$AB$16,0),FALSE),0)</f>
        <v>150</v>
      </c>
      <c r="N11" t="str">
        <f>IF(D11="Tenant",IF(E11="Natural Gas",CONCATENATE(4,"a"),IF(E11="Electric",CONCATENATE(4,"b"))),"")</f>
        <v>4b</v>
      </c>
    </row>
    <row r="12" spans="1:14" ht="13.8" thickBot="1">
      <c r="A12" s="2183" t="s">
        <v>228</v>
      </c>
      <c r="B12" s="2184"/>
      <c r="C12" s="2185"/>
      <c r="D12" s="2177"/>
      <c r="E12" s="2178"/>
      <c r="F12" s="554"/>
      <c r="G12" s="554"/>
      <c r="H12" s="554"/>
      <c r="I12" s="554"/>
      <c r="J12" s="554"/>
      <c r="K12" s="554"/>
      <c r="L12" s="554"/>
    </row>
    <row r="13" spans="1:14" ht="13.8" thickTop="1">
      <c r="A13" s="263" t="s">
        <v>860</v>
      </c>
      <c r="B13" s="264"/>
      <c r="C13" s="264"/>
      <c r="D13" s="265"/>
      <c r="E13" s="265"/>
      <c r="F13" s="555">
        <f>SUM(F8:F12)</f>
        <v>0</v>
      </c>
      <c r="G13" s="555">
        <f t="shared" ref="G13:L13" si="0">SUM(G8:G12)</f>
        <v>130</v>
      </c>
      <c r="H13" s="555">
        <f t="shared" si="0"/>
        <v>182</v>
      </c>
      <c r="I13" s="555">
        <f t="shared" si="0"/>
        <v>234</v>
      </c>
      <c r="J13" s="555">
        <f t="shared" si="0"/>
        <v>286</v>
      </c>
      <c r="K13" s="555">
        <f t="shared" si="0"/>
        <v>365</v>
      </c>
      <c r="L13" s="555">
        <f t="shared" si="0"/>
        <v>417</v>
      </c>
    </row>
    <row r="14" spans="1:14" ht="21" customHeight="1">
      <c r="A14" s="525" t="str">
        <f>RentsUA!$S$27</f>
        <v>Utility Allowances approved for the San Francisco Housing Authority, effective 1/1/2024:</v>
      </c>
      <c r="B14" s="6"/>
      <c r="C14" s="6"/>
      <c r="F14" s="290"/>
      <c r="G14" s="290"/>
      <c r="H14" s="290"/>
      <c r="I14" s="290"/>
      <c r="J14" s="290"/>
      <c r="K14" s="290"/>
      <c r="L14" s="526"/>
    </row>
    <row r="15" spans="1:14" ht="13.2">
      <c r="A15" s="246"/>
      <c r="B15" s="247"/>
      <c r="C15" s="247"/>
      <c r="D15" s="250"/>
      <c r="E15" s="250"/>
      <c r="F15" s="527"/>
      <c r="G15" s="527"/>
      <c r="H15" s="527"/>
      <c r="I15" s="527"/>
      <c r="J15" s="527"/>
      <c r="K15" s="527"/>
      <c r="L15" s="528"/>
    </row>
    <row r="16" spans="1:14" ht="13.2">
      <c r="A16" s="512" t="s">
        <v>555</v>
      </c>
      <c r="B16" s="521"/>
      <c r="C16" s="521"/>
      <c r="D16" s="521"/>
      <c r="E16" s="521"/>
      <c r="F16" s="521"/>
      <c r="G16" s="521"/>
      <c r="H16" s="521"/>
      <c r="I16" s="521"/>
      <c r="J16" s="521"/>
      <c r="K16" s="521"/>
      <c r="L16" s="522"/>
    </row>
    <row r="17" spans="1:14" ht="29.25" customHeight="1">
      <c r="A17" s="2182" t="s">
        <v>1223</v>
      </c>
      <c r="B17" s="2175"/>
      <c r="C17" s="2175"/>
      <c r="D17" s="2175"/>
      <c r="E17" s="2175"/>
      <c r="F17" s="2175"/>
      <c r="G17" s="2175"/>
      <c r="H17" s="2175"/>
      <c r="I17" s="2175"/>
      <c r="J17" s="2175"/>
      <c r="K17" s="2175"/>
      <c r="L17" s="484"/>
    </row>
    <row r="18" spans="1:14" ht="21.75" customHeight="1">
      <c r="A18" s="523" t="s">
        <v>176</v>
      </c>
      <c r="B18" s="252"/>
      <c r="C18" s="253"/>
      <c r="H18" s="252" t="s">
        <v>14</v>
      </c>
      <c r="L18" s="484"/>
    </row>
    <row r="19" spans="1:14" ht="13.2">
      <c r="A19" s="2165" t="s">
        <v>266</v>
      </c>
      <c r="B19" s="2166"/>
      <c r="C19" s="2166"/>
      <c r="D19" s="2167"/>
      <c r="E19" s="286"/>
      <c r="H19" s="661" t="s">
        <v>636</v>
      </c>
      <c r="I19" s="254"/>
      <c r="J19" s="254"/>
      <c r="K19" s="255"/>
      <c r="L19" s="667" t="s">
        <v>633</v>
      </c>
      <c r="N19" s="829"/>
    </row>
    <row r="20" spans="1:14" ht="13.2">
      <c r="A20" s="2165" t="s">
        <v>177</v>
      </c>
      <c r="B20" s="2166"/>
      <c r="C20" s="2166"/>
      <c r="D20" s="2167"/>
      <c r="E20" s="287"/>
      <c r="H20" s="2105"/>
      <c r="I20" s="2106"/>
      <c r="J20" s="2106"/>
      <c r="K20" s="2107"/>
      <c r="L20" s="262"/>
      <c r="N20" s="829"/>
    </row>
    <row r="21" spans="1:14" ht="13.8" thickBot="1">
      <c r="A21" s="2165" t="s">
        <v>741</v>
      </c>
      <c r="B21" s="2166"/>
      <c r="C21" s="2166"/>
      <c r="D21" s="2167"/>
      <c r="E21" s="809">
        <f>E19*E20</f>
        <v>0</v>
      </c>
      <c r="H21" s="2105"/>
      <c r="I21" s="2106"/>
      <c r="J21" s="2106"/>
      <c r="K21" s="2107"/>
      <c r="L21" s="262"/>
      <c r="N21" s="829"/>
    </row>
    <row r="22" spans="1:14" ht="13.8" thickBot="1">
      <c r="A22" s="2168" t="s">
        <v>178</v>
      </c>
      <c r="B22" s="2169"/>
      <c r="C22" s="2169"/>
      <c r="D22" s="2170"/>
      <c r="E22" s="288">
        <f>E21*12</f>
        <v>0</v>
      </c>
      <c r="F22" s="345"/>
      <c r="H22" s="2105"/>
      <c r="I22" s="2106"/>
      <c r="J22" s="2106"/>
      <c r="K22" s="2107"/>
      <c r="L22" s="262"/>
      <c r="N22" s="829"/>
    </row>
    <row r="23" spans="1:14" ht="13.2">
      <c r="A23" s="244"/>
      <c r="B23" s="6"/>
      <c r="F23" s="289"/>
      <c r="H23" s="2105"/>
      <c r="I23" s="2106"/>
      <c r="J23" s="2106"/>
      <c r="K23" s="2107"/>
      <c r="L23" s="262"/>
      <c r="N23" s="829"/>
    </row>
    <row r="24" spans="1:14" ht="13.8" thickBot="1">
      <c r="A24" s="523" t="s">
        <v>10</v>
      </c>
      <c r="B24" s="252"/>
      <c r="F24" s="289"/>
      <c r="H24" s="2165" t="s">
        <v>743</v>
      </c>
      <c r="I24" s="2166"/>
      <c r="J24" s="2166"/>
      <c r="K24" s="2167"/>
      <c r="L24" s="809">
        <f>SUM(L20:L23)</f>
        <v>0</v>
      </c>
      <c r="M24" s="345"/>
      <c r="N24" s="289"/>
    </row>
    <row r="25" spans="1:14" ht="12.75" customHeight="1" thickBot="1">
      <c r="A25" s="1315" t="s">
        <v>287</v>
      </c>
      <c r="B25" s="666"/>
      <c r="C25" s="666"/>
      <c r="D25" s="666"/>
      <c r="E25" s="666"/>
      <c r="F25" s="666"/>
      <c r="H25" s="2168" t="s">
        <v>306</v>
      </c>
      <c r="I25" s="2169"/>
      <c r="J25" s="2169"/>
      <c r="K25" s="2170"/>
      <c r="L25" s="669">
        <f>L24*12</f>
        <v>0</v>
      </c>
    </row>
    <row r="26" spans="1:14" ht="13.2">
      <c r="A26" s="1316" t="s">
        <v>288</v>
      </c>
      <c r="B26" s="511"/>
      <c r="C26" s="511"/>
      <c r="D26" s="511"/>
      <c r="E26" s="511"/>
      <c r="F26" s="510"/>
      <c r="L26" s="484"/>
      <c r="N26" s="289"/>
    </row>
    <row r="27" spans="1:14" ht="13.2">
      <c r="A27" s="2168" t="s">
        <v>634</v>
      </c>
      <c r="B27" s="2169"/>
      <c r="C27" s="2169"/>
      <c r="D27" s="2174"/>
      <c r="E27" s="667" t="s">
        <v>633</v>
      </c>
      <c r="F27" s="510"/>
      <c r="H27" s="252" t="s">
        <v>188</v>
      </c>
      <c r="I27" s="252"/>
      <c r="L27" s="484"/>
      <c r="N27" s="289"/>
    </row>
    <row r="28" spans="1:14" ht="13.2">
      <c r="A28" s="2105"/>
      <c r="B28" s="2106"/>
      <c r="C28" s="2106"/>
      <c r="D28" s="2107"/>
      <c r="E28" s="396"/>
      <c r="F28" s="249"/>
      <c r="H28" s="1317" t="s">
        <v>289</v>
      </c>
      <c r="I28" s="82"/>
      <c r="L28" s="484"/>
      <c r="N28" s="289"/>
    </row>
    <row r="29" spans="1:14" ht="13.2">
      <c r="A29" s="2105"/>
      <c r="B29" s="2106"/>
      <c r="C29" s="2106"/>
      <c r="D29" s="2107"/>
      <c r="E29" s="396"/>
      <c r="H29" s="1317" t="s">
        <v>290</v>
      </c>
      <c r="L29" s="484"/>
    </row>
    <row r="30" spans="1:14" ht="13.2">
      <c r="A30" s="2105"/>
      <c r="B30" s="2106"/>
      <c r="C30" s="2106"/>
      <c r="D30" s="2107"/>
      <c r="E30" s="396"/>
      <c r="H30" s="1317" t="s">
        <v>291</v>
      </c>
      <c r="L30" s="484"/>
    </row>
    <row r="31" spans="1:14" ht="13.2">
      <c r="A31" s="2105"/>
      <c r="B31" s="2106"/>
      <c r="C31" s="2106"/>
      <c r="D31" s="2107"/>
      <c r="E31" s="396"/>
      <c r="H31" s="1317" t="s">
        <v>587</v>
      </c>
      <c r="L31" s="484"/>
    </row>
    <row r="32" spans="1:14" ht="13.8" thickBot="1">
      <c r="A32" s="2165" t="s">
        <v>855</v>
      </c>
      <c r="B32" s="2166"/>
      <c r="C32" s="2166"/>
      <c r="D32" s="2167"/>
      <c r="E32" s="809">
        <f>SUM(E28:E31)</f>
        <v>0</v>
      </c>
      <c r="F32" s="345"/>
      <c r="H32" s="661" t="s">
        <v>637</v>
      </c>
      <c r="I32" s="254"/>
      <c r="J32" s="254"/>
      <c r="K32" s="255"/>
      <c r="L32" s="667" t="s">
        <v>633</v>
      </c>
      <c r="N32" s="829"/>
    </row>
    <row r="33" spans="1:14" ht="13.8" thickBot="1">
      <c r="A33" s="661" t="s">
        <v>200</v>
      </c>
      <c r="B33" s="662"/>
      <c r="C33" s="254"/>
      <c r="D33" s="254"/>
      <c r="E33" s="288">
        <f>SUM(E28:E31)*12</f>
        <v>0</v>
      </c>
      <c r="F33" s="289"/>
      <c r="H33" s="2105"/>
      <c r="I33" s="2106"/>
      <c r="J33" s="2106"/>
      <c r="K33" s="2107"/>
      <c r="L33" s="262"/>
      <c r="N33" s="829"/>
    </row>
    <row r="34" spans="1:14" ht="13.2">
      <c r="A34" s="492"/>
      <c r="B34" s="6"/>
      <c r="F34" s="289"/>
      <c r="H34" s="2105"/>
      <c r="I34" s="2106"/>
      <c r="J34" s="2106"/>
      <c r="K34" s="2107"/>
      <c r="L34" s="262"/>
      <c r="N34" s="829"/>
    </row>
    <row r="35" spans="1:14" ht="13.2">
      <c r="A35" s="523" t="s">
        <v>172</v>
      </c>
      <c r="B35" s="252"/>
      <c r="C35" s="256"/>
      <c r="H35" s="2105"/>
      <c r="I35" s="2106"/>
      <c r="J35" s="2106"/>
      <c r="K35" s="2107"/>
      <c r="L35" s="262"/>
      <c r="N35" s="829"/>
    </row>
    <row r="36" spans="1:14" ht="13.2">
      <c r="A36" s="2171" t="s">
        <v>173</v>
      </c>
      <c r="B36" s="2172"/>
      <c r="C36" s="2172"/>
      <c r="D36" s="2173"/>
      <c r="E36" s="396"/>
      <c r="H36" s="2105"/>
      <c r="I36" s="2106"/>
      <c r="J36" s="2106"/>
      <c r="K36" s="2107"/>
      <c r="L36" s="262"/>
      <c r="M36" s="345"/>
      <c r="N36" s="289"/>
    </row>
    <row r="37" spans="1:14" ht="13.8" thickBot="1">
      <c r="A37" s="2171" t="s">
        <v>174</v>
      </c>
      <c r="B37" s="2172"/>
      <c r="C37" s="2172"/>
      <c r="D37" s="2173"/>
      <c r="E37" s="810"/>
      <c r="F37" s="345"/>
      <c r="H37" s="2165" t="s">
        <v>744</v>
      </c>
      <c r="I37" s="2166"/>
      <c r="J37" s="2166"/>
      <c r="K37" s="2167"/>
      <c r="L37" s="809">
        <f>SUM(L33:L36)</f>
        <v>0</v>
      </c>
    </row>
    <row r="38" spans="1:14" ht="13.8" thickBot="1">
      <c r="A38" s="661" t="s">
        <v>175</v>
      </c>
      <c r="B38" s="662"/>
      <c r="C38" s="254"/>
      <c r="D38" s="254"/>
      <c r="E38" s="288">
        <f>+E37*E36*52</f>
        <v>0</v>
      </c>
      <c r="F38" s="289"/>
      <c r="H38" s="2168" t="s">
        <v>201</v>
      </c>
      <c r="I38" s="2169"/>
      <c r="J38" s="2169"/>
      <c r="K38" s="2170"/>
      <c r="L38" s="669">
        <f>L37*12</f>
        <v>0</v>
      </c>
      <c r="N38" s="289"/>
    </row>
    <row r="39" spans="1:14" ht="13.2">
      <c r="F39" s="289"/>
      <c r="L39" s="484"/>
      <c r="N39" s="289"/>
    </row>
    <row r="40" spans="1:14" ht="13.2">
      <c r="A40" s="492"/>
      <c r="B40" s="6"/>
      <c r="F40" s="289"/>
      <c r="H40" s="252" t="s">
        <v>184</v>
      </c>
      <c r="I40" s="252"/>
      <c r="L40" s="484"/>
      <c r="N40" s="289"/>
    </row>
    <row r="41" spans="1:14" ht="13.2">
      <c r="A41" s="523" t="s">
        <v>12</v>
      </c>
      <c r="B41" s="6"/>
      <c r="H41" s="2175" t="s">
        <v>638</v>
      </c>
      <c r="I41" s="2175"/>
      <c r="J41" s="2175"/>
      <c r="K41" s="2175"/>
      <c r="L41" s="2176"/>
    </row>
    <row r="42" spans="1:14" ht="13.2">
      <c r="A42" s="661" t="s">
        <v>635</v>
      </c>
      <c r="B42" s="662"/>
      <c r="C42" s="254"/>
      <c r="D42" s="254"/>
      <c r="E42" s="668" t="s">
        <v>633</v>
      </c>
      <c r="H42" s="661" t="s">
        <v>640</v>
      </c>
      <c r="I42" s="254"/>
      <c r="J42" s="254"/>
      <c r="K42" s="255"/>
      <c r="L42" s="667" t="s">
        <v>633</v>
      </c>
      <c r="N42" s="829"/>
    </row>
    <row r="43" spans="1:14" ht="14.25" customHeight="1">
      <c r="A43" s="2105"/>
      <c r="B43" s="2106"/>
      <c r="C43" s="2106"/>
      <c r="D43" s="2107"/>
      <c r="E43" s="396"/>
      <c r="H43" s="2105"/>
      <c r="I43" s="2106"/>
      <c r="J43" s="2106"/>
      <c r="K43" s="2107"/>
      <c r="L43" s="262"/>
      <c r="N43" s="829"/>
    </row>
    <row r="44" spans="1:14" ht="13.2">
      <c r="A44" s="2105"/>
      <c r="B44" s="2106"/>
      <c r="C44" s="2106"/>
      <c r="D44" s="2107"/>
      <c r="E44" s="396"/>
      <c r="H44" s="2105"/>
      <c r="I44" s="2106"/>
      <c r="J44" s="2106"/>
      <c r="K44" s="2107"/>
      <c r="L44" s="262"/>
      <c r="N44" s="829"/>
    </row>
    <row r="45" spans="1:14" ht="13.2">
      <c r="A45" s="2105"/>
      <c r="B45" s="2106"/>
      <c r="C45" s="2106"/>
      <c r="D45" s="2107"/>
      <c r="E45" s="396"/>
      <c r="F45" s="345"/>
      <c r="H45" s="2105"/>
      <c r="I45" s="2106"/>
      <c r="J45" s="2106"/>
      <c r="K45" s="2107"/>
      <c r="L45" s="262"/>
      <c r="N45" s="829"/>
    </row>
    <row r="46" spans="1:14" ht="13.2">
      <c r="A46" s="2105"/>
      <c r="B46" s="2106"/>
      <c r="C46" s="2106"/>
      <c r="D46" s="2107"/>
      <c r="E46" s="396"/>
      <c r="F46" s="249"/>
      <c r="G46" s="484"/>
      <c r="H46" s="2105"/>
      <c r="I46" s="2106"/>
      <c r="J46" s="2106"/>
      <c r="K46" s="2107"/>
      <c r="L46" s="262"/>
      <c r="M46" s="345"/>
      <c r="N46" s="289"/>
    </row>
    <row r="47" spans="1:14" ht="13.8" thickBot="1">
      <c r="A47" s="2165" t="s">
        <v>742</v>
      </c>
      <c r="B47" s="2166"/>
      <c r="C47" s="2166"/>
      <c r="D47" s="2167"/>
      <c r="E47" s="809">
        <f>SUM(E43:E46)</f>
        <v>0</v>
      </c>
      <c r="H47" s="2165" t="s">
        <v>856</v>
      </c>
      <c r="I47" s="2166"/>
      <c r="J47" s="2166"/>
      <c r="K47" s="2167"/>
      <c r="L47" s="809">
        <f>SUM(L43:L46)</f>
        <v>0</v>
      </c>
      <c r="M47" s="345"/>
      <c r="N47" s="289"/>
    </row>
    <row r="48" spans="1:14" ht="12.75" customHeight="1" thickBot="1">
      <c r="A48" s="661" t="s">
        <v>305</v>
      </c>
      <c r="B48" s="662"/>
      <c r="C48" s="254"/>
      <c r="D48" s="254"/>
      <c r="E48" s="288">
        <f>E47*12</f>
        <v>0</v>
      </c>
      <c r="H48" s="2168" t="s">
        <v>639</v>
      </c>
      <c r="I48" s="2169"/>
      <c r="J48" s="2169"/>
      <c r="K48" s="2170"/>
      <c r="L48" s="670">
        <f>L47*12</f>
        <v>0</v>
      </c>
    </row>
    <row r="49" spans="8:12" ht="12.75" hidden="1" customHeight="1">
      <c r="H49" s="6"/>
      <c r="I49" s="6"/>
      <c r="L49" s="289"/>
    </row>
    <row r="50" spans="8:12" ht="12.75" hidden="1" customHeight="1"/>
    <row r="51" spans="8:12" ht="12.75" hidden="1" customHeight="1"/>
    <row r="52" spans="8:12" ht="12.75" hidden="1" customHeight="1"/>
    <row r="53" spans="8:12" ht="12.75" hidden="1" customHeight="1"/>
    <row r="54" spans="8:12" ht="12.75" hidden="1" customHeight="1"/>
    <row r="55" spans="8:12" ht="12.75" hidden="1" customHeight="1"/>
    <row r="56" spans="8:12" ht="12.75" hidden="1" customHeight="1"/>
    <row r="57" spans="8:12" ht="12.75" hidden="1" customHeight="1"/>
    <row r="58" spans="8:12" ht="12.75" hidden="1" customHeight="1"/>
    <row r="59" spans="8:12" ht="12.75" hidden="1" customHeight="1"/>
    <row r="60" spans="8:12" ht="12.75" hidden="1" customHeight="1"/>
    <row r="61" spans="8:12" ht="12.75" hidden="1" customHeight="1"/>
    <row r="62" spans="8:12" ht="12.75" hidden="1" customHeight="1"/>
    <row r="63" spans="8:12" ht="12.75" hidden="1" customHeight="1"/>
    <row r="64" spans="8:12" ht="12.75" hidden="1" customHeight="1"/>
    <row r="65" ht="12.75" hidden="1" customHeight="1"/>
    <row r="66" ht="12.75" hidden="1" customHeight="1"/>
    <row r="67" ht="12.75" hidden="1" customHeight="1"/>
    <row r="68" ht="12.75" hidden="1" customHeight="1"/>
    <row r="69" ht="12.75" hidden="1" customHeight="1"/>
    <row r="70" ht="12.75" hidden="1" customHeight="1"/>
    <row r="71" ht="12.75" hidden="1" customHeight="1"/>
    <row r="72" ht="12.75" hidden="1" customHeight="1"/>
    <row r="73" ht="12.75" hidden="1" customHeight="1"/>
    <row r="74" ht="12.75" hidden="1" customHeight="1"/>
    <row r="75" ht="12.75" hidden="1" customHeight="1"/>
    <row r="76" ht="12.75" hidden="1" customHeight="1"/>
    <row r="77" ht="12.75" hidden="1" customHeight="1"/>
    <row r="78" ht="12.75" hidden="1" customHeight="1"/>
    <row r="79" ht="12.75" hidden="1" customHeight="1"/>
    <row r="80" ht="12.75" hidden="1" customHeight="1"/>
    <row r="81" ht="12.75" hidden="1" customHeight="1"/>
    <row r="82" ht="12.75" hidden="1" customHeight="1"/>
    <row r="83" ht="12.75" hidden="1" customHeight="1"/>
    <row r="84" ht="12.75" hidden="1" customHeight="1"/>
    <row r="85" ht="12.75" hidden="1" customHeight="1"/>
    <row r="86" ht="12.75" hidden="1" customHeight="1"/>
    <row r="87" ht="12.75" hidden="1" customHeight="1"/>
    <row r="88" ht="12.75" hidden="1" customHeight="1"/>
    <row r="89" ht="12.75" hidden="1" customHeight="1"/>
    <row r="90" ht="12.75" hidden="1" customHeight="1"/>
    <row r="91" ht="12.75" hidden="1" customHeight="1"/>
    <row r="92" ht="12.75" hidden="1" customHeight="1"/>
    <row r="93" ht="12.75" hidden="1" customHeight="1"/>
    <row r="94" ht="12.75" hidden="1" customHeight="1"/>
    <row r="95" ht="12.75" hidden="1" customHeight="1"/>
    <row r="96" ht="12.75" hidden="1" customHeight="1"/>
    <row r="97" ht="12.75" hidden="1" customHeight="1"/>
    <row r="98" ht="12.75" hidden="1" customHeight="1"/>
    <row r="99" ht="12.75" hidden="1" customHeight="1"/>
    <row r="100" ht="12.75" hidden="1" customHeight="1"/>
    <row r="101" ht="12.75" hidden="1" customHeight="1"/>
    <row r="102" ht="12.75" hidden="1" customHeight="1"/>
    <row r="103" ht="12.75" hidden="1" customHeight="1"/>
    <row r="104" ht="12.75" hidden="1" customHeight="1"/>
    <row r="105" ht="12.75" hidden="1" customHeight="1"/>
    <row r="106" ht="12.75" hidden="1" customHeight="1"/>
    <row r="107" ht="12.75" hidden="1" customHeight="1"/>
    <row r="108" ht="12.75" hidden="1" customHeight="1"/>
    <row r="109" ht="12.75" hidden="1" customHeight="1"/>
    <row r="110" ht="12.75" hidden="1" customHeight="1"/>
    <row r="111" ht="12.75" hidden="1" customHeight="1"/>
    <row r="112" ht="12.75" hidden="1" customHeight="1"/>
    <row r="113" ht="12.75" hidden="1" customHeight="1"/>
    <row r="114" ht="12.75" hidden="1" customHeight="1"/>
    <row r="115" ht="12.75" hidden="1" customHeight="1"/>
    <row r="116" ht="12.75" hidden="1" customHeight="1"/>
    <row r="117" ht="12.75" hidden="1" customHeight="1"/>
    <row r="118" ht="12.75" hidden="1" customHeight="1"/>
    <row r="119" ht="12.75" hidden="1" customHeight="1"/>
    <row r="120" ht="12.75" hidden="1" customHeight="1"/>
    <row r="121" ht="12.75" hidden="1" customHeight="1"/>
    <row r="122" ht="12.75" hidden="1" customHeight="1"/>
    <row r="123" ht="12.75" hidden="1" customHeight="1"/>
    <row r="124" ht="12.75" hidden="1" customHeight="1"/>
    <row r="125" ht="12.75" hidden="1" customHeight="1"/>
    <row r="126" ht="12.75" hidden="1" customHeight="1"/>
    <row r="127" ht="12.75" hidden="1" customHeight="1"/>
    <row r="128" ht="12.75" hidden="1" customHeight="1"/>
    <row r="129" ht="12.75" hidden="1" customHeight="1"/>
    <row r="130" ht="12.75" hidden="1" customHeight="1"/>
    <row r="131" ht="12.75" hidden="1" customHeight="1"/>
    <row r="132" ht="12.75" hidden="1" customHeight="1"/>
    <row r="133" ht="12.75" hidden="1" customHeight="1"/>
    <row r="134" ht="12.75" hidden="1" customHeight="1"/>
    <row r="135" ht="12.75" hidden="1" customHeight="1"/>
    <row r="136" ht="12.75" hidden="1" customHeight="1"/>
    <row r="137" ht="12.75" hidden="1" customHeight="1"/>
    <row r="138" ht="12.75" hidden="1" customHeight="1"/>
    <row r="139" ht="12.75" hidden="1" customHeight="1"/>
    <row r="140" ht="12.75" hidden="1" customHeight="1"/>
    <row r="141" ht="12.75" hidden="1" customHeight="1"/>
    <row r="142" ht="12.75" hidden="1" customHeight="1"/>
    <row r="143" ht="12.75" hidden="1" customHeight="1"/>
    <row r="144" ht="12.75" hidden="1" customHeight="1"/>
    <row r="145" ht="12.75" hidden="1" customHeight="1"/>
    <row r="146" ht="12.75" hidden="1" customHeight="1"/>
    <row r="147" ht="12.75" hidden="1" customHeight="1"/>
    <row r="148" ht="12.75" hidden="1" customHeight="1"/>
    <row r="149" ht="12.75" hidden="1" customHeight="1"/>
    <row r="150" ht="12.75" hidden="1" customHeight="1"/>
    <row r="151" ht="12.75" hidden="1" customHeight="1"/>
    <row r="152" ht="12.75" hidden="1" customHeight="1"/>
    <row r="153" ht="12.75" hidden="1" customHeight="1"/>
    <row r="154" ht="12.75" hidden="1" customHeight="1"/>
    <row r="155" ht="12.75" hidden="1" customHeight="1"/>
    <row r="156" ht="12.75" hidden="1" customHeight="1"/>
    <row r="157" ht="12.75" hidden="1" customHeight="1"/>
    <row r="158" ht="12.75" hidden="1" customHeight="1"/>
    <row r="159" ht="12.75" hidden="1" customHeight="1"/>
    <row r="160" ht="12.75" hidden="1" customHeight="1"/>
    <row r="161" ht="12.75" hidden="1" customHeight="1"/>
    <row r="162" ht="12.75" hidden="1" customHeight="1"/>
    <row r="163" ht="12.75" hidden="1" customHeight="1"/>
    <row r="164" ht="12.75" hidden="1" customHeight="1"/>
    <row r="165" ht="12.75" hidden="1" customHeight="1"/>
    <row r="166" ht="12.75" hidden="1" customHeight="1"/>
    <row r="167" ht="12.75" hidden="1" customHeight="1"/>
    <row r="168" ht="12.75" hidden="1" customHeight="1"/>
    <row r="169" ht="12.75" hidden="1" customHeight="1"/>
    <row r="170" ht="12.75" hidden="1" customHeight="1"/>
    <row r="171" ht="12.75" hidden="1" customHeight="1"/>
    <row r="172" ht="12.75" hidden="1" customHeight="1"/>
    <row r="173" ht="12.75" hidden="1" customHeight="1"/>
    <row r="174" ht="12.75" hidden="1" customHeight="1"/>
    <row r="175" ht="12.75" hidden="1" customHeight="1"/>
    <row r="176" ht="12.75" hidden="1" customHeight="1"/>
    <row r="177" ht="12.75" hidden="1" customHeight="1"/>
    <row r="178" ht="12.75" hidden="1" customHeight="1"/>
    <row r="179" ht="12.75" hidden="1" customHeight="1"/>
    <row r="180" ht="12.75" hidden="1" customHeight="1"/>
    <row r="181" ht="12.75" hidden="1" customHeight="1"/>
    <row r="182" ht="12.75" hidden="1" customHeight="1"/>
    <row r="183" ht="12.75" hidden="1" customHeight="1"/>
    <row r="184" ht="12.75" hidden="1" customHeight="1"/>
    <row r="185" ht="12.75" hidden="1" customHeight="1"/>
    <row r="186" ht="12.75" hidden="1" customHeight="1"/>
    <row r="187" ht="12.75" hidden="1" customHeight="1"/>
    <row r="188" ht="12.75" hidden="1" customHeight="1"/>
    <row r="189" ht="12.75" hidden="1" customHeight="1"/>
    <row r="190" ht="12.75" hidden="1" customHeight="1"/>
    <row r="191" ht="12.75" hidden="1" customHeight="1"/>
    <row r="192" ht="12.75" hidden="1" customHeight="1"/>
    <row r="193" ht="12.75" hidden="1" customHeight="1"/>
    <row r="194" ht="12.75" hidden="1" customHeight="1"/>
    <row r="195" ht="12.75" hidden="1" customHeight="1"/>
    <row r="196" ht="12.75" hidden="1" customHeight="1"/>
    <row r="197" ht="12.75" hidden="1" customHeight="1"/>
    <row r="198" ht="12.75" hidden="1" customHeight="1"/>
    <row r="199" ht="12.75" hidden="1" customHeight="1"/>
    <row r="200" ht="12.75" hidden="1" customHeight="1"/>
    <row r="201" ht="12.75" hidden="1" customHeight="1"/>
    <row r="202" ht="12.75" hidden="1" customHeight="1"/>
    <row r="203" ht="12.75" hidden="1" customHeight="1"/>
    <row r="204" ht="12.75" hidden="1" customHeight="1"/>
    <row r="205" ht="12.75" hidden="1" customHeight="1"/>
    <row r="206" ht="12.75" hidden="1" customHeight="1"/>
    <row r="207" ht="12.75" hidden="1" customHeight="1"/>
    <row r="208" ht="12.75" hidden="1" customHeight="1"/>
    <row r="209" ht="12.75" hidden="1" customHeight="1"/>
    <row r="210" ht="12.75" hidden="1" customHeight="1"/>
  </sheetData>
  <sheetProtection algorithmName="SHA-512" hashValue="up9Ro5W74RztObc7eclbEc/d0o9o7LDWH68ucwV+oR6Mc1n7ILojBYUjZJHFsvMy/0FTcwWlUuheNlNUSQzWww==" saltValue="NmvnqQ5sqa3ttM9HfuCUAw==" spinCount="100000" sheet="1" objects="1" scenarios="1" selectLockedCells="1"/>
  <dataConsolidate link="1"/>
  <customSheetViews>
    <customSheetView guid="{332023D0-60C3-4A29-9DCC-CDA10E0C090D}" showGridLines="0" hiddenRows="1" hiddenColumns="1">
      <selection activeCell="D8" sqref="D8"/>
      <colBreaks count="1" manualBreakCount="1">
        <brk id="15" max="1048575" man="1"/>
      </colBreaks>
      <pageMargins left="0.7" right="0.7" top="0.75" bottom="0.75" header="0.3" footer="0.3"/>
      <pageSetup scale="82" orientation="landscape" r:id="rId1"/>
      <headerFooter>
        <oddFooter>&amp;R&amp;A</oddFooter>
      </headerFooter>
    </customSheetView>
    <customSheetView guid="{B92ED4D4-4566-4043-8B76-FD708F820076}" showGridLines="0" hiddenRows="1" hiddenColumns="1">
      <selection activeCell="D8" sqref="D8"/>
      <colBreaks count="1" manualBreakCount="1">
        <brk id="15" max="1048575" man="1"/>
      </colBreaks>
      <pageMargins left="0.7" right="0.7" top="0.75" bottom="0.75" header="0.3" footer="0.3"/>
      <pageSetup scale="74" orientation="landscape" r:id="rId2"/>
      <headerFooter>
        <oddFooter>&amp;R&amp;A</oddFooter>
      </headerFooter>
    </customSheetView>
  </customSheetViews>
  <mergeCells count="45">
    <mergeCell ref="H20:K20"/>
    <mergeCell ref="H22:K22"/>
    <mergeCell ref="H23:K23"/>
    <mergeCell ref="H24:K24"/>
    <mergeCell ref="A30:D30"/>
    <mergeCell ref="H25:K25"/>
    <mergeCell ref="H21:K21"/>
    <mergeCell ref="A45:D45"/>
    <mergeCell ref="A46:D46"/>
    <mergeCell ref="H45:K45"/>
    <mergeCell ref="A43:D43"/>
    <mergeCell ref="A44:D44"/>
    <mergeCell ref="D12:E12"/>
    <mergeCell ref="A5:L5"/>
    <mergeCell ref="A17:K17"/>
    <mergeCell ref="A8:C8"/>
    <mergeCell ref="A9:C9"/>
    <mergeCell ref="A10:C10"/>
    <mergeCell ref="A11:C11"/>
    <mergeCell ref="A12:C12"/>
    <mergeCell ref="A6:B7"/>
    <mergeCell ref="A19:D19"/>
    <mergeCell ref="A20:D20"/>
    <mergeCell ref="A21:D21"/>
    <mergeCell ref="A32:D32"/>
    <mergeCell ref="A36:D36"/>
    <mergeCell ref="A28:D28"/>
    <mergeCell ref="A29:D29"/>
    <mergeCell ref="A31:D31"/>
    <mergeCell ref="H47:K47"/>
    <mergeCell ref="H38:K38"/>
    <mergeCell ref="H48:K48"/>
    <mergeCell ref="A37:D37"/>
    <mergeCell ref="A22:D22"/>
    <mergeCell ref="A27:D27"/>
    <mergeCell ref="A47:D47"/>
    <mergeCell ref="H46:K46"/>
    <mergeCell ref="H33:K33"/>
    <mergeCell ref="H34:K34"/>
    <mergeCell ref="H36:K36"/>
    <mergeCell ref="H41:L41"/>
    <mergeCell ref="H35:K35"/>
    <mergeCell ref="H43:K43"/>
    <mergeCell ref="H44:K44"/>
    <mergeCell ref="H37:K37"/>
  </mergeCells>
  <dataValidations count="1">
    <dataValidation type="list" allowBlank="1" showInputMessage="1" showErrorMessage="1" sqref="E8:E9 E11" xr:uid="{00000000-0002-0000-0200-000000000000}">
      <formula1>UtilityType</formula1>
    </dataValidation>
  </dataValidations>
  <pageMargins left="0.7" right="0.7" top="0.75" bottom="0.75" header="0.3" footer="0.3"/>
  <pageSetup scale="72" orientation="landscape" r:id="rId3"/>
  <headerFooter>
    <oddHeader>&amp;CMOHCD Proforma - Utilities &amp; Other Income</oddHeader>
    <oddFooter>&amp;R&amp;P of &amp;N</oddFooter>
  </headerFooter>
  <colBreaks count="1" manualBreakCount="1">
    <brk id="15"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Lists!$J$3:$J$4</xm:f>
          </x14:formula1>
          <xm:sqref>D8:D11</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6"/>
  <dimension ref="A1"/>
  <sheetViews>
    <sheetView workbookViewId="0"/>
  </sheetViews>
  <sheetFormatPr defaultRowHeight="13.2"/>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7"/>
  <dimension ref="A1"/>
  <sheetViews>
    <sheetView workbookViewId="0"/>
  </sheetViews>
  <sheetFormatPr defaultRowHeight="13.2"/>
  <sheetData>
    <row r="1" spans="1:1">
      <c r="A1"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8"/>
  <dimension ref="A1"/>
  <sheetViews>
    <sheetView workbookViewId="0"/>
  </sheetViews>
  <sheetFormatPr defaultRowHeight="13.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rgb="FFA4C09C"/>
    <pageSetUpPr autoPageBreaks="0"/>
  </sheetPr>
  <dimension ref="A1:AC194"/>
  <sheetViews>
    <sheetView showGridLines="0" zoomScaleNormal="100" workbookViewId="0">
      <selection activeCell="E127" sqref="E127"/>
    </sheetView>
  </sheetViews>
  <sheetFormatPr defaultColWidth="0" defaultRowHeight="13.2" outlineLevelRow="1"/>
  <cols>
    <col min="1" max="1" width="7.5546875" customWidth="1"/>
    <col min="2" max="2" width="9.88671875" customWidth="1"/>
    <col min="3" max="3" width="11.44140625" customWidth="1"/>
    <col min="4" max="4" width="13" customWidth="1"/>
    <col min="5" max="5" width="11" customWidth="1"/>
    <col min="6" max="6" width="11.44140625" customWidth="1"/>
    <col min="7" max="7" width="11.5546875" customWidth="1"/>
    <col min="8" max="8" width="11.6640625" customWidth="1"/>
    <col min="9" max="9" width="12.33203125" customWidth="1"/>
    <col min="10" max="10" width="12" customWidth="1"/>
    <col min="11" max="12" width="12.6640625" customWidth="1"/>
    <col min="13" max="13" width="13.6640625" customWidth="1"/>
    <col min="14" max="14" width="5" hidden="1" customWidth="1"/>
    <col min="15" max="15" width="21.5546875" customWidth="1"/>
    <col min="16" max="16" width="19.109375" customWidth="1"/>
    <col min="17" max="17" width="10.6640625" customWidth="1"/>
    <col min="18" max="18" width="11.109375" customWidth="1"/>
    <col min="19" max="16384" width="9.109375" hidden="1"/>
  </cols>
  <sheetData>
    <row r="1" spans="1:22" ht="15.6">
      <c r="A1" s="1312" t="s">
        <v>562</v>
      </c>
      <c r="B1" s="557"/>
      <c r="C1" s="557"/>
      <c r="D1" s="557"/>
      <c r="E1" s="558"/>
      <c r="F1" s="559"/>
      <c r="G1" s="559"/>
      <c r="H1" s="559"/>
      <c r="I1" s="559"/>
      <c r="J1" s="559"/>
      <c r="K1" s="559"/>
    </row>
    <row r="2" spans="1:22" ht="15.6">
      <c r="A2" s="560" t="str">
        <f>IF('6.1stYrOpBudget'!$H$4&lt;&gt;"",'6.1stYrOpBudget'!$H$4,"")</f>
        <v/>
      </c>
      <c r="B2" s="5"/>
      <c r="C2" s="5"/>
      <c r="K2" s="332" t="str">
        <f>IF('1.GeneralProjectInfo'!N8+'1.GeneralProjectInfo'!N9=0,"",IF('1.GeneralProjectInfo'!N8=TRUE,"Complete this worksheet!","Skip this worksheet!"))</f>
        <v>Complete this worksheet!</v>
      </c>
    </row>
    <row r="3" spans="1:22">
      <c r="A3" s="256" t="str">
        <f>IF(SmallSites=TRUE,"Small Sites Project","")</f>
        <v/>
      </c>
      <c r="B3" s="5"/>
      <c r="C3" s="5"/>
      <c r="J3" s="54" t="s">
        <v>556</v>
      </c>
      <c r="K3" s="529" t="str">
        <f>IF('1.GeneralProjectInfo'!$D$3="","",'1.GeneralProjectInfo'!$D$3)</f>
        <v/>
      </c>
    </row>
    <row r="4" spans="1:22">
      <c r="A4" s="256" t="str">
        <f>IF(LOSP=TRUE,"LOSP Project","")</f>
        <v/>
      </c>
      <c r="B4" s="5"/>
      <c r="C4" s="5"/>
      <c r="J4" s="54" t="s">
        <v>443</v>
      </c>
      <c r="K4">
        <f>'1.GeneralProjectInfo'!L3</f>
        <v>2024</v>
      </c>
    </row>
    <row r="5" spans="1:22">
      <c r="A5" s="6"/>
      <c r="B5" s="5"/>
      <c r="C5" s="5"/>
      <c r="J5" s="54" t="s">
        <v>747</v>
      </c>
      <c r="K5">
        <f>'2.Utilities&amp;OtherIncome'!$C$7</f>
        <v>2024</v>
      </c>
    </row>
    <row r="6" spans="1:22">
      <c r="A6" s="486" t="s">
        <v>1221</v>
      </c>
      <c r="B6" s="486"/>
      <c r="C6" s="486"/>
      <c r="D6" s="477"/>
      <c r="E6" s="477"/>
      <c r="F6" s="561"/>
      <c r="G6" s="561"/>
      <c r="H6" s="561"/>
      <c r="I6" s="561"/>
      <c r="J6" s="561"/>
      <c r="K6" s="561"/>
      <c r="L6" s="251"/>
    </row>
    <row r="7" spans="1:22" ht="108" customHeight="1">
      <c r="A7" s="2198" t="s">
        <v>1222</v>
      </c>
      <c r="B7" s="2198"/>
      <c r="C7" s="2198"/>
      <c r="D7" s="2198"/>
      <c r="E7" s="2198"/>
      <c r="F7" s="2198"/>
      <c r="G7" s="2198"/>
      <c r="H7" s="2198"/>
      <c r="I7" s="2198"/>
      <c r="J7" s="2198"/>
      <c r="K7" s="2198"/>
      <c r="L7" s="338"/>
      <c r="M7" s="338"/>
      <c r="N7" s="338"/>
      <c r="O7" s="338"/>
      <c r="P7" s="338"/>
      <c r="Q7" s="338"/>
    </row>
    <row r="8" spans="1:22" s="5" customFormat="1" ht="79.2">
      <c r="A8" s="2190" t="s">
        <v>215</v>
      </c>
      <c r="B8" s="2191"/>
      <c r="C8" s="361" t="s">
        <v>297</v>
      </c>
      <c r="D8" s="361" t="s">
        <v>624</v>
      </c>
      <c r="E8" s="361" t="s">
        <v>95</v>
      </c>
      <c r="F8" s="361" t="s">
        <v>225</v>
      </c>
      <c r="G8" s="361" t="s">
        <v>96</v>
      </c>
      <c r="H8" s="361" t="s">
        <v>261</v>
      </c>
      <c r="I8" s="361" t="s">
        <v>1226</v>
      </c>
      <c r="J8" s="361" t="s">
        <v>260</v>
      </c>
      <c r="K8" s="652" t="s">
        <v>262</v>
      </c>
      <c r="L8" s="2192" t="s">
        <v>859</v>
      </c>
      <c r="M8" s="2193"/>
      <c r="O8" s="362" t="s">
        <v>1227</v>
      </c>
      <c r="P8" s="362"/>
    </row>
    <row r="9" spans="1:22">
      <c r="A9" s="2194"/>
      <c r="B9" s="2195"/>
      <c r="C9" s="468"/>
      <c r="D9" s="1" t="s">
        <v>97</v>
      </c>
      <c r="E9" s="85"/>
      <c r="F9" s="281" t="str">
        <f>IF(E9=0,"",IF($C$9="TCAC",VLOOKUP($A$9,RentsUA!$A$61:$H$77,MATCH($D9,RentsUA!$A$61:$H$61,0),FALSE),VLOOKUP($A$9,RentsUA!$A$12:$H$35,MATCH($D9,RentsUA!$A$12:$H$12,0),FALSE)))</f>
        <v/>
      </c>
      <c r="G9" s="281" t="str">
        <f t="shared" ref="G9:G15" si="0">IF($E9&gt;0,HLOOKUP($D9,UA,7,FALSE),"")</f>
        <v/>
      </c>
      <c r="H9" s="241" t="str">
        <f>IF(E9&gt;0,F9-G9,"")</f>
        <v/>
      </c>
      <c r="I9" s="282"/>
      <c r="J9" s="241" t="str">
        <f>IF(E9&gt;0,+I9*E9," ")</f>
        <v xml:space="preserve"> </v>
      </c>
      <c r="K9" s="281" t="str">
        <f>IF(E9&gt;0,H9*E9," ")</f>
        <v xml:space="preserve"> </v>
      </c>
      <c r="L9" s="2196"/>
      <c r="M9" s="2197"/>
      <c r="N9" s="336"/>
      <c r="O9" s="326">
        <f>IFERROR(($I9+$G9)/(HLOOKUP($D9,RentsUA!$K$12:$Q$35,19,FALSE)),0)</f>
        <v>0</v>
      </c>
    </row>
    <row r="10" spans="1:22">
      <c r="A10" s="249"/>
      <c r="C10" s="35"/>
      <c r="D10" s="2" t="s">
        <v>98</v>
      </c>
      <c r="E10" s="85"/>
      <c r="F10" s="281" t="str">
        <f>IF(E10=0,"",IF($C$9="TCAC",VLOOKUP($A$9,RentsUA!$A$61:$H$77,MATCH($D10,RentsUA!$A$61:$H$61,0),FALSE),VLOOKUP($A$9,RentsUA!$A$12:$H$35,MATCH($D10,RentsUA!$A$12:$H$12,0),FALSE)))</f>
        <v/>
      </c>
      <c r="G10" s="281" t="str">
        <f t="shared" si="0"/>
        <v/>
      </c>
      <c r="H10" s="241" t="str">
        <f t="shared" ref="H10:H15" si="1">IF(E10&gt;0,F10-G10,"")</f>
        <v/>
      </c>
      <c r="I10" s="282"/>
      <c r="J10" s="241" t="str">
        <f t="shared" ref="J10:J15" si="2">IF(E10&gt;0,+I10*E10," ")</f>
        <v xml:space="preserve"> </v>
      </c>
      <c r="K10" s="241" t="str">
        <f t="shared" ref="K10:K15" si="3">IF(E10&gt;0,H10*E10," ")</f>
        <v xml:space="preserve"> </v>
      </c>
      <c r="L10" s="2196"/>
      <c r="M10" s="2197"/>
      <c r="N10" s="336"/>
      <c r="O10" s="326">
        <f>IFERROR(($I10+$G10)/(HLOOKUP($D10,RentsUA!$K$12:$Q$35,19,FALSE)),0)</f>
        <v>0</v>
      </c>
    </row>
    <row r="11" spans="1:22" ht="12.75" customHeight="1">
      <c r="A11" s="258"/>
      <c r="B11" s="274"/>
      <c r="C11" s="257"/>
      <c r="D11" s="2" t="s">
        <v>735</v>
      </c>
      <c r="E11" s="85"/>
      <c r="F11" s="281" t="str">
        <f>IF(E11=0,"",IF($C$9="TCAC",VLOOKUP($A$9,RentsUA!$A$61:$H$77,MATCH($D11,RentsUA!$A$61:$H$61,0),FALSE),VLOOKUP($A$9,RentsUA!$A$12:$H$35,MATCH($D11,RentsUA!$A$12:$H$12,0),FALSE)))</f>
        <v/>
      </c>
      <c r="G11" s="281" t="str">
        <f t="shared" si="0"/>
        <v/>
      </c>
      <c r="H11" s="241" t="str">
        <f t="shared" si="1"/>
        <v/>
      </c>
      <c r="I11" s="282"/>
      <c r="J11" s="241" t="str">
        <f>IF(E11&gt;0,+I11*E11," ")</f>
        <v xml:space="preserve"> </v>
      </c>
      <c r="K11" s="241" t="str">
        <f t="shared" si="3"/>
        <v xml:space="preserve"> </v>
      </c>
      <c r="L11" s="2213"/>
      <c r="M11" s="2197"/>
      <c r="N11" s="336"/>
      <c r="O11" s="326">
        <f>IFERROR(($I11+$G11)/(HLOOKUP($D11,RentsUA!$K$12:$Q$35,19,FALSE)),0)</f>
        <v>0</v>
      </c>
      <c r="V11" s="5" t="s">
        <v>282</v>
      </c>
    </row>
    <row r="12" spans="1:22">
      <c r="A12" s="309"/>
      <c r="B12" s="310"/>
      <c r="D12" s="2" t="s">
        <v>736</v>
      </c>
      <c r="E12" s="85"/>
      <c r="F12" s="281" t="str">
        <f>IF(E12=0,"",IF($C$9="TCAC",VLOOKUP($A$9,RentsUA!$A$61:$H$77,MATCH($D12,RentsUA!$A$61:$H$61,0),FALSE),VLOOKUP($A$9,RentsUA!$A$12:$H$35,MATCH($D12,RentsUA!$A$12:$H$12,0),FALSE)))</f>
        <v/>
      </c>
      <c r="G12" s="281" t="str">
        <f t="shared" si="0"/>
        <v/>
      </c>
      <c r="H12" s="241" t="str">
        <f t="shared" si="1"/>
        <v/>
      </c>
      <c r="I12" s="282"/>
      <c r="J12" s="241" t="str">
        <f t="shared" si="2"/>
        <v xml:space="preserve"> </v>
      </c>
      <c r="K12" s="241" t="str">
        <f t="shared" si="3"/>
        <v xml:space="preserve"> </v>
      </c>
      <c r="L12" s="2213"/>
      <c r="M12" s="2197"/>
      <c r="N12" s="336"/>
      <c r="O12" s="326">
        <f>IFERROR(($I12+$G12)/(HLOOKUP($D12,RentsUA!$K$12:$Q$35,19,FALSE)),0)</f>
        <v>0</v>
      </c>
      <c r="V12" s="5" t="s">
        <v>284</v>
      </c>
    </row>
    <row r="13" spans="1:22">
      <c r="A13" s="309"/>
      <c r="B13" s="310"/>
      <c r="D13" s="2" t="s">
        <v>737</v>
      </c>
      <c r="E13" s="85"/>
      <c r="F13" s="281" t="str">
        <f>IF(E13=0,"",IF($C$9="TCAC",VLOOKUP($A$9,RentsUA!$A$61:$H$77,MATCH($D13,RentsUA!$A$61:$H$61,0),FALSE),VLOOKUP($A$9,RentsUA!$A$12:$H$35,MATCH($D13,RentsUA!$A$12:$H$12,0),FALSE)))</f>
        <v/>
      </c>
      <c r="G13" s="281" t="str">
        <f t="shared" si="0"/>
        <v/>
      </c>
      <c r="H13" s="241" t="str">
        <f t="shared" si="1"/>
        <v/>
      </c>
      <c r="I13" s="282"/>
      <c r="J13" s="241" t="str">
        <f t="shared" si="2"/>
        <v xml:space="preserve"> </v>
      </c>
      <c r="K13" s="241" t="str">
        <f t="shared" si="3"/>
        <v xml:space="preserve"> </v>
      </c>
      <c r="L13" s="2196"/>
      <c r="M13" s="2197"/>
      <c r="N13" s="336"/>
      <c r="O13" s="326">
        <f>IFERROR(($I13+$G13)/(HLOOKUP($D13,RentsUA!$K$12:$Q$35,19,FALSE)),0)</f>
        <v>0</v>
      </c>
      <c r="V13" s="384" t="s">
        <v>283</v>
      </c>
    </row>
    <row r="14" spans="1:22">
      <c r="A14" s="88"/>
      <c r="B14" s="40"/>
      <c r="C14" s="3"/>
      <c r="D14" s="2" t="s">
        <v>738</v>
      </c>
      <c r="E14" s="85"/>
      <c r="F14" s="281" t="str">
        <f>IF(E14=0,"",IF($C$9="TCAC",VLOOKUP($A$9,RentsUA!$A$61:$H$77,MATCH($D14,RentsUA!$A$61:$H$61,0),FALSE),VLOOKUP($A$9,RentsUA!$A$12:$H$35,MATCH($D14,RentsUA!$A$12:$H$12,0),FALSE)))</f>
        <v/>
      </c>
      <c r="G14" s="281" t="str">
        <f t="shared" si="0"/>
        <v/>
      </c>
      <c r="H14" s="241" t="str">
        <f t="shared" si="1"/>
        <v/>
      </c>
      <c r="I14" s="282"/>
      <c r="J14" s="241" t="str">
        <f t="shared" si="2"/>
        <v xml:space="preserve"> </v>
      </c>
      <c r="K14" s="241" t="str">
        <f t="shared" si="3"/>
        <v xml:space="preserve"> </v>
      </c>
      <c r="L14" s="2196"/>
      <c r="M14" s="2197"/>
      <c r="N14" s="336"/>
      <c r="O14" s="326">
        <f>IFERROR(($I14+$G14)/(HLOOKUP($D14,RentsUA!$K$12:$Q$35,19,FALSE)),0)</f>
        <v>0</v>
      </c>
    </row>
    <row r="15" spans="1:22" ht="13.8" thickBot="1">
      <c r="A15" s="89"/>
      <c r="B15" s="90"/>
      <c r="C15" s="90"/>
      <c r="D15" s="2" t="s">
        <v>739</v>
      </c>
      <c r="E15" s="85"/>
      <c r="F15" s="281" t="str">
        <f>IF(E15=0,"",IF($C$9="TCAC",VLOOKUP($A$9,RentsUA!$A$61:$H$77,MATCH($D15,RentsUA!$A$61:$H$61,0),FALSE),VLOOKUP($A$9,RentsUA!$A$12:$H$35,MATCH($D15,RentsUA!$A$12:$H$12,0),FALSE)))</f>
        <v/>
      </c>
      <c r="G15" s="281" t="str">
        <f t="shared" si="0"/>
        <v/>
      </c>
      <c r="H15" s="241" t="str">
        <f t="shared" si="1"/>
        <v/>
      </c>
      <c r="I15" s="282"/>
      <c r="J15" s="241" t="str">
        <f t="shared" si="2"/>
        <v xml:space="preserve"> </v>
      </c>
      <c r="K15" s="281" t="str">
        <f t="shared" si="3"/>
        <v xml:space="preserve"> </v>
      </c>
      <c r="L15" s="2209"/>
      <c r="M15" s="2211"/>
      <c r="N15" s="336"/>
      <c r="O15" s="326">
        <f>IFERROR(($I15+$G15)/(HLOOKUP($D15,RentsUA!$K$12:$Q$35,19,FALSE)),0)</f>
        <v>0</v>
      </c>
    </row>
    <row r="16" spans="1:22" ht="13.8" thickTop="1">
      <c r="A16" s="543" t="str">
        <f>IF(A9&lt;&gt;"","Subtotal "&amp;A9*100&amp;"% "&amp;C9&amp;" AMI "&amp;A13,"Subtotal:")</f>
        <v>Subtotal:</v>
      </c>
      <c r="B16" s="265"/>
      <c r="C16" s="540"/>
      <c r="D16" s="265"/>
      <c r="E16" s="545">
        <f>SUM(E9:E15)</f>
        <v>0</v>
      </c>
      <c r="F16" s="265"/>
      <c r="G16" s="541"/>
      <c r="H16" s="2199" t="str">
        <f>IF(COUNTA($E9:$E15)&gt;COUNTA($I9:$I15),"Fill in Tenant Rent above!","")</f>
        <v/>
      </c>
      <c r="I16" s="2199"/>
      <c r="J16" s="546">
        <f>SUM(J9:J15)</f>
        <v>0</v>
      </c>
      <c r="K16" s="546">
        <f>SUM(K9:K15)</f>
        <v>0</v>
      </c>
      <c r="L16" s="480"/>
      <c r="M16" s="665"/>
      <c r="N16" s="337"/>
      <c r="O16" s="326">
        <f>IFERROR(SUMPRODUCT(E9:E15,O9:O15)/E16,0)</f>
        <v>0</v>
      </c>
      <c r="P16" s="5" t="s">
        <v>625</v>
      </c>
    </row>
    <row r="17" spans="1:16">
      <c r="A17" s="250"/>
      <c r="B17" s="250"/>
      <c r="C17" s="90"/>
      <c r="D17" s="90"/>
      <c r="E17" s="93"/>
      <c r="F17" s="272"/>
      <c r="G17" s="94"/>
      <c r="H17" s="94"/>
      <c r="I17" s="94"/>
      <c r="J17" s="95"/>
      <c r="K17" s="273"/>
      <c r="O17" s="260"/>
    </row>
    <row r="18" spans="1:16" s="5" customFormat="1" ht="79.2">
      <c r="A18" s="2190" t="s">
        <v>215</v>
      </c>
      <c r="B18" s="2191"/>
      <c r="C18" s="361" t="s">
        <v>297</v>
      </c>
      <c r="D18" s="361" t="s">
        <v>624</v>
      </c>
      <c r="E18" s="361" t="s">
        <v>95</v>
      </c>
      <c r="F18" s="361" t="s">
        <v>225</v>
      </c>
      <c r="G18" s="361" t="s">
        <v>96</v>
      </c>
      <c r="H18" s="361" t="s">
        <v>261</v>
      </c>
      <c r="I18" s="361" t="s">
        <v>1226</v>
      </c>
      <c r="J18" s="361" t="s">
        <v>260</v>
      </c>
      <c r="K18" s="652" t="s">
        <v>262</v>
      </c>
      <c r="L18" s="2192" t="s">
        <v>859</v>
      </c>
      <c r="M18" s="2193"/>
      <c r="O18" s="362" t="s">
        <v>1227</v>
      </c>
      <c r="P18" s="362"/>
    </row>
    <row r="19" spans="1:16">
      <c r="A19" s="2194"/>
      <c r="B19" s="2195"/>
      <c r="C19" s="468"/>
      <c r="D19" s="1" t="s">
        <v>97</v>
      </c>
      <c r="E19" s="85"/>
      <c r="F19" s="281" t="str">
        <f>IF(E19=0,"",IF($C$19="TCAC",VLOOKUP($A$19,RentsUA!$A$61:$H$77,MATCH($D19,RentsUA!$A$61:$H$61,0),FALSE),VLOOKUP($A$19,RentsUA!$A$12:$H$35,MATCH($D19,RentsUA!$A$12:$H$12,0),FALSE)))</f>
        <v/>
      </c>
      <c r="G19" s="281" t="str">
        <f>IF($E19&gt;0,HLOOKUP($D19,UA,7,FALSE),"")</f>
        <v/>
      </c>
      <c r="H19" s="241" t="str">
        <f t="shared" ref="H19:H25" si="4">IF(E19&gt;0,F19-G19,"")</f>
        <v/>
      </c>
      <c r="I19" s="282"/>
      <c r="J19" s="241" t="str">
        <f t="shared" ref="J19:J25" si="5">IF(E19&gt;0,+I19*E19," ")</f>
        <v xml:space="preserve"> </v>
      </c>
      <c r="K19" s="281" t="str">
        <f>IF(E19&gt;0,H19*E19," ")</f>
        <v xml:space="preserve"> </v>
      </c>
      <c r="L19" s="2196"/>
      <c r="M19" s="2197"/>
      <c r="N19" s="336"/>
      <c r="O19" s="326">
        <f>IFERROR(($I19+$G19)/(HLOOKUP($D19,RentsUA!$K$12:$Q$35,19,FALSE)),0)</f>
        <v>0</v>
      </c>
    </row>
    <row r="20" spans="1:16">
      <c r="A20" s="249"/>
      <c r="C20" s="35"/>
      <c r="D20" s="2" t="s">
        <v>98</v>
      </c>
      <c r="E20" s="85"/>
      <c r="F20" s="281" t="str">
        <f>IF(E20=0,"",IF($C$19="TCAC",VLOOKUP($A$19,RentsUA!$A$61:$H$77,MATCH($D20,RentsUA!$A$61:$H$61,0),FALSE),VLOOKUP($A$19,RentsUA!$A$12:$H$35,MATCH($D20,RentsUA!$A$12:$H$12,0),FALSE)))</f>
        <v/>
      </c>
      <c r="G20" s="281" t="str">
        <f t="shared" ref="G20:G25" si="6">IF($E20&gt;0,HLOOKUP($D20,UA,7,FALSE),"")</f>
        <v/>
      </c>
      <c r="H20" s="241" t="str">
        <f t="shared" si="4"/>
        <v/>
      </c>
      <c r="I20" s="282"/>
      <c r="J20" s="241" t="str">
        <f t="shared" si="5"/>
        <v xml:space="preserve"> </v>
      </c>
      <c r="K20" s="241" t="str">
        <f t="shared" ref="K20:K25" si="7">IF(E20&gt;0,H20*E20," ")</f>
        <v xml:space="preserve"> </v>
      </c>
      <c r="L20" s="2196"/>
      <c r="M20" s="2197"/>
      <c r="N20" s="336"/>
      <c r="O20" s="326">
        <f>IFERROR(($I20+$G20)/(HLOOKUP($D20,RentsUA!$K$12:$Q$35,19,FALSE)),0)</f>
        <v>0</v>
      </c>
    </row>
    <row r="21" spans="1:16">
      <c r="A21" s="258"/>
      <c r="B21" s="274"/>
      <c r="C21" s="257"/>
      <c r="D21" s="2" t="s">
        <v>735</v>
      </c>
      <c r="E21" s="85"/>
      <c r="F21" s="281" t="str">
        <f>IF(E21=0,"",IF($C$19="TCAC",VLOOKUP($A$19,RentsUA!$A$61:$H$77,MATCH($D21,RentsUA!$A$61:$H$61,0),FALSE),VLOOKUP($A$19,RentsUA!$A$12:$H$35,MATCH($D21,RentsUA!$A$12:$H$12,0),FALSE)))</f>
        <v/>
      </c>
      <c r="G21" s="281" t="str">
        <f t="shared" si="6"/>
        <v/>
      </c>
      <c r="H21" s="241" t="str">
        <f t="shared" si="4"/>
        <v/>
      </c>
      <c r="I21" s="282"/>
      <c r="J21" s="241" t="str">
        <f t="shared" si="5"/>
        <v xml:space="preserve"> </v>
      </c>
      <c r="K21" s="241" t="str">
        <f t="shared" si="7"/>
        <v xml:space="preserve"> </v>
      </c>
      <c r="L21" s="2196"/>
      <c r="M21" s="2197"/>
      <c r="N21" s="336"/>
      <c r="O21" s="326">
        <f>IFERROR(($I21+$G21)/(HLOOKUP($D21,RentsUA!$K$12:$Q$35,19,FALSE)),0)</f>
        <v>0</v>
      </c>
    </row>
    <row r="22" spans="1:16">
      <c r="A22" s="309"/>
      <c r="B22" s="310"/>
      <c r="D22" s="2" t="s">
        <v>736</v>
      </c>
      <c r="E22" s="85"/>
      <c r="F22" s="281" t="str">
        <f>IF(E22=0,"",IF($C$19="TCAC",VLOOKUP($A$19,RentsUA!$A$61:$H$77,MATCH($D22,RentsUA!$A$61:$H$61,0),FALSE),VLOOKUP($A$19,RentsUA!$A$12:$H$35,MATCH($D22,RentsUA!$A$12:$H$12,0),FALSE)))</f>
        <v/>
      </c>
      <c r="G22" s="281" t="str">
        <f t="shared" si="6"/>
        <v/>
      </c>
      <c r="H22" s="241" t="str">
        <f t="shared" si="4"/>
        <v/>
      </c>
      <c r="I22" s="282"/>
      <c r="J22" s="241" t="str">
        <f t="shared" si="5"/>
        <v xml:space="preserve"> </v>
      </c>
      <c r="K22" s="241" t="str">
        <f t="shared" si="7"/>
        <v xml:space="preserve"> </v>
      </c>
      <c r="L22" s="2196"/>
      <c r="M22" s="2197"/>
      <c r="N22" s="336"/>
      <c r="O22" s="326">
        <f>IFERROR(($I22+$G22)/(HLOOKUP($D22,RentsUA!$K$12:$Q$35,19,FALSE)),0)</f>
        <v>0</v>
      </c>
    </row>
    <row r="23" spans="1:16">
      <c r="A23" s="309"/>
      <c r="B23" s="310"/>
      <c r="D23" s="2" t="s">
        <v>737</v>
      </c>
      <c r="E23" s="85"/>
      <c r="F23" s="281" t="str">
        <f>IF(E23=0,"",IF($C$19="TCAC",VLOOKUP($A$19,RentsUA!$A$61:$H$77,MATCH($D23,RentsUA!$A$61:$H$61,0),FALSE),VLOOKUP($A$19,RentsUA!$A$12:$H$35,MATCH($D23,RentsUA!$A$12:$H$12,0),FALSE)))</f>
        <v/>
      </c>
      <c r="G23" s="281" t="str">
        <f t="shared" si="6"/>
        <v/>
      </c>
      <c r="H23" s="241" t="str">
        <f t="shared" si="4"/>
        <v/>
      </c>
      <c r="I23" s="282"/>
      <c r="J23" s="241" t="str">
        <f t="shared" si="5"/>
        <v xml:space="preserve"> </v>
      </c>
      <c r="K23" s="241" t="str">
        <f t="shared" si="7"/>
        <v xml:space="preserve"> </v>
      </c>
      <c r="L23" s="2196"/>
      <c r="M23" s="2197"/>
      <c r="N23" s="336"/>
      <c r="O23" s="326">
        <f>IFERROR(($I23+$G23)/(HLOOKUP($D23,RentsUA!$K$12:$Q$35,19,FALSE)),0)</f>
        <v>0</v>
      </c>
    </row>
    <row r="24" spans="1:16">
      <c r="A24" s="88"/>
      <c r="B24" s="40"/>
      <c r="C24" s="3"/>
      <c r="D24" s="2" t="s">
        <v>738</v>
      </c>
      <c r="E24" s="85"/>
      <c r="F24" s="281" t="str">
        <f>IF(E24=0,"",IF($C$19="TCAC",VLOOKUP($A$19,RentsUA!$A$61:$H$77,MATCH($D24,RentsUA!$A$61:$H$61,0),FALSE),VLOOKUP($A$19,RentsUA!$A$12:$H$35,MATCH($D24,RentsUA!$A$12:$H$12,0),FALSE)))</f>
        <v/>
      </c>
      <c r="G24" s="281" t="str">
        <f t="shared" si="6"/>
        <v/>
      </c>
      <c r="H24" s="241" t="str">
        <f t="shared" si="4"/>
        <v/>
      </c>
      <c r="I24" s="282"/>
      <c r="J24" s="241" t="str">
        <f t="shared" si="5"/>
        <v xml:space="preserve"> </v>
      </c>
      <c r="K24" s="241" t="str">
        <f t="shared" si="7"/>
        <v xml:space="preserve"> </v>
      </c>
      <c r="L24" s="2196"/>
      <c r="M24" s="2197"/>
      <c r="N24" s="336"/>
      <c r="O24" s="326">
        <f>IFERROR(($I24+$G24)/(HLOOKUP($D24,RentsUA!$K$12:$Q$35,19,FALSE)),0)</f>
        <v>0</v>
      </c>
    </row>
    <row r="25" spans="1:16" ht="13.8" thickBot="1">
      <c r="A25" s="89"/>
      <c r="B25" s="90"/>
      <c r="C25" s="90"/>
      <c r="D25" s="2" t="s">
        <v>739</v>
      </c>
      <c r="E25" s="85"/>
      <c r="F25" s="281" t="str">
        <f>IF(E25=0,"",IF($C$19="TCAC",VLOOKUP($A$19,RentsUA!$A$61:$H$77,MATCH($D25,RentsUA!$A$61:$H$61,0),FALSE),VLOOKUP($A$19,RentsUA!$A$12:$H$35,MATCH($D25,RentsUA!$A$12:$H$12,0),FALSE)))</f>
        <v/>
      </c>
      <c r="G25" s="281" t="str">
        <f t="shared" si="6"/>
        <v/>
      </c>
      <c r="H25" s="241" t="str">
        <f t="shared" si="4"/>
        <v/>
      </c>
      <c r="I25" s="282"/>
      <c r="J25" s="241" t="str">
        <f t="shared" si="5"/>
        <v xml:space="preserve"> </v>
      </c>
      <c r="K25" s="281" t="str">
        <f t="shared" si="7"/>
        <v xml:space="preserve"> </v>
      </c>
      <c r="L25" s="2209"/>
      <c r="M25" s="2211"/>
      <c r="N25" s="336"/>
      <c r="O25" s="326">
        <f>IFERROR(($I25+$G25)/(HLOOKUP($D25,RentsUA!$K$12:$Q$35,19,FALSE)),0)</f>
        <v>0</v>
      </c>
    </row>
    <row r="26" spans="1:16" ht="13.5" customHeight="1" thickTop="1">
      <c r="A26" s="543" t="str">
        <f>IF(A19&lt;&gt;"","Subtotal "&amp;A19*100&amp;"% "&amp;C19&amp;" AMI "&amp;A23,"Subtotal:")</f>
        <v>Subtotal:</v>
      </c>
      <c r="B26" s="265"/>
      <c r="C26" s="540"/>
      <c r="D26" s="265"/>
      <c r="E26" s="545">
        <f>SUM(E19:E25)</f>
        <v>0</v>
      </c>
      <c r="F26" s="265"/>
      <c r="G26" s="541"/>
      <c r="H26" s="2199" t="str">
        <f>IF(COUNTA($E19:$E25)&gt;COUNTA($I19:$I25),"Fill in Tenant Rent above!","")</f>
        <v/>
      </c>
      <c r="I26" s="2199"/>
      <c r="J26" s="546">
        <f>SUM(J19:J25)</f>
        <v>0</v>
      </c>
      <c r="K26" s="546">
        <f>SUM(K19:K25)</f>
        <v>0</v>
      </c>
      <c r="L26" s="480"/>
      <c r="M26" s="665"/>
      <c r="N26" s="337"/>
      <c r="O26" s="326">
        <f>IFERROR(SUMPRODUCT(E19:E25,O19:O25)/E26,0)</f>
        <v>0</v>
      </c>
      <c r="P26" s="5" t="s">
        <v>625</v>
      </c>
    </row>
    <row r="27" spans="1:16">
      <c r="A27" s="90"/>
      <c r="B27" s="90"/>
      <c r="C27" s="90"/>
      <c r="D27" s="90"/>
      <c r="E27" s="93"/>
      <c r="F27" s="272"/>
      <c r="G27" s="94"/>
      <c r="H27" s="94"/>
      <c r="I27" s="94"/>
      <c r="J27" s="95"/>
      <c r="K27" s="273"/>
      <c r="O27" s="260"/>
    </row>
    <row r="28" spans="1:16" s="5" customFormat="1" ht="79.2">
      <c r="A28" s="2190" t="s">
        <v>215</v>
      </c>
      <c r="B28" s="2191"/>
      <c r="C28" s="361" t="s">
        <v>267</v>
      </c>
      <c r="D28" s="361" t="s">
        <v>624</v>
      </c>
      <c r="E28" s="361" t="s">
        <v>95</v>
      </c>
      <c r="F28" s="361" t="s">
        <v>225</v>
      </c>
      <c r="G28" s="361" t="s">
        <v>96</v>
      </c>
      <c r="H28" s="361" t="s">
        <v>261</v>
      </c>
      <c r="I28" s="361" t="s">
        <v>1226</v>
      </c>
      <c r="J28" s="361" t="s">
        <v>260</v>
      </c>
      <c r="K28" s="652" t="s">
        <v>262</v>
      </c>
      <c r="L28" s="2192" t="s">
        <v>859</v>
      </c>
      <c r="M28" s="2193"/>
      <c r="O28" s="362" t="s">
        <v>1227</v>
      </c>
      <c r="P28" s="362"/>
    </row>
    <row r="29" spans="1:16">
      <c r="A29" s="2194"/>
      <c r="B29" s="2195"/>
      <c r="C29" s="468"/>
      <c r="D29" s="1" t="s">
        <v>97</v>
      </c>
      <c r="E29" s="85"/>
      <c r="F29" s="281" t="str">
        <f>IF(E29=0,"",IF($C$29="TCAC",VLOOKUP($A$29,RentsUA!$A$61:$H$77,MATCH($D29,RentsUA!$A$61:$H$61,0),FALSE), VLOOKUP($A$29,RentsUA!$A$12:$H$35,MATCH($D29,RentsUA!$A$12:$H$12,0),FALSE)))</f>
        <v/>
      </c>
      <c r="G29" s="281" t="str">
        <f t="shared" ref="G29:G35" si="8">IF($E29&gt;0,HLOOKUP($D29,UA,7,FALSE),"")</f>
        <v/>
      </c>
      <c r="H29" s="241" t="str">
        <f t="shared" ref="H29:H35" si="9">IF(E29&gt;0,F29-G29,"")</f>
        <v/>
      </c>
      <c r="I29" s="282"/>
      <c r="J29" s="241" t="str">
        <f t="shared" ref="J29:J35" si="10">IF(E29&gt;0,+I29*E29," ")</f>
        <v xml:space="preserve"> </v>
      </c>
      <c r="K29" s="281" t="str">
        <f>IF(E29&gt;0,H29*E29," ")</f>
        <v xml:space="preserve"> </v>
      </c>
      <c r="L29" s="2196"/>
      <c r="M29" s="2197"/>
      <c r="N29" s="336"/>
      <c r="O29" s="326">
        <f>IFERROR(($I29+$G29)/(HLOOKUP($D29,RentsUA!$K$12:$Q$35,19,FALSE)),0)</f>
        <v>0</v>
      </c>
    </row>
    <row r="30" spans="1:16">
      <c r="A30" s="249"/>
      <c r="C30" s="35"/>
      <c r="D30" s="2" t="s">
        <v>98</v>
      </c>
      <c r="E30" s="85"/>
      <c r="F30" s="281" t="str">
        <f>IF(E30=0,"",IF($C$29="TCAC",VLOOKUP($A$29,RentsUA!$A$61:$H$77,MATCH($D30,RentsUA!$A$61:$H$61,0),FALSE), VLOOKUP($A$29,RentsUA!$A$12:$H$35,MATCH($D30,RentsUA!$A$12:$H$12,0),FALSE)))</f>
        <v/>
      </c>
      <c r="G30" s="281" t="str">
        <f t="shared" si="8"/>
        <v/>
      </c>
      <c r="H30" s="241" t="str">
        <f t="shared" si="9"/>
        <v/>
      </c>
      <c r="I30" s="282"/>
      <c r="J30" s="241" t="str">
        <f t="shared" si="10"/>
        <v xml:space="preserve"> </v>
      </c>
      <c r="K30" s="241" t="str">
        <f t="shared" ref="K30:K35" si="11">IF(E30&gt;0,H30*E30," ")</f>
        <v xml:space="preserve"> </v>
      </c>
      <c r="L30" s="2196"/>
      <c r="M30" s="2197"/>
      <c r="N30" s="336"/>
      <c r="O30" s="326">
        <f>IFERROR(($I30+$G30)/(HLOOKUP($D30,RentsUA!$K$12:$Q$35,19,FALSE)),0)</f>
        <v>0</v>
      </c>
    </row>
    <row r="31" spans="1:16">
      <c r="A31" s="258"/>
      <c r="B31" s="274"/>
      <c r="C31" s="257"/>
      <c r="D31" s="2" t="s">
        <v>735</v>
      </c>
      <c r="E31" s="85"/>
      <c r="F31" s="281" t="str">
        <f>IF(E31=0,"",IF($C$29="TCAC",VLOOKUP($A$29,RentsUA!$A$61:$H$77,MATCH($D31,RentsUA!$A$61:$H$61,0),FALSE), VLOOKUP($A$29,RentsUA!$A$12:$H$35,MATCH($D31,RentsUA!$A$12:$H$12,0),FALSE)))</f>
        <v/>
      </c>
      <c r="G31" s="281" t="str">
        <f t="shared" si="8"/>
        <v/>
      </c>
      <c r="H31" s="241" t="str">
        <f t="shared" si="9"/>
        <v/>
      </c>
      <c r="I31" s="282"/>
      <c r="J31" s="241" t="str">
        <f t="shared" si="10"/>
        <v xml:space="preserve"> </v>
      </c>
      <c r="K31" s="241" t="str">
        <f t="shared" si="11"/>
        <v xml:space="preserve"> </v>
      </c>
      <c r="L31" s="2196"/>
      <c r="M31" s="2197"/>
      <c r="N31" s="336"/>
      <c r="O31" s="326">
        <f>IFERROR(($I31+$G31)/(HLOOKUP($D31,RentsUA!$K$12:$Q$35,19,FALSE)),0)</f>
        <v>0</v>
      </c>
    </row>
    <row r="32" spans="1:16">
      <c r="A32" s="309"/>
      <c r="B32" s="310"/>
      <c r="D32" s="2" t="s">
        <v>736</v>
      </c>
      <c r="E32" s="85"/>
      <c r="F32" s="281" t="str">
        <f>IF(E32=0,"",IF($C$29="TCAC",VLOOKUP($A$29,RentsUA!$A$61:$H$77,MATCH($D32,RentsUA!$A$61:$H$61,0),FALSE), VLOOKUP($A$29,RentsUA!$A$12:$H$35,MATCH($D32,RentsUA!$A$12:$H$12,0),FALSE)))</f>
        <v/>
      </c>
      <c r="G32" s="281" t="str">
        <f t="shared" si="8"/>
        <v/>
      </c>
      <c r="H32" s="241" t="str">
        <f t="shared" si="9"/>
        <v/>
      </c>
      <c r="I32" s="282"/>
      <c r="J32" s="241" t="str">
        <f t="shared" si="10"/>
        <v xml:space="preserve"> </v>
      </c>
      <c r="K32" s="241" t="str">
        <f t="shared" si="11"/>
        <v xml:space="preserve"> </v>
      </c>
      <c r="L32" s="2196"/>
      <c r="M32" s="2197"/>
      <c r="N32" s="336"/>
      <c r="O32" s="326">
        <f>IFERROR(($I32+$G32)/(HLOOKUP($D32,RentsUA!$K$12:$Q$35,19,FALSE)),0)</f>
        <v>0</v>
      </c>
    </row>
    <row r="33" spans="1:16">
      <c r="A33" s="309"/>
      <c r="B33" s="310"/>
      <c r="D33" s="2" t="s">
        <v>737</v>
      </c>
      <c r="E33" s="85"/>
      <c r="F33" s="281" t="str">
        <f>IF(E33=0,"",IF($C$29="TCAC",VLOOKUP($A$29,RentsUA!$A$61:$H$77,MATCH($D33,RentsUA!$A$61:$H$61,0),FALSE), VLOOKUP($A$29,RentsUA!$A$12:$H$35,MATCH($D33,RentsUA!$A$12:$H$12,0),FALSE)))</f>
        <v/>
      </c>
      <c r="G33" s="281" t="str">
        <f t="shared" si="8"/>
        <v/>
      </c>
      <c r="H33" s="241" t="str">
        <f t="shared" si="9"/>
        <v/>
      </c>
      <c r="I33" s="282"/>
      <c r="J33" s="241" t="str">
        <f t="shared" si="10"/>
        <v xml:space="preserve"> </v>
      </c>
      <c r="K33" s="241" t="str">
        <f t="shared" si="11"/>
        <v xml:space="preserve"> </v>
      </c>
      <c r="L33" s="2196"/>
      <c r="M33" s="2197"/>
      <c r="N33" s="336"/>
      <c r="O33" s="326">
        <f>IFERROR(($I33+$G33)/(HLOOKUP($D33,RentsUA!$K$12:$Q$35,19,FALSE)),0)</f>
        <v>0</v>
      </c>
    </row>
    <row r="34" spans="1:16">
      <c r="A34" s="88"/>
      <c r="B34" s="40"/>
      <c r="C34" s="3"/>
      <c r="D34" s="2" t="s">
        <v>738</v>
      </c>
      <c r="E34" s="85"/>
      <c r="F34" s="281" t="str">
        <f>IF(E34=0,"",IF($C$29="TCAC",VLOOKUP($A$29,RentsUA!$A$61:$H$77,MATCH($D34,RentsUA!$A$61:$H$61,0),FALSE), VLOOKUP($A$29,RentsUA!$A$12:$H$35,MATCH($D34,RentsUA!$A$12:$H$12,0),FALSE)))</f>
        <v/>
      </c>
      <c r="G34" s="281" t="str">
        <f t="shared" si="8"/>
        <v/>
      </c>
      <c r="H34" s="241" t="str">
        <f t="shared" si="9"/>
        <v/>
      </c>
      <c r="I34" s="282"/>
      <c r="J34" s="241" t="str">
        <f t="shared" si="10"/>
        <v xml:space="preserve"> </v>
      </c>
      <c r="K34" s="241" t="str">
        <f t="shared" si="11"/>
        <v xml:space="preserve"> </v>
      </c>
      <c r="L34" s="2196"/>
      <c r="M34" s="2197"/>
      <c r="N34" s="336"/>
      <c r="O34" s="326">
        <f>IFERROR(($I34+$G34)/(HLOOKUP($D34,RentsUA!$K$12:$Q$35,19,FALSE)),0)</f>
        <v>0</v>
      </c>
    </row>
    <row r="35" spans="1:16" ht="13.8" thickBot="1">
      <c r="A35" s="89"/>
      <c r="B35" s="90"/>
      <c r="C35" s="90"/>
      <c r="D35" s="2" t="s">
        <v>739</v>
      </c>
      <c r="E35" s="85"/>
      <c r="F35" s="281" t="str">
        <f>IF(E35=0,"",IF($C$29="TCAC",VLOOKUP($A$29,RentsUA!$A$61:$H$77,MATCH($D35,RentsUA!$A$61:$H$61,0),FALSE), VLOOKUP($A$29,RentsUA!$A$12:$H$35,MATCH($D35,RentsUA!$A$12:$H$12,0),FALSE)))</f>
        <v/>
      </c>
      <c r="G35" s="281" t="str">
        <f t="shared" si="8"/>
        <v/>
      </c>
      <c r="H35" s="241" t="str">
        <f t="shared" si="9"/>
        <v/>
      </c>
      <c r="I35" s="282"/>
      <c r="J35" s="241" t="str">
        <f t="shared" si="10"/>
        <v xml:space="preserve"> </v>
      </c>
      <c r="K35" s="281" t="str">
        <f t="shared" si="11"/>
        <v xml:space="preserve"> </v>
      </c>
      <c r="L35" s="2209"/>
      <c r="M35" s="2211"/>
      <c r="N35" s="336"/>
      <c r="O35" s="326">
        <f>IFERROR(($I35+$G35)/(HLOOKUP($D35,RentsUA!$K$12:$Q$35,19,FALSE)),0)</f>
        <v>0</v>
      </c>
    </row>
    <row r="36" spans="1:16" ht="13.8" thickTop="1">
      <c r="A36" s="543" t="str">
        <f>IF(A29&lt;&gt;"","Subtotal "&amp;A29*100&amp;"% "&amp;C29&amp;" AMI "&amp;A33,"Subtotal:")</f>
        <v>Subtotal:</v>
      </c>
      <c r="B36" s="265"/>
      <c r="C36" s="540"/>
      <c r="D36" s="265"/>
      <c r="E36" s="545">
        <f>SUM(E29:E35)</f>
        <v>0</v>
      </c>
      <c r="F36" s="265"/>
      <c r="G36" s="541"/>
      <c r="H36" s="2199" t="str">
        <f>IF(COUNTA($E29:$E35)&gt;COUNTA($I29:$I35),"Fill in Tenant Rent above!","")</f>
        <v/>
      </c>
      <c r="I36" s="2199"/>
      <c r="J36" s="546">
        <f>SUM(J29:J35)</f>
        <v>0</v>
      </c>
      <c r="K36" s="546">
        <f>SUM(K29:K35)</f>
        <v>0</v>
      </c>
      <c r="L36" s="480"/>
      <c r="M36" s="665"/>
      <c r="N36" s="337"/>
      <c r="O36" s="326">
        <f>IFERROR(SUMPRODUCT(E29:E35,O29:O35)/E36,0)</f>
        <v>0</v>
      </c>
      <c r="P36" s="5" t="s">
        <v>625</v>
      </c>
    </row>
    <row r="37" spans="1:16">
      <c r="A37" s="90"/>
      <c r="B37" s="90"/>
      <c r="C37" s="90"/>
      <c r="D37" s="90"/>
      <c r="E37" s="93"/>
      <c r="F37" s="259"/>
      <c r="G37" s="94"/>
      <c r="H37" s="94"/>
      <c r="I37" s="94"/>
      <c r="J37" s="95"/>
      <c r="K37" s="273"/>
      <c r="O37" s="260"/>
    </row>
    <row r="38" spans="1:16" s="5" customFormat="1" ht="79.2">
      <c r="A38" s="2190" t="s">
        <v>215</v>
      </c>
      <c r="B38" s="2191"/>
      <c r="C38" s="361" t="s">
        <v>297</v>
      </c>
      <c r="D38" s="361" t="s">
        <v>624</v>
      </c>
      <c r="E38" s="361" t="s">
        <v>95</v>
      </c>
      <c r="F38" s="361" t="s">
        <v>225</v>
      </c>
      <c r="G38" s="361" t="s">
        <v>96</v>
      </c>
      <c r="H38" s="361" t="s">
        <v>261</v>
      </c>
      <c r="I38" s="361" t="s">
        <v>1226</v>
      </c>
      <c r="J38" s="361" t="s">
        <v>260</v>
      </c>
      <c r="K38" s="652" t="s">
        <v>262</v>
      </c>
      <c r="L38" s="2192" t="s">
        <v>859</v>
      </c>
      <c r="M38" s="2193"/>
      <c r="O38" s="362" t="s">
        <v>1227</v>
      </c>
      <c r="P38" s="363"/>
    </row>
    <row r="39" spans="1:16">
      <c r="A39" s="2194"/>
      <c r="B39" s="2195"/>
      <c r="C39" s="468"/>
      <c r="D39" s="1" t="s">
        <v>97</v>
      </c>
      <c r="E39" s="85"/>
      <c r="F39" s="281" t="str">
        <f>IF(E39=0,"",IF($C$39="TCAC",VLOOKUP($A$39,RentsUA!$A$61:$H$77,MATCH($D39,RentsUA!$A$61:$H$61,0),FALSE),VLOOKUP($A$39,RentsUA!$A$12:$H$35,MATCH($D39,RentsUA!$A$12:$H$12,0),FALSE)))</f>
        <v/>
      </c>
      <c r="G39" s="281" t="str">
        <f t="shared" ref="G39:G45" si="12">IF($E39&gt;0,HLOOKUP($D39,UA,7,FALSE),"")</f>
        <v/>
      </c>
      <c r="H39" s="241" t="str">
        <f t="shared" ref="H39:H45" si="13">IF(E39&gt;0,F39-G39,"")</f>
        <v/>
      </c>
      <c r="I39" s="282"/>
      <c r="J39" s="241" t="str">
        <f t="shared" ref="J39:J45" si="14">IF(E39&gt;0,+I39*E39," ")</f>
        <v xml:space="preserve"> </v>
      </c>
      <c r="K39" s="281" t="str">
        <f>IF(E39&gt;0,H39*E39," ")</f>
        <v xml:space="preserve"> </v>
      </c>
      <c r="L39" s="2196"/>
      <c r="M39" s="2197"/>
      <c r="N39" s="336"/>
      <c r="O39" s="326">
        <f>IFERROR(($I39+$G39)/(HLOOKUP($D39,RentsUA!$K$12:$Q$35,19,FALSE)),0)</f>
        <v>0</v>
      </c>
    </row>
    <row r="40" spans="1:16">
      <c r="A40" s="249"/>
      <c r="C40" s="35"/>
      <c r="D40" s="2" t="s">
        <v>98</v>
      </c>
      <c r="E40" s="85"/>
      <c r="F40" s="281" t="str">
        <f>IF(E40=0,"",IF($C$39="TCAC",VLOOKUP($A$39,RentsUA!$A$61:$H$77,MATCH($D40,RentsUA!$A$61:$H$61,0),FALSE),VLOOKUP($A$39,RentsUA!$A$12:$H$35,MATCH($D40,RentsUA!$A$12:$H$12,0),FALSE)))</f>
        <v/>
      </c>
      <c r="G40" s="281" t="str">
        <f t="shared" si="12"/>
        <v/>
      </c>
      <c r="H40" s="241" t="str">
        <f t="shared" si="13"/>
        <v/>
      </c>
      <c r="I40" s="282"/>
      <c r="J40" s="241" t="str">
        <f t="shared" si="14"/>
        <v xml:space="preserve"> </v>
      </c>
      <c r="K40" s="241" t="str">
        <f t="shared" ref="K40:K45" si="15">IF(E40&gt;0,H40*E40," ")</f>
        <v xml:space="preserve"> </v>
      </c>
      <c r="L40" s="2196"/>
      <c r="M40" s="2197"/>
      <c r="N40" s="336"/>
      <c r="O40" s="326">
        <f>IFERROR(($I40+$G40)/(HLOOKUP($D40,RentsUA!$K$12:$Q$35,19,FALSE)),0)</f>
        <v>0</v>
      </c>
    </row>
    <row r="41" spans="1:16">
      <c r="A41" s="258"/>
      <c r="B41" s="274"/>
      <c r="C41" s="257"/>
      <c r="D41" s="2" t="s">
        <v>735</v>
      </c>
      <c r="E41" s="85"/>
      <c r="F41" s="281" t="str">
        <f>IF(E41=0,"",IF($C$39="TCAC",VLOOKUP($A$39,RentsUA!$A$61:$H$77,MATCH($D41,RentsUA!$A$61:$H$61,0),FALSE),VLOOKUP($A$39,RentsUA!$A$12:$H$35,MATCH($D41,RentsUA!$A$12:$H$12,0),FALSE)))</f>
        <v/>
      </c>
      <c r="G41" s="281" t="str">
        <f t="shared" si="12"/>
        <v/>
      </c>
      <c r="H41" s="241" t="str">
        <f t="shared" si="13"/>
        <v/>
      </c>
      <c r="I41" s="282"/>
      <c r="J41" s="241" t="str">
        <f t="shared" si="14"/>
        <v xml:space="preserve"> </v>
      </c>
      <c r="K41" s="241" t="str">
        <f t="shared" si="15"/>
        <v xml:space="preserve"> </v>
      </c>
      <c r="L41" s="2196"/>
      <c r="M41" s="2197"/>
      <c r="N41" s="336"/>
      <c r="O41" s="326">
        <f>IFERROR(($I41+$G41)/(HLOOKUP($D41,RentsUA!$K$12:$Q$35,19,FALSE)),0)</f>
        <v>0</v>
      </c>
    </row>
    <row r="42" spans="1:16">
      <c r="A42" s="309"/>
      <c r="B42" s="310"/>
      <c r="D42" s="2" t="s">
        <v>736</v>
      </c>
      <c r="E42" s="85"/>
      <c r="F42" s="281" t="str">
        <f>IF(E42=0,"",IF($C$39="TCAC",VLOOKUP($A$39,RentsUA!$A$61:$H$77,MATCH($D42,RentsUA!$A$61:$H$61,0),FALSE),VLOOKUP($A$39,RentsUA!$A$12:$H$35,MATCH($D42,RentsUA!$A$12:$H$12,0),FALSE)))</f>
        <v/>
      </c>
      <c r="G42" s="281" t="str">
        <f t="shared" si="12"/>
        <v/>
      </c>
      <c r="H42" s="241" t="str">
        <f t="shared" si="13"/>
        <v/>
      </c>
      <c r="I42" s="282"/>
      <c r="J42" s="241" t="str">
        <f t="shared" si="14"/>
        <v xml:space="preserve"> </v>
      </c>
      <c r="K42" s="241" t="str">
        <f t="shared" si="15"/>
        <v xml:space="preserve"> </v>
      </c>
      <c r="L42" s="2196"/>
      <c r="M42" s="2197"/>
      <c r="N42" s="336"/>
      <c r="O42" s="326">
        <f>IFERROR(($I42+$G42)/(HLOOKUP($D42,RentsUA!$K$12:$Q$35,19,FALSE)),0)</f>
        <v>0</v>
      </c>
    </row>
    <row r="43" spans="1:16">
      <c r="A43" s="309"/>
      <c r="B43" s="310"/>
      <c r="D43" s="2" t="s">
        <v>737</v>
      </c>
      <c r="E43" s="85"/>
      <c r="F43" s="281" t="str">
        <f>IF(E43=0,"",IF($C$39="TCAC",VLOOKUP($A$39,RentsUA!$A$61:$H$77,MATCH($D43,RentsUA!$A$61:$H$61,0),FALSE),VLOOKUP($A$39,RentsUA!$A$12:$H$35,MATCH($D43,RentsUA!$A$12:$H$12,0),FALSE)))</f>
        <v/>
      </c>
      <c r="G43" s="281" t="str">
        <f t="shared" si="12"/>
        <v/>
      </c>
      <c r="H43" s="241" t="str">
        <f t="shared" si="13"/>
        <v/>
      </c>
      <c r="I43" s="282"/>
      <c r="J43" s="241" t="str">
        <f t="shared" si="14"/>
        <v xml:space="preserve"> </v>
      </c>
      <c r="K43" s="241" t="str">
        <f t="shared" si="15"/>
        <v xml:space="preserve"> </v>
      </c>
      <c r="L43" s="2196"/>
      <c r="M43" s="2197"/>
      <c r="N43" s="336"/>
      <c r="O43" s="326">
        <f>IFERROR(($I43+$G43)/(HLOOKUP($D43,RentsUA!$K$12:$Q$35,19,FALSE)),0)</f>
        <v>0</v>
      </c>
    </row>
    <row r="44" spans="1:16">
      <c r="A44" s="88"/>
      <c r="B44" s="40"/>
      <c r="C44" s="3"/>
      <c r="D44" s="2" t="s">
        <v>738</v>
      </c>
      <c r="E44" s="85"/>
      <c r="F44" s="281" t="str">
        <f>IF(E44=0,"",IF($C$39="TCAC",VLOOKUP($A$39,RentsUA!$A$61:$H$77,MATCH($D44,RentsUA!$A$61:$H$61,0),FALSE),VLOOKUP($A$39,RentsUA!$A$12:$H$35,MATCH($D44,RentsUA!$A$12:$H$12,0),FALSE)))</f>
        <v/>
      </c>
      <c r="G44" s="281" t="str">
        <f t="shared" si="12"/>
        <v/>
      </c>
      <c r="H44" s="241" t="str">
        <f t="shared" si="13"/>
        <v/>
      </c>
      <c r="I44" s="282"/>
      <c r="J44" s="241" t="str">
        <f t="shared" si="14"/>
        <v xml:space="preserve"> </v>
      </c>
      <c r="K44" s="241" t="str">
        <f t="shared" si="15"/>
        <v xml:space="preserve"> </v>
      </c>
      <c r="L44" s="2196"/>
      <c r="M44" s="2197"/>
      <c r="N44" s="336"/>
      <c r="O44" s="326">
        <f>IFERROR(($I44+$G44)/(HLOOKUP($D44,RentsUA!$K$12:$Q$35,19,FALSE)),0)</f>
        <v>0</v>
      </c>
    </row>
    <row r="45" spans="1:16" ht="13.8" thickBot="1">
      <c r="A45" s="534"/>
      <c r="B45" s="535"/>
      <c r="C45" s="535"/>
      <c r="D45" s="2" t="s">
        <v>739</v>
      </c>
      <c r="E45" s="536"/>
      <c r="F45" s="537" t="str">
        <f>IF(E45=0,"",IF($C$39="TCAC",VLOOKUP($A$39,RentsUA!$A$61:$H$77,MATCH($D45,RentsUA!$A$61:$H$61,0),FALSE),VLOOKUP($A$39,RentsUA!$A$12:$H$35,MATCH($D45,RentsUA!$A$12:$H$12,0),FALSE)))</f>
        <v/>
      </c>
      <c r="G45" s="281" t="str">
        <f t="shared" si="12"/>
        <v/>
      </c>
      <c r="H45" s="538" t="str">
        <f t="shared" si="13"/>
        <v/>
      </c>
      <c r="I45" s="539"/>
      <c r="J45" s="538" t="str">
        <f t="shared" si="14"/>
        <v xml:space="preserve"> </v>
      </c>
      <c r="K45" s="537" t="str">
        <f t="shared" si="15"/>
        <v xml:space="preserve"> </v>
      </c>
      <c r="L45" s="2209"/>
      <c r="M45" s="2211"/>
      <c r="N45" s="336"/>
      <c r="O45" s="326">
        <f>IFERROR(($I45+$G45)/(HLOOKUP($D45,RentsUA!$K$12:$Q$35,19,FALSE)),0)</f>
        <v>0</v>
      </c>
    </row>
    <row r="46" spans="1:16" ht="13.8" thickTop="1">
      <c r="A46" s="543" t="str">
        <f>IF(A39&lt;&gt;"","Subtotal "&amp;A39*100&amp;"% "&amp;C39&amp;" AMI "&amp;A43,"Subtotal:")</f>
        <v>Subtotal:</v>
      </c>
      <c r="B46" s="265"/>
      <c r="C46" s="540"/>
      <c r="D46" s="265"/>
      <c r="E46" s="545">
        <f>SUM(E39:E45)</f>
        <v>0</v>
      </c>
      <c r="F46" s="265"/>
      <c r="G46" s="541"/>
      <c r="H46" s="2199" t="str">
        <f>IF(COUNTA($E39:$E45)&gt;COUNTA($I39:$I45),"Fill in Tenant Rent above!","")</f>
        <v/>
      </c>
      <c r="I46" s="2199"/>
      <c r="J46" s="546">
        <f>SUM(J39:J45)</f>
        <v>0</v>
      </c>
      <c r="K46" s="544">
        <f>SUM(K39:K45)</f>
        <v>0</v>
      </c>
      <c r="L46" s="480"/>
      <c r="M46" s="665"/>
      <c r="N46" s="337"/>
      <c r="O46" s="326">
        <f>IFERROR(SUMPRODUCT(E39:E45,O39:O45)/E46,0)</f>
        <v>0</v>
      </c>
      <c r="P46" s="5" t="s">
        <v>625</v>
      </c>
    </row>
    <row r="47" spans="1:16" outlineLevel="1">
      <c r="A47" s="90"/>
      <c r="B47" s="90"/>
      <c r="C47" s="90"/>
      <c r="D47" s="90"/>
      <c r="E47" s="93"/>
      <c r="F47" s="259"/>
      <c r="G47" s="94"/>
      <c r="H47" s="94"/>
      <c r="I47" s="94"/>
      <c r="J47" s="95"/>
      <c r="K47" s="273"/>
      <c r="O47" s="260"/>
    </row>
    <row r="48" spans="1:16" s="5" customFormat="1" ht="79.2" outlineLevel="1">
      <c r="A48" s="2190" t="s">
        <v>215</v>
      </c>
      <c r="B48" s="2191"/>
      <c r="C48" s="361" t="s">
        <v>297</v>
      </c>
      <c r="D48" s="361" t="s">
        <v>624</v>
      </c>
      <c r="E48" s="361" t="s">
        <v>95</v>
      </c>
      <c r="F48" s="361" t="s">
        <v>225</v>
      </c>
      <c r="G48" s="361" t="s">
        <v>96</v>
      </c>
      <c r="H48" s="361" t="s">
        <v>261</v>
      </c>
      <c r="I48" s="361" t="s">
        <v>1226</v>
      </c>
      <c r="J48" s="361" t="s">
        <v>260</v>
      </c>
      <c r="K48" s="652" t="s">
        <v>262</v>
      </c>
      <c r="L48" s="2192" t="s">
        <v>859</v>
      </c>
      <c r="M48" s="2193"/>
      <c r="O48" s="362" t="s">
        <v>1227</v>
      </c>
      <c r="P48" s="363"/>
    </row>
    <row r="49" spans="1:16" outlineLevel="1">
      <c r="A49" s="2194"/>
      <c r="B49" s="2195"/>
      <c r="C49" s="468"/>
      <c r="D49" s="1" t="s">
        <v>97</v>
      </c>
      <c r="E49" s="85"/>
      <c r="F49" s="281" t="str">
        <f>IF(E49=0,"",IF($C$49="TCAC",VLOOKUP($A$49,RentsUA!$A$61:$H$77,MATCH($D49,RentsUA!$A$61:$H$61,0),FALSE),VLOOKUP($A$49,RentsUA!$A$12:$H$35,MATCH($D49,RentsUA!$A$12:$H$12,0),FALSE)))</f>
        <v/>
      </c>
      <c r="G49" s="281" t="str">
        <f t="shared" ref="G49:G55" si="16">IF($E49&gt;0,HLOOKUP($D49,UA,7,FALSE),"")</f>
        <v/>
      </c>
      <c r="H49" s="241" t="str">
        <f t="shared" ref="H49:H55" si="17">IF(E49&gt;0,F49-G49,"")</f>
        <v/>
      </c>
      <c r="I49" s="282"/>
      <c r="J49" s="241" t="str">
        <f t="shared" ref="J49:J55" si="18">IF(E49&gt;0,+I49*E49," ")</f>
        <v xml:space="preserve"> </v>
      </c>
      <c r="K49" s="281" t="str">
        <f>IF(E49&gt;0,H49*E49," ")</f>
        <v xml:space="preserve"> </v>
      </c>
      <c r="L49" s="2196"/>
      <c r="M49" s="2197"/>
      <c r="N49" s="336"/>
      <c r="O49" s="326">
        <f>IFERROR(($I49+$G49)/(HLOOKUP($D49,RentsUA!$K$12:$Q$35,19,FALSE)),0)</f>
        <v>0</v>
      </c>
    </row>
    <row r="50" spans="1:16" outlineLevel="1">
      <c r="A50" s="249"/>
      <c r="C50" s="35"/>
      <c r="D50" s="2" t="s">
        <v>98</v>
      </c>
      <c r="E50" s="85"/>
      <c r="F50" s="281" t="str">
        <f>IF(E50=0,"",IF($C$49="TCAC",VLOOKUP($A$49,RentsUA!$A$61:$H$77,MATCH($D50,RentsUA!$A$61:$H$61,0),FALSE),VLOOKUP($A$49,RentsUA!$A$12:$H$35,MATCH($D50,RentsUA!$A$12:$H$12,0),FALSE)))</f>
        <v/>
      </c>
      <c r="G50" s="281" t="str">
        <f t="shared" si="16"/>
        <v/>
      </c>
      <c r="H50" s="241" t="str">
        <f t="shared" si="17"/>
        <v/>
      </c>
      <c r="I50" s="282"/>
      <c r="J50" s="241" t="str">
        <f t="shared" si="18"/>
        <v xml:space="preserve"> </v>
      </c>
      <c r="K50" s="241" t="str">
        <f t="shared" ref="K50:K55" si="19">IF(E50&gt;0,H50*E50," ")</f>
        <v xml:space="preserve"> </v>
      </c>
      <c r="L50" s="2196"/>
      <c r="M50" s="2197"/>
      <c r="N50" s="336"/>
      <c r="O50" s="326">
        <f>IFERROR(($I50+$G50)/(HLOOKUP($D50,RentsUA!$K$12:$Q$35,19,FALSE)),0)</f>
        <v>0</v>
      </c>
    </row>
    <row r="51" spans="1:16" outlineLevel="1">
      <c r="A51" s="258"/>
      <c r="B51" s="274"/>
      <c r="C51" s="257"/>
      <c r="D51" s="2" t="s">
        <v>735</v>
      </c>
      <c r="E51" s="85"/>
      <c r="F51" s="281" t="str">
        <f>IF(E51=0,"",IF($C$49="TCAC",VLOOKUP($A$49,RentsUA!$A$61:$H$77,MATCH($D51,RentsUA!$A$61:$H$61,0),FALSE),VLOOKUP($A$49,RentsUA!$A$12:$H$35,MATCH($D51,RentsUA!$A$12:$H$12,0),FALSE)))</f>
        <v/>
      </c>
      <c r="G51" s="281" t="str">
        <f t="shared" si="16"/>
        <v/>
      </c>
      <c r="H51" s="241" t="str">
        <f t="shared" si="17"/>
        <v/>
      </c>
      <c r="I51" s="282"/>
      <c r="J51" s="241" t="str">
        <f t="shared" si="18"/>
        <v xml:space="preserve"> </v>
      </c>
      <c r="K51" s="241" t="str">
        <f t="shared" si="19"/>
        <v xml:space="preserve"> </v>
      </c>
      <c r="L51" s="2196"/>
      <c r="M51" s="2197"/>
      <c r="N51" s="336"/>
      <c r="O51" s="326">
        <f>IFERROR(($I51+$G51)/(HLOOKUP($D51,RentsUA!$K$12:$Q$35,19,FALSE)),0)</f>
        <v>0</v>
      </c>
    </row>
    <row r="52" spans="1:16" outlineLevel="1">
      <c r="A52" s="309"/>
      <c r="B52" s="310"/>
      <c r="D52" s="2" t="s">
        <v>736</v>
      </c>
      <c r="E52" s="85"/>
      <c r="F52" s="281" t="str">
        <f>IF(E52=0,"",IF($C$49="TCAC",VLOOKUP($A$49,RentsUA!$A$61:$H$77,MATCH($D52,RentsUA!$A$61:$H$61,0),FALSE),VLOOKUP($A$49,RentsUA!$A$12:$H$35,MATCH($D52,RentsUA!$A$12:$H$12,0),FALSE)))</f>
        <v/>
      </c>
      <c r="G52" s="281" t="str">
        <f t="shared" si="16"/>
        <v/>
      </c>
      <c r="H52" s="241" t="str">
        <f t="shared" si="17"/>
        <v/>
      </c>
      <c r="I52" s="282"/>
      <c r="J52" s="241" t="str">
        <f t="shared" si="18"/>
        <v xml:space="preserve"> </v>
      </c>
      <c r="K52" s="241" t="str">
        <f t="shared" si="19"/>
        <v xml:space="preserve"> </v>
      </c>
      <c r="L52" s="2196"/>
      <c r="M52" s="2197"/>
      <c r="N52" s="336"/>
      <c r="O52" s="326">
        <f>IFERROR(($I52+$G52)/(HLOOKUP($D52,RentsUA!$K$12:$Q$35,19,FALSE)),0)</f>
        <v>0</v>
      </c>
    </row>
    <row r="53" spans="1:16" outlineLevel="1">
      <c r="A53" s="309"/>
      <c r="B53" s="310"/>
      <c r="D53" s="2" t="s">
        <v>737</v>
      </c>
      <c r="E53" s="85"/>
      <c r="F53" s="281" t="str">
        <f>IF(E53=0,"",IF($C$49="TCAC",VLOOKUP($A$49,RentsUA!$A$61:$H$77,MATCH($D53,RentsUA!$A$61:$H$61,0),FALSE),VLOOKUP($A$49,RentsUA!$A$12:$H$35,MATCH($D53,RentsUA!$A$12:$H$12,0),FALSE)))</f>
        <v/>
      </c>
      <c r="G53" s="281" t="str">
        <f t="shared" si="16"/>
        <v/>
      </c>
      <c r="H53" s="241" t="str">
        <f t="shared" si="17"/>
        <v/>
      </c>
      <c r="I53" s="282"/>
      <c r="J53" s="241" t="str">
        <f t="shared" si="18"/>
        <v xml:space="preserve"> </v>
      </c>
      <c r="K53" s="241" t="str">
        <f t="shared" si="19"/>
        <v xml:space="preserve"> </v>
      </c>
      <c r="L53" s="2196"/>
      <c r="M53" s="2197"/>
      <c r="N53" s="336"/>
      <c r="O53" s="326">
        <f>IFERROR(($I53+$G53)/(HLOOKUP($D53,RentsUA!$K$12:$Q$35,19,FALSE)),0)</f>
        <v>0</v>
      </c>
    </row>
    <row r="54" spans="1:16" outlineLevel="1">
      <c r="A54" s="88"/>
      <c r="B54" s="40"/>
      <c r="C54" s="3"/>
      <c r="D54" s="2" t="s">
        <v>738</v>
      </c>
      <c r="E54" s="85"/>
      <c r="F54" s="281" t="str">
        <f>IF(E54=0,"",IF($C$49="TCAC",VLOOKUP($A$49,RentsUA!$A$61:$H$77,MATCH($D54,RentsUA!$A$61:$H$61,0),FALSE),VLOOKUP($A$49,RentsUA!$A$12:$H$35,MATCH($D54,RentsUA!$A$12:$H$12,0),FALSE)))</f>
        <v/>
      </c>
      <c r="G54" s="281" t="str">
        <f t="shared" si="16"/>
        <v/>
      </c>
      <c r="H54" s="241" t="str">
        <f t="shared" si="17"/>
        <v/>
      </c>
      <c r="I54" s="282"/>
      <c r="J54" s="241" t="str">
        <f t="shared" si="18"/>
        <v xml:space="preserve"> </v>
      </c>
      <c r="K54" s="241" t="str">
        <f t="shared" si="19"/>
        <v xml:space="preserve"> </v>
      </c>
      <c r="L54" s="2196"/>
      <c r="M54" s="2197"/>
      <c r="N54" s="336"/>
      <c r="O54" s="326">
        <f>IFERROR(($I54+$G54)/(HLOOKUP($D54,RentsUA!$K$12:$Q$35,19,FALSE)),0)</f>
        <v>0</v>
      </c>
    </row>
    <row r="55" spans="1:16" ht="13.8" outlineLevel="1" thickBot="1">
      <c r="A55" s="534"/>
      <c r="B55" s="535"/>
      <c r="C55" s="535"/>
      <c r="D55" s="2" t="s">
        <v>739</v>
      </c>
      <c r="E55" s="536"/>
      <c r="F55" s="537" t="str">
        <f>IF(E55=0,"",IF($C$49="TCAC",VLOOKUP($A$49,RentsUA!$A$61:$H$77,MATCH($D55,RentsUA!$A$61:$H$61,0),FALSE),VLOOKUP($A$49,RentsUA!$A$12:$H$35,MATCH($D55,RentsUA!$A$12:$H$12,0),FALSE)))</f>
        <v/>
      </c>
      <c r="G55" s="281" t="str">
        <f t="shared" si="16"/>
        <v/>
      </c>
      <c r="H55" s="538" t="str">
        <f t="shared" si="17"/>
        <v/>
      </c>
      <c r="I55" s="539"/>
      <c r="J55" s="538" t="str">
        <f t="shared" si="18"/>
        <v xml:space="preserve"> </v>
      </c>
      <c r="K55" s="537" t="str">
        <f t="shared" si="19"/>
        <v xml:space="preserve"> </v>
      </c>
      <c r="L55" s="2209"/>
      <c r="M55" s="2211"/>
      <c r="N55" s="336"/>
      <c r="O55" s="326">
        <f>IFERROR(($I55+$G55)/(HLOOKUP($D55,RentsUA!$K$12:$Q$35,19,FALSE)),0)</f>
        <v>0</v>
      </c>
    </row>
    <row r="56" spans="1:16" ht="13.8" outlineLevel="1" thickTop="1">
      <c r="A56" s="543" t="str">
        <f>IF(A49&lt;&gt;"","Subtotal "&amp;A49*100&amp;"% "&amp;C49&amp;" AMI "&amp;A53,"Subtotal:")</f>
        <v>Subtotal:</v>
      </c>
      <c r="B56" s="265"/>
      <c r="C56" s="540"/>
      <c r="D56" s="265"/>
      <c r="E56" s="545">
        <f>SUM(E49:E55)</f>
        <v>0</v>
      </c>
      <c r="F56" s="265"/>
      <c r="G56" s="541"/>
      <c r="H56" s="2199" t="str">
        <f>IF(COUNTA($E49:$E55)&gt;COUNTA($I49:$I55),"Fill in Tenant Rent above!","")</f>
        <v/>
      </c>
      <c r="I56" s="2199"/>
      <c r="J56" s="546">
        <f>SUM(J49:J55)</f>
        <v>0</v>
      </c>
      <c r="K56" s="544">
        <f>SUM(K49:K55)</f>
        <v>0</v>
      </c>
      <c r="L56" s="480"/>
      <c r="M56" s="665"/>
      <c r="N56" s="337"/>
      <c r="O56" s="326">
        <f>IFERROR(SUMPRODUCT(E49:E55,O49:O55)/E56,0)</f>
        <v>0</v>
      </c>
      <c r="P56" s="5" t="s">
        <v>625</v>
      </c>
    </row>
    <row r="57" spans="1:16" outlineLevel="1">
      <c r="A57" s="1351"/>
      <c r="B57" s="250"/>
      <c r="C57" s="90"/>
      <c r="D57" s="250"/>
      <c r="E57" s="1352"/>
      <c r="F57" s="250"/>
      <c r="G57" s="94"/>
      <c r="H57" s="1353"/>
      <c r="I57" s="1353"/>
      <c r="J57" s="1354"/>
      <c r="K57" s="1355"/>
      <c r="L57" s="480"/>
      <c r="M57" s="665"/>
      <c r="N57" s="337"/>
      <c r="O57" s="326"/>
      <c r="P57" s="5"/>
    </row>
    <row r="58" spans="1:16" s="5" customFormat="1" ht="79.2" outlineLevel="1">
      <c r="A58" s="2190" t="s">
        <v>215</v>
      </c>
      <c r="B58" s="2191"/>
      <c r="C58" s="361" t="s">
        <v>297</v>
      </c>
      <c r="D58" s="361" t="s">
        <v>624</v>
      </c>
      <c r="E58" s="361" t="s">
        <v>95</v>
      </c>
      <c r="F58" s="361" t="s">
        <v>225</v>
      </c>
      <c r="G58" s="361" t="s">
        <v>96</v>
      </c>
      <c r="H58" s="361" t="s">
        <v>261</v>
      </c>
      <c r="I58" s="361" t="s">
        <v>1226</v>
      </c>
      <c r="J58" s="361" t="s">
        <v>260</v>
      </c>
      <c r="K58" s="652" t="s">
        <v>262</v>
      </c>
      <c r="L58" s="2192" t="s">
        <v>859</v>
      </c>
      <c r="M58" s="2193"/>
      <c r="O58" s="362" t="s">
        <v>1227</v>
      </c>
      <c r="P58" s="363"/>
    </row>
    <row r="59" spans="1:16" outlineLevel="1">
      <c r="A59" s="2194"/>
      <c r="B59" s="2195"/>
      <c r="C59" s="468"/>
      <c r="D59" s="1" t="s">
        <v>97</v>
      </c>
      <c r="E59" s="85"/>
      <c r="F59" s="281" t="str">
        <f>IF(E59=0,"",IF($C$59="TCAC",VLOOKUP($A$59,RentsUA!$A$61:$H$77,MATCH($D59,RentsUA!$A$61:$H$61,0),FALSE),VLOOKUP($A$59,RentsUA!$A$12:$H$35,MATCH($D59,RentsUA!$A$12:$H$12,0),FALSE)))</f>
        <v/>
      </c>
      <c r="G59" s="281" t="str">
        <f t="shared" ref="G59:G65" si="20">IF($E59&gt;0,HLOOKUP($D59,UA,7,FALSE),"")</f>
        <v/>
      </c>
      <c r="H59" s="241" t="str">
        <f t="shared" ref="H59:H65" si="21">IF(E59&gt;0,F59-G59,"")</f>
        <v/>
      </c>
      <c r="I59" s="282"/>
      <c r="J59" s="241" t="str">
        <f t="shared" ref="J59:J65" si="22">IF(E59&gt;0,+I59*E59," ")</f>
        <v xml:space="preserve"> </v>
      </c>
      <c r="K59" s="281" t="str">
        <f>IF(E59&gt;0,H59*E59," ")</f>
        <v xml:space="preserve"> </v>
      </c>
      <c r="L59" s="2196"/>
      <c r="M59" s="2197"/>
      <c r="N59" s="336"/>
      <c r="O59" s="326">
        <f>IFERROR(($I59+$G59)/(HLOOKUP($D59,RentsUA!$K$12:$Q$35,19,FALSE)),0)</f>
        <v>0</v>
      </c>
    </row>
    <row r="60" spans="1:16" outlineLevel="1">
      <c r="A60" s="249"/>
      <c r="C60" s="35"/>
      <c r="D60" s="2" t="s">
        <v>98</v>
      </c>
      <c r="E60" s="85"/>
      <c r="F60" s="281" t="str">
        <f>IF(E60=0,"",IF($C$59="TCAC",VLOOKUP($A$59,RentsUA!$A$61:$H$77,MATCH($D60,RentsUA!$A$61:$H$61,0),FALSE),VLOOKUP($A$59,RentsUA!$A$12:$H$35,MATCH($D60,RentsUA!$A$12:$H$12,0),FALSE)))</f>
        <v/>
      </c>
      <c r="G60" s="281" t="str">
        <f t="shared" si="20"/>
        <v/>
      </c>
      <c r="H60" s="241" t="str">
        <f t="shared" si="21"/>
        <v/>
      </c>
      <c r="I60" s="282"/>
      <c r="J60" s="241" t="str">
        <f t="shared" si="22"/>
        <v xml:space="preserve"> </v>
      </c>
      <c r="K60" s="241" t="str">
        <f t="shared" ref="K60:K65" si="23">IF(E60&gt;0,H60*E60," ")</f>
        <v xml:space="preserve"> </v>
      </c>
      <c r="L60" s="2196"/>
      <c r="M60" s="2197"/>
      <c r="N60" s="336"/>
      <c r="O60" s="326">
        <f>IFERROR(($I60+$G60)/(HLOOKUP($D60,RentsUA!$K$12:$Q$35,19,FALSE)),0)</f>
        <v>0</v>
      </c>
    </row>
    <row r="61" spans="1:16" outlineLevel="1">
      <c r="A61" s="258"/>
      <c r="B61" s="274"/>
      <c r="C61" s="257"/>
      <c r="D61" s="2" t="s">
        <v>735</v>
      </c>
      <c r="E61" s="85"/>
      <c r="F61" s="281" t="str">
        <f>IF(E61=0,"",IF($C$59="TCAC",VLOOKUP($A$59,RentsUA!$A$61:$H$77,MATCH($D61,RentsUA!$A$61:$H$61,0),FALSE),VLOOKUP($A$59,RentsUA!$A$12:$H$35,MATCH($D61,RentsUA!$A$12:$H$12,0),FALSE)))</f>
        <v/>
      </c>
      <c r="G61" s="281" t="str">
        <f t="shared" si="20"/>
        <v/>
      </c>
      <c r="H61" s="241" t="str">
        <f t="shared" si="21"/>
        <v/>
      </c>
      <c r="I61" s="282"/>
      <c r="J61" s="241" t="str">
        <f t="shared" si="22"/>
        <v xml:space="preserve"> </v>
      </c>
      <c r="K61" s="241" t="str">
        <f t="shared" si="23"/>
        <v xml:space="preserve"> </v>
      </c>
      <c r="L61" s="2196"/>
      <c r="M61" s="2197"/>
      <c r="N61" s="336"/>
      <c r="O61" s="326">
        <f>IFERROR(($I61+$G61)/(HLOOKUP($D61,RentsUA!$K$12:$Q$35,19,FALSE)),0)</f>
        <v>0</v>
      </c>
    </row>
    <row r="62" spans="1:16" outlineLevel="1">
      <c r="A62" s="309"/>
      <c r="B62" s="310"/>
      <c r="D62" s="2" t="s">
        <v>736</v>
      </c>
      <c r="E62" s="85"/>
      <c r="F62" s="281" t="str">
        <f>IF(E62=0,"",IF($C$59="TCAC",VLOOKUP($A$59,RentsUA!$A$61:$H$77,MATCH($D62,RentsUA!$A$61:$H$61,0),FALSE),VLOOKUP($A$59,RentsUA!$A$12:$H$35,MATCH($D62,RentsUA!$A$12:$H$12,0),FALSE)))</f>
        <v/>
      </c>
      <c r="G62" s="281" t="str">
        <f t="shared" si="20"/>
        <v/>
      </c>
      <c r="H62" s="241" t="str">
        <f t="shared" si="21"/>
        <v/>
      </c>
      <c r="I62" s="282"/>
      <c r="J62" s="241" t="str">
        <f t="shared" si="22"/>
        <v xml:space="preserve"> </v>
      </c>
      <c r="K62" s="241" t="str">
        <f t="shared" si="23"/>
        <v xml:space="preserve"> </v>
      </c>
      <c r="L62" s="2196"/>
      <c r="M62" s="2197"/>
      <c r="N62" s="336"/>
      <c r="O62" s="326">
        <f>IFERROR(($I62+$G62)/(HLOOKUP($D62,RentsUA!$K$12:$Q$35,19,FALSE)),0)</f>
        <v>0</v>
      </c>
    </row>
    <row r="63" spans="1:16" outlineLevel="1">
      <c r="A63" s="309"/>
      <c r="B63" s="310"/>
      <c r="D63" s="2" t="s">
        <v>737</v>
      </c>
      <c r="E63" s="85"/>
      <c r="F63" s="281" t="str">
        <f>IF(E63=0,"",IF($C$59="TCAC",VLOOKUP($A$59,RentsUA!$A$61:$H$77,MATCH($D63,RentsUA!$A$61:$H$61,0),FALSE),VLOOKUP($A$59,RentsUA!$A$12:$H$35,MATCH($D63,RentsUA!$A$12:$H$12,0),FALSE)))</f>
        <v/>
      </c>
      <c r="G63" s="281" t="str">
        <f t="shared" si="20"/>
        <v/>
      </c>
      <c r="H63" s="241" t="str">
        <f t="shared" si="21"/>
        <v/>
      </c>
      <c r="I63" s="282"/>
      <c r="J63" s="241" t="str">
        <f t="shared" si="22"/>
        <v xml:space="preserve"> </v>
      </c>
      <c r="K63" s="241" t="str">
        <f t="shared" si="23"/>
        <v xml:space="preserve"> </v>
      </c>
      <c r="L63" s="2196"/>
      <c r="M63" s="2197"/>
      <c r="N63" s="336"/>
      <c r="O63" s="326">
        <f>IFERROR(($I63+$G63)/(HLOOKUP($D63,RentsUA!$K$12:$Q$35,19,FALSE)),0)</f>
        <v>0</v>
      </c>
    </row>
    <row r="64" spans="1:16" outlineLevel="1">
      <c r="A64" s="88"/>
      <c r="B64" s="40"/>
      <c r="C64" s="3"/>
      <c r="D64" s="2" t="s">
        <v>738</v>
      </c>
      <c r="E64" s="85"/>
      <c r="F64" s="281" t="str">
        <f>IF(E64=0,"",IF($C$59="TCAC",VLOOKUP($A$59,RentsUA!$A$61:$H$77,MATCH($D64,RentsUA!$A$61:$H$61,0),FALSE),VLOOKUP($A$59,RentsUA!$A$12:$H$35,MATCH($D64,RentsUA!$A$12:$H$12,0),FALSE)))</f>
        <v/>
      </c>
      <c r="G64" s="281" t="str">
        <f t="shared" si="20"/>
        <v/>
      </c>
      <c r="H64" s="241" t="str">
        <f t="shared" si="21"/>
        <v/>
      </c>
      <c r="I64" s="282"/>
      <c r="J64" s="241" t="str">
        <f t="shared" si="22"/>
        <v xml:space="preserve"> </v>
      </c>
      <c r="K64" s="241" t="str">
        <f t="shared" si="23"/>
        <v xml:space="preserve"> </v>
      </c>
      <c r="L64" s="2196"/>
      <c r="M64" s="2197"/>
      <c r="N64" s="336"/>
      <c r="O64" s="326">
        <f>IFERROR(($I64+$G64)/(HLOOKUP($D64,RentsUA!$K$12:$Q$35,19,FALSE)),0)</f>
        <v>0</v>
      </c>
    </row>
    <row r="65" spans="1:29" ht="13.8" outlineLevel="1" thickBot="1">
      <c r="A65" s="534"/>
      <c r="B65" s="535"/>
      <c r="C65" s="535"/>
      <c r="D65" s="2" t="s">
        <v>739</v>
      </c>
      <c r="E65" s="536"/>
      <c r="F65" s="537" t="str">
        <f>IF(E65=0,"",IF($C$59="TCAC",VLOOKUP($A$59,RentsUA!$A$61:$H$77,MATCH($D65,RentsUA!$A$61:$H$61,0),FALSE),VLOOKUP($A$59,RentsUA!$A$12:$H$35,MATCH($D65,RentsUA!$A$12:$H$12,0),FALSE)))</f>
        <v/>
      </c>
      <c r="G65" s="281" t="str">
        <f t="shared" si="20"/>
        <v/>
      </c>
      <c r="H65" s="538" t="str">
        <f t="shared" si="21"/>
        <v/>
      </c>
      <c r="I65" s="539"/>
      <c r="J65" s="538" t="str">
        <f t="shared" si="22"/>
        <v xml:space="preserve"> </v>
      </c>
      <c r="K65" s="537" t="str">
        <f t="shared" si="23"/>
        <v xml:space="preserve"> </v>
      </c>
      <c r="L65" s="2209"/>
      <c r="M65" s="2211"/>
      <c r="N65" s="336"/>
      <c r="O65" s="326">
        <f>IFERROR(($I65+$G65)/(HLOOKUP($D65,RentsUA!$K$12:$Q$35,19,FALSE)),0)</f>
        <v>0</v>
      </c>
    </row>
    <row r="66" spans="1:29" ht="13.8" outlineLevel="1" thickTop="1">
      <c r="A66" s="543" t="str">
        <f>IF(A59&lt;&gt;"","Subtotal "&amp;A59*100&amp;"% "&amp;C59&amp;" AMI "&amp;A63,"Subtotal:")</f>
        <v>Subtotal:</v>
      </c>
      <c r="B66" s="265"/>
      <c r="C66" s="540"/>
      <c r="D66" s="265"/>
      <c r="E66" s="545">
        <f>SUM(E59:E65)</f>
        <v>0</v>
      </c>
      <c r="F66" s="265"/>
      <c r="G66" s="541"/>
      <c r="H66" s="2199" t="str">
        <f>IF(COUNTA($E59:$E65)&gt;COUNTA($I59:$I65),"Fill in Tenant Rent above!","")</f>
        <v/>
      </c>
      <c r="I66" s="2199"/>
      <c r="J66" s="546">
        <f>SUM(J59:J65)</f>
        <v>0</v>
      </c>
      <c r="K66" s="544">
        <f>SUM(K59:K65)</f>
        <v>0</v>
      </c>
      <c r="L66" s="480"/>
      <c r="M66" s="665"/>
      <c r="N66" s="337"/>
      <c r="O66" s="326">
        <f>IFERROR(SUMPRODUCT(E59:E65,O59:O65)/E66,0)</f>
        <v>0</v>
      </c>
      <c r="P66" s="5" t="s">
        <v>625</v>
      </c>
    </row>
    <row r="67" spans="1:29">
      <c r="A67" s="353"/>
      <c r="B67" s="248"/>
      <c r="C67" s="266"/>
      <c r="D67" s="340"/>
      <c r="E67" s="374"/>
      <c r="F67" s="248"/>
      <c r="G67" s="2206" t="s">
        <v>563</v>
      </c>
      <c r="H67" s="2206"/>
      <c r="I67" s="2206"/>
      <c r="J67" s="284"/>
      <c r="K67" s="284"/>
      <c r="L67" s="326"/>
      <c r="N67" s="337"/>
      <c r="O67" s="337"/>
      <c r="U67" s="5"/>
    </row>
    <row r="68" spans="1:29" ht="24" customHeight="1">
      <c r="A68" s="532"/>
      <c r="C68" s="4"/>
      <c r="D68" s="618" t="s">
        <v>588</v>
      </c>
      <c r="E68" s="533">
        <f>SUM(E16,E26,E36,E46,E56,E66)</f>
        <v>0</v>
      </c>
      <c r="G68" s="2207"/>
      <c r="H68" s="2207"/>
      <c r="I68" s="2207"/>
      <c r="J68" s="285">
        <f>SUM(J16,J26,J36,J46,J56,J66)</f>
        <v>0</v>
      </c>
      <c r="K68" s="2212" t="s">
        <v>1260</v>
      </c>
      <c r="L68" s="2212"/>
      <c r="M68" s="2212"/>
      <c r="N68" s="337"/>
      <c r="O68" s="1388">
        <f>AVERAGE(O66,O56,O46,O36,O26,O16)</f>
        <v>0</v>
      </c>
      <c r="P68" s="326"/>
      <c r="U68" s="5"/>
    </row>
    <row r="69" spans="1:29">
      <c r="A69" s="532"/>
      <c r="C69" s="4"/>
      <c r="E69" s="533"/>
      <c r="G69" s="269"/>
      <c r="H69" s="562"/>
      <c r="I69" s="562"/>
      <c r="J69" s="285"/>
      <c r="K69" s="285"/>
      <c r="L69" s="6"/>
      <c r="M69" s="337"/>
      <c r="N69" s="337"/>
      <c r="O69" s="337"/>
      <c r="P69" s="326"/>
      <c r="U69" s="5"/>
    </row>
    <row r="70" spans="1:29">
      <c r="A70" s="532"/>
      <c r="C70" s="4"/>
      <c r="E70" s="533"/>
      <c r="G70" s="269"/>
      <c r="H70" s="562"/>
      <c r="I70" s="562"/>
      <c r="J70" s="285"/>
      <c r="K70" s="285"/>
      <c r="L70" s="6"/>
      <c r="M70" s="337"/>
      <c r="N70" s="337"/>
      <c r="O70" s="337"/>
      <c r="P70" s="326"/>
      <c r="U70" s="5"/>
    </row>
    <row r="71" spans="1:29">
      <c r="A71" s="565" t="s">
        <v>1225</v>
      </c>
      <c r="B71" s="477"/>
      <c r="C71" s="566"/>
      <c r="D71" s="477"/>
      <c r="E71" s="563"/>
      <c r="F71" s="477"/>
      <c r="G71" s="567"/>
      <c r="H71" s="568"/>
      <c r="I71" s="568"/>
      <c r="J71" s="564"/>
      <c r="K71" s="564"/>
      <c r="L71" s="486"/>
      <c r="M71" s="564"/>
      <c r="N71" s="564"/>
      <c r="O71" s="564"/>
      <c r="P71" s="326"/>
      <c r="U71" s="5"/>
    </row>
    <row r="72" spans="1:29" ht="107.4" customHeight="1">
      <c r="A72" s="2205" t="s">
        <v>1228</v>
      </c>
      <c r="B72" s="2205"/>
      <c r="C72" s="2205"/>
      <c r="D72" s="2205"/>
      <c r="E72" s="2205"/>
      <c r="F72" s="2205"/>
      <c r="G72" s="2205"/>
      <c r="H72" s="2205"/>
      <c r="I72" s="2205"/>
      <c r="J72" s="2205"/>
      <c r="K72" s="2205"/>
      <c r="L72" s="2205"/>
      <c r="M72" s="371"/>
      <c r="N72" s="371"/>
      <c r="O72" s="371"/>
      <c r="Q72" s="371"/>
      <c r="R72" s="371"/>
    </row>
    <row r="73" spans="1:29" s="5" customFormat="1" ht="93" customHeight="1">
      <c r="A73" s="2190" t="s">
        <v>215</v>
      </c>
      <c r="B73" s="2191"/>
      <c r="C73" s="361" t="s">
        <v>273</v>
      </c>
      <c r="D73" s="361" t="s">
        <v>624</v>
      </c>
      <c r="E73" s="361" t="s">
        <v>1230</v>
      </c>
      <c r="F73" s="361" t="str">
        <f>IF(ISNA(MATCH("Tenant",'2.Utilities&amp;OtherIncome'!$D$8:$D$11,0)),"Estimated Tenant Paid Rent","Estimated Tenant Paid Rent Excluding Utility Allowance")</f>
        <v>Estimated Tenant Paid Rent Excluding Utility Allowance</v>
      </c>
      <c r="G73" s="361" t="s">
        <v>268</v>
      </c>
      <c r="H73" s="361" t="s">
        <v>95</v>
      </c>
      <c r="I73" s="361" t="s">
        <v>271</v>
      </c>
      <c r="J73" s="361" t="s">
        <v>230</v>
      </c>
      <c r="K73" s="372" t="s">
        <v>272</v>
      </c>
      <c r="L73" s="2192" t="s">
        <v>231</v>
      </c>
      <c r="M73" s="2204"/>
      <c r="N73" s="2204"/>
      <c r="O73" s="2193"/>
      <c r="P73" s="362" t="s">
        <v>1229</v>
      </c>
      <c r="Z73" s="361" t="s">
        <v>225</v>
      </c>
      <c r="AA73" s="361" t="s">
        <v>96</v>
      </c>
      <c r="AB73" s="361" t="s">
        <v>261</v>
      </c>
      <c r="AC73" s="361" t="s">
        <v>262</v>
      </c>
    </row>
    <row r="74" spans="1:29">
      <c r="A74" s="2194"/>
      <c r="B74" s="2195"/>
      <c r="C74" s="373" t="str">
        <f>IF(A74&lt;&gt;"","MOHCD","")</f>
        <v/>
      </c>
      <c r="D74" s="1" t="s">
        <v>97</v>
      </c>
      <c r="E74" s="282"/>
      <c r="F74" s="282"/>
      <c r="G74" s="283">
        <f>IF($A$78&lt;&gt;"LOSP",E74-F74,0)</f>
        <v>0</v>
      </c>
      <c r="H74" s="85"/>
      <c r="I74" s="241" t="str">
        <f>IF(H74&gt;0,+F74*H74,"")</f>
        <v/>
      </c>
      <c r="J74" s="283">
        <f>IF($A$78&lt;&gt;"LOSP",G74*H74,0)</f>
        <v>0</v>
      </c>
      <c r="K74" s="241" t="str">
        <f>IF($H74="","",IF(OR($E74="",$F74=""),"",$I74+$J74))</f>
        <v/>
      </c>
      <c r="L74" s="2196"/>
      <c r="M74" s="2200"/>
      <c r="N74" s="2200"/>
      <c r="O74" s="2197"/>
      <c r="P74" s="326">
        <f>IF($H74&lt;&gt;"",($F74+HLOOKUP($D74,UA,7,FALSE))/(HLOOKUP($D74,RentsUA!$K$12:$Q$35,19,FALSE)),0)</f>
        <v>0</v>
      </c>
      <c r="Z74" s="281" t="str">
        <f>IF($H74=0," ",IF($C$74="TCAC",VLOOKUP($A$74,RentsUA!$A$61:$H$77,MATCH($D74,RentsUA!$A$61:$H$61,0),FALSE),VLOOKUP($A$74,RentsUA!$A$12:$H$35,MATCH($D74,RentsUA!$A$12:$H$12,0),FALSE)))</f>
        <v xml:space="preserve"> </v>
      </c>
      <c r="AA74" s="281" t="str">
        <f>IF($H74&gt;0,HLOOKUP($D74,#REF!,8,FALSE),"")</f>
        <v/>
      </c>
      <c r="AB74" s="241" t="str">
        <f t="shared" ref="AB74:AB80" si="24">IF(H74&gt;0,Z74-AA74," ")</f>
        <v xml:space="preserve"> </v>
      </c>
      <c r="AC74" s="281" t="str">
        <f t="shared" ref="AC74:AC80" si="25">IF(H74&gt;0,AB74*H74," ")</f>
        <v xml:space="preserve"> </v>
      </c>
    </row>
    <row r="75" spans="1:29">
      <c r="A75" s="91"/>
      <c r="B75" s="275"/>
      <c r="C75" s="4"/>
      <c r="D75" s="2" t="s">
        <v>98</v>
      </c>
      <c r="E75" s="282"/>
      <c r="F75" s="282"/>
      <c r="G75" s="283">
        <f t="shared" ref="G75:G80" si="26">IF($A$78&lt;&gt;"LOSP",E75-F75,0)</f>
        <v>0</v>
      </c>
      <c r="H75" s="85"/>
      <c r="I75" s="241" t="str">
        <f t="shared" ref="I75:I80" si="27">IF(H75&gt;0,+F75*H75," ")</f>
        <v xml:space="preserve"> </v>
      </c>
      <c r="J75" s="283">
        <f t="shared" ref="J75:J80" si="28">IF($A$78&lt;&gt;"LOSP",G75*H75,0)</f>
        <v>0</v>
      </c>
      <c r="K75" s="241" t="str">
        <f t="shared" ref="K75:K80" si="29">IF($H75="","",IF(OR($E75="",$F75=""),"",$I75+$J75))</f>
        <v/>
      </c>
      <c r="L75" s="2196"/>
      <c r="M75" s="2200"/>
      <c r="N75" s="2200"/>
      <c r="O75" s="2197"/>
      <c r="P75" s="326">
        <f>IF($H75&lt;&gt;"",($F75+HLOOKUP($D75,UA,7,FALSE))/(HLOOKUP($D75,RentsUA!$K$12:$Q$35,19,FALSE)),0)</f>
        <v>0</v>
      </c>
      <c r="Z75" s="281" t="str">
        <f>IF($H75=0," ",IF($C$74="TCAC",VLOOKUP($A$74,RentsUA!$A$61:$H$77,MATCH($D75,RentsUA!$A$61:$H$61,0),FALSE),VLOOKUP($A$74,RentsUA!$A$12:$H$35,MATCH($D75,RentsUA!$A$12:$H$12,0),FALSE)))</f>
        <v xml:space="preserve"> </v>
      </c>
      <c r="AA75" s="281" t="str">
        <f>IF($H75&gt;0,HLOOKUP($D75,#REF!,8,FALSE),"")</f>
        <v/>
      </c>
      <c r="AB75" s="241" t="str">
        <f t="shared" si="24"/>
        <v xml:space="preserve"> </v>
      </c>
      <c r="AC75" s="241" t="str">
        <f t="shared" si="25"/>
        <v xml:space="preserve"> </v>
      </c>
    </row>
    <row r="76" spans="1:29">
      <c r="A76" s="370" t="s">
        <v>216</v>
      </c>
      <c r="B76" s="274"/>
      <c r="C76" s="257"/>
      <c r="D76" s="2" t="s">
        <v>735</v>
      </c>
      <c r="E76" s="282"/>
      <c r="F76" s="282"/>
      <c r="G76" s="283">
        <f t="shared" si="26"/>
        <v>0</v>
      </c>
      <c r="H76" s="85"/>
      <c r="I76" s="241" t="str">
        <f t="shared" si="27"/>
        <v xml:space="preserve"> </v>
      </c>
      <c r="J76" s="283">
        <f t="shared" si="28"/>
        <v>0</v>
      </c>
      <c r="K76" s="241" t="str">
        <f t="shared" si="29"/>
        <v/>
      </c>
      <c r="L76" s="2196"/>
      <c r="M76" s="2200"/>
      <c r="N76" s="2200"/>
      <c r="O76" s="2197"/>
      <c r="P76" s="326">
        <f>IF($H76&lt;&gt;"",($F76+HLOOKUP($D76,UA,7,FALSE))/(HLOOKUP($D76,RentsUA!$K$12:$Q$35,19,FALSE)),0)</f>
        <v>0</v>
      </c>
      <c r="Z76" s="281" t="str">
        <f>IF($H76=0," ",IF($C$74="TCAC",VLOOKUP($A$74,RentsUA!$A$61:$H$77,MATCH($D76,RentsUA!$A$61:$H$61,0),FALSE),VLOOKUP($A$74,RentsUA!$A$12:$H$35,MATCH($D76,RentsUA!$A$12:$H$12,0),FALSE)))</f>
        <v xml:space="preserve"> </v>
      </c>
      <c r="AA76" s="281" t="str">
        <f>IF($H76&gt;0,HLOOKUP($D76,#REF!,8,FALSE),"")</f>
        <v/>
      </c>
      <c r="AB76" s="241" t="str">
        <f t="shared" si="24"/>
        <v xml:space="preserve"> </v>
      </c>
      <c r="AC76" s="241" t="str">
        <f t="shared" si="25"/>
        <v xml:space="preserve"> </v>
      </c>
    </row>
    <row r="77" spans="1:29">
      <c r="A77" s="391" t="s">
        <v>270</v>
      </c>
      <c r="B77" s="310"/>
      <c r="D77" s="2" t="s">
        <v>736</v>
      </c>
      <c r="E77" s="282"/>
      <c r="F77" s="282"/>
      <c r="G77" s="283">
        <f t="shared" si="26"/>
        <v>0</v>
      </c>
      <c r="H77" s="85"/>
      <c r="I77" s="241" t="str">
        <f t="shared" si="27"/>
        <v xml:space="preserve"> </v>
      </c>
      <c r="J77" s="283">
        <f t="shared" si="28"/>
        <v>0</v>
      </c>
      <c r="K77" s="241" t="str">
        <f t="shared" si="29"/>
        <v/>
      </c>
      <c r="L77" s="2196"/>
      <c r="M77" s="2200"/>
      <c r="N77" s="2200"/>
      <c r="O77" s="2197"/>
      <c r="P77" s="326">
        <f>IF($H77&lt;&gt;"",($F77+HLOOKUP($D77,UA,7,FALSE))/(HLOOKUP($D77,RentsUA!$K$12:$Q$35,19,FALSE)),0)</f>
        <v>0</v>
      </c>
      <c r="Z77" s="281" t="str">
        <f>IF($H77=0," ",IF($C$74="TCAC",VLOOKUP($A$74,RentsUA!$A$61:$H$77,MATCH($D77,RentsUA!$A$61:$H$61,0),FALSE),VLOOKUP($A$74,RentsUA!$A$12:$H$35,MATCH($D77,RentsUA!$A$12:$H$12,0),FALSE)))</f>
        <v xml:space="preserve"> </v>
      </c>
      <c r="AA77" s="281" t="str">
        <f>IF($H77&gt;0,HLOOKUP($D77,#REF!,8,FALSE),"")</f>
        <v/>
      </c>
      <c r="AB77" s="241" t="str">
        <f t="shared" si="24"/>
        <v xml:space="preserve"> </v>
      </c>
      <c r="AC77" s="241" t="str">
        <f t="shared" si="25"/>
        <v xml:space="preserve"> </v>
      </c>
    </row>
    <row r="78" spans="1:29">
      <c r="A78" s="2201"/>
      <c r="B78" s="2202"/>
      <c r="C78" s="2203"/>
      <c r="D78" s="2" t="s">
        <v>737</v>
      </c>
      <c r="E78" s="282"/>
      <c r="F78" s="282"/>
      <c r="G78" s="283">
        <f t="shared" si="26"/>
        <v>0</v>
      </c>
      <c r="H78" s="85"/>
      <c r="I78" s="241" t="str">
        <f t="shared" si="27"/>
        <v xml:space="preserve"> </v>
      </c>
      <c r="J78" s="283">
        <f t="shared" si="28"/>
        <v>0</v>
      </c>
      <c r="K78" s="241" t="str">
        <f t="shared" si="29"/>
        <v/>
      </c>
      <c r="L78" s="2196"/>
      <c r="M78" s="2200"/>
      <c r="N78" s="2200"/>
      <c r="O78" s="2197"/>
      <c r="P78" s="326">
        <f>IF($H78&lt;&gt;"",($F78+HLOOKUP($D78,UA,7,FALSE))/(HLOOKUP($D78,RentsUA!$K$12:$Q$35,19,FALSE)),0)</f>
        <v>0</v>
      </c>
      <c r="W78">
        <f>IF(A74&lt;&gt;"",IF(A78="",1,0),0)</f>
        <v>0</v>
      </c>
      <c r="Z78" s="281" t="str">
        <f>IF($H78=0," ",IF($C$74="TCAC",VLOOKUP($A$74,RentsUA!$A$61:$H$77,MATCH($D78,RentsUA!$A$61:$H$61,0),FALSE),VLOOKUP($A$74,RentsUA!$A$12:$H$35,MATCH($D78,RentsUA!$A$12:$H$12,0),FALSE)))</f>
        <v xml:space="preserve"> </v>
      </c>
      <c r="AA78" s="281" t="str">
        <f>IF($H78&gt;0,HLOOKUP($D78,#REF!,8,FALSE),"")</f>
        <v/>
      </c>
      <c r="AB78" s="241" t="str">
        <f t="shared" si="24"/>
        <v xml:space="preserve"> </v>
      </c>
      <c r="AC78" s="241" t="str">
        <f t="shared" si="25"/>
        <v xml:space="preserve"> </v>
      </c>
    </row>
    <row r="79" spans="1:29">
      <c r="A79" s="2029"/>
      <c r="B79" s="266"/>
      <c r="C79" s="2030"/>
      <c r="D79" s="2" t="s">
        <v>738</v>
      </c>
      <c r="E79" s="282"/>
      <c r="F79" s="282"/>
      <c r="G79" s="283">
        <f t="shared" si="26"/>
        <v>0</v>
      </c>
      <c r="H79" s="85"/>
      <c r="I79" s="241" t="str">
        <f t="shared" si="27"/>
        <v xml:space="preserve"> </v>
      </c>
      <c r="J79" s="283">
        <f t="shared" si="28"/>
        <v>0</v>
      </c>
      <c r="K79" s="241" t="str">
        <f t="shared" si="29"/>
        <v/>
      </c>
      <c r="L79" s="2196"/>
      <c r="M79" s="2200"/>
      <c r="N79" s="2200"/>
      <c r="O79" s="2197"/>
      <c r="P79" s="326">
        <f>IF($H79&lt;&gt;"",($F79+HLOOKUP($D79,UA,7,FALSE))/(HLOOKUP($D79,RentsUA!$K$12:$Q$35,19,FALSE)),0)</f>
        <v>0</v>
      </c>
      <c r="Z79" s="281" t="str">
        <f>IF($H79=0," ",IF($C$74="TCAC",VLOOKUP($A$74,RentsUA!$A$61:$H$77,MATCH($D79,RentsUA!$A$61:$H$61,0),FALSE),VLOOKUP($A$74,RentsUA!$A$12:$H$35,MATCH($D79,RentsUA!$A$12:$H$12,0),FALSE)))</f>
        <v xml:space="preserve"> </v>
      </c>
      <c r="AA79" s="281" t="str">
        <f>IF($H79&gt;0,HLOOKUP($D79,#REF!,8,FALSE),"")</f>
        <v/>
      </c>
      <c r="AB79" s="241" t="str">
        <f t="shared" si="24"/>
        <v xml:space="preserve"> </v>
      </c>
      <c r="AC79" s="241" t="str">
        <f t="shared" si="25"/>
        <v xml:space="preserve"> </v>
      </c>
    </row>
    <row r="80" spans="1:29" ht="13.8" thickBot="1">
      <c r="A80" s="534"/>
      <c r="B80" s="535"/>
      <c r="C80" s="2031"/>
      <c r="D80" s="2" t="s">
        <v>739</v>
      </c>
      <c r="E80" s="539"/>
      <c r="F80" s="539"/>
      <c r="G80" s="569">
        <f t="shared" si="26"/>
        <v>0</v>
      </c>
      <c r="H80" s="536"/>
      <c r="I80" s="538" t="str">
        <f t="shared" si="27"/>
        <v xml:space="preserve"> </v>
      </c>
      <c r="J80" s="569">
        <f t="shared" si="28"/>
        <v>0</v>
      </c>
      <c r="K80" s="538" t="str">
        <f t="shared" si="29"/>
        <v/>
      </c>
      <c r="L80" s="2209"/>
      <c r="M80" s="2210"/>
      <c r="N80" s="2210"/>
      <c r="O80" s="2211"/>
      <c r="P80" s="326">
        <f>IF($H80&lt;&gt;"",($F80+HLOOKUP($D80,UA,7,FALSE))/(HLOOKUP($D80,RentsUA!$K$12:$Q$35,19,FALSE)),0)</f>
        <v>0</v>
      </c>
      <c r="Z80" s="281" t="str">
        <f>IF($H80=0," ",IF($C$74="TCAC",VLOOKUP($A$74,RentsUA!$A$61:$H$77,MATCH($D80,RentsUA!$A$61:$H$61,0),FALSE),VLOOKUP($A$74,RentsUA!$A$12:$H$35,MATCH($D80,RentsUA!$A$12:$H$12,0),FALSE)))</f>
        <v xml:space="preserve"> </v>
      </c>
      <c r="AA80" s="281" t="str">
        <f>IF($H80&gt;0,HLOOKUP($D80,#REF!,8,FALSE),"")</f>
        <v/>
      </c>
      <c r="AB80" s="241" t="str">
        <f t="shared" si="24"/>
        <v xml:space="preserve"> </v>
      </c>
      <c r="AC80" s="281" t="str">
        <f t="shared" si="25"/>
        <v xml:space="preserve"> </v>
      </c>
    </row>
    <row r="81" spans="1:29" ht="12.75" customHeight="1" thickTop="1">
      <c r="A81" s="543" t="str">
        <f>IF(A74&lt;&gt;"","Subtotal "&amp;A74*100&amp;"% "&amp;C74&amp;" AMI "&amp;A78,"Subtotal")</f>
        <v>Subtotal</v>
      </c>
      <c r="B81" s="540"/>
      <c r="C81" s="540"/>
      <c r="D81" s="265"/>
      <c r="E81" s="2208" t="str">
        <f>IF($A78="LOSP","",IF(OR(COUNTA($H74:$H80)&gt;COUNTA(E74:E80),COUNTA($H74:$H80)&gt;COUNTA($F74:$F80)),"Enter Contract Rent/Estimated Tenant Rent",""))</f>
        <v/>
      </c>
      <c r="F81" s="2208"/>
      <c r="G81" s="2208"/>
      <c r="H81" s="545">
        <f>SUM(H74:H80)</f>
        <v>0</v>
      </c>
      <c r="I81" s="571">
        <f>SUM(I74:I80)</f>
        <v>0</v>
      </c>
      <c r="J81" s="571">
        <f>SUM(J74:J80)</f>
        <v>0</v>
      </c>
      <c r="K81" s="544">
        <f>SUM(K74:K80)</f>
        <v>0</v>
      </c>
      <c r="L81" s="265"/>
      <c r="M81" s="542"/>
      <c r="N81" s="265"/>
      <c r="O81" s="570"/>
      <c r="P81" s="326">
        <f>IFERROR(SUMPRODUCT(H74:H80,P74:P80)/H81,0)</f>
        <v>0</v>
      </c>
      <c r="Q81" s="5" t="s">
        <v>625</v>
      </c>
      <c r="Z81" s="284"/>
      <c r="AC81" s="284">
        <f>SUM(AC74:AC80)</f>
        <v>0</v>
      </c>
    </row>
    <row r="82" spans="1:29">
      <c r="A82" s="90"/>
      <c r="B82" s="90"/>
      <c r="C82" s="90"/>
      <c r="D82" s="90"/>
      <c r="E82" s="376"/>
      <c r="F82" s="376"/>
      <c r="G82" s="94"/>
      <c r="H82" s="94"/>
      <c r="I82" s="94"/>
      <c r="J82" s="95"/>
      <c r="K82" s="273"/>
      <c r="L82" s="250"/>
      <c r="M82" s="250"/>
      <c r="N82" s="250"/>
      <c r="Z82" s="273"/>
    </row>
    <row r="83" spans="1:29" ht="105.6">
      <c r="A83" s="2190" t="s">
        <v>215</v>
      </c>
      <c r="B83" s="2191"/>
      <c r="C83" s="361" t="s">
        <v>273</v>
      </c>
      <c r="D83" s="361" t="s">
        <v>624</v>
      </c>
      <c r="E83" s="361" t="s">
        <v>1230</v>
      </c>
      <c r="F83" s="361" t="str">
        <f>IF(ISNA(MATCH("Tenant",'2.Utilities&amp;OtherIncome'!$D$8:$D$11,0)),"Estimated Tenant Paid Rent","Estimated Tenant Paid Rent Excluding Utility Allowance")</f>
        <v>Estimated Tenant Paid Rent Excluding Utility Allowance</v>
      </c>
      <c r="G83" s="361" t="s">
        <v>268</v>
      </c>
      <c r="H83" s="361" t="s">
        <v>95</v>
      </c>
      <c r="I83" s="361" t="s">
        <v>271</v>
      </c>
      <c r="J83" s="339" t="s">
        <v>230</v>
      </c>
      <c r="K83" s="372" t="s">
        <v>272</v>
      </c>
      <c r="L83" s="2192" t="s">
        <v>231</v>
      </c>
      <c r="M83" s="2204"/>
      <c r="N83" s="2204"/>
      <c r="O83" s="2193"/>
      <c r="P83" s="362" t="s">
        <v>1229</v>
      </c>
      <c r="Z83" s="339" t="s">
        <v>225</v>
      </c>
      <c r="AA83" s="339" t="s">
        <v>96</v>
      </c>
      <c r="AB83" s="339" t="s">
        <v>261</v>
      </c>
      <c r="AC83" s="339" t="s">
        <v>262</v>
      </c>
    </row>
    <row r="84" spans="1:29">
      <c r="A84" s="2194"/>
      <c r="B84" s="2195"/>
      <c r="C84" s="373" t="str">
        <f>IF(A84&lt;&gt;"","MOHCD","")</f>
        <v/>
      </c>
      <c r="D84" s="1" t="s">
        <v>97</v>
      </c>
      <c r="E84" s="282"/>
      <c r="F84" s="282"/>
      <c r="G84" s="283">
        <f>IF($A$88&lt;&gt;"LOSP",E84-F84,0)</f>
        <v>0</v>
      </c>
      <c r="H84" s="85"/>
      <c r="I84" s="241" t="str">
        <f t="shared" ref="I84:I90" si="30">IF(H84&gt;0,+F84*H84," ")</f>
        <v xml:space="preserve"> </v>
      </c>
      <c r="J84" s="283">
        <f>IF($A$88&lt;&gt;"LOSP",G84*H84,0)</f>
        <v>0</v>
      </c>
      <c r="K84" s="241" t="str">
        <f>IF($H84="","",IF(OR($E84="",$F84=""),"",$I84+$J84))</f>
        <v/>
      </c>
      <c r="L84" s="2196"/>
      <c r="M84" s="2200"/>
      <c r="N84" s="2200"/>
      <c r="O84" s="2197"/>
      <c r="P84" s="326">
        <f>IF($H84&lt;&gt;"",($F84+HLOOKUP($D84,UA,7,FALSE))/(HLOOKUP($D84,RentsUA!$K$12:$Q$35,19,FALSE)),0)</f>
        <v>0</v>
      </c>
      <c r="Z84" s="281" t="str">
        <f>IF($H84=0," ",IF($C$84="TCAC",VLOOKUP($A$84,RentsUA!$A$61:$H$77,MATCH($D84,RentsUA!$A$61:$H$61,0),FALSE),VLOOKUP($A$84,RentsUA!$A$12:$H$35,MATCH($D84,RentsUA!$A$12:$H$12,0),FALSE)))</f>
        <v xml:space="preserve"> </v>
      </c>
      <c r="AA84" s="281" t="str">
        <f>IF($H84&gt;0,HLOOKUP($D84,#REF!,8,FALSE),"")</f>
        <v/>
      </c>
      <c r="AB84" s="241" t="str">
        <f t="shared" ref="AB84:AB90" si="31">IF(H84&gt;0,Z84-AA84," ")</f>
        <v xml:space="preserve"> </v>
      </c>
      <c r="AC84" s="281" t="str">
        <f t="shared" ref="AC84:AC90" si="32">IF(H84&gt;0,AB84*H84," ")</f>
        <v xml:space="preserve"> </v>
      </c>
    </row>
    <row r="85" spans="1:29">
      <c r="A85" s="91"/>
      <c r="B85" s="275"/>
      <c r="C85" s="4"/>
      <c r="D85" s="2" t="s">
        <v>98</v>
      </c>
      <c r="E85" s="282"/>
      <c r="F85" s="282"/>
      <c r="G85" s="283">
        <f t="shared" ref="G85:G90" si="33">IF($A$88&lt;&gt;"LOSP",E85-F85,0)</f>
        <v>0</v>
      </c>
      <c r="H85" s="85"/>
      <c r="I85" s="241" t="str">
        <f t="shared" si="30"/>
        <v xml:space="preserve"> </v>
      </c>
      <c r="J85" s="283">
        <f t="shared" ref="J85:J90" si="34">IF($A$88&lt;&gt;"LOSP",G85*H85,0)</f>
        <v>0</v>
      </c>
      <c r="K85" s="241" t="str">
        <f t="shared" ref="K85:K90" si="35">IF($H85="","",IF(OR($E85="",$F85=""),"",$I85+$J85))</f>
        <v/>
      </c>
      <c r="L85" s="2196"/>
      <c r="M85" s="2200"/>
      <c r="N85" s="2200"/>
      <c r="O85" s="2197"/>
      <c r="P85" s="326">
        <f>IF($H85&lt;&gt;"",($F85+HLOOKUP($D85,UA,7,FALSE))/(HLOOKUP($D85,RentsUA!$K$12:$Q$35,19,FALSE)),0)</f>
        <v>0</v>
      </c>
      <c r="Z85" s="281" t="str">
        <f>IF($H85=0," ",IF($C$84="TCAC",VLOOKUP($A$84,RentsUA!$A$61:$H$77,MATCH($D85,RentsUA!$A$61:$H$61,0),FALSE),VLOOKUP($A$84,RentsUA!$A$12:$H$35,MATCH($D85,RentsUA!$A$12:$H$12,0),FALSE)))</f>
        <v xml:space="preserve"> </v>
      </c>
      <c r="AA85" s="281" t="str">
        <f>IF($H85&gt;0,HLOOKUP($D85,#REF!,8,FALSE),"")</f>
        <v/>
      </c>
      <c r="AB85" s="241" t="str">
        <f t="shared" si="31"/>
        <v xml:space="preserve"> </v>
      </c>
      <c r="AC85" s="241" t="str">
        <f t="shared" si="32"/>
        <v xml:space="preserve"> </v>
      </c>
    </row>
    <row r="86" spans="1:29">
      <c r="A86" s="370" t="s">
        <v>216</v>
      </c>
      <c r="B86" s="274"/>
      <c r="C86" s="257"/>
      <c r="D86" s="2" t="s">
        <v>735</v>
      </c>
      <c r="E86" s="282"/>
      <c r="F86" s="282"/>
      <c r="G86" s="283">
        <f t="shared" si="33"/>
        <v>0</v>
      </c>
      <c r="H86" s="85"/>
      <c r="I86" s="241" t="str">
        <f t="shared" si="30"/>
        <v xml:space="preserve"> </v>
      </c>
      <c r="J86" s="283">
        <f t="shared" si="34"/>
        <v>0</v>
      </c>
      <c r="K86" s="241" t="str">
        <f t="shared" si="35"/>
        <v/>
      </c>
      <c r="L86" s="2196"/>
      <c r="M86" s="2200"/>
      <c r="N86" s="2200"/>
      <c r="O86" s="2197"/>
      <c r="P86" s="326">
        <f>IF($H86&lt;&gt;"",($F86+HLOOKUP($D86,UA,7,FALSE))/(HLOOKUP($D86,RentsUA!$K$12:$Q$35,19,FALSE)),0)</f>
        <v>0</v>
      </c>
      <c r="Z86" s="281" t="str">
        <f>IF($H86=0," ",IF($C$84="TCAC",VLOOKUP($A$84,RentsUA!$A$61:$H$77,MATCH($D86,RentsUA!$A$61:$H$61,0),FALSE),VLOOKUP($A$84,RentsUA!$A$12:$H$35,MATCH($D86,RentsUA!$A$12:$H$12,0),FALSE)))</f>
        <v xml:space="preserve"> </v>
      </c>
      <c r="AA86" s="281" t="str">
        <f>IF($H86&gt;0,HLOOKUP($D86,#REF!,8,FALSE),"")</f>
        <v/>
      </c>
      <c r="AB86" s="241" t="str">
        <f t="shared" si="31"/>
        <v xml:space="preserve"> </v>
      </c>
      <c r="AC86" s="241" t="str">
        <f t="shared" si="32"/>
        <v xml:space="preserve"> </v>
      </c>
    </row>
    <row r="87" spans="1:29">
      <c r="A87" s="391" t="s">
        <v>270</v>
      </c>
      <c r="B87" s="310"/>
      <c r="D87" s="2" t="s">
        <v>736</v>
      </c>
      <c r="E87" s="282"/>
      <c r="F87" s="282"/>
      <c r="G87" s="283">
        <f t="shared" si="33"/>
        <v>0</v>
      </c>
      <c r="H87" s="85"/>
      <c r="I87" s="241" t="str">
        <f t="shared" si="30"/>
        <v xml:space="preserve"> </v>
      </c>
      <c r="J87" s="283">
        <f t="shared" si="34"/>
        <v>0</v>
      </c>
      <c r="K87" s="241" t="str">
        <f t="shared" si="35"/>
        <v/>
      </c>
      <c r="L87" s="2196"/>
      <c r="M87" s="2200"/>
      <c r="N87" s="2200"/>
      <c r="O87" s="2197"/>
      <c r="P87" s="326">
        <f>IF($H87&lt;&gt;"",($F87+HLOOKUP($D87,UA,7,FALSE))/(HLOOKUP($D87,RentsUA!$K$12:$Q$35,19,FALSE)),0)</f>
        <v>0</v>
      </c>
      <c r="Z87" s="281" t="str">
        <f>IF($H87=0," ",IF($C$84="TCAC",VLOOKUP($A$84,RentsUA!$A$61:$H$77,MATCH($D87,RentsUA!$A$61:$H$61,0),FALSE),VLOOKUP($A$84,RentsUA!$A$12:$H$35,MATCH($D87,RentsUA!$A$12:$H$12,0),FALSE)))</f>
        <v xml:space="preserve"> </v>
      </c>
      <c r="AA87" s="281" t="str">
        <f>IF($H87&gt;0,HLOOKUP($D87,#REF!,8,FALSE),"")</f>
        <v/>
      </c>
      <c r="AB87" s="241" t="str">
        <f t="shared" si="31"/>
        <v xml:space="preserve"> </v>
      </c>
      <c r="AC87" s="241" t="str">
        <f t="shared" si="32"/>
        <v xml:space="preserve"> </v>
      </c>
    </row>
    <row r="88" spans="1:29">
      <c r="A88" s="2201"/>
      <c r="B88" s="2202"/>
      <c r="C88" s="2203"/>
      <c r="D88" s="2" t="s">
        <v>737</v>
      </c>
      <c r="E88" s="282"/>
      <c r="F88" s="282"/>
      <c r="G88" s="283">
        <f t="shared" si="33"/>
        <v>0</v>
      </c>
      <c r="H88" s="85"/>
      <c r="I88" s="241" t="str">
        <f t="shared" si="30"/>
        <v xml:space="preserve"> </v>
      </c>
      <c r="J88" s="283">
        <f t="shared" si="34"/>
        <v>0</v>
      </c>
      <c r="K88" s="241" t="str">
        <f t="shared" si="35"/>
        <v/>
      </c>
      <c r="L88" s="2196"/>
      <c r="M88" s="2200"/>
      <c r="N88" s="2200"/>
      <c r="O88" s="2197"/>
      <c r="P88" s="326">
        <f>IF($H88&lt;&gt;"",($F88+HLOOKUP($D88,UA,7,FALSE))/(HLOOKUP($D88,RentsUA!$K$12:$Q$35,19,FALSE)),0)</f>
        <v>0</v>
      </c>
      <c r="W88">
        <f>IF(A84&lt;&gt;"",IF(A88="",1,0),0)</f>
        <v>0</v>
      </c>
      <c r="Z88" s="281" t="str">
        <f>IF($H88=0," ",IF($C$84="TCAC",VLOOKUP($A$84,RentsUA!$A$61:$H$77,MATCH($D88,RentsUA!$A$61:$H$61,0),FALSE),VLOOKUP($A$84,RentsUA!$A$12:$H$35,MATCH($D88,RentsUA!$A$12:$H$12,0),FALSE)))</f>
        <v xml:space="preserve"> </v>
      </c>
      <c r="AA88" s="281" t="str">
        <f>IF($H88&gt;0,HLOOKUP($D88,#REF!,8,FALSE),"")</f>
        <v/>
      </c>
      <c r="AB88" s="241" t="str">
        <f t="shared" si="31"/>
        <v xml:space="preserve"> </v>
      </c>
      <c r="AC88" s="241" t="str">
        <f t="shared" si="32"/>
        <v xml:space="preserve"> </v>
      </c>
    </row>
    <row r="89" spans="1:29">
      <c r="A89" s="92"/>
      <c r="B89" s="4"/>
      <c r="C89" s="4"/>
      <c r="D89" s="2" t="s">
        <v>738</v>
      </c>
      <c r="E89" s="282"/>
      <c r="F89" s="282"/>
      <c r="G89" s="283">
        <f t="shared" si="33"/>
        <v>0</v>
      </c>
      <c r="H89" s="85"/>
      <c r="I89" s="241" t="str">
        <f t="shared" si="30"/>
        <v xml:space="preserve"> </v>
      </c>
      <c r="J89" s="283">
        <f t="shared" si="34"/>
        <v>0</v>
      </c>
      <c r="K89" s="241" t="str">
        <f t="shared" si="35"/>
        <v/>
      </c>
      <c r="L89" s="2196"/>
      <c r="M89" s="2200"/>
      <c r="N89" s="2200"/>
      <c r="O89" s="2197"/>
      <c r="P89" s="326">
        <f>IF($H89&lt;&gt;"",($F89+HLOOKUP($D89,UA,7,FALSE))/(HLOOKUP($D89,RentsUA!$K$12:$Q$35,19,FALSE)),0)</f>
        <v>0</v>
      </c>
      <c r="Z89" s="281" t="str">
        <f>IF($H89=0," ",IF($C$84="TCAC",VLOOKUP($A$84,RentsUA!$A$61:$H$77,MATCH($D89,RentsUA!$A$61:$H$61,0),FALSE),VLOOKUP($A$84,RentsUA!$A$12:$H$35,MATCH($D89,RentsUA!$A$12:$H$12,0),FALSE)))</f>
        <v xml:space="preserve"> </v>
      </c>
      <c r="AA89" s="281" t="str">
        <f>IF($H89&gt;0,HLOOKUP($D89,#REF!,8,FALSE),"")</f>
        <v/>
      </c>
      <c r="AB89" s="241" t="str">
        <f t="shared" si="31"/>
        <v xml:space="preserve"> </v>
      </c>
      <c r="AC89" s="241" t="str">
        <f t="shared" si="32"/>
        <v xml:space="preserve"> </v>
      </c>
    </row>
    <row r="90" spans="1:29" ht="13.8" thickBot="1">
      <c r="A90" s="89"/>
      <c r="B90" s="90"/>
      <c r="C90" s="90"/>
      <c r="D90" s="2" t="s">
        <v>739</v>
      </c>
      <c r="E90" s="539"/>
      <c r="F90" s="539"/>
      <c r="G90" s="283">
        <f t="shared" si="33"/>
        <v>0</v>
      </c>
      <c r="H90" s="85"/>
      <c r="I90" s="241" t="str">
        <f t="shared" si="30"/>
        <v xml:space="preserve"> </v>
      </c>
      <c r="J90" s="283">
        <f t="shared" si="34"/>
        <v>0</v>
      </c>
      <c r="K90" s="241" t="str">
        <f t="shared" si="35"/>
        <v/>
      </c>
      <c r="L90" s="2196"/>
      <c r="M90" s="2200"/>
      <c r="N90" s="2200"/>
      <c r="O90" s="2197"/>
      <c r="P90" s="326">
        <f>IF($H90&lt;&gt;"",($F90+HLOOKUP($D90,UA,7,FALSE))/(HLOOKUP($D90,RentsUA!$K$12:$Q$35,19,FALSE)),0)</f>
        <v>0</v>
      </c>
      <c r="Z90" s="281" t="str">
        <f>IF($H90=0," ",IF($C$84="TCAC",VLOOKUP($A$84,RentsUA!$A$61:$H$77,MATCH($D90,RentsUA!$A$61:$H$61,0),FALSE),VLOOKUP($A$84,RentsUA!$A$12:$H$35,MATCH($D90,RentsUA!$A$12:$H$12,0),FALSE)))</f>
        <v xml:space="preserve"> </v>
      </c>
      <c r="AA90" s="281" t="str">
        <f>IF($H90&gt;0,HLOOKUP($D90,#REF!,8,FALSE),"")</f>
        <v/>
      </c>
      <c r="AB90" s="241" t="str">
        <f t="shared" si="31"/>
        <v xml:space="preserve"> </v>
      </c>
      <c r="AC90" s="281" t="str">
        <f t="shared" si="32"/>
        <v xml:space="preserve"> </v>
      </c>
    </row>
    <row r="91" spans="1:29" ht="13.8" thickTop="1">
      <c r="A91" s="543" t="str">
        <f>IF(A84&lt;&gt;"","Subtotal "&amp;A84*100&amp;"% "&amp;C84&amp;" AMI "&amp;A88,"Subtotal")</f>
        <v>Subtotal</v>
      </c>
      <c r="B91" s="540"/>
      <c r="C91" s="540"/>
      <c r="D91" s="265"/>
      <c r="E91" s="2208" t="str">
        <f>IF($A88="LOSP","",IF(OR(COUNTA($H84:$H90)&gt;COUNTA(E84:E90),COUNTA($H84:$H90)&gt;COUNTA($F84:$F90)),"Enter Contract Rent/Estimated Tenant Rent",""))</f>
        <v/>
      </c>
      <c r="F91" s="2208"/>
      <c r="G91" s="2208"/>
      <c r="H91" s="545">
        <f>SUM(H84:H90)</f>
        <v>0</v>
      </c>
      <c r="I91" s="571">
        <f>SUM(I84:I90)</f>
        <v>0</v>
      </c>
      <c r="J91" s="571">
        <f>SUM(J84:J90)</f>
        <v>0</v>
      </c>
      <c r="K91" s="544">
        <f>SUM(K84:K90)</f>
        <v>0</v>
      </c>
      <c r="L91" s="265"/>
      <c r="M91" s="542"/>
      <c r="N91" s="265"/>
      <c r="O91" s="570"/>
      <c r="P91" s="326">
        <f>IFERROR(SUMPRODUCT(H84:H90,P84:P90)/H91,0)</f>
        <v>0</v>
      </c>
      <c r="Q91" s="5" t="s">
        <v>625</v>
      </c>
      <c r="Z91" s="284"/>
      <c r="AB91" s="6"/>
      <c r="AC91" s="284">
        <f>SUM(AC84:AC90)</f>
        <v>0</v>
      </c>
    </row>
    <row r="92" spans="1:29">
      <c r="A92" s="90"/>
      <c r="B92" s="90"/>
      <c r="C92" s="90"/>
      <c r="D92" s="90"/>
      <c r="E92" s="93"/>
      <c r="F92" s="259"/>
      <c r="G92" s="94"/>
      <c r="H92" s="94"/>
      <c r="I92" s="94"/>
      <c r="J92" s="95"/>
      <c r="K92" s="273"/>
      <c r="L92" s="250"/>
      <c r="M92" s="250"/>
      <c r="N92" s="250"/>
      <c r="Z92" s="273"/>
    </row>
    <row r="93" spans="1:29" s="5" customFormat="1" ht="92.4">
      <c r="A93" s="2190" t="s">
        <v>215</v>
      </c>
      <c r="B93" s="2191"/>
      <c r="C93" s="361" t="s">
        <v>273</v>
      </c>
      <c r="D93" s="361" t="s">
        <v>624</v>
      </c>
      <c r="E93" s="361" t="s">
        <v>1230</v>
      </c>
      <c r="F93" s="361" t="str">
        <f>IF(ISNA(MATCH("Tenant",'2.Utilities&amp;OtherIncome'!$D$8:$D$11,0)),"Estimated Tenant Paid Rent","Estimated Tenant Paid Rent Excluding Utility Allowance")</f>
        <v>Estimated Tenant Paid Rent Excluding Utility Allowance</v>
      </c>
      <c r="G93" s="361" t="s">
        <v>268</v>
      </c>
      <c r="H93" s="361" t="s">
        <v>95</v>
      </c>
      <c r="I93" s="361" t="s">
        <v>271</v>
      </c>
      <c r="J93" s="361" t="s">
        <v>230</v>
      </c>
      <c r="K93" s="372" t="s">
        <v>272</v>
      </c>
      <c r="L93" s="2192" t="s">
        <v>231</v>
      </c>
      <c r="M93" s="2204"/>
      <c r="N93" s="2204"/>
      <c r="O93" s="2193"/>
      <c r="P93" s="362" t="s">
        <v>1229</v>
      </c>
      <c r="Z93" s="361" t="s">
        <v>225</v>
      </c>
      <c r="AA93" s="361" t="s">
        <v>96</v>
      </c>
      <c r="AB93" s="361" t="s">
        <v>261</v>
      </c>
      <c r="AC93" s="361" t="s">
        <v>262</v>
      </c>
    </row>
    <row r="94" spans="1:29">
      <c r="A94" s="2194"/>
      <c r="B94" s="2195"/>
      <c r="C94" s="373" t="str">
        <f>IF(A94&lt;&gt;"","MOHCD","")</f>
        <v/>
      </c>
      <c r="D94" s="1" t="s">
        <v>97</v>
      </c>
      <c r="E94" s="282"/>
      <c r="F94" s="282"/>
      <c r="G94" s="283">
        <f>IF($A$98&lt;&gt;"LOSP",E94-F94,0)</f>
        <v>0</v>
      </c>
      <c r="H94" s="85"/>
      <c r="I94" s="241" t="str">
        <f t="shared" ref="I94:I100" si="36">IF(H94&gt;0,+F94*H94," ")</f>
        <v xml:space="preserve"> </v>
      </c>
      <c r="J94" s="283">
        <f>IF($A$98&lt;&gt;"LOSP",G94*H94,0)</f>
        <v>0</v>
      </c>
      <c r="K94" s="241" t="str">
        <f>IF($H94="","",IF(OR($E94="",$F94=""),"",$I94+$J94))</f>
        <v/>
      </c>
      <c r="L94" s="2196"/>
      <c r="M94" s="2200"/>
      <c r="N94" s="2200"/>
      <c r="O94" s="2197"/>
      <c r="P94" s="326">
        <f>IF($H94&lt;&gt;"",($F94+HLOOKUP($D94,UA,7,FALSE))/(HLOOKUP($D94,RentsUA!$K$12:$Q$35,19,FALSE)),0)</f>
        <v>0</v>
      </c>
      <c r="Z94" s="281" t="str">
        <f>IF($H94=0," ",IF($C$94="TCAC",VLOOKUP($A$94,RentsUA!$A$61:$H$77,MATCH($D94,RentsUA!$A$61:$H$61,0),FALSE),VLOOKUP($A$94,RentsUA!$A$12:$H$35,MATCH($D94,RentsUA!$A$12:$H$12,0),FALSE)))</f>
        <v xml:space="preserve"> </v>
      </c>
      <c r="AA94" s="281" t="str">
        <f>IF($H94&gt;0,HLOOKUP($D94,#REF!,8,FALSE),"")</f>
        <v/>
      </c>
      <c r="AB94" s="241" t="str">
        <f t="shared" ref="AB94:AB100" si="37">IF(H94&gt;0,Z94-AA94," ")</f>
        <v xml:space="preserve"> </v>
      </c>
      <c r="AC94" s="281" t="str">
        <f t="shared" ref="AC94:AC100" si="38">IF(H94&gt;0,AB94*H94," ")</f>
        <v xml:space="preserve"> </v>
      </c>
    </row>
    <row r="95" spans="1:29">
      <c r="A95" s="91"/>
      <c r="B95" s="275"/>
      <c r="C95" s="4"/>
      <c r="D95" s="2" t="s">
        <v>98</v>
      </c>
      <c r="E95" s="282"/>
      <c r="F95" s="282"/>
      <c r="G95" s="283">
        <f t="shared" ref="G95:G100" si="39">IF($A$98&lt;&gt;"LOSP",E95-F95,0)</f>
        <v>0</v>
      </c>
      <c r="H95" s="85"/>
      <c r="I95" s="241" t="str">
        <f t="shared" si="36"/>
        <v xml:space="preserve"> </v>
      </c>
      <c r="J95" s="283">
        <f t="shared" ref="J95:J100" si="40">IF($A$98&lt;&gt;"LOSP",G95*H95,0)</f>
        <v>0</v>
      </c>
      <c r="K95" s="241" t="str">
        <f t="shared" ref="K95:K100" si="41">IF($H95="","",IF(OR($E95="",$F95=""),"",$I95+$J95))</f>
        <v/>
      </c>
      <c r="L95" s="2196"/>
      <c r="M95" s="2200"/>
      <c r="N95" s="2200"/>
      <c r="O95" s="2197"/>
      <c r="P95" s="326">
        <f>IF($H95&lt;&gt;"",($F95+HLOOKUP($D95,UA,7,FALSE))/(HLOOKUP($D95,RentsUA!$K$12:$Q$35,19,FALSE)),0)</f>
        <v>0</v>
      </c>
      <c r="Z95" s="281" t="str">
        <f>IF($H95=0," ",IF($C$94="TCAC",VLOOKUP($A$94,RentsUA!$A$61:$H$77,MATCH($D95,RentsUA!$A$61:$H$61,0),FALSE),VLOOKUP($A$94,RentsUA!$A$12:$H$35,MATCH($D95,RentsUA!$A$12:$H$12,0),FALSE)))</f>
        <v xml:space="preserve"> </v>
      </c>
      <c r="AA95" s="281" t="str">
        <f>IF($H95&gt;0,HLOOKUP($D95,#REF!,8,FALSE),"")</f>
        <v/>
      </c>
      <c r="AB95" s="241" t="str">
        <f t="shared" si="37"/>
        <v xml:space="preserve"> </v>
      </c>
      <c r="AC95" s="241" t="str">
        <f t="shared" si="38"/>
        <v xml:space="preserve"> </v>
      </c>
    </row>
    <row r="96" spans="1:29">
      <c r="A96" s="370" t="s">
        <v>216</v>
      </c>
      <c r="B96" s="274"/>
      <c r="C96" s="257"/>
      <c r="D96" s="2" t="s">
        <v>735</v>
      </c>
      <c r="E96" s="282"/>
      <c r="F96" s="282"/>
      <c r="G96" s="283">
        <f t="shared" si="39"/>
        <v>0</v>
      </c>
      <c r="H96" s="85"/>
      <c r="I96" s="241" t="str">
        <f t="shared" si="36"/>
        <v xml:space="preserve"> </v>
      </c>
      <c r="J96" s="283">
        <f t="shared" si="40"/>
        <v>0</v>
      </c>
      <c r="K96" s="241" t="str">
        <f t="shared" si="41"/>
        <v/>
      </c>
      <c r="L96" s="2196"/>
      <c r="M96" s="2200"/>
      <c r="N96" s="2200"/>
      <c r="O96" s="2197"/>
      <c r="P96" s="326">
        <f>IF($H96&lt;&gt;"",($F96+HLOOKUP($D96,UA,7,FALSE))/(HLOOKUP($D96,RentsUA!$K$12:$Q$35,19,FALSE)),0)</f>
        <v>0</v>
      </c>
      <c r="Z96" s="281" t="str">
        <f>IF($H96=0," ",IF($C$94="TCAC",VLOOKUP($A$94,RentsUA!$A$61:$H$77,MATCH($D96,RentsUA!$A$61:$H$61,0),FALSE),VLOOKUP($A$94,RentsUA!$A$12:$H$35,MATCH($D96,RentsUA!$A$12:$H$12,0),FALSE)))</f>
        <v xml:space="preserve"> </v>
      </c>
      <c r="AA96" s="281" t="str">
        <f>IF($H96&gt;0,HLOOKUP($D96,#REF!,8,FALSE),"")</f>
        <v/>
      </c>
      <c r="AB96" s="241" t="str">
        <f t="shared" si="37"/>
        <v xml:space="preserve"> </v>
      </c>
      <c r="AC96" s="241" t="str">
        <f t="shared" si="38"/>
        <v xml:space="preserve"> </v>
      </c>
    </row>
    <row r="97" spans="1:29">
      <c r="A97" s="391" t="s">
        <v>270</v>
      </c>
      <c r="B97" s="310"/>
      <c r="D97" s="2" t="s">
        <v>736</v>
      </c>
      <c r="E97" s="282"/>
      <c r="F97" s="282"/>
      <c r="G97" s="283">
        <f t="shared" si="39"/>
        <v>0</v>
      </c>
      <c r="H97" s="85"/>
      <c r="I97" s="241" t="str">
        <f t="shared" si="36"/>
        <v xml:space="preserve"> </v>
      </c>
      <c r="J97" s="283">
        <f t="shared" si="40"/>
        <v>0</v>
      </c>
      <c r="K97" s="241" t="str">
        <f t="shared" si="41"/>
        <v/>
      </c>
      <c r="L97" s="2196"/>
      <c r="M97" s="2200"/>
      <c r="N97" s="2200"/>
      <c r="O97" s="2197"/>
      <c r="P97" s="326">
        <f>IF($H97&lt;&gt;"",($F97+HLOOKUP($D97,UA,7,FALSE))/(HLOOKUP($D97,RentsUA!$K$12:$Q$35,19,FALSE)),0)</f>
        <v>0</v>
      </c>
      <c r="Z97" s="281" t="str">
        <f>IF($H97=0," ",IF($C$94="TCAC",VLOOKUP($A$94,RentsUA!$A$61:$H$77,MATCH($D97,RentsUA!$A$61:$H$61,0),FALSE),VLOOKUP($A$94,RentsUA!$A$12:$H$35,MATCH($D97,RentsUA!$A$12:$H$12,0),FALSE)))</f>
        <v xml:space="preserve"> </v>
      </c>
      <c r="AA97" s="281" t="str">
        <f>IF($H97&gt;0,HLOOKUP($D97,#REF!,8,FALSE),"")</f>
        <v/>
      </c>
      <c r="AB97" s="241" t="str">
        <f t="shared" si="37"/>
        <v xml:space="preserve"> </v>
      </c>
      <c r="AC97" s="241" t="str">
        <f t="shared" si="38"/>
        <v xml:space="preserve"> </v>
      </c>
    </row>
    <row r="98" spans="1:29">
      <c r="A98" s="2201"/>
      <c r="B98" s="2202"/>
      <c r="C98" s="2203"/>
      <c r="D98" s="2" t="s">
        <v>737</v>
      </c>
      <c r="E98" s="282"/>
      <c r="F98" s="282"/>
      <c r="G98" s="283">
        <f t="shared" si="39"/>
        <v>0</v>
      </c>
      <c r="H98" s="85"/>
      <c r="I98" s="241" t="str">
        <f t="shared" si="36"/>
        <v xml:space="preserve"> </v>
      </c>
      <c r="J98" s="283">
        <f t="shared" si="40"/>
        <v>0</v>
      </c>
      <c r="K98" s="241" t="str">
        <f t="shared" si="41"/>
        <v/>
      </c>
      <c r="L98" s="2196"/>
      <c r="M98" s="2200"/>
      <c r="N98" s="2200"/>
      <c r="O98" s="2197"/>
      <c r="P98" s="326">
        <f>IF($H98&lt;&gt;"",($F98+HLOOKUP($D98,UA,7,FALSE))/(HLOOKUP($D98,RentsUA!$K$12:$Q$35,19,FALSE)),0)</f>
        <v>0</v>
      </c>
      <c r="W98">
        <f>IF(A94&lt;&gt;"",IF(A98="",1,0),0)</f>
        <v>0</v>
      </c>
      <c r="Z98" s="281" t="str">
        <f>IF($H98=0," ",IF($C$94="TCAC",VLOOKUP($A$94,RentsUA!$A$61:$H$77,MATCH($D98,RentsUA!$A$61:$H$61,0),FALSE),VLOOKUP($A$94,RentsUA!$A$12:$H$35,MATCH($D98,RentsUA!$A$12:$H$12,0),FALSE)))</f>
        <v xml:space="preserve"> </v>
      </c>
      <c r="AA98" s="281" t="str">
        <f>IF($H98&gt;0,HLOOKUP($D98,#REF!,8,FALSE),"")</f>
        <v/>
      </c>
      <c r="AB98" s="241" t="str">
        <f t="shared" si="37"/>
        <v xml:space="preserve"> </v>
      </c>
      <c r="AC98" s="241" t="str">
        <f t="shared" si="38"/>
        <v xml:space="preserve"> </v>
      </c>
    </row>
    <row r="99" spans="1:29">
      <c r="A99" s="92"/>
      <c r="B99" s="4"/>
      <c r="C99" s="4"/>
      <c r="D99" s="2" t="s">
        <v>738</v>
      </c>
      <c r="E99" s="282"/>
      <c r="F99" s="282"/>
      <c r="G99" s="283">
        <f t="shared" si="39"/>
        <v>0</v>
      </c>
      <c r="H99" s="85"/>
      <c r="I99" s="241" t="str">
        <f t="shared" si="36"/>
        <v xml:space="preserve"> </v>
      </c>
      <c r="J99" s="283">
        <f t="shared" si="40"/>
        <v>0</v>
      </c>
      <c r="K99" s="241" t="str">
        <f t="shared" si="41"/>
        <v/>
      </c>
      <c r="L99" s="2196"/>
      <c r="M99" s="2200"/>
      <c r="N99" s="2200"/>
      <c r="O99" s="2197"/>
      <c r="P99" s="326">
        <f>IF($H99&lt;&gt;"",($F99+HLOOKUP($D99,UA,7,FALSE))/(HLOOKUP($D99,RentsUA!$K$12:$Q$35,19,FALSE)),0)</f>
        <v>0</v>
      </c>
      <c r="Z99" s="281" t="str">
        <f>IF($H99=0," ",IF($C$94="TCAC",VLOOKUP($A$94,RentsUA!$A$61:$H$77,MATCH($D99,RentsUA!$A$61:$H$61,0),FALSE),VLOOKUP($A$94,RentsUA!$A$12:$H$35,MATCH($D99,RentsUA!$A$12:$H$12,0),FALSE)))</f>
        <v xml:space="preserve"> </v>
      </c>
      <c r="AA99" s="281" t="str">
        <f>IF($H99&gt;0,HLOOKUP($D99,#REF!,8,FALSE),"")</f>
        <v/>
      </c>
      <c r="AB99" s="241" t="str">
        <f t="shared" si="37"/>
        <v xml:space="preserve"> </v>
      </c>
      <c r="AC99" s="241" t="str">
        <f t="shared" si="38"/>
        <v xml:space="preserve"> </v>
      </c>
    </row>
    <row r="100" spans="1:29" ht="13.8" thickBot="1">
      <c r="A100" s="89"/>
      <c r="B100" s="90"/>
      <c r="C100" s="90"/>
      <c r="D100" s="2" t="s">
        <v>739</v>
      </c>
      <c r="E100" s="539"/>
      <c r="F100" s="539"/>
      <c r="G100" s="283">
        <f t="shared" si="39"/>
        <v>0</v>
      </c>
      <c r="H100" s="85"/>
      <c r="I100" s="241" t="str">
        <f t="shared" si="36"/>
        <v xml:space="preserve"> </v>
      </c>
      <c r="J100" s="283">
        <f t="shared" si="40"/>
        <v>0</v>
      </c>
      <c r="K100" s="241" t="str">
        <f t="shared" si="41"/>
        <v/>
      </c>
      <c r="L100" s="2196"/>
      <c r="M100" s="2200"/>
      <c r="N100" s="2200"/>
      <c r="O100" s="2197"/>
      <c r="P100" s="326">
        <f>IF($H100&lt;&gt;"",($F100+HLOOKUP($D100,UA,7,FALSE))/(HLOOKUP($D100,RentsUA!$K$12:$Q$35,19,FALSE)),0)</f>
        <v>0</v>
      </c>
      <c r="Z100" s="281" t="str">
        <f>IF($H100=0," ",IF($C$94="TCAC",VLOOKUP($A$94,RentsUA!$A$61:$H$77,MATCH($D100,RentsUA!$A$61:$H$61,0),FALSE),VLOOKUP($A$94,RentsUA!$A$12:$H$35,MATCH($D100,RentsUA!$A$12:$H$12,0),FALSE)))</f>
        <v xml:space="preserve"> </v>
      </c>
      <c r="AA100" s="281" t="str">
        <f>IF($H100&gt;0,HLOOKUP($D100,#REF!,8,FALSE),"")</f>
        <v/>
      </c>
      <c r="AB100" s="241" t="str">
        <f t="shared" si="37"/>
        <v xml:space="preserve"> </v>
      </c>
      <c r="AC100" s="281" t="str">
        <f t="shared" si="38"/>
        <v xml:space="preserve"> </v>
      </c>
    </row>
    <row r="101" spans="1:29" ht="13.8" thickTop="1">
      <c r="A101" s="543" t="str">
        <f>IF(A94&lt;&gt;"","Subtotal "&amp;A94*100&amp;"% "&amp;C94&amp;" AMI "&amp;A98,"Subtotal")</f>
        <v>Subtotal</v>
      </c>
      <c r="B101" s="540"/>
      <c r="C101" s="540"/>
      <c r="D101" s="265"/>
      <c r="E101" s="2208" t="str">
        <f>IF($A98="LOSP","",IF(OR(COUNTA($H94:$H100)&gt;COUNTA(E94:E100),COUNTA($H94:$H100)&gt;COUNTA($F94:$F100)),"Enter Contract Rent/Estimated Tenant Rent",""))</f>
        <v/>
      </c>
      <c r="F101" s="2208"/>
      <c r="G101" s="2208"/>
      <c r="H101" s="545">
        <f>SUM(H94:H100)</f>
        <v>0</v>
      </c>
      <c r="I101" s="571">
        <f>SUM(I94:I100)</f>
        <v>0</v>
      </c>
      <c r="J101" s="571">
        <f>SUM(J94:J100)</f>
        <v>0</v>
      </c>
      <c r="K101" s="544">
        <f>SUM(K94:K100)</f>
        <v>0</v>
      </c>
      <c r="L101" s="265"/>
      <c r="M101" s="542"/>
      <c r="N101" s="265"/>
      <c r="O101" s="570"/>
      <c r="P101" s="326">
        <f>IFERROR(SUMPRODUCT(H94:H100,P94:P100)/H101,0)</f>
        <v>0</v>
      </c>
      <c r="Q101" s="5" t="s">
        <v>625</v>
      </c>
      <c r="AB101" s="284"/>
      <c r="AC101" s="284">
        <f>SUM(AC94:AC100)</f>
        <v>0</v>
      </c>
    </row>
    <row r="102" spans="1:29">
      <c r="A102" s="4"/>
      <c r="B102" s="4"/>
      <c r="C102" s="4"/>
      <c r="D102" s="4"/>
      <c r="E102" s="267"/>
      <c r="F102" s="268"/>
      <c r="G102" s="269"/>
      <c r="H102" s="269"/>
      <c r="I102" s="269"/>
      <c r="J102" s="270"/>
      <c r="K102" s="260"/>
      <c r="Z102" s="260"/>
    </row>
    <row r="103" spans="1:29" s="5" customFormat="1" ht="90.75" customHeight="1">
      <c r="A103" s="2190" t="s">
        <v>215</v>
      </c>
      <c r="B103" s="2191"/>
      <c r="C103" s="361" t="s">
        <v>273</v>
      </c>
      <c r="D103" s="361" t="s">
        <v>624</v>
      </c>
      <c r="E103" s="361" t="s">
        <v>1230</v>
      </c>
      <c r="F103" s="361" t="str">
        <f>IF(ISNA(MATCH("Tenant",'2.Utilities&amp;OtherIncome'!$D$8:$D$11,0)),"Estimated Tenant Paid Rent","Estimated Tenant Paid Rent Excluding Utility Allowance")</f>
        <v>Estimated Tenant Paid Rent Excluding Utility Allowance</v>
      </c>
      <c r="G103" s="361" t="s">
        <v>268</v>
      </c>
      <c r="H103" s="361" t="s">
        <v>95</v>
      </c>
      <c r="I103" s="361" t="s">
        <v>271</v>
      </c>
      <c r="J103" s="361" t="s">
        <v>230</v>
      </c>
      <c r="K103" s="372" t="s">
        <v>272</v>
      </c>
      <c r="L103" s="2192" t="s">
        <v>231</v>
      </c>
      <c r="M103" s="2204"/>
      <c r="N103" s="2204"/>
      <c r="O103" s="2193"/>
      <c r="P103" s="362" t="s">
        <v>1229</v>
      </c>
      <c r="Z103" s="361" t="s">
        <v>225</v>
      </c>
      <c r="AA103" s="361" t="s">
        <v>96</v>
      </c>
      <c r="AB103" s="361" t="s">
        <v>261</v>
      </c>
      <c r="AC103" s="361" t="s">
        <v>262</v>
      </c>
    </row>
    <row r="104" spans="1:29">
      <c r="A104" s="2194"/>
      <c r="B104" s="2195"/>
      <c r="C104" s="373" t="str">
        <f>IF(A104&lt;&gt;"","MOHCD","")</f>
        <v/>
      </c>
      <c r="D104" s="1" t="s">
        <v>97</v>
      </c>
      <c r="E104" s="282"/>
      <c r="F104" s="282"/>
      <c r="G104" s="283">
        <f>IF($A$108&lt;&gt;"LOSP",E104-F104,0)</f>
        <v>0</v>
      </c>
      <c r="H104" s="85"/>
      <c r="I104" s="241" t="str">
        <f t="shared" ref="I104:I110" si="42">IF(H104&gt;0,+F104*H104," ")</f>
        <v xml:space="preserve"> </v>
      </c>
      <c r="J104" s="283">
        <f>IF($A$108&lt;&gt;"LOSP",G104*H104,0)</f>
        <v>0</v>
      </c>
      <c r="K104" s="241" t="str">
        <f>IF($H104="","",IF(OR($E104="",$F104=""),"",$I104+$J104))</f>
        <v/>
      </c>
      <c r="L104" s="2196"/>
      <c r="M104" s="2200"/>
      <c r="N104" s="2200"/>
      <c r="O104" s="2197"/>
      <c r="P104" s="326">
        <f>IF($H104&lt;&gt;"",($F104+HLOOKUP($D104,UA,7,FALSE))/(HLOOKUP($D104,RentsUA!$K$12:$Q$35,19,FALSE)),0)</f>
        <v>0</v>
      </c>
      <c r="Z104" s="352"/>
      <c r="AA104" s="281" t="str">
        <f>IF($H104&gt;0,HLOOKUP($D104,#REF!,8,FALSE),"")</f>
        <v/>
      </c>
      <c r="AB104" s="241" t="str">
        <f t="shared" ref="AB104:AB110" si="43">IF(H104&gt;0,Z104-AA104," ")</f>
        <v xml:space="preserve"> </v>
      </c>
      <c r="AC104" s="281" t="str">
        <f t="shared" ref="AC104:AC110" si="44">IF(H104&gt;0,AB104*H104," ")</f>
        <v xml:space="preserve"> </v>
      </c>
    </row>
    <row r="105" spans="1:29">
      <c r="A105" s="91"/>
      <c r="B105" s="275"/>
      <c r="C105" s="4"/>
      <c r="D105" s="2" t="s">
        <v>98</v>
      </c>
      <c r="E105" s="282"/>
      <c r="F105" s="282"/>
      <c r="G105" s="283">
        <f t="shared" ref="G105:G110" si="45">IF($A$108&lt;&gt;"LOSP",E105-F105,0)</f>
        <v>0</v>
      </c>
      <c r="H105" s="85"/>
      <c r="I105" s="241" t="str">
        <f t="shared" si="42"/>
        <v xml:space="preserve"> </v>
      </c>
      <c r="J105" s="283">
        <f t="shared" ref="J105:J110" si="46">IF($A$108&lt;&gt;"LOSP",G105*H105,0)</f>
        <v>0</v>
      </c>
      <c r="K105" s="241" t="str">
        <f t="shared" ref="K105:K110" si="47">IF($H105="","",IF(OR($E105="",$F105=""),"",$I105+$J105))</f>
        <v/>
      </c>
      <c r="L105" s="2196"/>
      <c r="M105" s="2200"/>
      <c r="N105" s="2200"/>
      <c r="O105" s="2197"/>
      <c r="P105" s="326">
        <f>IF($H105&lt;&gt;"",($F105+HLOOKUP($D105,UA,7,FALSE))/(HLOOKUP($D105,RentsUA!$K$12:$Q$35,19,FALSE)),0)</f>
        <v>0</v>
      </c>
      <c r="Z105" s="281" t="str">
        <f>IF($H104=0," ",IF($C$94="TCAC",VLOOKUP($A$94,RentsUA!$A$61:$H$77,MATCH($D104,RentsUA!$A$61:$H$61,0),FALSE),VLOOKUP($A$94,RentsUA!$A$12:$H$35,MATCH($D104,RentsUA!$A$12:$H$12,0),FALSE)))</f>
        <v xml:space="preserve"> </v>
      </c>
      <c r="AA105" s="281" t="str">
        <f>IF($H105&gt;0,HLOOKUP($D105,#REF!,8,FALSE),"")</f>
        <v/>
      </c>
      <c r="AB105" s="241" t="str">
        <f t="shared" si="43"/>
        <v xml:space="preserve"> </v>
      </c>
      <c r="AC105" s="241" t="str">
        <f t="shared" si="44"/>
        <v xml:space="preserve"> </v>
      </c>
    </row>
    <row r="106" spans="1:29">
      <c r="A106" s="370" t="s">
        <v>216</v>
      </c>
      <c r="B106" s="274"/>
      <c r="C106" s="257"/>
      <c r="D106" s="2" t="s">
        <v>735</v>
      </c>
      <c r="E106" s="282"/>
      <c r="F106" s="282"/>
      <c r="G106" s="283">
        <f t="shared" si="45"/>
        <v>0</v>
      </c>
      <c r="H106" s="85"/>
      <c r="I106" s="241" t="str">
        <f t="shared" si="42"/>
        <v xml:space="preserve"> </v>
      </c>
      <c r="J106" s="283">
        <f t="shared" si="46"/>
        <v>0</v>
      </c>
      <c r="K106" s="241" t="str">
        <f t="shared" si="47"/>
        <v/>
      </c>
      <c r="L106" s="2196"/>
      <c r="M106" s="2200"/>
      <c r="N106" s="2200"/>
      <c r="O106" s="2197"/>
      <c r="P106" s="326">
        <f>IF($H106&lt;&gt;"",($F106+HLOOKUP($D106,UA,7,FALSE))/(HLOOKUP($D106,RentsUA!$K$12:$Q$35,19,FALSE)),0)</f>
        <v>0</v>
      </c>
      <c r="Z106" s="281" t="str">
        <f>IF($H106=0," ",IF($C$94="MOHCD",VLOOKUP($A$94,RentsUA!$A$12:$H$35,MATCH($D106,RentsUA!$A$12:$H$12,0),FALSE),VLOOKUP($A$94,RentsUA!$A$61:$H$77,MATCH($D106,RentsUA!$A$61:$H$61,0),FALSE)))</f>
        <v xml:space="preserve"> </v>
      </c>
      <c r="AA106" s="281" t="str">
        <f>IF($H106&gt;0,HLOOKUP($D106,#REF!,8,FALSE),"")</f>
        <v/>
      </c>
      <c r="AB106" s="241" t="str">
        <f t="shared" si="43"/>
        <v xml:space="preserve"> </v>
      </c>
      <c r="AC106" s="241" t="str">
        <f t="shared" si="44"/>
        <v xml:space="preserve"> </v>
      </c>
    </row>
    <row r="107" spans="1:29">
      <c r="A107" s="391" t="s">
        <v>270</v>
      </c>
      <c r="B107" s="310"/>
      <c r="D107" s="2" t="s">
        <v>736</v>
      </c>
      <c r="E107" s="282"/>
      <c r="F107" s="282"/>
      <c r="G107" s="283">
        <f t="shared" si="45"/>
        <v>0</v>
      </c>
      <c r="H107" s="85"/>
      <c r="I107" s="241" t="str">
        <f t="shared" si="42"/>
        <v xml:space="preserve"> </v>
      </c>
      <c r="J107" s="283">
        <f t="shared" si="46"/>
        <v>0</v>
      </c>
      <c r="K107" s="241" t="str">
        <f t="shared" si="47"/>
        <v/>
      </c>
      <c r="L107" s="2196"/>
      <c r="M107" s="2200"/>
      <c r="N107" s="2200"/>
      <c r="O107" s="2197"/>
      <c r="P107" s="326">
        <f>IF($H107&lt;&gt;"",($F107+HLOOKUP($D107,UA,7,FALSE))/(HLOOKUP($D107,RentsUA!$K$12:$Q$35,19,FALSE)),0)</f>
        <v>0</v>
      </c>
      <c r="Z107" s="281" t="str">
        <f>IF($H107=0," ",IF($C$94="MOHCD",VLOOKUP($A$94,RentsUA!$A$12:$H$35,MATCH($D107,RentsUA!$A$12:$H$12,0),FALSE),VLOOKUP($A$94,RentsUA!$A$61:$H$77,MATCH($D107,RentsUA!$A$61:$H$61,0),FALSE)))</f>
        <v xml:space="preserve"> </v>
      </c>
      <c r="AA107" s="281" t="str">
        <f>IF($H107&gt;0,HLOOKUP($D107,#REF!,8,FALSE),"")</f>
        <v/>
      </c>
      <c r="AB107" s="241" t="str">
        <f t="shared" si="43"/>
        <v xml:space="preserve"> </v>
      </c>
      <c r="AC107" s="241" t="str">
        <f t="shared" si="44"/>
        <v xml:space="preserve"> </v>
      </c>
    </row>
    <row r="108" spans="1:29">
      <c r="A108" s="2201"/>
      <c r="B108" s="2202"/>
      <c r="C108" s="2203"/>
      <c r="D108" s="2" t="s">
        <v>737</v>
      </c>
      <c r="E108" s="282"/>
      <c r="F108" s="282"/>
      <c r="G108" s="283">
        <f t="shared" si="45"/>
        <v>0</v>
      </c>
      <c r="H108" s="85"/>
      <c r="I108" s="241" t="str">
        <f t="shared" si="42"/>
        <v xml:space="preserve"> </v>
      </c>
      <c r="J108" s="283">
        <f t="shared" si="46"/>
        <v>0</v>
      </c>
      <c r="K108" s="241" t="str">
        <f t="shared" si="47"/>
        <v/>
      </c>
      <c r="L108" s="2196"/>
      <c r="M108" s="2200"/>
      <c r="N108" s="2200"/>
      <c r="O108" s="2197"/>
      <c r="P108" s="326">
        <f>IF($H108&lt;&gt;"",($F108+HLOOKUP($D108,UA,7,FALSE))/(HLOOKUP($D108,RentsUA!$K$12:$Q$35,19,FALSE)),0)</f>
        <v>0</v>
      </c>
      <c r="W108">
        <f>IF(A104&lt;&gt;"",IF(A108="",1,0),0)</f>
        <v>0</v>
      </c>
      <c r="Z108" s="281" t="str">
        <f>IF($H108=0," ",IF($C$94="MOHCD",VLOOKUP($A$94,RentsUA!$A$12:$H$35,MATCH($D108,RentsUA!$A$12:$H$12,0),FALSE),VLOOKUP($A$94,RentsUA!$A$61:$H$77,MATCH($D108,RentsUA!$A$61:$H$61,0),FALSE)))</f>
        <v xml:space="preserve"> </v>
      </c>
      <c r="AA108" s="281" t="str">
        <f>IF($H108&gt;0,HLOOKUP($D108,#REF!,8,FALSE),"")</f>
        <v/>
      </c>
      <c r="AB108" s="241" t="str">
        <f t="shared" si="43"/>
        <v xml:space="preserve"> </v>
      </c>
      <c r="AC108" s="241" t="str">
        <f t="shared" si="44"/>
        <v xml:space="preserve"> </v>
      </c>
    </row>
    <row r="109" spans="1:29">
      <c r="A109" s="92"/>
      <c r="B109" s="4"/>
      <c r="C109" s="4"/>
      <c r="D109" s="2" t="s">
        <v>738</v>
      </c>
      <c r="E109" s="282"/>
      <c r="F109" s="282"/>
      <c r="G109" s="283">
        <f t="shared" si="45"/>
        <v>0</v>
      </c>
      <c r="H109" s="85"/>
      <c r="I109" s="241" t="str">
        <f t="shared" si="42"/>
        <v xml:space="preserve"> </v>
      </c>
      <c r="J109" s="283">
        <f t="shared" si="46"/>
        <v>0</v>
      </c>
      <c r="K109" s="241" t="str">
        <f t="shared" si="47"/>
        <v/>
      </c>
      <c r="L109" s="2196"/>
      <c r="M109" s="2200"/>
      <c r="N109" s="2200"/>
      <c r="O109" s="2197"/>
      <c r="P109" s="326">
        <f>IF($H109&lt;&gt;"",($F109+HLOOKUP($D109,UA,7,FALSE))/(HLOOKUP($D109,RentsUA!$K$12:$Q$35,19,FALSE)),0)</f>
        <v>0</v>
      </c>
      <c r="Z109" s="281" t="str">
        <f>IF($H109=0," ",IF($C$94="MOHCD",VLOOKUP($A$94,RentsUA!$A$12:$H$35,MATCH($D109,RentsUA!$A$12:$H$12,0),FALSE),VLOOKUP($A$94,RentsUA!$A$61:$H$77,MATCH($D109,RentsUA!$A$61:$H$61,0),FALSE)))</f>
        <v xml:space="preserve"> </v>
      </c>
      <c r="AA109" s="281" t="str">
        <f>IF($H109&gt;0,HLOOKUP($D109,#REF!,8,FALSE),"")</f>
        <v/>
      </c>
      <c r="AB109" s="241" t="str">
        <f t="shared" si="43"/>
        <v xml:space="preserve"> </v>
      </c>
      <c r="AC109" s="241" t="str">
        <f t="shared" si="44"/>
        <v xml:space="preserve"> </v>
      </c>
    </row>
    <row r="110" spans="1:29" ht="13.8" thickBot="1">
      <c r="A110" s="89"/>
      <c r="B110" s="90"/>
      <c r="C110" s="90"/>
      <c r="D110" s="2" t="s">
        <v>739</v>
      </c>
      <c r="E110" s="539"/>
      <c r="F110" s="539"/>
      <c r="G110" s="283">
        <f t="shared" si="45"/>
        <v>0</v>
      </c>
      <c r="H110" s="85"/>
      <c r="I110" s="241" t="str">
        <f t="shared" si="42"/>
        <v xml:space="preserve"> </v>
      </c>
      <c r="J110" s="283">
        <f t="shared" si="46"/>
        <v>0</v>
      </c>
      <c r="K110" s="241" t="str">
        <f t="shared" si="47"/>
        <v/>
      </c>
      <c r="L110" s="2196"/>
      <c r="M110" s="2200"/>
      <c r="N110" s="2200"/>
      <c r="O110" s="2197"/>
      <c r="P110" s="326">
        <f>IF($H110&lt;&gt;"",($F110+HLOOKUP($D110,UA,7,FALSE))/(HLOOKUP($D110,RentsUA!$K$12:$Q$35,19,FALSE)),0)</f>
        <v>0</v>
      </c>
      <c r="Z110" s="281" t="str">
        <f>IF($H110=0," ",IF($C$94="MOHCD",VLOOKUP($A$94,RentsUA!$A$12:$H$35,MATCH($D110,RentsUA!$A$12:$H$12,0),FALSE),VLOOKUP($A$94,RentsUA!$A$61:$H$77,MATCH($D110,RentsUA!$A$61:$H$61,0),FALSE)))</f>
        <v xml:space="preserve"> </v>
      </c>
      <c r="AA110" s="281" t="str">
        <f>IF($H110&gt;0,HLOOKUP($D110,#REF!,8,FALSE),"")</f>
        <v/>
      </c>
      <c r="AB110" s="241" t="str">
        <f t="shared" si="43"/>
        <v xml:space="preserve"> </v>
      </c>
      <c r="AC110" s="281" t="str">
        <f t="shared" si="44"/>
        <v xml:space="preserve"> </v>
      </c>
    </row>
    <row r="111" spans="1:29" ht="13.8" thickTop="1">
      <c r="A111" s="543" t="str">
        <f>IF(A104&lt;&gt;"","Subtotal "&amp;A104*100&amp;"% "&amp;C104&amp;" AMI "&amp;A108,"Subtotal")</f>
        <v>Subtotal</v>
      </c>
      <c r="B111" s="540"/>
      <c r="C111" s="540"/>
      <c r="D111" s="265"/>
      <c r="E111" s="2208" t="str">
        <f>IF($A108="LOSP","",IF(OR(COUNTA($H104:$H110)&gt;COUNTA(E104:E110),COUNTA($H104:$H110)&gt;COUNTA($F104:$F110)),"Enter Contract Rent/Estimated Tenant Rent",""))</f>
        <v/>
      </c>
      <c r="F111" s="2208"/>
      <c r="G111" s="2208"/>
      <c r="H111" s="545">
        <f>SUM(H104:H110)</f>
        <v>0</v>
      </c>
      <c r="I111" s="571">
        <f>SUM(I104:I110)</f>
        <v>0</v>
      </c>
      <c r="J111" s="571">
        <f>SUM(J104:J110)</f>
        <v>0</v>
      </c>
      <c r="K111" s="544">
        <f>SUM(K104:K110)</f>
        <v>0</v>
      </c>
      <c r="L111" s="265"/>
      <c r="M111" s="542"/>
      <c r="N111" s="265"/>
      <c r="O111" s="570"/>
      <c r="P111" s="326">
        <f>IFERROR(SUMPRODUCT(H104:H110,P104:P110)/H111,0)</f>
        <v>0</v>
      </c>
      <c r="Q111" s="5" t="s">
        <v>625</v>
      </c>
      <c r="AB111" s="284"/>
      <c r="AC111" s="284">
        <f>SUM(AC104:AC110)</f>
        <v>0</v>
      </c>
    </row>
    <row r="112" spans="1:29">
      <c r="A112" s="532"/>
      <c r="B112" s="4"/>
      <c r="C112" s="4"/>
      <c r="E112" s="572"/>
      <c r="F112" s="572"/>
      <c r="G112" s="572"/>
      <c r="H112" s="533"/>
      <c r="I112" s="1371"/>
      <c r="J112" s="1371"/>
      <c r="K112" s="285"/>
      <c r="M112" s="285"/>
      <c r="P112" s="326"/>
      <c r="Q112" s="5"/>
      <c r="AB112" s="285"/>
      <c r="AC112" s="285"/>
    </row>
    <row r="113" spans="1:29" s="5" customFormat="1" ht="90" customHeight="1">
      <c r="A113" s="2190" t="s">
        <v>215</v>
      </c>
      <c r="B113" s="2191"/>
      <c r="C113" s="361" t="s">
        <v>273</v>
      </c>
      <c r="D113" s="361" t="s">
        <v>624</v>
      </c>
      <c r="E113" s="361" t="s">
        <v>1230</v>
      </c>
      <c r="F113" s="361" t="str">
        <f>IF(ISNA(MATCH("Tenant",'2.Utilities&amp;OtherIncome'!$D$8:$D$11,0)),"Estimated Tenant Paid Rent","Estimated Tenant Paid Rent Excluding Utility Allowance")</f>
        <v>Estimated Tenant Paid Rent Excluding Utility Allowance</v>
      </c>
      <c r="G113" s="361" t="s">
        <v>268</v>
      </c>
      <c r="H113" s="361" t="s">
        <v>95</v>
      </c>
      <c r="I113" s="361" t="s">
        <v>271</v>
      </c>
      <c r="J113" s="361" t="s">
        <v>230</v>
      </c>
      <c r="K113" s="372" t="s">
        <v>272</v>
      </c>
      <c r="L113" s="2192" t="s">
        <v>231</v>
      </c>
      <c r="M113" s="2204"/>
      <c r="N113" s="2204"/>
      <c r="O113" s="2193"/>
      <c r="P113" s="362" t="s">
        <v>1229</v>
      </c>
      <c r="Z113" s="361" t="s">
        <v>225</v>
      </c>
      <c r="AA113" s="361" t="s">
        <v>96</v>
      </c>
      <c r="AB113" s="361" t="s">
        <v>261</v>
      </c>
      <c r="AC113" s="361" t="s">
        <v>262</v>
      </c>
    </row>
    <row r="114" spans="1:29">
      <c r="A114" s="2194"/>
      <c r="B114" s="2195"/>
      <c r="C114" s="373" t="str">
        <f>IF(A114&lt;&gt;"","MOHCD","")</f>
        <v/>
      </c>
      <c r="D114" s="1" t="s">
        <v>97</v>
      </c>
      <c r="E114" s="282"/>
      <c r="F114" s="282"/>
      <c r="G114" s="283">
        <f t="shared" ref="G114:G120" si="48">IF($A$118&lt;&gt;"LOSP",E114-F114,0)</f>
        <v>0</v>
      </c>
      <c r="H114" s="85"/>
      <c r="I114" s="241" t="str">
        <f t="shared" ref="I114:I120" si="49">IF(H114&gt;0,+F114*H114," ")</f>
        <v xml:space="preserve"> </v>
      </c>
      <c r="J114" s="283">
        <f t="shared" ref="J114:J120" si="50">IF($A$118&lt;&gt;"LOSP",G114*H114,0)</f>
        <v>0</v>
      </c>
      <c r="K114" s="241" t="str">
        <f>IF($H114="","",IF(OR($E114="",$F114=""),"",$I114+$J114))</f>
        <v/>
      </c>
      <c r="L114" s="2196"/>
      <c r="M114" s="2200"/>
      <c r="N114" s="2200"/>
      <c r="O114" s="2197"/>
      <c r="P114" s="326">
        <f>IF($H114&lt;&gt;"",($F114+HLOOKUP($D114,UA,7,FALSE))/(HLOOKUP($D114,RentsUA!$K$12:$Q$35,19,FALSE)),0)</f>
        <v>0</v>
      </c>
      <c r="Z114" s="352"/>
      <c r="AA114" s="281" t="str">
        <f>IF($H114&gt;0,HLOOKUP($D114,#REF!,8,FALSE),"")</f>
        <v/>
      </c>
      <c r="AB114" s="241" t="str">
        <f t="shared" ref="AB114:AB120" si="51">IF(H114&gt;0,Z114-AA114," ")</f>
        <v xml:space="preserve"> </v>
      </c>
      <c r="AC114" s="281" t="str">
        <f t="shared" ref="AC114:AC120" si="52">IF(H114&gt;0,AB114*H114," ")</f>
        <v xml:space="preserve"> </v>
      </c>
    </row>
    <row r="115" spans="1:29">
      <c r="A115" s="91"/>
      <c r="B115" s="275"/>
      <c r="C115" s="4"/>
      <c r="D115" s="2" t="s">
        <v>98</v>
      </c>
      <c r="E115" s="282"/>
      <c r="F115" s="282"/>
      <c r="G115" s="283">
        <f t="shared" si="48"/>
        <v>0</v>
      </c>
      <c r="H115" s="85"/>
      <c r="I115" s="241" t="str">
        <f t="shared" si="49"/>
        <v xml:space="preserve"> </v>
      </c>
      <c r="J115" s="283">
        <f t="shared" si="50"/>
        <v>0</v>
      </c>
      <c r="K115" s="241" t="str">
        <f t="shared" ref="K115:K120" si="53">IF($H115="","",IF(OR($E115="",$F115=""),"",$I115+$J115))</f>
        <v/>
      </c>
      <c r="L115" s="2196"/>
      <c r="M115" s="2200"/>
      <c r="N115" s="2200"/>
      <c r="O115" s="2197"/>
      <c r="P115" s="326">
        <f>IF($H115&lt;&gt;"",($F115+HLOOKUP($D115,UA,7,FALSE))/(HLOOKUP($D115,RentsUA!$K$12:$Q$35,19,FALSE)),0)</f>
        <v>0</v>
      </c>
      <c r="Z115" s="281" t="str">
        <f>IF($H114=0," ",IF($C$94="TCAC",VLOOKUP($A$94,RentsUA!$A$61:$H$77,MATCH($D114,RentsUA!$A$61:$H$61,0),FALSE),VLOOKUP($A$94,RentsUA!$A$12:$H$35,MATCH($D114,RentsUA!$A$12:$H$12,0),FALSE)))</f>
        <v xml:space="preserve"> </v>
      </c>
      <c r="AA115" s="281" t="str">
        <f>IF($H115&gt;0,HLOOKUP($D115,#REF!,8,FALSE),"")</f>
        <v/>
      </c>
      <c r="AB115" s="241" t="str">
        <f t="shared" si="51"/>
        <v xml:space="preserve"> </v>
      </c>
      <c r="AC115" s="241" t="str">
        <f t="shared" si="52"/>
        <v xml:space="preserve"> </v>
      </c>
    </row>
    <row r="116" spans="1:29">
      <c r="A116" s="370" t="s">
        <v>216</v>
      </c>
      <c r="B116" s="274"/>
      <c r="C116" s="257"/>
      <c r="D116" s="2" t="s">
        <v>735</v>
      </c>
      <c r="E116" s="282"/>
      <c r="F116" s="282"/>
      <c r="G116" s="283">
        <f t="shared" si="48"/>
        <v>0</v>
      </c>
      <c r="H116" s="85"/>
      <c r="I116" s="241" t="str">
        <f t="shared" si="49"/>
        <v xml:space="preserve"> </v>
      </c>
      <c r="J116" s="283">
        <f t="shared" si="50"/>
        <v>0</v>
      </c>
      <c r="K116" s="241" t="str">
        <f t="shared" si="53"/>
        <v/>
      </c>
      <c r="L116" s="2196"/>
      <c r="M116" s="2200"/>
      <c r="N116" s="2200"/>
      <c r="O116" s="2197"/>
      <c r="P116" s="326">
        <f>IF($H116&lt;&gt;"",($F116+HLOOKUP($D116,UA,7,FALSE))/(HLOOKUP($D116,RentsUA!$K$12:$Q$35,19,FALSE)),0)</f>
        <v>0</v>
      </c>
      <c r="Z116" s="281" t="str">
        <f>IF($H116=0," ",IF($C$94="MOHCD",VLOOKUP($A$94,RentsUA!$A$12:$H$35,MATCH($D116,RentsUA!$A$12:$H$12,0),FALSE),VLOOKUP($A$94,RentsUA!$A$61:$H$77,MATCH($D116,RentsUA!$A$61:$H$61,0),FALSE)))</f>
        <v xml:space="preserve"> </v>
      </c>
      <c r="AA116" s="281" t="str">
        <f>IF($H116&gt;0,HLOOKUP($D116,#REF!,8,FALSE),"")</f>
        <v/>
      </c>
      <c r="AB116" s="241" t="str">
        <f t="shared" si="51"/>
        <v xml:space="preserve"> </v>
      </c>
      <c r="AC116" s="241" t="str">
        <f t="shared" si="52"/>
        <v xml:space="preserve"> </v>
      </c>
    </row>
    <row r="117" spans="1:29">
      <c r="A117" s="391" t="s">
        <v>270</v>
      </c>
      <c r="B117" s="310"/>
      <c r="D117" s="2" t="s">
        <v>736</v>
      </c>
      <c r="E117" s="282"/>
      <c r="F117" s="282"/>
      <c r="G117" s="283">
        <f t="shared" si="48"/>
        <v>0</v>
      </c>
      <c r="H117" s="85"/>
      <c r="I117" s="241" t="str">
        <f t="shared" si="49"/>
        <v xml:space="preserve"> </v>
      </c>
      <c r="J117" s="283">
        <f t="shared" si="50"/>
        <v>0</v>
      </c>
      <c r="K117" s="241" t="str">
        <f t="shared" si="53"/>
        <v/>
      </c>
      <c r="L117" s="2196"/>
      <c r="M117" s="2200"/>
      <c r="N117" s="2200"/>
      <c r="O117" s="2197"/>
      <c r="P117" s="326">
        <f>IF($H117&lt;&gt;"",($F117+HLOOKUP($D117,UA,7,FALSE))/(HLOOKUP($D117,RentsUA!$K$12:$Q$35,19,FALSE)),0)</f>
        <v>0</v>
      </c>
      <c r="Z117" s="281" t="str">
        <f>IF($H117=0," ",IF($C$94="MOHCD",VLOOKUP($A$94,RentsUA!$A$12:$H$35,MATCH($D117,RentsUA!$A$12:$H$12,0),FALSE),VLOOKUP($A$94,RentsUA!$A$61:$H$77,MATCH($D117,RentsUA!$A$61:$H$61,0),FALSE)))</f>
        <v xml:space="preserve"> </v>
      </c>
      <c r="AA117" s="281" t="str">
        <f>IF($H117&gt;0,HLOOKUP($D117,#REF!,8,FALSE),"")</f>
        <v/>
      </c>
      <c r="AB117" s="241" t="str">
        <f t="shared" si="51"/>
        <v xml:space="preserve"> </v>
      </c>
      <c r="AC117" s="241" t="str">
        <f t="shared" si="52"/>
        <v xml:space="preserve"> </v>
      </c>
    </row>
    <row r="118" spans="1:29">
      <c r="A118" s="2201"/>
      <c r="B118" s="2202"/>
      <c r="C118" s="2203"/>
      <c r="D118" s="2" t="s">
        <v>737</v>
      </c>
      <c r="E118" s="282"/>
      <c r="F118" s="282"/>
      <c r="G118" s="283">
        <f t="shared" si="48"/>
        <v>0</v>
      </c>
      <c r="H118" s="85"/>
      <c r="I118" s="241" t="str">
        <f t="shared" si="49"/>
        <v xml:space="preserve"> </v>
      </c>
      <c r="J118" s="283">
        <f t="shared" si="50"/>
        <v>0</v>
      </c>
      <c r="K118" s="241" t="str">
        <f t="shared" si="53"/>
        <v/>
      </c>
      <c r="L118" s="2196"/>
      <c r="M118" s="2200"/>
      <c r="N118" s="2200"/>
      <c r="O118" s="2197"/>
      <c r="P118" s="326">
        <f>IF($H118&lt;&gt;"",($F118+HLOOKUP($D118,UA,7,FALSE))/(HLOOKUP($D118,RentsUA!$K$12:$Q$35,19,FALSE)),0)</f>
        <v>0</v>
      </c>
      <c r="W118">
        <f>IF(A114&lt;&gt;"",IF(A118="",1,0),0)</f>
        <v>0</v>
      </c>
      <c r="Z118" s="281" t="str">
        <f>IF($H118=0," ",IF($C$94="MOHCD",VLOOKUP($A$94,RentsUA!$A$12:$H$35,MATCH($D118,RentsUA!$A$12:$H$12,0),FALSE),VLOOKUP($A$94,RentsUA!$A$61:$H$77,MATCH($D118,RentsUA!$A$61:$H$61,0),FALSE)))</f>
        <v xml:space="preserve"> </v>
      </c>
      <c r="AA118" s="281" t="str">
        <f>IF($H118&gt;0,HLOOKUP($D118,#REF!,8,FALSE),"")</f>
        <v/>
      </c>
      <c r="AB118" s="241" t="str">
        <f t="shared" si="51"/>
        <v xml:space="preserve"> </v>
      </c>
      <c r="AC118" s="241" t="str">
        <f t="shared" si="52"/>
        <v xml:space="preserve"> </v>
      </c>
    </row>
    <row r="119" spans="1:29">
      <c r="A119" s="92"/>
      <c r="B119" s="4"/>
      <c r="C119" s="4"/>
      <c r="D119" s="2" t="s">
        <v>738</v>
      </c>
      <c r="E119" s="282"/>
      <c r="F119" s="282"/>
      <c r="G119" s="283">
        <f t="shared" si="48"/>
        <v>0</v>
      </c>
      <c r="H119" s="85"/>
      <c r="I119" s="241" t="str">
        <f t="shared" si="49"/>
        <v xml:space="preserve"> </v>
      </c>
      <c r="J119" s="283">
        <f t="shared" si="50"/>
        <v>0</v>
      </c>
      <c r="K119" s="241" t="str">
        <f t="shared" si="53"/>
        <v/>
      </c>
      <c r="L119" s="2196"/>
      <c r="M119" s="2200"/>
      <c r="N119" s="2200"/>
      <c r="O119" s="2197"/>
      <c r="P119" s="326">
        <f>IF($H119&lt;&gt;"",($F119+HLOOKUP($D119,UA,7,FALSE))/(HLOOKUP($D119,RentsUA!$K$12:$Q$35,19,FALSE)),0)</f>
        <v>0</v>
      </c>
      <c r="Z119" s="281" t="str">
        <f>IF($H119=0," ",IF($C$94="MOHCD",VLOOKUP($A$94,RentsUA!$A$12:$H$35,MATCH($D119,RentsUA!$A$12:$H$12,0),FALSE),VLOOKUP($A$94,RentsUA!$A$61:$H$77,MATCH($D119,RentsUA!$A$61:$H$61,0),FALSE)))</f>
        <v xml:space="preserve"> </v>
      </c>
      <c r="AA119" s="281" t="str">
        <f>IF($H119&gt;0,HLOOKUP($D119,#REF!,8,FALSE),"")</f>
        <v/>
      </c>
      <c r="AB119" s="241" t="str">
        <f t="shared" si="51"/>
        <v xml:space="preserve"> </v>
      </c>
      <c r="AC119" s="241" t="str">
        <f t="shared" si="52"/>
        <v xml:space="preserve"> </v>
      </c>
    </row>
    <row r="120" spans="1:29" ht="13.8" thickBot="1">
      <c r="A120" s="89"/>
      <c r="B120" s="90"/>
      <c r="C120" s="90"/>
      <c r="D120" s="2" t="s">
        <v>739</v>
      </c>
      <c r="E120" s="539"/>
      <c r="F120" s="539"/>
      <c r="G120" s="283">
        <f t="shared" si="48"/>
        <v>0</v>
      </c>
      <c r="H120" s="85"/>
      <c r="I120" s="241" t="str">
        <f t="shared" si="49"/>
        <v xml:space="preserve"> </v>
      </c>
      <c r="J120" s="283">
        <f t="shared" si="50"/>
        <v>0</v>
      </c>
      <c r="K120" s="241" t="str">
        <f t="shared" si="53"/>
        <v/>
      </c>
      <c r="L120" s="2196"/>
      <c r="M120" s="2200"/>
      <c r="N120" s="2200"/>
      <c r="O120" s="2197"/>
      <c r="P120" s="326">
        <f>IF($H120&lt;&gt;"",($F120+HLOOKUP($D120,UA,7,FALSE))/(HLOOKUP($D120,RentsUA!$K$12:$Q$35,19,FALSE)),0)</f>
        <v>0</v>
      </c>
      <c r="Z120" s="281" t="str">
        <f>IF($H120=0," ",IF($C$94="MOHCD",VLOOKUP($A$94,RentsUA!$A$12:$H$35,MATCH($D120,RentsUA!$A$12:$H$12,0),FALSE),VLOOKUP($A$94,RentsUA!$A$61:$H$77,MATCH($D120,RentsUA!$A$61:$H$61,0),FALSE)))</f>
        <v xml:space="preserve"> </v>
      </c>
      <c r="AA120" s="281" t="str">
        <f>IF($H120&gt;0,HLOOKUP($D120,#REF!,8,FALSE),"")</f>
        <v/>
      </c>
      <c r="AB120" s="241" t="str">
        <f t="shared" si="51"/>
        <v xml:space="preserve"> </v>
      </c>
      <c r="AC120" s="281" t="str">
        <f t="shared" si="52"/>
        <v xml:space="preserve"> </v>
      </c>
    </row>
    <row r="121" spans="1:29" ht="13.8" thickTop="1">
      <c r="A121" s="543" t="str">
        <f>IF(A114&lt;&gt;"","Subtotal "&amp;A114*100&amp;"% "&amp;C114&amp;" AMI "&amp;A118,"Subtotal")</f>
        <v>Subtotal</v>
      </c>
      <c r="B121" s="540"/>
      <c r="C121" s="540"/>
      <c r="D121" s="265"/>
      <c r="E121" s="2208" t="str">
        <f>IF($A118="LOSP","",IF(OR(COUNTA($H114:$H120)&gt;COUNTA(E114:E120),COUNTA($H114:$H120)&gt;COUNTA($F114:$F120)),"Enter Contract Rent/Estimated Tenant Rent",""))</f>
        <v/>
      </c>
      <c r="F121" s="2208"/>
      <c r="G121" s="2208"/>
      <c r="H121" s="545">
        <f>SUM(H114:H120)</f>
        <v>0</v>
      </c>
      <c r="I121" s="571">
        <f>SUM(I114:I120)</f>
        <v>0</v>
      </c>
      <c r="J121" s="571">
        <f>SUM(J114:J120)</f>
        <v>0</v>
      </c>
      <c r="K121" s="544">
        <f>SUM(K114:K120)</f>
        <v>0</v>
      </c>
      <c r="L121" s="265"/>
      <c r="M121" s="542"/>
      <c r="N121" s="265"/>
      <c r="O121" s="570"/>
      <c r="P121" s="326">
        <f>IFERROR(SUMPRODUCT(H114:H120,P114:P120)/H121,0)</f>
        <v>0</v>
      </c>
      <c r="Q121" s="5" t="s">
        <v>625</v>
      </c>
      <c r="AB121" s="284"/>
      <c r="AC121" s="284">
        <f>SUM(AC114:AC120)</f>
        <v>0</v>
      </c>
    </row>
    <row r="122" spans="1:29">
      <c r="A122" s="532"/>
      <c r="B122" s="4"/>
      <c r="C122" s="4"/>
      <c r="E122" s="572"/>
      <c r="F122" s="572"/>
      <c r="G122" s="572"/>
      <c r="H122" s="533"/>
      <c r="I122" s="1371"/>
      <c r="J122" s="1371"/>
      <c r="K122" s="285"/>
      <c r="M122" s="285"/>
      <c r="P122" s="326"/>
      <c r="Q122" s="5"/>
      <c r="AB122" s="285"/>
      <c r="AC122" s="285"/>
    </row>
    <row r="123" spans="1:29" s="5" customFormat="1" ht="90" customHeight="1">
      <c r="A123" s="2190" t="s">
        <v>215</v>
      </c>
      <c r="B123" s="2191"/>
      <c r="C123" s="361" t="s">
        <v>273</v>
      </c>
      <c r="D123" s="361" t="s">
        <v>624</v>
      </c>
      <c r="E123" s="361" t="s">
        <v>1230</v>
      </c>
      <c r="F123" s="361" t="str">
        <f>IF(ISNA(MATCH("Tenant",'2.Utilities&amp;OtherIncome'!$D$8:$D$11,0)),"Estimated Tenant Paid Rent","Estimated Tenant Paid Rent Excluding Utility Allowance")</f>
        <v>Estimated Tenant Paid Rent Excluding Utility Allowance</v>
      </c>
      <c r="G123" s="361" t="s">
        <v>268</v>
      </c>
      <c r="H123" s="361" t="s">
        <v>95</v>
      </c>
      <c r="I123" s="361" t="s">
        <v>271</v>
      </c>
      <c r="J123" s="361" t="s">
        <v>230</v>
      </c>
      <c r="K123" s="372" t="s">
        <v>272</v>
      </c>
      <c r="L123" s="2192" t="s">
        <v>231</v>
      </c>
      <c r="M123" s="2204"/>
      <c r="N123" s="2204"/>
      <c r="O123" s="2193"/>
      <c r="P123" s="362" t="s">
        <v>1229</v>
      </c>
      <c r="Z123" s="361" t="s">
        <v>225</v>
      </c>
      <c r="AA123" s="361" t="s">
        <v>96</v>
      </c>
      <c r="AB123" s="361" t="s">
        <v>261</v>
      </c>
      <c r="AC123" s="361" t="s">
        <v>262</v>
      </c>
    </row>
    <row r="124" spans="1:29">
      <c r="A124" s="2194"/>
      <c r="B124" s="2195"/>
      <c r="C124" s="373" t="str">
        <f>IF(A124&lt;&gt;"","MOHCD","")</f>
        <v/>
      </c>
      <c r="D124" s="1" t="s">
        <v>97</v>
      </c>
      <c r="E124" s="282"/>
      <c r="F124" s="282"/>
      <c r="G124" s="283">
        <f t="shared" ref="G124:G130" si="54">IF($A$128&lt;&gt;"LOSP",E124-F124,0)</f>
        <v>0</v>
      </c>
      <c r="H124" s="85"/>
      <c r="I124" s="241" t="str">
        <f t="shared" ref="I124:I130" si="55">IF(H124&gt;0,+F124*H124," ")</f>
        <v xml:space="preserve"> </v>
      </c>
      <c r="J124" s="283">
        <f t="shared" ref="J124:J130" si="56">IF($A$128&lt;&gt;"LOSP",G124*H124,0)</f>
        <v>0</v>
      </c>
      <c r="K124" s="241" t="str">
        <f>IF($H124="","",IF(OR($E124="",$F124=""),"",$I124+$J124))</f>
        <v/>
      </c>
      <c r="L124" s="2196"/>
      <c r="M124" s="2200"/>
      <c r="N124" s="2200"/>
      <c r="O124" s="2197"/>
      <c r="P124" s="326">
        <f>IF($H124&lt;&gt;"",($F124+HLOOKUP($D124,UA,7,FALSE))/(HLOOKUP($D124,RentsUA!$K$12:$Q$35,19,FALSE)),0)</f>
        <v>0</v>
      </c>
      <c r="Z124" s="352"/>
      <c r="AA124" s="281" t="str">
        <f>IF($H124&gt;0,HLOOKUP($D124,#REF!,8,FALSE),"")</f>
        <v/>
      </c>
      <c r="AB124" s="241" t="str">
        <f t="shared" ref="AB124:AB130" si="57">IF(H124&gt;0,Z124-AA124," ")</f>
        <v xml:space="preserve"> </v>
      </c>
      <c r="AC124" s="281" t="str">
        <f t="shared" ref="AC124:AC130" si="58">IF(H124&gt;0,AB124*H124," ")</f>
        <v xml:space="preserve"> </v>
      </c>
    </row>
    <row r="125" spans="1:29">
      <c r="A125" s="91"/>
      <c r="B125" s="275"/>
      <c r="C125" s="4"/>
      <c r="D125" s="2" t="s">
        <v>98</v>
      </c>
      <c r="E125" s="282"/>
      <c r="F125" s="282"/>
      <c r="G125" s="283">
        <f t="shared" si="54"/>
        <v>0</v>
      </c>
      <c r="H125" s="85"/>
      <c r="I125" s="241" t="str">
        <f t="shared" si="55"/>
        <v xml:space="preserve"> </v>
      </c>
      <c r="J125" s="283">
        <f t="shared" si="56"/>
        <v>0</v>
      </c>
      <c r="K125" s="241" t="str">
        <f t="shared" ref="K125:K130" si="59">IF($H125="","",IF(OR($E125="",$F125=""),"",$I125+$J125))</f>
        <v/>
      </c>
      <c r="L125" s="2196"/>
      <c r="M125" s="2200"/>
      <c r="N125" s="2200"/>
      <c r="O125" s="2197"/>
      <c r="P125" s="326">
        <f>IF($H125&lt;&gt;"",($F125+HLOOKUP($D125,UA,7,FALSE))/(HLOOKUP($D125,RentsUA!$K$12:$Q$35,19,FALSE)),0)</f>
        <v>0</v>
      </c>
      <c r="Z125" s="281" t="str">
        <f>IF($H124=0," ",IF($C$94="TCAC",VLOOKUP($A$94,RentsUA!$A$61:$H$77,MATCH($D124,RentsUA!$A$61:$H$61,0),FALSE),VLOOKUP($A$94,RentsUA!$A$12:$H$35,MATCH($D124,RentsUA!$A$12:$H$12,0),FALSE)))</f>
        <v xml:space="preserve"> </v>
      </c>
      <c r="AA125" s="281" t="str">
        <f>IF($H125&gt;0,HLOOKUP($D125,#REF!,8,FALSE),"")</f>
        <v/>
      </c>
      <c r="AB125" s="241" t="str">
        <f t="shared" si="57"/>
        <v xml:space="preserve"> </v>
      </c>
      <c r="AC125" s="241" t="str">
        <f t="shared" si="58"/>
        <v xml:space="preserve"> </v>
      </c>
    </row>
    <row r="126" spans="1:29">
      <c r="A126" s="370" t="s">
        <v>216</v>
      </c>
      <c r="B126" s="274"/>
      <c r="C126" s="257"/>
      <c r="D126" s="2" t="s">
        <v>735</v>
      </c>
      <c r="E126" s="282"/>
      <c r="F126" s="282"/>
      <c r="G126" s="283">
        <f t="shared" si="54"/>
        <v>0</v>
      </c>
      <c r="H126" s="85"/>
      <c r="I126" s="241" t="str">
        <f t="shared" si="55"/>
        <v xml:space="preserve"> </v>
      </c>
      <c r="J126" s="283">
        <f t="shared" si="56"/>
        <v>0</v>
      </c>
      <c r="K126" s="241" t="str">
        <f t="shared" si="59"/>
        <v/>
      </c>
      <c r="L126" s="2196"/>
      <c r="M126" s="2200"/>
      <c r="N126" s="2200"/>
      <c r="O126" s="2197"/>
      <c r="P126" s="326">
        <f>IF($H126&lt;&gt;"",($F126+HLOOKUP($D126,UA,7,FALSE))/(HLOOKUP($D126,RentsUA!$K$12:$Q$35,19,FALSE)),0)</f>
        <v>0</v>
      </c>
      <c r="Z126" s="281" t="str">
        <f>IF($H126=0," ",IF($C$94="MOHCD",VLOOKUP($A$94,RentsUA!$A$12:$H$35,MATCH($D126,RentsUA!$A$12:$H$12,0),FALSE),VLOOKUP($A$94,RentsUA!$A$61:$H$77,MATCH($D126,RentsUA!$A$61:$H$61,0),FALSE)))</f>
        <v xml:space="preserve"> </v>
      </c>
      <c r="AA126" s="281" t="str">
        <f>IF($H126&gt;0,HLOOKUP($D126,#REF!,8,FALSE),"")</f>
        <v/>
      </c>
      <c r="AB126" s="241" t="str">
        <f t="shared" si="57"/>
        <v xml:space="preserve"> </v>
      </c>
      <c r="AC126" s="241" t="str">
        <f t="shared" si="58"/>
        <v xml:space="preserve"> </v>
      </c>
    </row>
    <row r="127" spans="1:29">
      <c r="A127" s="391" t="s">
        <v>270</v>
      </c>
      <c r="B127" s="310"/>
      <c r="D127" s="2" t="s">
        <v>736</v>
      </c>
      <c r="E127" s="282"/>
      <c r="F127" s="282"/>
      <c r="G127" s="283">
        <f t="shared" si="54"/>
        <v>0</v>
      </c>
      <c r="H127" s="85"/>
      <c r="I127" s="241" t="str">
        <f t="shared" si="55"/>
        <v xml:space="preserve"> </v>
      </c>
      <c r="J127" s="283">
        <f t="shared" si="56"/>
        <v>0</v>
      </c>
      <c r="K127" s="241" t="str">
        <f t="shared" si="59"/>
        <v/>
      </c>
      <c r="L127" s="2196"/>
      <c r="M127" s="2200"/>
      <c r="N127" s="2200"/>
      <c r="O127" s="2197"/>
      <c r="P127" s="326">
        <f>IF($H127&lt;&gt;"",($F127+HLOOKUP($D127,UA,7,FALSE))/(HLOOKUP($D127,RentsUA!$K$12:$Q$35,19,FALSE)),0)</f>
        <v>0</v>
      </c>
      <c r="Z127" s="281" t="str">
        <f>IF($H127=0," ",IF($C$94="MOHCD",VLOOKUP($A$94,RentsUA!$A$12:$H$35,MATCH($D127,RentsUA!$A$12:$H$12,0),FALSE),VLOOKUP($A$94,RentsUA!$A$61:$H$77,MATCH($D127,RentsUA!$A$61:$H$61,0),FALSE)))</f>
        <v xml:space="preserve"> </v>
      </c>
      <c r="AA127" s="281" t="str">
        <f>IF($H127&gt;0,HLOOKUP($D127,#REF!,8,FALSE),"")</f>
        <v/>
      </c>
      <c r="AB127" s="241" t="str">
        <f t="shared" si="57"/>
        <v xml:space="preserve"> </v>
      </c>
      <c r="AC127" s="241" t="str">
        <f t="shared" si="58"/>
        <v xml:space="preserve"> </v>
      </c>
    </row>
    <row r="128" spans="1:29">
      <c r="A128" s="2201"/>
      <c r="B128" s="2202"/>
      <c r="C128" s="2203"/>
      <c r="D128" s="2" t="s">
        <v>737</v>
      </c>
      <c r="E128" s="282"/>
      <c r="F128" s="282"/>
      <c r="G128" s="283">
        <f t="shared" si="54"/>
        <v>0</v>
      </c>
      <c r="H128" s="85"/>
      <c r="I128" s="241" t="str">
        <f t="shared" si="55"/>
        <v xml:space="preserve"> </v>
      </c>
      <c r="J128" s="283">
        <f t="shared" si="56"/>
        <v>0</v>
      </c>
      <c r="K128" s="241" t="str">
        <f t="shared" si="59"/>
        <v/>
      </c>
      <c r="L128" s="2196"/>
      <c r="M128" s="2200"/>
      <c r="N128" s="2200"/>
      <c r="O128" s="2197"/>
      <c r="P128" s="326">
        <f>IF($H128&lt;&gt;"",($F128+HLOOKUP($D128,UA,7,FALSE))/(HLOOKUP($D128,RentsUA!$K$12:$Q$35,19,FALSE)),0)</f>
        <v>0</v>
      </c>
      <c r="W128">
        <f>IF(A124&lt;&gt;"",IF(A128="",1,0),0)</f>
        <v>0</v>
      </c>
      <c r="Z128" s="281" t="str">
        <f>IF($H128=0," ",IF($C$94="MOHCD",VLOOKUP($A$94,RentsUA!$A$12:$H$35,MATCH($D128,RentsUA!$A$12:$H$12,0),FALSE),VLOOKUP($A$94,RentsUA!$A$61:$H$77,MATCH($D128,RentsUA!$A$61:$H$61,0),FALSE)))</f>
        <v xml:space="preserve"> </v>
      </c>
      <c r="AA128" s="281" t="str">
        <f>IF($H128&gt;0,HLOOKUP($D128,#REF!,8,FALSE),"")</f>
        <v/>
      </c>
      <c r="AB128" s="241" t="str">
        <f t="shared" si="57"/>
        <v xml:space="preserve"> </v>
      </c>
      <c r="AC128" s="241" t="str">
        <f t="shared" si="58"/>
        <v xml:space="preserve"> </v>
      </c>
    </row>
    <row r="129" spans="1:29">
      <c r="A129" s="92"/>
      <c r="B129" s="4"/>
      <c r="C129" s="4"/>
      <c r="D129" s="2" t="s">
        <v>738</v>
      </c>
      <c r="E129" s="282"/>
      <c r="F129" s="282"/>
      <c r="G129" s="283">
        <f t="shared" si="54"/>
        <v>0</v>
      </c>
      <c r="H129" s="85"/>
      <c r="I129" s="241" t="str">
        <f t="shared" si="55"/>
        <v xml:space="preserve"> </v>
      </c>
      <c r="J129" s="283">
        <f t="shared" si="56"/>
        <v>0</v>
      </c>
      <c r="K129" s="241" t="str">
        <f t="shared" si="59"/>
        <v/>
      </c>
      <c r="L129" s="2196"/>
      <c r="M129" s="2200"/>
      <c r="N129" s="2200"/>
      <c r="O129" s="2197"/>
      <c r="P129" s="326">
        <f>IF($H129&lt;&gt;"",($F129+HLOOKUP($D129,UA,7,FALSE))/(HLOOKUP($D129,RentsUA!$K$12:$Q$35,19,FALSE)),0)</f>
        <v>0</v>
      </c>
      <c r="Z129" s="281" t="str">
        <f>IF($H129=0," ",IF($C$94="MOHCD",VLOOKUP($A$94,RentsUA!$A$12:$H$35,MATCH($D129,RentsUA!$A$12:$H$12,0),FALSE),VLOOKUP($A$94,RentsUA!$A$61:$H$77,MATCH($D129,RentsUA!$A$61:$H$61,0),FALSE)))</f>
        <v xml:space="preserve"> </v>
      </c>
      <c r="AA129" s="281" t="str">
        <f>IF($H129&gt;0,HLOOKUP($D129,#REF!,8,FALSE),"")</f>
        <v/>
      </c>
      <c r="AB129" s="241" t="str">
        <f t="shared" si="57"/>
        <v xml:space="preserve"> </v>
      </c>
      <c r="AC129" s="241" t="str">
        <f t="shared" si="58"/>
        <v xml:space="preserve"> </v>
      </c>
    </row>
    <row r="130" spans="1:29" ht="13.8" thickBot="1">
      <c r="A130" s="89"/>
      <c r="B130" s="90"/>
      <c r="C130" s="90"/>
      <c r="D130" s="2" t="s">
        <v>739</v>
      </c>
      <c r="E130" s="539"/>
      <c r="F130" s="539"/>
      <c r="G130" s="283">
        <f t="shared" si="54"/>
        <v>0</v>
      </c>
      <c r="H130" s="85"/>
      <c r="I130" s="241" t="str">
        <f t="shared" si="55"/>
        <v xml:space="preserve"> </v>
      </c>
      <c r="J130" s="283">
        <f t="shared" si="56"/>
        <v>0</v>
      </c>
      <c r="K130" s="241" t="str">
        <f t="shared" si="59"/>
        <v/>
      </c>
      <c r="L130" s="2196"/>
      <c r="M130" s="2200"/>
      <c r="N130" s="2200"/>
      <c r="O130" s="2197"/>
      <c r="P130" s="326">
        <f>IF($H130&lt;&gt;"",($F130+HLOOKUP($D130,UA,7,FALSE))/(HLOOKUP($D130,RentsUA!$K$12:$Q$35,19,FALSE)),0)</f>
        <v>0</v>
      </c>
      <c r="Z130" s="281" t="str">
        <f>IF($H130=0," ",IF($C$94="MOHCD",VLOOKUP($A$94,RentsUA!$A$12:$H$35,MATCH($D130,RentsUA!$A$12:$H$12,0),FALSE),VLOOKUP($A$94,RentsUA!$A$61:$H$77,MATCH($D130,RentsUA!$A$61:$H$61,0),FALSE)))</f>
        <v xml:space="preserve"> </v>
      </c>
      <c r="AA130" s="281" t="str">
        <f>IF($H130&gt;0,HLOOKUP($D130,#REF!,8,FALSE),"")</f>
        <v/>
      </c>
      <c r="AB130" s="241" t="str">
        <f t="shared" si="57"/>
        <v xml:space="preserve"> </v>
      </c>
      <c r="AC130" s="281" t="str">
        <f t="shared" si="58"/>
        <v xml:space="preserve"> </v>
      </c>
    </row>
    <row r="131" spans="1:29" ht="13.8" thickTop="1">
      <c r="A131" s="543" t="str">
        <f>IF(A124&lt;&gt;"","Subtotal "&amp;A124*100&amp;"% "&amp;C124&amp;" AMI "&amp;A128,"Subtotal")</f>
        <v>Subtotal</v>
      </c>
      <c r="B131" s="540"/>
      <c r="C131" s="540"/>
      <c r="D131" s="265"/>
      <c r="E131" s="2208" t="str">
        <f>IF($A128="LOSP","",IF(OR(COUNTA($H124:$H130)&gt;COUNTA(E124:E130),COUNTA($H124:$H130)&gt;COUNTA($F124:$F130)),"Enter Contract Rent/Estimated Tenant Rent",""))</f>
        <v/>
      </c>
      <c r="F131" s="2208"/>
      <c r="G131" s="2208"/>
      <c r="H131" s="545">
        <f>SUM(H124:H130)</f>
        <v>0</v>
      </c>
      <c r="I131" s="571">
        <f>SUM(I124:I130)</f>
        <v>0</v>
      </c>
      <c r="J131" s="571">
        <f>SUM(J124:J130)</f>
        <v>0</v>
      </c>
      <c r="K131" s="544">
        <f>SUM(K124:K130)</f>
        <v>0</v>
      </c>
      <c r="L131" s="265"/>
      <c r="M131" s="542"/>
      <c r="N131" s="265"/>
      <c r="O131" s="570"/>
      <c r="P131" s="326">
        <f>IFERROR(SUMPRODUCT(H124:H130,P124:P130)/H131,0)</f>
        <v>0</v>
      </c>
      <c r="Q131" s="5" t="s">
        <v>625</v>
      </c>
      <c r="AB131" s="284"/>
      <c r="AC131" s="284">
        <f>SUM(AC124:AC130)</f>
        <v>0</v>
      </c>
    </row>
    <row r="132" spans="1:29">
      <c r="A132" s="532"/>
      <c r="B132" s="4"/>
      <c r="C132" s="4"/>
      <c r="E132" s="572"/>
      <c r="F132" s="572"/>
      <c r="G132" s="572"/>
      <c r="H132" s="533"/>
      <c r="I132" s="1371"/>
      <c r="J132" s="1371"/>
      <c r="K132" s="285"/>
      <c r="M132" s="285"/>
      <c r="P132" s="326"/>
      <c r="Q132" s="5"/>
      <c r="AB132" s="285"/>
      <c r="AC132" s="285"/>
    </row>
    <row r="133" spans="1:29" ht="24" customHeight="1">
      <c r="A133" s="532"/>
      <c r="B133" s="4"/>
      <c r="C133" s="4"/>
      <c r="E133" s="572"/>
      <c r="F133" s="572"/>
      <c r="G133" s="618" t="s">
        <v>589</v>
      </c>
      <c r="H133" s="533">
        <f>SUM(H81,H91,H101,H111, H121, H131)</f>
        <v>0</v>
      </c>
      <c r="I133" s="2236" t="s">
        <v>564</v>
      </c>
      <c r="J133" s="2237"/>
      <c r="K133" s="2238"/>
      <c r="L133" s="2212" t="s">
        <v>1260</v>
      </c>
      <c r="M133" s="2212"/>
      <c r="N133" s="2212"/>
      <c r="O133" s="2212"/>
      <c r="P133" s="1388">
        <f>AVERAGE(P131,P121,P111,P101,P91,P81)</f>
        <v>0</v>
      </c>
      <c r="T133" s="326"/>
      <c r="U133" s="5"/>
      <c r="AB133" s="285"/>
      <c r="AC133" s="285"/>
    </row>
    <row r="134" spans="1:29">
      <c r="A134" s="532"/>
      <c r="B134" s="4"/>
      <c r="C134" s="4"/>
      <c r="E134" s="572"/>
      <c r="G134" s="597"/>
      <c r="H134" s="597"/>
      <c r="I134" s="2239"/>
      <c r="J134" s="2240"/>
      <c r="K134" s="2241"/>
      <c r="M134" s="285"/>
      <c r="P134" s="6"/>
      <c r="T134" s="326"/>
      <c r="U134" s="5"/>
      <c r="AB134" s="285"/>
      <c r="AC134" s="285"/>
    </row>
    <row r="135" spans="1:29" ht="34.200000000000003">
      <c r="A135" s="344"/>
      <c r="B135" s="4"/>
      <c r="C135" s="4"/>
      <c r="D135" s="4"/>
      <c r="E135" s="267"/>
      <c r="G135" s="269"/>
      <c r="H135" s="269"/>
      <c r="I135" s="2045" t="s">
        <v>565</v>
      </c>
      <c r="J135" s="2045" t="s">
        <v>566</v>
      </c>
      <c r="K135" s="2046" t="s">
        <v>1698</v>
      </c>
      <c r="L135" s="285"/>
      <c r="N135" s="285"/>
      <c r="P135" s="6"/>
      <c r="Q135" s="6"/>
      <c r="S135" s="326"/>
      <c r="T135" s="5"/>
    </row>
    <row r="136" spans="1:29">
      <c r="A136" s="344"/>
      <c r="B136" s="4"/>
      <c r="C136" s="4"/>
      <c r="D136" s="4"/>
      <c r="E136" s="267"/>
      <c r="G136" s="269"/>
      <c r="H136" s="269"/>
      <c r="I136" s="619">
        <f>I81+I91+I101+I111+I121+I131</f>
        <v>0</v>
      </c>
      <c r="J136" s="619">
        <f>J81+J91+J101+J111+J121+J131-K136</f>
        <v>0</v>
      </c>
      <c r="K136" s="619">
        <f>IF(A78="SOS",J81,0)+IF(A88="SOS",J91,0)+IF(A98="SOS",J101,0)+IF(A108="SOS",J111,0)+IF(A118="SOS",J121,0)+IF(A128="SOS",J131,0)</f>
        <v>0</v>
      </c>
      <c r="L136" s="285"/>
      <c r="M136" s="365"/>
      <c r="N136" s="285"/>
      <c r="O136" s="285"/>
      <c r="P136" s="6"/>
      <c r="Q136" s="6"/>
      <c r="S136" s="326"/>
      <c r="T136" s="5"/>
    </row>
    <row r="137" spans="1:29">
      <c r="F137" s="268"/>
      <c r="G137" s="6"/>
      <c r="H137" s="269"/>
      <c r="I137" s="341"/>
    </row>
    <row r="138" spans="1:29">
      <c r="A138" s="512" t="s">
        <v>567</v>
      </c>
      <c r="B138" s="521"/>
      <c r="C138" s="521"/>
      <c r="D138" s="521"/>
      <c r="E138" s="521"/>
      <c r="F138" s="574"/>
      <c r="G138" s="575"/>
      <c r="H138" s="512" t="s">
        <v>568</v>
      </c>
      <c r="I138" s="602"/>
      <c r="J138" s="521"/>
      <c r="K138" s="521"/>
      <c r="L138" s="521"/>
      <c r="M138" s="521"/>
      <c r="N138" s="521"/>
      <c r="O138" s="522"/>
    </row>
    <row r="139" spans="1:29">
      <c r="A139" s="576" t="s">
        <v>569</v>
      </c>
      <c r="B139" s="487"/>
      <c r="C139" s="487"/>
      <c r="D139" s="487"/>
      <c r="E139" s="487"/>
      <c r="F139" s="573"/>
      <c r="G139" s="577"/>
      <c r="H139" s="628" t="s">
        <v>594</v>
      </c>
      <c r="I139" s="629"/>
      <c r="J139" s="182"/>
      <c r="K139" s="182"/>
      <c r="L139" s="182"/>
      <c r="M139" s="182"/>
      <c r="N139" s="182"/>
      <c r="O139" s="590"/>
    </row>
    <row r="140" spans="1:29">
      <c r="A140" s="2233" t="s">
        <v>570</v>
      </c>
      <c r="B140" s="2234"/>
      <c r="C140" s="2234"/>
      <c r="D140" s="2234"/>
      <c r="E140" s="2234"/>
      <c r="F140" s="2234"/>
      <c r="G140" s="2235"/>
      <c r="H140" s="630" t="s">
        <v>580</v>
      </c>
      <c r="I140" s="631"/>
      <c r="J140" s="631"/>
      <c r="K140" s="632"/>
      <c r="L140" s="182"/>
      <c r="M140" s="182"/>
      <c r="N140" s="182"/>
      <c r="O140" s="589">
        <f>J68</f>
        <v>0</v>
      </c>
    </row>
    <row r="141" spans="1:29" ht="12.75" customHeight="1">
      <c r="A141" s="582"/>
      <c r="B141" s="580"/>
      <c r="C141" s="580"/>
      <c r="D141" s="583"/>
      <c r="E141" s="583"/>
      <c r="F141" s="583"/>
      <c r="G141" s="584" t="s">
        <v>572</v>
      </c>
      <c r="H141" s="633" t="s">
        <v>581</v>
      </c>
      <c r="I141" s="634"/>
      <c r="J141" s="634"/>
      <c r="K141" s="634"/>
      <c r="L141" s="634"/>
      <c r="M141" s="182"/>
      <c r="N141" s="182"/>
      <c r="O141" s="635">
        <f>I136</f>
        <v>0</v>
      </c>
    </row>
    <row r="142" spans="1:29" ht="12.75" customHeight="1">
      <c r="A142" s="578"/>
      <c r="B142" s="579"/>
      <c r="C142" s="579"/>
      <c r="D142" s="585"/>
      <c r="E142" s="585"/>
      <c r="F142" s="585"/>
      <c r="G142" s="586" t="s">
        <v>573</v>
      </c>
      <c r="H142" s="636" t="s">
        <v>606</v>
      </c>
      <c r="I142" s="637"/>
      <c r="J142" s="637"/>
      <c r="K142" s="637"/>
      <c r="L142" s="637"/>
      <c r="M142" s="182"/>
      <c r="N142" s="182"/>
      <c r="O142" s="638">
        <f>O140+O141</f>
        <v>0</v>
      </c>
    </row>
    <row r="143" spans="1:29" ht="12.75" customHeight="1">
      <c r="A143" s="578"/>
      <c r="B143" s="579"/>
      <c r="C143" s="579"/>
      <c r="D143" s="585"/>
      <c r="E143" s="585"/>
      <c r="F143" s="586" t="s">
        <v>574</v>
      </c>
      <c r="G143" s="586" t="s">
        <v>574</v>
      </c>
      <c r="H143" s="639" t="s">
        <v>595</v>
      </c>
      <c r="I143" s="182"/>
      <c r="J143" s="182"/>
      <c r="K143" s="182"/>
      <c r="L143" s="182"/>
      <c r="M143" s="182"/>
      <c r="N143" s="182"/>
      <c r="O143" s="590"/>
    </row>
    <row r="144" spans="1:29" ht="12.75" customHeight="1">
      <c r="A144" s="2222" t="s">
        <v>578</v>
      </c>
      <c r="B144" s="2223"/>
      <c r="C144" s="2223"/>
      <c r="D144" s="585"/>
      <c r="E144" s="585"/>
      <c r="F144" s="586" t="s">
        <v>116</v>
      </c>
      <c r="G144" s="586" t="s">
        <v>116</v>
      </c>
      <c r="H144" s="630" t="s">
        <v>582</v>
      </c>
      <c r="I144" s="182"/>
      <c r="J144" s="182"/>
      <c r="K144" s="182"/>
      <c r="L144" s="182"/>
      <c r="M144" s="182"/>
      <c r="N144" s="182"/>
      <c r="O144" s="640">
        <f>G156</f>
        <v>0</v>
      </c>
    </row>
    <row r="145" spans="1:27" s="5" customFormat="1" ht="12.75" customHeight="1">
      <c r="A145" s="2217" t="s">
        <v>577</v>
      </c>
      <c r="B145" s="2218"/>
      <c r="C145" s="2219"/>
      <c r="D145" s="581" t="s">
        <v>571</v>
      </c>
      <c r="E145" s="581" t="s">
        <v>95</v>
      </c>
      <c r="F145" s="581" t="s">
        <v>576</v>
      </c>
      <c r="G145" s="581" t="s">
        <v>575</v>
      </c>
      <c r="H145" s="639" t="s">
        <v>596</v>
      </c>
      <c r="I145" s="182"/>
      <c r="J145" s="182"/>
      <c r="K145" s="182"/>
      <c r="L145" s="182"/>
      <c r="M145" s="182"/>
      <c r="N145" s="182"/>
      <c r="O145" s="641">
        <f>O142+O144</f>
        <v>0</v>
      </c>
    </row>
    <row r="146" spans="1:27">
      <c r="A146" s="88" t="s">
        <v>171</v>
      </c>
      <c r="B146" s="40"/>
      <c r="C146" s="4"/>
      <c r="D146" s="41"/>
      <c r="E146" s="42"/>
      <c r="F146" s="282"/>
      <c r="G146" s="241">
        <f t="shared" ref="G146:G153" si="60">+E146*F146</f>
        <v>0</v>
      </c>
      <c r="H146" s="639" t="s">
        <v>597</v>
      </c>
      <c r="I146" s="182"/>
      <c r="J146" s="182"/>
      <c r="K146" s="182"/>
      <c r="L146" s="182"/>
      <c r="M146" s="182"/>
      <c r="N146" s="182"/>
      <c r="O146" s="641">
        <f>O145*12</f>
        <v>0</v>
      </c>
    </row>
    <row r="147" spans="1:27" ht="12.75" customHeight="1">
      <c r="A147" s="88" t="s">
        <v>171</v>
      </c>
      <c r="B147" s="40"/>
      <c r="C147" s="4"/>
      <c r="D147" s="41"/>
      <c r="E147" s="42"/>
      <c r="F147" s="282"/>
      <c r="G147" s="241">
        <f t="shared" si="60"/>
        <v>0</v>
      </c>
      <c r="H147" s="639" t="s">
        <v>598</v>
      </c>
      <c r="I147" s="182"/>
      <c r="J147" s="642"/>
      <c r="K147" s="643"/>
      <c r="L147" s="643"/>
      <c r="M147" s="644"/>
      <c r="N147" s="182"/>
      <c r="O147" s="885"/>
      <c r="U147" s="358" t="s">
        <v>264</v>
      </c>
    </row>
    <row r="148" spans="1:27" ht="12.75" customHeight="1" thickBot="1">
      <c r="A148" s="88" t="s">
        <v>171</v>
      </c>
      <c r="B148" s="40"/>
      <c r="C148" s="276"/>
      <c r="D148" s="41"/>
      <c r="E148" s="42"/>
      <c r="F148" s="282"/>
      <c r="G148" s="241">
        <f t="shared" si="60"/>
        <v>0</v>
      </c>
      <c r="H148" s="2224" t="s">
        <v>265</v>
      </c>
      <c r="I148" s="2225"/>
      <c r="J148" s="2225"/>
      <c r="K148" s="2225"/>
      <c r="L148" s="2225"/>
      <c r="M148" s="2226"/>
      <c r="N148" s="182"/>
      <c r="O148" s="590"/>
      <c r="P148" s="238" t="str">
        <f>IF($O$147&lt;&gt;"",IF($I$148=$U$148,"Enter rent adjustment description.",IF($I$148="","Enter rent adjustement description","")),"")</f>
        <v/>
      </c>
      <c r="U148" s="359" t="s">
        <v>265</v>
      </c>
      <c r="V148" s="359"/>
      <c r="W148" s="359"/>
      <c r="X148" s="359"/>
      <c r="Y148" s="359"/>
      <c r="Z148" s="359"/>
      <c r="AA148" s="360"/>
    </row>
    <row r="149" spans="1:27" ht="13.8" thickTop="1">
      <c r="A149" s="88" t="s">
        <v>193</v>
      </c>
      <c r="B149" s="40"/>
      <c r="C149" s="277"/>
      <c r="D149" s="1" t="s">
        <v>97</v>
      </c>
      <c r="E149" s="86"/>
      <c r="F149" s="282"/>
      <c r="G149" s="241">
        <f t="shared" si="60"/>
        <v>0</v>
      </c>
      <c r="H149" s="2227"/>
      <c r="I149" s="2228"/>
      <c r="J149" s="2228"/>
      <c r="K149" s="2228"/>
      <c r="L149" s="2228"/>
      <c r="M149" s="2229"/>
      <c r="N149" s="182"/>
      <c r="O149" s="590"/>
    </row>
    <row r="150" spans="1:27" ht="13.8" thickBot="1">
      <c r="A150" s="88" t="s">
        <v>193</v>
      </c>
      <c r="B150" s="40"/>
      <c r="C150" s="278"/>
      <c r="D150" s="2" t="s">
        <v>98</v>
      </c>
      <c r="E150" s="42"/>
      <c r="F150" s="282"/>
      <c r="G150" s="241">
        <f t="shared" si="60"/>
        <v>0</v>
      </c>
      <c r="H150" s="2230"/>
      <c r="I150" s="2231"/>
      <c r="J150" s="2231"/>
      <c r="K150" s="2231"/>
      <c r="L150" s="2231"/>
      <c r="M150" s="2232"/>
      <c r="N150" s="182"/>
      <c r="O150" s="590"/>
    </row>
    <row r="151" spans="1:27" ht="13.8" thickBot="1">
      <c r="A151" s="88" t="s">
        <v>193</v>
      </c>
      <c r="B151" s="40"/>
      <c r="C151" s="43"/>
      <c r="D151" s="2" t="s">
        <v>735</v>
      </c>
      <c r="E151" s="42"/>
      <c r="F151" s="282"/>
      <c r="G151" s="241">
        <f t="shared" si="60"/>
        <v>0</v>
      </c>
      <c r="H151" s="628" t="s">
        <v>599</v>
      </c>
      <c r="I151" s="182"/>
      <c r="J151" s="182"/>
      <c r="K151" s="182"/>
      <c r="L151" s="182"/>
      <c r="M151" s="182"/>
      <c r="N151" s="182"/>
      <c r="O151" s="645">
        <f>O146+O147</f>
        <v>0</v>
      </c>
    </row>
    <row r="152" spans="1:27">
      <c r="A152" s="88" t="s">
        <v>193</v>
      </c>
      <c r="B152" s="40"/>
      <c r="C152" s="3"/>
      <c r="D152" s="2" t="s">
        <v>736</v>
      </c>
      <c r="E152" s="42"/>
      <c r="F152" s="282"/>
      <c r="G152" s="241">
        <f t="shared" si="60"/>
        <v>0</v>
      </c>
      <c r="H152" s="525"/>
      <c r="I152" s="182"/>
      <c r="J152" s="182"/>
      <c r="K152" s="182"/>
      <c r="L152" s="182"/>
      <c r="M152" s="182"/>
      <c r="N152" s="182"/>
      <c r="O152" s="646" t="s">
        <v>731</v>
      </c>
    </row>
    <row r="153" spans="1:27">
      <c r="A153" s="88" t="s">
        <v>193</v>
      </c>
      <c r="B153" s="40"/>
      <c r="C153" s="3"/>
      <c r="D153" s="2" t="s">
        <v>737</v>
      </c>
      <c r="E153" s="42"/>
      <c r="F153" s="282"/>
      <c r="G153" s="241">
        <f t="shared" si="60"/>
        <v>0</v>
      </c>
      <c r="H153" s="628" t="s">
        <v>579</v>
      </c>
      <c r="I153" s="182"/>
      <c r="J153" s="182"/>
      <c r="K153" s="182"/>
      <c r="L153" s="182"/>
      <c r="M153" s="182"/>
      <c r="N153" s="182"/>
      <c r="O153" s="590"/>
    </row>
    <row r="154" spans="1:27">
      <c r="A154" s="88" t="s">
        <v>193</v>
      </c>
      <c r="B154" s="40"/>
      <c r="C154" s="3"/>
      <c r="D154" s="2" t="s">
        <v>738</v>
      </c>
      <c r="E154" s="42"/>
      <c r="F154" s="282"/>
      <c r="G154" s="241">
        <f>+E154*F154</f>
        <v>0</v>
      </c>
      <c r="H154" s="630" t="s">
        <v>1699</v>
      </c>
      <c r="I154" s="182"/>
      <c r="J154" s="182"/>
      <c r="K154" s="182"/>
      <c r="L154" s="182"/>
      <c r="M154" s="182"/>
      <c r="N154" s="182"/>
      <c r="O154" s="640">
        <f>K136</f>
        <v>0</v>
      </c>
    </row>
    <row r="155" spans="1:27" ht="13.8" thickBot="1">
      <c r="A155" s="311" t="s">
        <v>193</v>
      </c>
      <c r="B155" s="312"/>
      <c r="C155" s="313"/>
      <c r="D155" s="2" t="s">
        <v>739</v>
      </c>
      <c r="E155" s="596"/>
      <c r="F155" s="539"/>
      <c r="G155" s="538">
        <f>+E155*F155</f>
        <v>0</v>
      </c>
      <c r="H155" s="630" t="s">
        <v>1702</v>
      </c>
      <c r="I155" s="182"/>
      <c r="J155" s="182"/>
      <c r="K155" s="182"/>
      <c r="L155" s="182"/>
      <c r="M155" s="182"/>
      <c r="N155" s="182"/>
      <c r="O155" s="640">
        <f>J136</f>
        <v>0</v>
      </c>
    </row>
    <row r="156" spans="1:27" ht="14.4" thickTop="1" thickBot="1">
      <c r="A156" s="356"/>
      <c r="B156" s="357"/>
      <c r="C156" s="587"/>
      <c r="D156" s="588" t="s">
        <v>263</v>
      </c>
      <c r="E156" s="593">
        <f>SUM(E146:E155)</f>
        <v>0</v>
      </c>
      <c r="F156" s="594"/>
      <c r="G156" s="595">
        <f>SUM(G146:G155)</f>
        <v>0</v>
      </c>
      <c r="H156" s="630" t="s">
        <v>1700</v>
      </c>
      <c r="I156" s="182"/>
      <c r="J156" s="182"/>
      <c r="K156" s="182"/>
      <c r="L156" s="182"/>
      <c r="M156" s="182"/>
      <c r="N156" s="182"/>
      <c r="O156" s="645">
        <f>SUM(O154:O155)*12</f>
        <v>0</v>
      </c>
    </row>
    <row r="157" spans="1:27">
      <c r="H157" s="647"/>
      <c r="I157" s="642"/>
      <c r="J157" s="642"/>
      <c r="K157" s="642"/>
      <c r="L157" s="642"/>
      <c r="M157" s="642"/>
      <c r="N157" s="642"/>
      <c r="O157" s="648" t="s">
        <v>730</v>
      </c>
    </row>
    <row r="158" spans="1:27" ht="14.25" customHeight="1">
      <c r="A158" s="4"/>
      <c r="B158" s="4"/>
      <c r="C158" s="355"/>
      <c r="D158" s="354"/>
      <c r="E158" s="271"/>
      <c r="H158" s="267"/>
    </row>
    <row r="159" spans="1:27">
      <c r="B159" s="6"/>
      <c r="E159" s="591"/>
      <c r="H159" s="290"/>
      <c r="I159" s="592"/>
      <c r="J159" s="592"/>
      <c r="K159" s="592"/>
      <c r="L159" s="592"/>
      <c r="M159" s="592"/>
      <c r="N159" s="592"/>
      <c r="O159" s="592"/>
    </row>
    <row r="160" spans="1:27">
      <c r="A160" s="598" t="s">
        <v>584</v>
      </c>
      <c r="B160" s="245"/>
      <c r="C160" s="478"/>
      <c r="D160" s="478"/>
      <c r="E160" s="599"/>
      <c r="F160" s="478"/>
      <c r="G160" s="478"/>
      <c r="H160" s="478"/>
      <c r="I160" s="600"/>
      <c r="J160" s="600"/>
      <c r="K160" s="600"/>
      <c r="L160" s="600"/>
      <c r="M160" s="600"/>
      <c r="N160" s="600"/>
      <c r="O160" s="601"/>
    </row>
    <row r="161" spans="1:19" ht="45" customHeight="1">
      <c r="A161" s="2220" t="s">
        <v>583</v>
      </c>
      <c r="B161" s="2221"/>
      <c r="C161" s="2221"/>
      <c r="D161" s="2221"/>
      <c r="E161" s="2221"/>
      <c r="F161" s="2221"/>
      <c r="G161" s="2221"/>
      <c r="H161" s="2221"/>
      <c r="I161" s="2221"/>
      <c r="J161" s="2221"/>
      <c r="K161" s="2221"/>
      <c r="L161" s="2221"/>
      <c r="O161" s="484"/>
    </row>
    <row r="162" spans="1:19" ht="18.75" customHeight="1">
      <c r="A162" s="2214" t="s">
        <v>248</v>
      </c>
      <c r="B162" s="2215"/>
      <c r="C162" s="2215"/>
      <c r="D162" s="2215"/>
      <c r="E162" s="2215"/>
      <c r="F162" s="2215"/>
      <c r="G162" s="2215"/>
      <c r="H162" s="2215"/>
      <c r="I162" s="2215"/>
      <c r="J162" s="2215"/>
      <c r="K162" s="2216"/>
      <c r="O162" s="484"/>
    </row>
    <row r="163" spans="1:19" ht="48.75" customHeight="1">
      <c r="A163" s="246" t="s">
        <v>147</v>
      </c>
      <c r="B163" s="247"/>
      <c r="E163" s="380" t="s">
        <v>274</v>
      </c>
      <c r="F163" s="1375" t="str">
        <f>IF($A$9="","",$A$9*100&amp;"% "&amp;$C$9)</f>
        <v/>
      </c>
      <c r="G163" s="1376" t="str">
        <f>IF($A$19="","",$A$19*100&amp;"% "&amp;$C$19)</f>
        <v/>
      </c>
      <c r="H163" s="1376" t="str">
        <f>IF($A$29="","",$A$29*100&amp;"% "&amp;$C$29)</f>
        <v/>
      </c>
      <c r="I163" s="1376" t="str">
        <f>IF($A$39="","",$A$39*100&amp;"% "&amp;$C$39)</f>
        <v/>
      </c>
      <c r="J163" s="1376" t="str">
        <f>IF($A$49="","",$A$49*100&amp;"% "&amp;$C$49)</f>
        <v/>
      </c>
      <c r="K163" s="1377" t="str">
        <f>IF($A$59="","",$A$59*100&amp;"% "&amp;$C$59)</f>
        <v/>
      </c>
      <c r="O163" s="484"/>
      <c r="S163" s="325"/>
    </row>
    <row r="164" spans="1:19">
      <c r="A164" s="333" t="s">
        <v>97</v>
      </c>
      <c r="B164" s="377"/>
      <c r="C164" s="377"/>
      <c r="D164" s="377"/>
      <c r="E164" s="375">
        <f>SUM(F164:K164)</f>
        <v>0</v>
      </c>
      <c r="F164" s="1378" t="str">
        <f t="shared" ref="F164:F170" si="61">IF(E9="","",E9)</f>
        <v/>
      </c>
      <c r="G164" s="1378" t="str">
        <f t="shared" ref="G164:G170" si="62">IF(E19="","",E19)</f>
        <v/>
      </c>
      <c r="H164" s="1378" t="str">
        <f t="shared" ref="H164:H170" si="63">IF(E29="","",E29)</f>
        <v/>
      </c>
      <c r="I164" s="1378" t="str">
        <f t="shared" ref="I164:I170" si="64">IF(E39="","",E39)</f>
        <v/>
      </c>
      <c r="J164" s="1378" t="str">
        <f t="shared" ref="J164:J170" si="65">IF(E49="","",E49)</f>
        <v/>
      </c>
      <c r="K164" s="1379" t="str">
        <f t="shared" ref="K164:K170" si="66">IF(E59="","",E59)</f>
        <v/>
      </c>
      <c r="O164" s="484"/>
      <c r="P164" s="383" t="str">
        <f>IF(SUM(D186,E164,F174)-C186=0,"","unit count by unit types does not match")</f>
        <v/>
      </c>
      <c r="S164" s="24"/>
    </row>
    <row r="165" spans="1:19">
      <c r="A165" s="333" t="s">
        <v>98</v>
      </c>
      <c r="B165" s="377"/>
      <c r="C165" s="377"/>
      <c r="D165" s="377"/>
      <c r="E165" s="352">
        <f t="shared" ref="E165:E170" si="67">SUM(F165:K165)</f>
        <v>0</v>
      </c>
      <c r="F165" s="1378" t="str">
        <f t="shared" si="61"/>
        <v/>
      </c>
      <c r="G165" s="1378" t="str">
        <f t="shared" si="62"/>
        <v/>
      </c>
      <c r="H165" s="1378" t="str">
        <f t="shared" si="63"/>
        <v/>
      </c>
      <c r="I165" s="1378" t="str">
        <f t="shared" si="64"/>
        <v/>
      </c>
      <c r="J165" s="1378" t="str">
        <f t="shared" si="65"/>
        <v/>
      </c>
      <c r="K165" s="1379" t="str">
        <f t="shared" si="66"/>
        <v/>
      </c>
      <c r="O165" s="484"/>
      <c r="P165" s="383" t="str">
        <f>IF(SUM(D187,E165,F175)-C187=0,"","unit count by unit types does not match")</f>
        <v/>
      </c>
      <c r="S165" s="24"/>
    </row>
    <row r="166" spans="1:19">
      <c r="A166" s="333" t="s">
        <v>735</v>
      </c>
      <c r="B166" s="377"/>
      <c r="C166" s="377"/>
      <c r="D166" s="377"/>
      <c r="E166" s="352">
        <f t="shared" si="67"/>
        <v>0</v>
      </c>
      <c r="F166" s="1378" t="str">
        <f t="shared" si="61"/>
        <v/>
      </c>
      <c r="G166" s="1378" t="str">
        <f t="shared" si="62"/>
        <v/>
      </c>
      <c r="H166" s="1378" t="str">
        <f t="shared" si="63"/>
        <v/>
      </c>
      <c r="I166" s="1378" t="str">
        <f t="shared" si="64"/>
        <v/>
      </c>
      <c r="J166" s="1378" t="str">
        <f t="shared" si="65"/>
        <v/>
      </c>
      <c r="K166" s="1379" t="str">
        <f t="shared" si="66"/>
        <v/>
      </c>
      <c r="O166" s="484"/>
      <c r="P166" s="383" t="str">
        <f>IF(SUM(D188,E166,F176)-C188=0,"","unit count by type does not match")</f>
        <v/>
      </c>
      <c r="S166" s="24"/>
    </row>
    <row r="167" spans="1:19">
      <c r="A167" s="333" t="s">
        <v>736</v>
      </c>
      <c r="B167" s="377"/>
      <c r="C167" s="377"/>
      <c r="D167" s="377"/>
      <c r="E167" s="352">
        <f t="shared" si="67"/>
        <v>0</v>
      </c>
      <c r="F167" s="1378" t="str">
        <f t="shared" si="61"/>
        <v/>
      </c>
      <c r="G167" s="1378" t="str">
        <f t="shared" si="62"/>
        <v/>
      </c>
      <c r="H167" s="1378" t="str">
        <f t="shared" si="63"/>
        <v/>
      </c>
      <c r="I167" s="1378" t="str">
        <f t="shared" si="64"/>
        <v/>
      </c>
      <c r="J167" s="1378" t="str">
        <f t="shared" si="65"/>
        <v/>
      </c>
      <c r="K167" s="1379" t="str">
        <f t="shared" si="66"/>
        <v/>
      </c>
      <c r="O167" s="484"/>
      <c r="P167" s="383" t="str">
        <f>IF(SUM(D189,E167,F177)-C189=0,"","unit count by type does not match")</f>
        <v/>
      </c>
    </row>
    <row r="168" spans="1:19">
      <c r="A168" s="333" t="s">
        <v>737</v>
      </c>
      <c r="B168" s="377"/>
      <c r="C168" s="377"/>
      <c r="D168" s="377"/>
      <c r="E168" s="352">
        <f t="shared" si="67"/>
        <v>0</v>
      </c>
      <c r="F168" s="1378" t="str">
        <f t="shared" si="61"/>
        <v/>
      </c>
      <c r="G168" s="1378" t="str">
        <f t="shared" si="62"/>
        <v/>
      </c>
      <c r="H168" s="1378" t="str">
        <f t="shared" si="63"/>
        <v/>
      </c>
      <c r="I168" s="1378" t="str">
        <f t="shared" si="64"/>
        <v/>
      </c>
      <c r="J168" s="1378" t="str">
        <f t="shared" si="65"/>
        <v/>
      </c>
      <c r="K168" s="1379" t="str">
        <f t="shared" si="66"/>
        <v/>
      </c>
      <c r="O168" s="484"/>
      <c r="P168" s="383" t="str">
        <f>IF(SUM(D190,E168,F178)-C190=0,"","unit count by type does not match")</f>
        <v/>
      </c>
    </row>
    <row r="169" spans="1:19">
      <c r="A169" s="333" t="s">
        <v>738</v>
      </c>
      <c r="B169" s="377"/>
      <c r="C169" s="377"/>
      <c r="D169" s="377"/>
      <c r="E169" s="352">
        <f t="shared" si="67"/>
        <v>0</v>
      </c>
      <c r="F169" s="1378" t="str">
        <f t="shared" si="61"/>
        <v/>
      </c>
      <c r="G169" s="1378" t="str">
        <f t="shared" si="62"/>
        <v/>
      </c>
      <c r="H169" s="1378" t="str">
        <f t="shared" si="63"/>
        <v/>
      </c>
      <c r="I169" s="1378" t="str">
        <f t="shared" si="64"/>
        <v/>
      </c>
      <c r="J169" s="1378" t="str">
        <f t="shared" si="65"/>
        <v/>
      </c>
      <c r="K169" s="1379" t="str">
        <f t="shared" si="66"/>
        <v/>
      </c>
      <c r="O169" s="484"/>
      <c r="P169" s="383" t="str">
        <f>IF(SUM(D191,E169,F179)-C191=0,"","unit count by type does not match")</f>
        <v/>
      </c>
    </row>
    <row r="170" spans="1:19" ht="13.8" thickBot="1">
      <c r="A170" s="482" t="s">
        <v>739</v>
      </c>
      <c r="B170" s="378"/>
      <c r="C170" s="378"/>
      <c r="D170" s="378"/>
      <c r="E170" s="381">
        <f t="shared" si="67"/>
        <v>0</v>
      </c>
      <c r="F170" s="1380" t="str">
        <f t="shared" si="61"/>
        <v/>
      </c>
      <c r="G170" s="1380" t="str">
        <f t="shared" si="62"/>
        <v/>
      </c>
      <c r="H170" s="1380" t="str">
        <f t="shared" si="63"/>
        <v/>
      </c>
      <c r="I170" s="1380" t="str">
        <f t="shared" si="64"/>
        <v/>
      </c>
      <c r="J170" s="1380" t="str">
        <f t="shared" si="65"/>
        <v/>
      </c>
      <c r="K170" s="1381" t="str">
        <f t="shared" si="66"/>
        <v/>
      </c>
      <c r="O170" s="484"/>
      <c r="P170" s="383" t="str">
        <f>IF(SUM(D192,E170,F180)-C192=0,"","unit count by type does not match")</f>
        <v/>
      </c>
    </row>
    <row r="171" spans="1:19" ht="13.8" thickTop="1">
      <c r="A171" s="1372" t="s">
        <v>148</v>
      </c>
      <c r="B171" s="1373"/>
      <c r="C171" s="1373"/>
      <c r="D171" s="1373"/>
      <c r="E171" s="1374">
        <f>SUM(E164:E170)</f>
        <v>0</v>
      </c>
      <c r="F171" s="1382" t="str">
        <f>IF(SUM(F164:F170)=0,"",SUM(F164:F170))</f>
        <v/>
      </c>
      <c r="G171" s="1382" t="str">
        <f>IF(SUM(G164:G170)=0,"",SUM(G164:G170))</f>
        <v/>
      </c>
      <c r="H171" s="1382" t="str">
        <f>IF(SUM(H164:H170)=0,"",SUM(H164:H170))</f>
        <v/>
      </c>
      <c r="I171" s="1382" t="str">
        <f>IF(SUM(I164:I170)=0,"",SUM(I164:I170))</f>
        <v/>
      </c>
      <c r="J171" s="1382" t="str">
        <f t="shared" ref="J171:K171" si="68">IF(SUM(J164:J170)=0,"",SUM(J164:J170))</f>
        <v/>
      </c>
      <c r="K171" s="1383" t="str">
        <f t="shared" si="68"/>
        <v/>
      </c>
      <c r="O171" s="484"/>
      <c r="P171" s="342"/>
    </row>
    <row r="172" spans="1:19">
      <c r="A172" s="2214" t="s">
        <v>600</v>
      </c>
      <c r="B172" s="2215"/>
      <c r="C172" s="2215"/>
      <c r="D172" s="2215"/>
      <c r="E172" s="2215"/>
      <c r="F172" s="2215"/>
      <c r="G172" s="2215"/>
      <c r="H172" s="2215"/>
      <c r="I172" s="2215"/>
      <c r="J172" s="2215"/>
      <c r="K172" s="2215"/>
      <c r="L172" s="2216"/>
      <c r="O172" s="484"/>
    </row>
    <row r="173" spans="1:19" ht="48">
      <c r="A173" s="246" t="str">
        <f t="shared" ref="A173:A181" si="69">A163</f>
        <v>Unit Types</v>
      </c>
      <c r="B173" s="247"/>
      <c r="F173" s="1912" t="s">
        <v>275</v>
      </c>
      <c r="G173" s="1918" t="str">
        <f>IF($A$74="","",$A$74*100&amp;"% "&amp;$C$74&amp;" "&amp;$A$78)</f>
        <v/>
      </c>
      <c r="H173" s="1376" t="str">
        <f>IF($A$84="","",$A$84*100&amp;"% "&amp;$C$84&amp;" "&amp;$A$88)</f>
        <v/>
      </c>
      <c r="I173" s="1918" t="str">
        <f>IF($A$94="","",$A$94*100&amp;"% "&amp;$C$94&amp;" "&amp;$A$98)</f>
        <v/>
      </c>
      <c r="J173" s="1376" t="str">
        <f>IF($A$104="","",$A$104*100&amp;"% "&amp;$C$104&amp;" "&amp;$A$108)</f>
        <v/>
      </c>
      <c r="K173" s="1918" t="str">
        <f>IF($A$114="","",$A$114*100&amp;"% "&amp;$C$114&amp;" "&amp;$A$118)</f>
        <v/>
      </c>
      <c r="L173" s="1384" t="str">
        <f>IF($A$124="","",$A$124*100&amp;"% "&amp;$C$124&amp;" "&amp;$A$128)</f>
        <v/>
      </c>
      <c r="O173" s="484"/>
    </row>
    <row r="174" spans="1:19" ht="13.2" customHeight="1">
      <c r="A174" s="333" t="str">
        <f t="shared" si="69"/>
        <v>SRO</v>
      </c>
      <c r="B174" s="377"/>
      <c r="C174" s="377"/>
      <c r="D174" s="377"/>
      <c r="E174" s="377"/>
      <c r="F174" s="1913">
        <f>SUM(G174:L174)</f>
        <v>0</v>
      </c>
      <c r="G174" s="1916" t="str">
        <f t="shared" ref="G174:G180" si="70">IF(H74="","",H74)</f>
        <v/>
      </c>
      <c r="H174" s="1378" t="str">
        <f t="shared" ref="H174:H180" si="71">IF(H84="","",H84)</f>
        <v/>
      </c>
      <c r="I174" s="1916" t="str">
        <f t="shared" ref="I174:I180" si="72">IF(H94="","",H94)</f>
        <v/>
      </c>
      <c r="J174" s="1378" t="str">
        <f t="shared" ref="J174:J180" si="73">IF(H104="","",H104)</f>
        <v/>
      </c>
      <c r="K174" s="1916" t="str">
        <f t="shared" ref="K174:K180" si="74">IF(H114="","",H114)</f>
        <v/>
      </c>
      <c r="L174" s="1379" t="str">
        <f t="shared" ref="L174:L180" si="75">IF(H124="","",H124)</f>
        <v/>
      </c>
      <c r="O174" s="484"/>
    </row>
    <row r="175" spans="1:19" ht="13.2" customHeight="1">
      <c r="A175" s="333" t="str">
        <f t="shared" si="69"/>
        <v>Studio</v>
      </c>
      <c r="B175" s="377"/>
      <c r="C175" s="377"/>
      <c r="D175" s="377"/>
      <c r="E175" s="377"/>
      <c r="F175" s="1914">
        <f t="shared" ref="F175:F180" si="76">SUM(G175:L175)</f>
        <v>0</v>
      </c>
      <c r="G175" s="1916" t="str">
        <f t="shared" si="70"/>
        <v/>
      </c>
      <c r="H175" s="1378" t="str">
        <f t="shared" si="71"/>
        <v/>
      </c>
      <c r="I175" s="1916" t="str">
        <f t="shared" si="72"/>
        <v/>
      </c>
      <c r="J175" s="1378" t="str">
        <f t="shared" si="73"/>
        <v/>
      </c>
      <c r="K175" s="1916" t="str">
        <f t="shared" si="74"/>
        <v/>
      </c>
      <c r="L175" s="1379" t="str">
        <f t="shared" si="75"/>
        <v/>
      </c>
      <c r="O175" s="484"/>
    </row>
    <row r="176" spans="1:19" ht="13.2" customHeight="1">
      <c r="A176" s="333" t="str">
        <f t="shared" si="69"/>
        <v>1BR</v>
      </c>
      <c r="B176" s="377"/>
      <c r="C176" s="377"/>
      <c r="D176" s="377"/>
      <c r="E176" s="377"/>
      <c r="F176" s="1914">
        <f t="shared" si="76"/>
        <v>0</v>
      </c>
      <c r="G176" s="1916" t="str">
        <f t="shared" si="70"/>
        <v/>
      </c>
      <c r="H176" s="1378" t="str">
        <f t="shared" si="71"/>
        <v/>
      </c>
      <c r="I176" s="1916" t="str">
        <f t="shared" si="72"/>
        <v/>
      </c>
      <c r="J176" s="1378" t="str">
        <f t="shared" si="73"/>
        <v/>
      </c>
      <c r="K176" s="1916" t="str">
        <f t="shared" si="74"/>
        <v/>
      </c>
      <c r="L176" s="1350" t="str">
        <f t="shared" si="75"/>
        <v/>
      </c>
      <c r="O176" s="484"/>
    </row>
    <row r="177" spans="1:15" ht="13.2" customHeight="1">
      <c r="A177" s="333" t="str">
        <f t="shared" si="69"/>
        <v>2BR</v>
      </c>
      <c r="B177" s="377"/>
      <c r="C177" s="377"/>
      <c r="D177" s="377"/>
      <c r="E177" s="377"/>
      <c r="F177" s="1914">
        <f t="shared" si="76"/>
        <v>0</v>
      </c>
      <c r="G177" s="1916" t="str">
        <f t="shared" si="70"/>
        <v/>
      </c>
      <c r="H177" s="1378" t="str">
        <f t="shared" si="71"/>
        <v/>
      </c>
      <c r="I177" s="1916" t="str">
        <f t="shared" si="72"/>
        <v/>
      </c>
      <c r="J177" s="1378" t="str">
        <f t="shared" si="73"/>
        <v/>
      </c>
      <c r="K177" s="1916" t="str">
        <f t="shared" si="74"/>
        <v/>
      </c>
      <c r="L177" s="1350" t="str">
        <f t="shared" si="75"/>
        <v/>
      </c>
      <c r="O177" s="484"/>
    </row>
    <row r="178" spans="1:15" ht="13.2" customHeight="1">
      <c r="A178" s="333" t="str">
        <f t="shared" si="69"/>
        <v>3BR</v>
      </c>
      <c r="B178" s="377"/>
      <c r="C178" s="377"/>
      <c r="D178" s="377"/>
      <c r="E178" s="377"/>
      <c r="F178" s="1914">
        <f t="shared" si="76"/>
        <v>0</v>
      </c>
      <c r="G178" s="1916" t="str">
        <f t="shared" si="70"/>
        <v/>
      </c>
      <c r="H178" s="1378" t="str">
        <f t="shared" si="71"/>
        <v/>
      </c>
      <c r="I178" s="1916" t="str">
        <f t="shared" si="72"/>
        <v/>
      </c>
      <c r="J178" s="1378" t="str">
        <f t="shared" si="73"/>
        <v/>
      </c>
      <c r="K178" s="1916" t="str">
        <f t="shared" si="74"/>
        <v/>
      </c>
      <c r="L178" s="1350" t="str">
        <f t="shared" si="75"/>
        <v/>
      </c>
      <c r="O178" s="484"/>
    </row>
    <row r="179" spans="1:15" ht="13.2" customHeight="1">
      <c r="A179" s="333" t="str">
        <f t="shared" si="69"/>
        <v>4BR</v>
      </c>
      <c r="B179" s="377"/>
      <c r="C179" s="377"/>
      <c r="D179" s="377"/>
      <c r="E179" s="377"/>
      <c r="F179" s="1914">
        <f t="shared" si="76"/>
        <v>0</v>
      </c>
      <c r="G179" s="1916" t="str">
        <f t="shared" si="70"/>
        <v/>
      </c>
      <c r="H179" s="1378" t="str">
        <f t="shared" si="71"/>
        <v/>
      </c>
      <c r="I179" s="1916" t="str">
        <f t="shared" si="72"/>
        <v/>
      </c>
      <c r="J179" s="1378" t="str">
        <f t="shared" si="73"/>
        <v/>
      </c>
      <c r="K179" s="1916" t="str">
        <f t="shared" si="74"/>
        <v/>
      </c>
      <c r="L179" s="1350" t="str">
        <f t="shared" si="75"/>
        <v/>
      </c>
      <c r="O179" s="484"/>
    </row>
    <row r="180" spans="1:15" ht="13.2" customHeight="1" thickBot="1">
      <c r="A180" s="482" t="str">
        <f t="shared" si="69"/>
        <v>5BR</v>
      </c>
      <c r="B180" s="378"/>
      <c r="C180" s="378"/>
      <c r="D180" s="378"/>
      <c r="E180" s="378"/>
      <c r="F180" s="1915">
        <f t="shared" si="76"/>
        <v>0</v>
      </c>
      <c r="G180" s="1917" t="str">
        <f t="shared" si="70"/>
        <v/>
      </c>
      <c r="H180" s="1380" t="str">
        <f t="shared" si="71"/>
        <v/>
      </c>
      <c r="I180" s="1917" t="str">
        <f t="shared" si="72"/>
        <v/>
      </c>
      <c r="J180" s="1380" t="str">
        <f t="shared" si="73"/>
        <v/>
      </c>
      <c r="K180" s="1917" t="str">
        <f t="shared" si="74"/>
        <v/>
      </c>
      <c r="L180" s="1385" t="str">
        <f t="shared" si="75"/>
        <v/>
      </c>
      <c r="O180" s="484"/>
    </row>
    <row r="181" spans="1:15" ht="13.8" thickTop="1">
      <c r="A181" s="263" t="str">
        <f t="shared" si="69"/>
        <v>Total Units</v>
      </c>
      <c r="B181" s="264"/>
      <c r="C181" s="264"/>
      <c r="D181" s="264"/>
      <c r="E181" s="264"/>
      <c r="F181" s="1935">
        <f>SUM(F174:F180)</f>
        <v>0</v>
      </c>
      <c r="G181" s="1936" t="str">
        <f>IF(SUM(G174:G180)=0,"",SUM(G174:G180))</f>
        <v/>
      </c>
      <c r="H181" s="1937" t="str">
        <f>IF(SUM(H174:H180)=0,"",SUM(H174:H180))</f>
        <v/>
      </c>
      <c r="I181" s="1936" t="str">
        <f>IF(SUM(I174:I180)=0,"",SUM(I174:I180))</f>
        <v/>
      </c>
      <c r="J181" s="1937" t="str">
        <f>IF(SUM(J174:J180)=0,"",SUM(J174:J180))</f>
        <v/>
      </c>
      <c r="K181" s="1936" t="str">
        <f t="shared" ref="K181:L181" si="77">IF(SUM(K174:K180)=0,"",SUM(K174:K180))</f>
        <v/>
      </c>
      <c r="L181" s="1938" t="str">
        <f t="shared" si="77"/>
        <v/>
      </c>
      <c r="O181" s="484"/>
    </row>
    <row r="182" spans="1:15">
      <c r="A182" s="492"/>
      <c r="B182" s="6"/>
      <c r="C182" s="6"/>
      <c r="D182" s="6"/>
      <c r="E182" s="6"/>
      <c r="F182" s="657"/>
      <c r="G182" s="27"/>
      <c r="H182" s="27"/>
      <c r="I182" s="27"/>
      <c r="J182" s="27"/>
      <c r="K182" s="27"/>
      <c r="L182" s="27"/>
      <c r="O182" s="484"/>
    </row>
    <row r="183" spans="1:15">
      <c r="A183" s="492"/>
      <c r="B183" s="6"/>
      <c r="F183" s="657"/>
      <c r="G183" s="6"/>
      <c r="H183" s="6"/>
      <c r="I183" s="6"/>
      <c r="J183" s="6"/>
      <c r="K183" s="6"/>
      <c r="O183" s="484"/>
    </row>
    <row r="184" spans="1:15">
      <c r="A184" s="2168" t="s">
        <v>1257</v>
      </c>
      <c r="B184" s="2169"/>
      <c r="C184" s="2169"/>
      <c r="D184" s="2169"/>
      <c r="E184" s="2169"/>
      <c r="F184" s="2174"/>
      <c r="O184" s="484"/>
    </row>
    <row r="185" spans="1:15" ht="59.4">
      <c r="A185" s="246" t="str">
        <f t="shared" ref="A185:A193" si="78">A163</f>
        <v>Unit Types</v>
      </c>
      <c r="B185" s="247"/>
      <c r="C185" s="834" t="s">
        <v>1256</v>
      </c>
      <c r="D185" s="1386" t="s">
        <v>233</v>
      </c>
      <c r="E185" s="1386" t="str">
        <f t="shared" ref="E185:E193" si="79">E163</f>
        <v>Total Restricted Units - No Subsidy</v>
      </c>
      <c r="F185" s="1386" t="str">
        <f t="shared" ref="F185:F193" si="80">F173</f>
        <v>Total Restricted Units - With Subsidy</v>
      </c>
      <c r="O185" s="484"/>
    </row>
    <row r="186" spans="1:15">
      <c r="A186" s="333" t="str">
        <f t="shared" si="78"/>
        <v>SRO</v>
      </c>
      <c r="B186" s="377"/>
      <c r="C186" s="10">
        <f>'1.GeneralProjectInfo'!$C29</f>
        <v>0</v>
      </c>
      <c r="D186" s="10" t="str">
        <f t="shared" ref="D186:D192" si="81">IF(SUMIF($D$146:$D$155,$A164,$E$146:$E$155)=0,"",IF($E$156&gt;0,SUMIF($D$146:$D$155,$A164,$E$146:$E$155)))</f>
        <v/>
      </c>
      <c r="E186" s="375">
        <f t="shared" si="79"/>
        <v>0</v>
      </c>
      <c r="F186" s="375">
        <f t="shared" si="80"/>
        <v>0</v>
      </c>
      <c r="O186" s="484"/>
    </row>
    <row r="187" spans="1:15">
      <c r="A187" s="333" t="str">
        <f t="shared" si="78"/>
        <v>Studio</v>
      </c>
      <c r="B187" s="377"/>
      <c r="C187" s="10">
        <f>'1.GeneralProjectInfo'!$C30</f>
        <v>0</v>
      </c>
      <c r="D187" s="10" t="str">
        <f t="shared" si="81"/>
        <v/>
      </c>
      <c r="E187" s="352">
        <f t="shared" si="79"/>
        <v>0</v>
      </c>
      <c r="F187" s="352">
        <f t="shared" si="80"/>
        <v>0</v>
      </c>
      <c r="O187" s="484"/>
    </row>
    <row r="188" spans="1:15">
      <c r="A188" s="333" t="str">
        <f t="shared" si="78"/>
        <v>1BR</v>
      </c>
      <c r="B188" s="377"/>
      <c r="C188" s="10">
        <f>'1.GeneralProjectInfo'!$C31</f>
        <v>0</v>
      </c>
      <c r="D188" s="10" t="str">
        <f t="shared" si="81"/>
        <v/>
      </c>
      <c r="E188" s="352">
        <f t="shared" si="79"/>
        <v>0</v>
      </c>
      <c r="F188" s="352">
        <f t="shared" si="80"/>
        <v>0</v>
      </c>
      <c r="O188" s="484"/>
    </row>
    <row r="189" spans="1:15">
      <c r="A189" s="333" t="str">
        <f t="shared" si="78"/>
        <v>2BR</v>
      </c>
      <c r="B189" s="377"/>
      <c r="C189" s="10">
        <f>'1.GeneralProjectInfo'!$C32</f>
        <v>0</v>
      </c>
      <c r="D189" s="10" t="str">
        <f t="shared" si="81"/>
        <v/>
      </c>
      <c r="E189" s="352">
        <f t="shared" si="79"/>
        <v>0</v>
      </c>
      <c r="F189" s="352">
        <f t="shared" si="80"/>
        <v>0</v>
      </c>
      <c r="O189" s="484"/>
    </row>
    <row r="190" spans="1:15">
      <c r="A190" s="333" t="str">
        <f t="shared" si="78"/>
        <v>3BR</v>
      </c>
      <c r="B190" s="377"/>
      <c r="C190" s="10">
        <f>'1.GeneralProjectInfo'!$C33</f>
        <v>0</v>
      </c>
      <c r="D190" s="10" t="str">
        <f t="shared" si="81"/>
        <v/>
      </c>
      <c r="E190" s="352">
        <f t="shared" si="79"/>
        <v>0</v>
      </c>
      <c r="F190" s="352">
        <f t="shared" si="80"/>
        <v>0</v>
      </c>
      <c r="O190" s="484"/>
    </row>
    <row r="191" spans="1:15">
      <c r="A191" s="333" t="str">
        <f t="shared" si="78"/>
        <v>4BR</v>
      </c>
      <c r="B191" s="377"/>
      <c r="C191" s="10">
        <f>'1.GeneralProjectInfo'!$C34</f>
        <v>0</v>
      </c>
      <c r="D191" s="10" t="str">
        <f t="shared" si="81"/>
        <v/>
      </c>
      <c r="E191" s="352">
        <f t="shared" si="79"/>
        <v>0</v>
      </c>
      <c r="F191" s="352">
        <f t="shared" si="80"/>
        <v>0</v>
      </c>
      <c r="O191" s="484"/>
    </row>
    <row r="192" spans="1:15" ht="13.8" thickBot="1">
      <c r="A192" s="482" t="str">
        <f t="shared" si="78"/>
        <v>5BR</v>
      </c>
      <c r="B192" s="378"/>
      <c r="C192" s="379">
        <f>'1.GeneralProjectInfo'!$C35</f>
        <v>0</v>
      </c>
      <c r="D192" s="379" t="str">
        <f t="shared" si="81"/>
        <v/>
      </c>
      <c r="E192" s="381">
        <f t="shared" si="79"/>
        <v>0</v>
      </c>
      <c r="F192" s="381">
        <f t="shared" si="80"/>
        <v>0</v>
      </c>
      <c r="O192" s="484"/>
    </row>
    <row r="193" spans="1:15" ht="13.8" thickTop="1">
      <c r="A193" s="263" t="str">
        <f t="shared" si="78"/>
        <v>Total Units</v>
      </c>
      <c r="B193" s="264"/>
      <c r="C193" s="348">
        <f>SUM(C186:C192)</f>
        <v>0</v>
      </c>
      <c r="D193" s="348" t="str">
        <f>IF(SUM(D186:D192)=0,"",SUM(D186:D192))</f>
        <v/>
      </c>
      <c r="E193" s="382">
        <f t="shared" si="79"/>
        <v>0</v>
      </c>
      <c r="F193" s="382">
        <f t="shared" si="80"/>
        <v>0</v>
      </c>
      <c r="O193" s="484"/>
    </row>
    <row r="194" spans="1:15">
      <c r="A194" s="250"/>
      <c r="B194" s="250"/>
      <c r="C194" s="250"/>
      <c r="D194" s="250"/>
      <c r="E194" s="250"/>
      <c r="F194" s="250"/>
      <c r="G194" s="250"/>
      <c r="H194" s="250"/>
      <c r="I194" s="250"/>
      <c r="J194" s="250"/>
      <c r="K194" s="250"/>
      <c r="L194" s="250"/>
      <c r="M194" s="250"/>
      <c r="N194" s="250"/>
      <c r="O194" s="665"/>
    </row>
  </sheetData>
  <sheetProtection algorithmName="SHA-512" hashValue="ipHxVdeSi/fOa7x10XkpdAT7xNFPHnIo9gNn9Q+r8qRa9g65i60KXNONg3UJ0iDPLOEjbbm5//i8TW2SymVtuw==" saltValue="bPEnkbD9w015FXRe4kCc3Q==" spinCount="100000" sheet="1" objects="1" scenarios="1" selectLockedCells="1"/>
  <dataConsolidate/>
  <customSheetViews>
    <customSheetView guid="{332023D0-60C3-4A29-9DCC-CDA10E0C090D}" showGridLines="0" hiddenRows="1" hiddenColumns="1" topLeftCell="A19">
      <selection activeCell="K48" sqref="K48"/>
      <rowBreaks count="1" manualBreakCount="1">
        <brk id="98" max="14" man="1"/>
      </rowBreaks>
      <pageMargins left="0.7" right="0.7" top="0.75" bottom="0.75" header="0.3" footer="0.3"/>
      <pageSetup scale="58" fitToHeight="3" orientation="portrait" r:id="rId1"/>
      <headerFooter>
        <oddFooter>&amp;R&amp;A</oddFooter>
      </headerFooter>
    </customSheetView>
    <customSheetView guid="{B92ED4D4-4566-4043-8B76-FD708F820076}" showGridLines="0" hiddenRows="1" hiddenColumns="1">
      <selection activeCell="A9" sqref="A9:B9"/>
      <rowBreaks count="1" manualBreakCount="1">
        <brk id="97" max="14" man="1"/>
      </rowBreaks>
      <pageMargins left="0.7" right="0.7" top="0.75" bottom="0.75" header="0.3" footer="0.3"/>
      <pageSetup scale="57" fitToHeight="3" orientation="portrait" r:id="rId2"/>
      <headerFooter>
        <oddFooter>&amp;R&amp;A</oddFooter>
      </headerFooter>
    </customSheetView>
  </customSheetViews>
  <mergeCells count="152">
    <mergeCell ref="L133:O133"/>
    <mergeCell ref="A184:F184"/>
    <mergeCell ref="A172:L172"/>
    <mergeCell ref="A162:K162"/>
    <mergeCell ref="L130:O130"/>
    <mergeCell ref="E131:G131"/>
    <mergeCell ref="L123:O123"/>
    <mergeCell ref="A124:B124"/>
    <mergeCell ref="L124:O124"/>
    <mergeCell ref="L125:O125"/>
    <mergeCell ref="L126:O126"/>
    <mergeCell ref="L127:O127"/>
    <mergeCell ref="A128:C128"/>
    <mergeCell ref="L128:O128"/>
    <mergeCell ref="L129:O129"/>
    <mergeCell ref="A145:C145"/>
    <mergeCell ref="A161:L161"/>
    <mergeCell ref="A144:C144"/>
    <mergeCell ref="H148:M150"/>
    <mergeCell ref="A140:G140"/>
    <mergeCell ref="I133:K134"/>
    <mergeCell ref="L8:M8"/>
    <mergeCell ref="L9:M9"/>
    <mergeCell ref="L10:M10"/>
    <mergeCell ref="L11:M11"/>
    <mergeCell ref="L12:M12"/>
    <mergeCell ref="L29:M29"/>
    <mergeCell ref="L30:M30"/>
    <mergeCell ref="L31:M31"/>
    <mergeCell ref="L32:M32"/>
    <mergeCell ref="L22:M22"/>
    <mergeCell ref="L23:M23"/>
    <mergeCell ref="L24:M24"/>
    <mergeCell ref="L25:M25"/>
    <mergeCell ref="L28:M28"/>
    <mergeCell ref="L20:M20"/>
    <mergeCell ref="L21:M21"/>
    <mergeCell ref="L13:M13"/>
    <mergeCell ref="L14:M14"/>
    <mergeCell ref="L15:M15"/>
    <mergeCell ref="L18:M18"/>
    <mergeCell ref="L19:M19"/>
    <mergeCell ref="L65:M65"/>
    <mergeCell ref="H66:I66"/>
    <mergeCell ref="L55:M55"/>
    <mergeCell ref="H56:I56"/>
    <mergeCell ref="K68:M68"/>
    <mergeCell ref="L104:O104"/>
    <mergeCell ref="L114:O114"/>
    <mergeCell ref="L115:O115"/>
    <mergeCell ref="L33:M33"/>
    <mergeCell ref="L41:M41"/>
    <mergeCell ref="L42:M42"/>
    <mergeCell ref="L43:M43"/>
    <mergeCell ref="L44:M44"/>
    <mergeCell ref="L45:M45"/>
    <mergeCell ref="L34:M34"/>
    <mergeCell ref="L35:M35"/>
    <mergeCell ref="L38:M38"/>
    <mergeCell ref="L39:M39"/>
    <mergeCell ref="L40:M40"/>
    <mergeCell ref="L110:O110"/>
    <mergeCell ref="L117:O117"/>
    <mergeCell ref="A118:C118"/>
    <mergeCell ref="L118:O118"/>
    <mergeCell ref="A94:B94"/>
    <mergeCell ref="L94:O94"/>
    <mergeCell ref="L95:O95"/>
    <mergeCell ref="L96:O96"/>
    <mergeCell ref="L97:O97"/>
    <mergeCell ref="A98:C98"/>
    <mergeCell ref="L98:O98"/>
    <mergeCell ref="L99:O99"/>
    <mergeCell ref="A108:C108"/>
    <mergeCell ref="L108:O108"/>
    <mergeCell ref="L100:O100"/>
    <mergeCell ref="E101:G101"/>
    <mergeCell ref="L105:O105"/>
    <mergeCell ref="L106:O106"/>
    <mergeCell ref="L107:O107"/>
    <mergeCell ref="A103:B103"/>
    <mergeCell ref="L103:O103"/>
    <mergeCell ref="A104:B104"/>
    <mergeCell ref="L109:O109"/>
    <mergeCell ref="E111:G111"/>
    <mergeCell ref="L116:O116"/>
    <mergeCell ref="L119:O119"/>
    <mergeCell ref="L120:O120"/>
    <mergeCell ref="E121:G121"/>
    <mergeCell ref="A123:B123"/>
    <mergeCell ref="L79:O79"/>
    <mergeCell ref="L90:O90"/>
    <mergeCell ref="E91:G91"/>
    <mergeCell ref="A93:B93"/>
    <mergeCell ref="L93:O93"/>
    <mergeCell ref="L80:O80"/>
    <mergeCell ref="E81:G81"/>
    <mergeCell ref="A83:B83"/>
    <mergeCell ref="L83:O83"/>
    <mergeCell ref="A84:B84"/>
    <mergeCell ref="L84:O84"/>
    <mergeCell ref="L85:O85"/>
    <mergeCell ref="L86:O86"/>
    <mergeCell ref="L87:O87"/>
    <mergeCell ref="A88:C88"/>
    <mergeCell ref="L88:O88"/>
    <mergeCell ref="L89:O89"/>
    <mergeCell ref="A113:B113"/>
    <mergeCell ref="L113:O113"/>
    <mergeCell ref="A114:B114"/>
    <mergeCell ref="A7:K7"/>
    <mergeCell ref="A8:B8"/>
    <mergeCell ref="A9:B9"/>
    <mergeCell ref="H16:I16"/>
    <mergeCell ref="A18:B18"/>
    <mergeCell ref="L75:O75"/>
    <mergeCell ref="L76:O76"/>
    <mergeCell ref="L77:O77"/>
    <mergeCell ref="A78:C78"/>
    <mergeCell ref="L78:O78"/>
    <mergeCell ref="A19:B19"/>
    <mergeCell ref="H46:I46"/>
    <mergeCell ref="A73:B73"/>
    <mergeCell ref="L73:O73"/>
    <mergeCell ref="A74:B74"/>
    <mergeCell ref="L74:O74"/>
    <mergeCell ref="H26:I26"/>
    <mergeCell ref="A28:B28"/>
    <mergeCell ref="A29:B29"/>
    <mergeCell ref="H36:I36"/>
    <mergeCell ref="A38:B38"/>
    <mergeCell ref="A39:B39"/>
    <mergeCell ref="A72:L72"/>
    <mergeCell ref="G67:I68"/>
    <mergeCell ref="A58:B58"/>
    <mergeCell ref="L58:M58"/>
    <mergeCell ref="A59:B59"/>
    <mergeCell ref="L59:M59"/>
    <mergeCell ref="L60:M60"/>
    <mergeCell ref="L61:M61"/>
    <mergeCell ref="L62:M62"/>
    <mergeCell ref="L63:M63"/>
    <mergeCell ref="L64:M64"/>
    <mergeCell ref="A48:B48"/>
    <mergeCell ref="L48:M48"/>
    <mergeCell ref="A49:B49"/>
    <mergeCell ref="L49:M49"/>
    <mergeCell ref="L50:M50"/>
    <mergeCell ref="L51:M51"/>
    <mergeCell ref="L52:M52"/>
    <mergeCell ref="L53:M53"/>
    <mergeCell ref="L54:M54"/>
  </mergeCells>
  <conditionalFormatting sqref="E74:E80">
    <cfRule type="expression" dxfId="84" priority="6">
      <formula>$A$78="LOSP"</formula>
    </cfRule>
  </conditionalFormatting>
  <conditionalFormatting sqref="E84:E90">
    <cfRule type="expression" dxfId="83" priority="5">
      <formula>$A$88="LOSP"</formula>
    </cfRule>
  </conditionalFormatting>
  <conditionalFormatting sqref="E94:E100">
    <cfRule type="expression" dxfId="82" priority="4">
      <formula>$A$98="LOSP"</formula>
    </cfRule>
  </conditionalFormatting>
  <conditionalFormatting sqref="E104:E110">
    <cfRule type="expression" dxfId="81" priority="3">
      <formula>$A$108="LOSP"</formula>
    </cfRule>
  </conditionalFormatting>
  <conditionalFormatting sqref="E114:E120">
    <cfRule type="expression" dxfId="80" priority="2">
      <formula>$A$108="LOSP"</formula>
    </cfRule>
  </conditionalFormatting>
  <conditionalFormatting sqref="E124:E130">
    <cfRule type="expression" dxfId="79" priority="1">
      <formula>$A$108="LOSP"</formula>
    </cfRule>
  </conditionalFormatting>
  <dataValidations count="4">
    <dataValidation type="list" allowBlank="1" showInputMessage="1" showErrorMessage="1" sqref="A9:B9 A19:B19 A29:B29 A39:B39 A74:B74 A84:B84 A94:B94 A104:B104 A59:B59 A49:B49 A114:B114 A124:B124" xr:uid="{00000000-0002-0000-0300-000000000000}">
      <formula1>IncomeLevel</formula1>
    </dataValidation>
    <dataValidation type="list" allowBlank="1" showInputMessage="1" showErrorMessage="1" sqref="A78:C78 A88:C88 A98:C98 A108:C108 A118:C118 A128:C128" xr:uid="{00000000-0002-0000-0300-000001000000}">
      <formula1>SubsidyType</formula1>
    </dataValidation>
    <dataValidation type="list" allowBlank="1" showInputMessage="1" showErrorMessage="1" sqref="C9 C19 C29 C39 C59 C49" xr:uid="{00000000-0002-0000-0300-000002000000}">
      <formula1>AMIType</formula1>
    </dataValidation>
    <dataValidation type="list" allowBlank="1" showInputMessage="1" showErrorMessage="1" sqref="D146:D148" xr:uid="{00000000-0002-0000-0300-000003000000}">
      <formula1>UnitType</formula1>
    </dataValidation>
  </dataValidations>
  <pageMargins left="0.7" right="0.7" top="0.75" bottom="0.75" header="0.3" footer="0.3"/>
  <pageSetup scale="53" fitToHeight="3" orientation="portrait" r:id="rId3"/>
  <headerFooter>
    <oddHeader>&amp;CMOHCD Proforma - New Project Rent &amp; Unit Mix</oddHeader>
    <oddFooter xml:space="preserve">&amp;R&amp;P of &amp;N
</oddFooter>
  </headerFooter>
  <rowBreaks count="1" manualBreakCount="1">
    <brk id="137" max="14"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filterMode="1">
    <tabColor rgb="FFA4C09C"/>
  </sheetPr>
  <dimension ref="A1:CA415"/>
  <sheetViews>
    <sheetView showGridLines="0" topLeftCell="A2" zoomScaleNormal="100" workbookViewId="0">
      <pane xSplit="9" ySplit="11" topLeftCell="AD13" activePane="bottomRight" state="frozen"/>
      <selection activeCell="A2" sqref="A2"/>
      <selection pane="topRight" activeCell="J2" sqref="J2"/>
      <selection pane="bottomLeft" activeCell="A13" sqref="A13"/>
      <selection pane="bottomRight" activeCell="B10" sqref="B10:B12"/>
    </sheetView>
  </sheetViews>
  <sheetFormatPr defaultColWidth="9.109375" defaultRowHeight="13.8"/>
  <cols>
    <col min="1" max="1" width="9.109375" style="1131" customWidth="1"/>
    <col min="2" max="2" width="10.5546875" style="1131" customWidth="1"/>
    <col min="3" max="3" width="14.88671875" style="1131" bestFit="1" customWidth="1"/>
    <col min="4" max="4" width="9.109375" style="1131" customWidth="1"/>
    <col min="5" max="5" width="9.109375" style="1131" hidden="1" customWidth="1"/>
    <col min="6" max="6" width="14.44140625" style="1131" customWidth="1"/>
    <col min="7" max="7" width="14" style="1131" customWidth="1"/>
    <col min="8" max="9" width="14.5546875" style="1131" customWidth="1"/>
    <col min="10" max="10" width="34.109375" style="1131" customWidth="1"/>
    <col min="11" max="11" width="10.109375" style="1131" customWidth="1"/>
    <col min="12" max="12" width="10.88671875" style="1131" customWidth="1"/>
    <col min="13" max="13" width="9.109375" style="1131" customWidth="1"/>
    <col min="14" max="14" width="11.88671875" style="1131" customWidth="1"/>
    <col min="15" max="15" width="12.6640625" style="1131" customWidth="1"/>
    <col min="16" max="16" width="12.6640625" style="1131" hidden="1" customWidth="1"/>
    <col min="17" max="21" width="12.6640625" style="1131" customWidth="1"/>
    <col min="22" max="23" width="13.88671875" style="1131" customWidth="1"/>
    <col min="24" max="24" width="14" style="1131" customWidth="1"/>
    <col min="25" max="25" width="10" style="1131" customWidth="1"/>
    <col min="26" max="26" width="13" style="1131" customWidth="1"/>
    <col min="27" max="27" width="12.88671875" style="1131" hidden="1" customWidth="1"/>
    <col min="28" max="29" width="13" style="1131" hidden="1" customWidth="1"/>
    <col min="30" max="30" width="24.88671875" style="1131" customWidth="1"/>
    <col min="31" max="31" width="17" style="1131" customWidth="1"/>
    <col min="32" max="32" width="13.88671875" style="1131" customWidth="1"/>
    <col min="33" max="33" width="13.88671875" style="1131" hidden="1" customWidth="1"/>
    <col min="34" max="34" width="14.6640625" style="1131" customWidth="1"/>
    <col min="35" max="35" width="14" style="1131" customWidth="1"/>
    <col min="36" max="36" width="15.6640625" style="1131" hidden="1" customWidth="1"/>
    <col min="37" max="37" width="9.33203125" style="1131" customWidth="1"/>
    <col min="38" max="38" width="16.5546875" style="1131" hidden="1" customWidth="1"/>
    <col min="39" max="39" width="14.109375" style="1131" hidden="1" customWidth="1"/>
    <col min="40" max="47" width="14" style="1131" hidden="1" customWidth="1"/>
    <col min="48" max="51" width="9.109375" style="1131" customWidth="1"/>
    <col min="52" max="52" width="11.6640625" style="1131" customWidth="1"/>
    <col min="53" max="53" width="11.88671875" style="1131" hidden="1" customWidth="1"/>
    <col min="54" max="54" width="11.6640625" style="1131" hidden="1" customWidth="1"/>
    <col min="55" max="55" width="9.88671875" style="1131" customWidth="1"/>
    <col min="56" max="57" width="9.109375" style="1131" customWidth="1"/>
    <col min="58" max="58" width="10" style="1131" customWidth="1"/>
    <col min="59" max="59" width="9.109375" style="1131" customWidth="1"/>
    <col min="60" max="60" width="11.44140625" style="1131" customWidth="1"/>
    <col min="61" max="62" width="9.109375" style="1131" hidden="1" customWidth="1"/>
    <col min="63" max="63" width="10" style="1131" customWidth="1"/>
    <col min="64" max="64" width="7.5546875" style="1131" bestFit="1" customWidth="1"/>
    <col min="65" max="65" width="8.5546875" style="1131" customWidth="1"/>
    <col min="66" max="66" width="9.109375" style="1131" customWidth="1"/>
    <col min="67" max="67" width="11.109375" style="1131" customWidth="1"/>
    <col min="68" max="69" width="9.109375" style="1131" hidden="1" customWidth="1"/>
    <col min="70" max="70" width="12.109375" style="1131" hidden="1" customWidth="1"/>
    <col min="71" max="71" width="13.6640625" style="1131" hidden="1" customWidth="1"/>
    <col min="72" max="72" width="12.5546875" style="1131" hidden="1" customWidth="1"/>
    <col min="73" max="79" width="10.6640625" style="1131" hidden="1" customWidth="1"/>
    <col min="80" max="16384" width="9.109375" style="1131"/>
  </cols>
  <sheetData>
    <row r="1" spans="1:73" hidden="1">
      <c r="A1" s="1131" t="s">
        <v>1198</v>
      </c>
      <c r="E1" s="405" t="s">
        <v>1199</v>
      </c>
      <c r="F1" s="405" t="s">
        <v>1200</v>
      </c>
      <c r="G1" s="405" t="s">
        <v>1200</v>
      </c>
      <c r="H1" s="405" t="s">
        <v>1200</v>
      </c>
      <c r="I1" s="405" t="s">
        <v>1200</v>
      </c>
      <c r="J1" s="405" t="s">
        <v>1200</v>
      </c>
      <c r="K1" s="405" t="s">
        <v>1200</v>
      </c>
      <c r="L1" s="405" t="s">
        <v>1200</v>
      </c>
      <c r="M1" s="405" t="s">
        <v>1200</v>
      </c>
      <c r="N1" s="405" t="s">
        <v>1201</v>
      </c>
      <c r="O1" s="405" t="s">
        <v>1201</v>
      </c>
      <c r="P1" s="405" t="s">
        <v>1199</v>
      </c>
      <c r="Q1" s="405" t="s">
        <v>1201</v>
      </c>
      <c r="R1" s="405" t="s">
        <v>1201</v>
      </c>
      <c r="S1" s="405" t="s">
        <v>1201</v>
      </c>
      <c r="T1" s="405" t="s">
        <v>1201</v>
      </c>
      <c r="U1" s="405" t="s">
        <v>1201</v>
      </c>
      <c r="V1" s="405" t="s">
        <v>1201</v>
      </c>
      <c r="W1" s="405" t="s">
        <v>1200</v>
      </c>
      <c r="X1" s="405" t="s">
        <v>1200</v>
      </c>
      <c r="Y1" s="405" t="s">
        <v>1201</v>
      </c>
      <c r="Z1" s="405" t="s">
        <v>1201</v>
      </c>
      <c r="AA1" s="405" t="s">
        <v>1199</v>
      </c>
      <c r="AB1" s="405" t="s">
        <v>1199</v>
      </c>
      <c r="AC1" s="405" t="s">
        <v>1199</v>
      </c>
      <c r="AD1" s="405" t="s">
        <v>1200</v>
      </c>
      <c r="AE1" s="405" t="s">
        <v>1200</v>
      </c>
      <c r="AF1" s="405" t="s">
        <v>1200</v>
      </c>
      <c r="AG1" s="405" t="s">
        <v>1201</v>
      </c>
      <c r="AH1" s="405" t="s">
        <v>1200</v>
      </c>
      <c r="AI1" s="405" t="s">
        <v>1201</v>
      </c>
      <c r="AJ1" s="405" t="s">
        <v>1199</v>
      </c>
      <c r="AK1" s="405" t="s">
        <v>1201</v>
      </c>
      <c r="AL1" s="405" t="s">
        <v>1199</v>
      </c>
      <c r="AM1" s="405" t="s">
        <v>1199</v>
      </c>
      <c r="AN1" s="405" t="s">
        <v>1199</v>
      </c>
      <c r="AO1" s="405" t="s">
        <v>1199</v>
      </c>
      <c r="AP1" s="405" t="s">
        <v>1199</v>
      </c>
      <c r="AQ1" s="405" t="s">
        <v>1199</v>
      </c>
      <c r="AR1" s="405" t="s">
        <v>1199</v>
      </c>
      <c r="AS1" s="405" t="s">
        <v>1199</v>
      </c>
      <c r="AT1" s="405"/>
      <c r="AU1" s="405"/>
    </row>
    <row r="2" spans="1:73" ht="15.6">
      <c r="A2" s="1312" t="s">
        <v>715</v>
      </c>
      <c r="B2" s="1133"/>
      <c r="C2" s="1133"/>
      <c r="D2" s="1133"/>
      <c r="E2" s="1133"/>
      <c r="F2" s="1133"/>
      <c r="G2" s="1133"/>
      <c r="H2" s="1133"/>
      <c r="I2" s="1133"/>
      <c r="J2" s="1133"/>
      <c r="K2" s="1133"/>
      <c r="L2" s="1133"/>
      <c r="M2" s="1133"/>
      <c r="N2" s="1133"/>
      <c r="O2" s="1133"/>
      <c r="P2" s="1133"/>
      <c r="Q2" s="1133"/>
      <c r="R2" s="1133"/>
      <c r="S2" s="1133"/>
      <c r="V2" s="1134"/>
      <c r="AD2" s="1133"/>
      <c r="AE2" s="1133"/>
      <c r="AF2" s="1133"/>
      <c r="AH2" s="404"/>
      <c r="AI2" s="404"/>
      <c r="AK2" s="1135"/>
      <c r="AN2" s="1171" t="str">
        <f>K5</f>
        <v/>
      </c>
      <c r="AO2" s="1134"/>
      <c r="AP2" s="1170" t="s">
        <v>2</v>
      </c>
      <c r="AQ2" s="1130" t="str">
        <f>C5</f>
        <v/>
      </c>
      <c r="AR2" s="1134"/>
      <c r="AS2" s="1134"/>
      <c r="AT2" s="1134"/>
      <c r="AU2" s="1134"/>
    </row>
    <row r="3" spans="1:73">
      <c r="P3" s="405"/>
      <c r="V3" s="1135" t="str">
        <f>A4</f>
        <v/>
      </c>
      <c r="W3" s="560"/>
      <c r="AH3" s="1168" t="str">
        <f>IF(SmallSites=TRUE,"","Application Date:")</f>
        <v>Application Date:</v>
      </c>
      <c r="AI3" s="1132" t="str">
        <f>IF('1.GeneralProjectInfo'!$D$3="","",'1.GeneralProjectInfo'!$D$3)</f>
        <v/>
      </c>
      <c r="AJ3" s="1133"/>
      <c r="AL3" s="405"/>
      <c r="AP3" s="54" t="s">
        <v>443</v>
      </c>
      <c r="AQ3" s="404">
        <f>C6</f>
        <v>2024</v>
      </c>
    </row>
    <row r="4" spans="1:73">
      <c r="A4" s="560" t="str">
        <f>IF('6.1stYrOpBudget'!$H$4&lt;&gt;"",'6.1stYrOpBudget'!$H$4,"")</f>
        <v/>
      </c>
      <c r="F4" s="1134" t="str">
        <f>IF('1.GeneralProjectInfo'!$N$8+'1.GeneralProjectInfo'!$N$9=0,"",IF('1.GeneralProjectInfo'!$N$9=TRUE,"Complete this worksheet!","Skip this worksheet!"))</f>
        <v>Skip this worksheet!</v>
      </c>
      <c r="L4" s="27"/>
      <c r="M4" s="560"/>
      <c r="T4" s="6" t="s">
        <v>2</v>
      </c>
      <c r="U4" s="1134"/>
      <c r="V4" s="1132" t="str">
        <f>IF('1.GeneralProjectInfo'!$D$3="","",'1.GeneralProjectInfo'!$D$3)</f>
        <v/>
      </c>
      <c r="AH4" s="27" t="str">
        <f>IF(SmallSites=TRUE,"","Current AMI/Rent Year:")</f>
        <v>Current AMI/Rent Year:</v>
      </c>
      <c r="AI4" s="404">
        <f>$C$6</f>
        <v>2024</v>
      </c>
      <c r="AP4" s="54" t="s">
        <v>745</v>
      </c>
      <c r="AQ4" s="404">
        <f>C7</f>
        <v>2024</v>
      </c>
    </row>
    <row r="5" spans="1:73">
      <c r="A5" s="6" t="s">
        <v>2</v>
      </c>
      <c r="C5" s="1132" t="str">
        <f>IF('1.GeneralProjectInfo'!$D$3="","",'1.GeneralProjectInfo'!$D$3)</f>
        <v/>
      </c>
      <c r="K5" s="27" t="str">
        <f>IF(LOSP=TRUE,"LOSP Project",IF(SmallSites=TRUE,"Small Sites Project",""))</f>
        <v/>
      </c>
      <c r="P5" s="1130"/>
      <c r="T5" s="6" t="s">
        <v>443</v>
      </c>
      <c r="V5" s="404">
        <f>$C$6</f>
        <v>2024</v>
      </c>
      <c r="W5" s="74"/>
      <c r="AH5" s="27" t="str">
        <f>IF(SmallSites=TRUE,"","UA Year:")</f>
        <v>UA Year:</v>
      </c>
      <c r="AI5" s="404">
        <f>'2.Utilities&amp;OtherIncome'!$C$7</f>
        <v>2024</v>
      </c>
      <c r="AN5" s="676"/>
      <c r="AO5" s="676"/>
      <c r="AP5" s="1170" t="s">
        <v>444</v>
      </c>
      <c r="AQ5" s="1130">
        <f>C8</f>
        <v>0</v>
      </c>
      <c r="AR5" s="676"/>
      <c r="AS5" s="676"/>
      <c r="AT5" s="1736" t="s">
        <v>1439</v>
      </c>
      <c r="AU5" s="1736" t="s">
        <v>1439</v>
      </c>
    </row>
    <row r="6" spans="1:73">
      <c r="A6" s="6" t="s">
        <v>443</v>
      </c>
      <c r="C6" s="404">
        <f>'1.GeneralProjectInfo'!L3</f>
        <v>2024</v>
      </c>
      <c r="M6" s="74"/>
      <c r="T6" s="6" t="s">
        <v>745</v>
      </c>
      <c r="V6" s="404">
        <f>'2.Utilities&amp;OtherIncome'!$C$7</f>
        <v>2024</v>
      </c>
      <c r="W6" s="74"/>
      <c r="Y6" s="1168" t="s">
        <v>1038</v>
      </c>
      <c r="Z6" s="1169">
        <f>SUM(Z13:Z412)</f>
        <v>0</v>
      </c>
      <c r="AA6" s="1169"/>
      <c r="AE6" s="1168" t="str">
        <f>IF(SmallSites=TRUE,"","Monthly Proposed Tenant Rent:")</f>
        <v>Monthly Proposed Tenant Rent:</v>
      </c>
      <c r="AF6" s="1169">
        <f>IF(SmallSites=TRUE,"",SUM(AF13:AF412))</f>
        <v>0</v>
      </c>
      <c r="AH6" s="1168" t="str">
        <f>IF(SmallSites=TRUE,"","Rent Roll Date:")</f>
        <v>Rent Roll Date:</v>
      </c>
      <c r="AI6" s="676" t="str">
        <f>IF($C$8="","",$C$8)</f>
        <v/>
      </c>
      <c r="AP6" s="1170" t="s">
        <v>445</v>
      </c>
      <c r="AQ6" s="404">
        <f>C9</f>
        <v>0</v>
      </c>
      <c r="AR6" s="1731" t="s">
        <v>1061</v>
      </c>
      <c r="AS6" s="1133"/>
      <c r="AT6" s="1736" t="s">
        <v>1440</v>
      </c>
      <c r="AU6" s="1736" t="s">
        <v>1440</v>
      </c>
    </row>
    <row r="7" spans="1:73">
      <c r="A7" s="6" t="s">
        <v>745</v>
      </c>
      <c r="C7" s="404">
        <f>'2.Utilities&amp;OtherIncome'!$C$7</f>
        <v>2024</v>
      </c>
      <c r="H7" s="1136" t="s">
        <v>1048</v>
      </c>
      <c r="I7" s="1137" t="str">
        <f>IFERROR(AVERAGE(I13:I412),"")</f>
        <v/>
      </c>
      <c r="J7" s="1136" t="s">
        <v>432</v>
      </c>
      <c r="K7" s="1138">
        <f>SUM(K13:K412)</f>
        <v>0</v>
      </c>
      <c r="M7" s="74"/>
      <c r="P7" s="1142"/>
      <c r="T7" s="6" t="s">
        <v>444</v>
      </c>
      <c r="V7" s="676" t="str">
        <f>IF($C$8="","",$C$8)</f>
        <v/>
      </c>
      <c r="Y7" s="1168" t="s">
        <v>1039</v>
      </c>
      <c r="Z7" s="1169">
        <f>Z6*12</f>
        <v>0</v>
      </c>
      <c r="AA7" s="1169"/>
      <c r="AB7" s="1136" t="s">
        <v>1107</v>
      </c>
      <c r="AC7" s="1240" t="str">
        <f>IFERROR(AVERAGE(P13:P412),"")</f>
        <v/>
      </c>
      <c r="AE7" s="1168" t="str">
        <f>IF(SmallSites=TRUE,"","Annual Proposed Tenant Rent:")</f>
        <v>Annual Proposed Tenant Rent:</v>
      </c>
      <c r="AF7" s="1169">
        <f>IF(SmallSites=TRUE,"",AF6*12)</f>
        <v>0</v>
      </c>
      <c r="AH7" s="1168" t="str">
        <f>IF(SmallSites=TRUE,"","Total Units:")</f>
        <v>Total Units:</v>
      </c>
      <c r="AI7" s="404">
        <f>$C$9</f>
        <v>0</v>
      </c>
      <c r="AL7" s="1168" t="s">
        <v>436</v>
      </c>
      <c r="AM7" s="1138">
        <f>SUM(AM13:AM412)</f>
        <v>0</v>
      </c>
      <c r="AN7" s="1138">
        <f>SUM(AN13:AN412)</f>
        <v>0</v>
      </c>
      <c r="AO7" s="1138">
        <f>SUM(AO13:AO412)</f>
        <v>0</v>
      </c>
      <c r="AP7" s="1138">
        <f>SUM(AP13:AP412)</f>
        <v>0</v>
      </c>
      <c r="AQ7" s="1138">
        <f>SUM(AQ13:AQ412)</f>
        <v>0</v>
      </c>
      <c r="AR7" s="1139" t="s">
        <v>1063</v>
      </c>
      <c r="AS7" s="1138">
        <f>SUM(AS13:AS412)</f>
        <v>0</v>
      </c>
      <c r="AT7" s="1737" t="str">
        <f>IFERROR(COUNTIF(AT$13:AT$412,"&lt;=80%")/$C$9,"")</f>
        <v/>
      </c>
      <c r="AU7" s="1737" t="str">
        <f>IFERROR(COUNTIF(AU$13:AU$412,"&lt;=80%")/$C$9,"")</f>
        <v/>
      </c>
    </row>
    <row r="8" spans="1:73" ht="15.6">
      <c r="A8" s="6" t="s">
        <v>444</v>
      </c>
      <c r="C8" s="471"/>
      <c r="H8" s="1136" t="str">
        <f>IF(SmallSites=TRUE,"Avg Household AMI for at least 66% of Households:","")</f>
        <v/>
      </c>
      <c r="I8" s="1140"/>
      <c r="J8" s="1136" t="s">
        <v>854</v>
      </c>
      <c r="K8" s="1138">
        <f>K7*12</f>
        <v>0</v>
      </c>
      <c r="P8" s="1142"/>
      <c r="T8" s="6" t="s">
        <v>445</v>
      </c>
      <c r="V8" s="404">
        <f>$C$9</f>
        <v>0</v>
      </c>
      <c r="AB8" s="1242" t="str">
        <f>IF(SmallSites=TRUE,"Avg 100% Occupied Rent by AMI:","")</f>
        <v/>
      </c>
      <c r="AC8" s="1240" t="str">
        <f>IFERROR(AVERAGE(AJ13:AJ412),"")</f>
        <v/>
      </c>
      <c r="AF8" s="1175" t="str">
        <f>IF(SmallSites=TRUE,"","(# above links to 1stYearOpBudget, cell F9)")</f>
        <v>(# above links to 1stYearOpBudget, cell F9)</v>
      </c>
      <c r="AI8" s="27" t="str">
        <f>IF(LOSP=TRUE,"LOSP Project",IF(SmallSites=TRUE,"Small Sites Project",""))</f>
        <v/>
      </c>
      <c r="AL8" s="1168" t="s">
        <v>437</v>
      </c>
      <c r="AM8" s="1138">
        <f>AM7*12</f>
        <v>0</v>
      </c>
      <c r="AN8" s="1138">
        <f>AN7*12</f>
        <v>0</v>
      </c>
      <c r="AO8" s="1138">
        <f>AO7*12</f>
        <v>0</v>
      </c>
      <c r="AP8" s="1138">
        <f>AP7*12</f>
        <v>0</v>
      </c>
      <c r="AQ8" s="1138">
        <f>AQ7*12</f>
        <v>0</v>
      </c>
      <c r="AR8" s="1139" t="s">
        <v>1062</v>
      </c>
      <c r="AS8" s="1138">
        <f>AS7*12</f>
        <v>0</v>
      </c>
      <c r="AT8" s="1738" t="str">
        <f>IF(AT7="","",IF(AT7&lt;51%,"Need Waiver","OK"))</f>
        <v/>
      </c>
      <c r="AU8" s="1738" t="str">
        <f>IF(AU7="","",IF(AU7&lt;51%,"Need Waiver","OK"))</f>
        <v/>
      </c>
      <c r="AW8" s="1141" t="str">
        <f>A4</f>
        <v/>
      </c>
    </row>
    <row r="9" spans="1:73">
      <c r="A9" s="6" t="s">
        <v>445</v>
      </c>
      <c r="C9" s="404">
        <f>COUNTA($B$13:$B$412)</f>
        <v>0</v>
      </c>
      <c r="H9" s="1136" t="str">
        <f>IF(SmallSites=TRUE,"Avg AMI at 100% occupancy:","")</f>
        <v/>
      </c>
      <c r="I9" s="1140"/>
      <c r="J9" s="1142"/>
      <c r="K9" s="768" t="s">
        <v>1109</v>
      </c>
      <c r="V9" s="27" t="str">
        <f>IF(LOSP=TRUE,"LOSP Project",IF(SmallSites=TRUE,"Small Sites Project",""))</f>
        <v/>
      </c>
      <c r="W9" s="1142"/>
      <c r="AE9" s="1136"/>
      <c r="AG9" s="1138"/>
      <c r="AM9" s="1175" t="s">
        <v>1102</v>
      </c>
      <c r="AN9" s="1107" t="s">
        <v>1096</v>
      </c>
      <c r="AO9" s="1133"/>
      <c r="AP9" s="1133"/>
      <c r="AQ9" s="1133"/>
      <c r="AS9" s="1133"/>
      <c r="AT9" s="1133"/>
      <c r="AU9" s="1133"/>
      <c r="AW9" s="74" t="str">
        <f>K5</f>
        <v/>
      </c>
      <c r="BL9" s="319" t="s">
        <v>443</v>
      </c>
      <c r="BO9" s="1143">
        <f>V5</f>
        <v>2024</v>
      </c>
    </row>
    <row r="10" spans="1:73" ht="15" customHeight="1">
      <c r="A10" s="2246" t="s">
        <v>310</v>
      </c>
      <c r="B10" s="2249" t="s">
        <v>438</v>
      </c>
      <c r="C10" s="2252" t="s">
        <v>1034</v>
      </c>
      <c r="D10" s="2246" t="s">
        <v>324</v>
      </c>
      <c r="E10" s="1244"/>
      <c r="F10" s="2246" t="s">
        <v>313</v>
      </c>
      <c r="G10" s="2246" t="s">
        <v>312</v>
      </c>
      <c r="H10" s="2259" t="s">
        <v>325</v>
      </c>
      <c r="I10" s="2246" t="s">
        <v>1032</v>
      </c>
      <c r="J10" s="2259" t="s">
        <v>326</v>
      </c>
      <c r="K10" s="2246" t="s">
        <v>327</v>
      </c>
      <c r="L10" s="2259" t="s">
        <v>328</v>
      </c>
      <c r="M10" s="1144" t="str">
        <f>IF(SmallSites=TRUE,"","Current Tenant Paid Rent and Affordability Restrictions")</f>
        <v>Current Tenant Paid Rent and Affordability Restrictions</v>
      </c>
      <c r="N10" s="1145"/>
      <c r="O10" s="1146"/>
      <c r="P10" s="1146"/>
      <c r="Q10" s="1146"/>
      <c r="R10" s="1146"/>
      <c r="S10" s="1146"/>
      <c r="T10" s="1146"/>
      <c r="U10" s="1146"/>
      <c r="V10" s="1147"/>
      <c r="W10" s="1148" t="s">
        <v>615</v>
      </c>
      <c r="X10" s="1148"/>
      <c r="Y10" s="1149"/>
      <c r="Z10" s="1150"/>
      <c r="AA10" s="1149"/>
      <c r="AB10" s="1149"/>
      <c r="AC10" s="1149"/>
      <c r="AD10" s="1149"/>
      <c r="AE10" s="1151"/>
      <c r="AF10" s="1152"/>
      <c r="AG10" s="1152"/>
      <c r="AH10" s="1152"/>
      <c r="AI10" s="1153"/>
      <c r="AJ10" s="1153"/>
      <c r="AK10" s="1153"/>
      <c r="AL10" s="1154"/>
      <c r="AM10" s="1151"/>
      <c r="AN10" s="1151"/>
      <c r="AO10" s="1151"/>
      <c r="AP10" s="1151"/>
      <c r="AQ10" s="1153"/>
      <c r="AR10" s="2262" t="s">
        <v>998</v>
      </c>
      <c r="AS10" s="2263"/>
      <c r="AT10" s="2264" t="s">
        <v>1438</v>
      </c>
      <c r="AU10" s="2264"/>
      <c r="AW10" s="290" t="s">
        <v>1040</v>
      </c>
      <c r="BL10" s="1142" t="s">
        <v>444</v>
      </c>
      <c r="BO10" s="1130">
        <f>C8</f>
        <v>0</v>
      </c>
    </row>
    <row r="11" spans="1:73" ht="25.5" hidden="1" customHeight="1">
      <c r="A11" s="2247"/>
      <c r="B11" s="2250"/>
      <c r="C11" s="2253"/>
      <c r="D11" s="2247"/>
      <c r="E11" s="1245"/>
      <c r="F11" s="2247"/>
      <c r="G11" s="2247"/>
      <c r="H11" s="2260"/>
      <c r="I11" s="2247"/>
      <c r="J11" s="2260"/>
      <c r="K11" s="2247"/>
      <c r="L11" s="2260"/>
      <c r="M11" s="2255" t="s">
        <v>717</v>
      </c>
      <c r="N11" s="2255" t="s">
        <v>618</v>
      </c>
      <c r="O11" s="2255" t="s">
        <v>868</v>
      </c>
      <c r="P11" s="2255" t="s">
        <v>1194</v>
      </c>
      <c r="Q11" s="1155" t="s">
        <v>642</v>
      </c>
      <c r="R11" s="1147"/>
      <c r="S11" s="1155" t="s">
        <v>224</v>
      </c>
      <c r="T11" s="1146"/>
      <c r="U11" s="1147"/>
      <c r="V11" s="2257" t="s">
        <v>616</v>
      </c>
      <c r="W11" s="2265" t="s">
        <v>1035</v>
      </c>
      <c r="X11" s="2265" t="s">
        <v>1064</v>
      </c>
      <c r="Y11" s="2242" t="s">
        <v>719</v>
      </c>
      <c r="Z11" s="2242" t="s">
        <v>617</v>
      </c>
      <c r="AA11" s="2242" t="str">
        <f>"Household Income Relative to "&amp;RentsUA!$M$7&amp;" 80% State AMI"</f>
        <v>Household Income Relative to 2024 80% State AMI</v>
      </c>
      <c r="AB11" s="2242" t="s">
        <v>1049</v>
      </c>
      <c r="AC11" s="1128"/>
      <c r="AD11" s="2242" t="s">
        <v>720</v>
      </c>
      <c r="AE11" s="2244" t="s">
        <v>620</v>
      </c>
      <c r="AF11" s="2242" t="s">
        <v>1095</v>
      </c>
      <c r="AG11" s="2242" t="s">
        <v>621</v>
      </c>
      <c r="AH11" s="2242" t="s">
        <v>622</v>
      </c>
      <c r="AI11" s="2267" t="s">
        <v>869</v>
      </c>
      <c r="AJ11" s="2267" t="s">
        <v>1195</v>
      </c>
      <c r="AK11" s="2267" t="s">
        <v>1036</v>
      </c>
      <c r="AL11" s="2267" t="s">
        <v>1052</v>
      </c>
      <c r="AM11" s="2242" t="s">
        <v>1053</v>
      </c>
      <c r="AN11" s="2242" t="s">
        <v>1054</v>
      </c>
      <c r="AO11" s="2242" t="s">
        <v>1055</v>
      </c>
      <c r="AP11" s="2242" t="s">
        <v>1056</v>
      </c>
      <c r="AQ11" s="2242" t="s">
        <v>1057</v>
      </c>
      <c r="AR11" s="1109" t="s">
        <v>1059</v>
      </c>
      <c r="AS11" s="1109"/>
      <c r="AT11" s="1730"/>
      <c r="AU11" s="1730"/>
      <c r="AW11" s="346"/>
      <c r="AX11" s="347"/>
      <c r="AY11" s="607"/>
      <c r="AZ11" s="604" t="s">
        <v>439</v>
      </c>
      <c r="BA11" s="1033"/>
      <c r="BB11" s="1034"/>
      <c r="BC11" s="604"/>
      <c r="BD11" s="1031"/>
      <c r="BE11" s="1031"/>
      <c r="BF11" s="1031"/>
      <c r="BG11" s="1156"/>
      <c r="BH11" s="604" t="s">
        <v>440</v>
      </c>
      <c r="BI11" s="1157"/>
      <c r="BJ11" s="1157"/>
      <c r="BK11" s="604"/>
      <c r="BL11" s="1031"/>
      <c r="BM11" s="1031"/>
      <c r="BN11" s="1031"/>
      <c r="BO11" s="1032"/>
    </row>
    <row r="12" spans="1:73" s="405" customFormat="1" ht="96" customHeight="1">
      <c r="A12" s="2248"/>
      <c r="B12" s="2251"/>
      <c r="C12" s="2254"/>
      <c r="D12" s="2248"/>
      <c r="E12" s="1246" t="s">
        <v>1108</v>
      </c>
      <c r="F12" s="2248"/>
      <c r="G12" s="2248"/>
      <c r="H12" s="2261"/>
      <c r="I12" s="2248"/>
      <c r="J12" s="2261"/>
      <c r="K12" s="2248"/>
      <c r="L12" s="2261"/>
      <c r="M12" s="2256"/>
      <c r="N12" s="2256"/>
      <c r="O12" s="2256"/>
      <c r="P12" s="2256"/>
      <c r="Q12" s="659" t="s">
        <v>619</v>
      </c>
      <c r="R12" s="659" t="s">
        <v>716</v>
      </c>
      <c r="S12" s="659" t="s">
        <v>644</v>
      </c>
      <c r="T12" s="659" t="s">
        <v>646</v>
      </c>
      <c r="U12" s="675" t="s">
        <v>725</v>
      </c>
      <c r="V12" s="2258"/>
      <c r="W12" s="2266"/>
      <c r="X12" s="2266"/>
      <c r="Y12" s="2243"/>
      <c r="Z12" s="2243"/>
      <c r="AA12" s="2243"/>
      <c r="AB12" s="2243"/>
      <c r="AC12" s="1129" t="s">
        <v>1050</v>
      </c>
      <c r="AD12" s="2243"/>
      <c r="AE12" s="2245"/>
      <c r="AF12" s="2243"/>
      <c r="AG12" s="2243"/>
      <c r="AH12" s="2243"/>
      <c r="AI12" s="2268"/>
      <c r="AJ12" s="2268"/>
      <c r="AK12" s="2268"/>
      <c r="AL12" s="2268"/>
      <c r="AM12" s="2243"/>
      <c r="AN12" s="2243"/>
      <c r="AO12" s="2243"/>
      <c r="AP12" s="2243"/>
      <c r="AQ12" s="2243"/>
      <c r="AR12" s="1108" t="s">
        <v>1058</v>
      </c>
      <c r="AS12" s="1108" t="s">
        <v>1060</v>
      </c>
      <c r="AT12" s="1108" t="s">
        <v>1436</v>
      </c>
      <c r="AU12" s="1108" t="s">
        <v>1437</v>
      </c>
      <c r="AW12" s="246" t="s">
        <v>147</v>
      </c>
      <c r="AX12" s="247"/>
      <c r="AY12" s="608" t="s">
        <v>1037</v>
      </c>
      <c r="AZ12" s="1036" t="s">
        <v>728</v>
      </c>
      <c r="BA12" s="605" t="s">
        <v>233</v>
      </c>
      <c r="BB12" s="1039" t="s">
        <v>727</v>
      </c>
      <c r="BC12" s="1042" t="s">
        <v>726</v>
      </c>
      <c r="BD12" s="367" t="str">
        <f>IF(BS13=0,"",BS13)</f>
        <v/>
      </c>
      <c r="BE12" s="368" t="str">
        <f>IF(BS14=0,"",BS14)</f>
        <v/>
      </c>
      <c r="BF12" s="368" t="str">
        <f>IF(BS15=0,"",BS15)</f>
        <v/>
      </c>
      <c r="BG12" s="605" t="str">
        <f>IF(BS16=0,"",BS16)</f>
        <v/>
      </c>
      <c r="BH12" s="1036" t="s">
        <v>728</v>
      </c>
      <c r="BI12" s="1044" t="s">
        <v>233</v>
      </c>
      <c r="BJ12" s="1044" t="s">
        <v>727</v>
      </c>
      <c r="BK12" s="1045" t="s">
        <v>726</v>
      </c>
      <c r="BL12" s="367" t="str">
        <f>IF(BU13=0,"",BU13)</f>
        <v/>
      </c>
      <c r="BM12" s="368" t="str">
        <f>IF(BU14=0,"",BU14)</f>
        <v/>
      </c>
      <c r="BN12" s="368" t="str">
        <f>IF(BU15=0,"",BU15)</f>
        <v/>
      </c>
      <c r="BO12" s="474" t="str">
        <f>IF(BU16=0,"",BU16)</f>
        <v/>
      </c>
      <c r="BR12" s="473" t="s">
        <v>446</v>
      </c>
      <c r="BS12" s="473" t="s">
        <v>447</v>
      </c>
      <c r="BT12" s="473" t="s">
        <v>448</v>
      </c>
      <c r="BU12" s="473" t="s">
        <v>449</v>
      </c>
    </row>
    <row r="13" spans="1:73" s="404" customFormat="1" ht="13.2">
      <c r="A13" s="406">
        <v>1</v>
      </c>
      <c r="B13" s="407"/>
      <c r="C13" s="470"/>
      <c r="D13" s="407"/>
      <c r="E13" s="407"/>
      <c r="F13" s="408"/>
      <c r="G13" s="409"/>
      <c r="H13" s="407"/>
      <c r="I13" s="1029" t="str">
        <f>IFERROR(G13/HLOOKUP(H13,RentsUA!$B$8:$J$9,2),"")</f>
        <v/>
      </c>
      <c r="J13" s="407"/>
      <c r="K13" s="412"/>
      <c r="L13" s="672">
        <f t="shared" ref="L13:L76" si="0">IF(D13="",0,HLOOKUP($D13,UA,7,FALSE))</f>
        <v>0</v>
      </c>
      <c r="M13" s="671"/>
      <c r="N13" s="410">
        <f t="shared" ref="N13:N76" si="1">M13+L13</f>
        <v>0</v>
      </c>
      <c r="O13" s="469" t="str">
        <f>IF($M13=0,"",IFERROR(($L13+$M13)/(HLOOKUP($D13,RentsUA!$K$12:$Q$35,19,FALSE)),""))</f>
        <v/>
      </c>
      <c r="P13" s="469" t="str">
        <f>IF($M13=0,"",IFERROR(($M13+K13+L13)/(HLOOKUP($D13,RentsUA!$K$12:$Q$35,19,FALSE)),""))</f>
        <v/>
      </c>
      <c r="Q13" s="411"/>
      <c r="R13" s="673" t="str">
        <f>IF($Q13=0,"",VLOOKUP($Q13,RentsUA!$A$12:$H$35,MATCH($D13,RentsUA!$A$12:$H$12,0),FALSE))</f>
        <v/>
      </c>
      <c r="S13" s="409"/>
      <c r="T13" s="674"/>
      <c r="U13" s="672"/>
      <c r="V13" s="673" t="str">
        <f>IF(Q13&lt;&gt;"",R13-L13,IF(U13&lt;&gt;0,U13-L13,""))</f>
        <v/>
      </c>
      <c r="W13" s="470"/>
      <c r="X13" s="411"/>
      <c r="Y13" s="410" t="str">
        <f>IF(X13=0,"",VLOOKUP($X13,RentsUA!$A$12:$H$35,MATCH($D13,RentsUA!$A$12:$H$12,0),FALSE))</f>
        <v/>
      </c>
      <c r="Z13" s="410" t="str">
        <f t="shared" ref="Z13:Z76" si="2">IF(Y13&lt;&gt;"",Y13-L13,"")</f>
        <v/>
      </c>
      <c r="AA13" s="1297" t="str">
        <f>IF(H13="","",IF(G13/HLOOKUP($H13,RentsUA!$M$8:$T$9,2,FALSE)&gt;1,"&gt; 80%","&lt;= 80%"))</f>
        <v/>
      </c>
      <c r="AB13" s="1106"/>
      <c r="AC13" s="1106"/>
      <c r="AD13" s="622"/>
      <c r="AE13" s="412"/>
      <c r="AF13" s="807" t="str">
        <f>IF(AD13="","",IFERROR(IF(AD13=Lists!$U$3,M13,IF(AD13=Lists!$U$4,V13,IF(AD13=Lists!$U$5,Y13-L13,AE13))),""))</f>
        <v/>
      </c>
      <c r="AG13" s="410" t="str">
        <f t="shared" ref="AG13:AG76" si="3">IFERROR(AF13+L13,"")</f>
        <v/>
      </c>
      <c r="AH13" s="469" t="str">
        <f t="shared" ref="AH13:AH76" si="4">IFERROR(($AF13-$M13)/$M13,"")</f>
        <v/>
      </c>
      <c r="AI13" s="469" t="str">
        <f>IF($AF13=0,0,IFERROR(($L13+$AF13)/(HLOOKUP($D13,RentsUA!$K$12:$Q$35,19,FALSE)),""))</f>
        <v/>
      </c>
      <c r="AJ13" s="469" t="str">
        <f>IF($AF13=0,0,IFERROR(($AF13+K13+L13)/(HLOOKUP($D13,RentsUA!$K$12:$Q$35,19,FALSE)),""))</f>
        <v/>
      </c>
      <c r="AK13" s="469" t="str">
        <f>IFERROR(AG13*12/$G13,"")</f>
        <v/>
      </c>
      <c r="AL13" s="469" t="str">
        <f>IFERROR(AF13*12/$G13,"")</f>
        <v/>
      </c>
      <c r="AM13" s="1106" t="str">
        <f>AF13</f>
        <v/>
      </c>
      <c r="AN13" s="1106" t="str">
        <f>IFERROR(AM13*(1+'7a.20YrDetails'!$F$9),"")</f>
        <v/>
      </c>
      <c r="AO13" s="1106" t="str">
        <f>IFERROR(AN13*(1+'7a.20YrDetails'!$F$9),"")</f>
        <v/>
      </c>
      <c r="AP13" s="1106" t="str">
        <f>IFERROR(AO13*(1+'7a.20YrDetails'!$F$9),"")</f>
        <v/>
      </c>
      <c r="AQ13" s="1106" t="str">
        <f>IFERROR(AP13*(1+'7a.20YrDetails'!$F$9),"")</f>
        <v/>
      </c>
      <c r="AR13" s="674">
        <v>0.8</v>
      </c>
      <c r="AS13" s="672" t="str">
        <f>IF($D13=0,"",VLOOKUP($AR13,RentsUA!$A$12:$H$35,MATCH($D13,RentsUA!$A$12:$H$12,0),FALSE)-L13)</f>
        <v/>
      </c>
      <c r="AT13" s="1734" t="str">
        <f>IF($AF13=0,0,IFERROR(($AF13+L13)/(HLOOKUP($D13,RentsUA!$B$61:$H$62,2,FALSE)),""))</f>
        <v/>
      </c>
      <c r="AU13" s="1735" t="str">
        <f>IFERROR(G13/HLOOKUP(H13,RentsUA!$B$40:$I$41,2),"")</f>
        <v/>
      </c>
      <c r="AW13" s="976" t="str">
        <f>'3a.NewProj-Rent&amp;UnitMix'!D9</f>
        <v>SRO</v>
      </c>
      <c r="AX13" s="377"/>
      <c r="AY13" s="609">
        <f>'1.GeneralProjectInfo'!$C29</f>
        <v>0</v>
      </c>
      <c r="AZ13" s="1037">
        <f>BA13+BB13</f>
        <v>0</v>
      </c>
      <c r="BA13" s="770">
        <f t="shared" ref="BA13:BA19" si="5">IF(COUNTIFS($C$13:$C$412,"=Unrestricted",$D$13:$D$412,"="&amp;$AW13)=0,0,COUNTIFS($C$13:$C$412,"=Unrestricted",$D$13:$D$412,"="&amp;$AW13))</f>
        <v>0</v>
      </c>
      <c r="BB13" s="1040">
        <f t="shared" ref="BB13:BB19" si="6">IF(COUNTIFS($C$13:$C$412,"=Manager",$D$13:$D$412,"="&amp;$AW13)=0,0,COUNTIFS($C$13:$C$412,"=Manager",$D$13:$D$412,"="&amp;$AW13))</f>
        <v>0</v>
      </c>
      <c r="BC13" s="1158">
        <f t="shared" ref="BC13:BC19" si="7">SUM(BD13:BG13)</f>
        <v>0</v>
      </c>
      <c r="BD13" s="1159" t="str">
        <f t="shared" ref="BD13:BD19" si="8">IF(COUNTIFS($BR$13:$BR$412,"=" &amp; $BD$12,$D$13:$D$412,"=" &amp; $AW13)=0,"",COUNTIFS($BR$13:$BR$412,"=" &amp; $BD$12,$D$13:$D$412,"=" &amp; $AW13))</f>
        <v/>
      </c>
      <c r="BE13" s="1159" t="str">
        <f t="shared" ref="BE13:BE19" si="9">IF(COUNTIFS($BR$13:$BR$412,"=" &amp; $BE$12,$D$13:$D$412,"=" &amp; $AW13)=0,"",COUNTIFS($BR$13:$BR$412,"=" &amp; $BE$12,$D$13:$D$412,"=" &amp; $AW13))</f>
        <v/>
      </c>
      <c r="BF13" s="1159" t="str">
        <f t="shared" ref="BF13:BF19" si="10">IF(COUNTIFS($BR$13:$BR$412,"=" &amp; $BF$12,$D$13:$D$412,"=" &amp; $AW13)=0,"",COUNTIFS($BR$13:$BR$412,"=" &amp; $BF$12,$D$13:$D$412,"=" &amp; $AW13))</f>
        <v/>
      </c>
      <c r="BG13" s="1160" t="str">
        <f t="shared" ref="BG13:BG19" si="11">IF(COUNTIFS($BR$13:$BR$412,"=" &amp; $BG$12,$D$13:$D$412,"=" &amp; $AW13)=0,"",COUNTIFS($BR$13:$BR$412,"=" &amp; $BG$12,$D$13:$D$412,"=" &amp; $AW13))</f>
        <v/>
      </c>
      <c r="BH13" s="1037">
        <f>BI13+BJ13</f>
        <v>0</v>
      </c>
      <c r="BI13" s="10">
        <f t="shared" ref="BI13:BI19" si="12">IF(COUNTIFS($W$13:$W$412,"=Unrestricted",$D$13:$D$412,"="&amp;$AW13)=0,0,COUNTIFS($W$13:$W$412,"=Unrestricted",$D$13:$D$412,"="&amp;$AW13))</f>
        <v>0</v>
      </c>
      <c r="BJ13" s="10">
        <f t="shared" ref="BJ13:BJ19" si="13">IF(COUNTIFS($W$13:$W$412,"=Manager",$D$13:$D$412,"="&amp;$AW13)=0,0,COUNTIFS($W$13:$W$412,"=Manager",$D$13:$D$412,"="&amp;$AW13))</f>
        <v>0</v>
      </c>
      <c r="BK13" s="1161">
        <f t="shared" ref="BK13:BK19" si="14">SUM(BL13:BO13)</f>
        <v>0</v>
      </c>
      <c r="BL13" s="1159" t="str">
        <f t="shared" ref="BL13:BL19" si="15">IF(COUNTIFS($BT$13:$BT$412,"=" &amp; $BL$12,$D$13:$D$412,"=" &amp; $AW13)=0,"",COUNTIFS($BT$13:$BT$412,"=" &amp; $BL$12,$D$13:$D$412,"=" &amp; $AW13))</f>
        <v/>
      </c>
      <c r="BM13" s="1159" t="str">
        <f t="shared" ref="BM13:BM19" si="16">IF(COUNTIFS($BT$13:$BT$412,"=" &amp; $BM$12,$D$13:$D$412,"=" &amp; $AW13)=0,"",COUNTIFS($BT$13:$BT$412,"=" &amp; $BM$12,$D$13:$D$412,"=" &amp; $AW13))</f>
        <v/>
      </c>
      <c r="BN13" s="1159" t="str">
        <f t="shared" ref="BN13:BN19" si="17">IF(COUNTIFS($BT$13:$BT$412,"=" &amp; $BN$12,$D$13:$D$412,"=" &amp; $AW13)=0,"",COUNTIFS($BT$13:$BT$412,"=" &amp; $BN$12,$D$13:$D$412,"=" &amp; $AW13))</f>
        <v/>
      </c>
      <c r="BO13" s="975" t="str">
        <f t="shared" ref="BO13:BO19" si="18">IF(COUNTIFS($BT$13:$BT$412,"=" &amp; $BO$12,$D$13:$D$412,"=" &amp; $AW13)=0,"",COUNTIFS($BT$13:$BT$412,"=" &amp; $BO$12,$D$13:$D$412,"=" &amp; $AW13))</f>
        <v/>
      </c>
      <c r="BP13" s="383"/>
      <c r="BR13" s="404" t="str">
        <f>IF(Q13&lt;&gt;"","MOHCD "&amp;Q13*100&amp;"%",IF(AND(Q13="",S13&lt;&gt;""),CONCATENATE(S13, " ",T13*100,"%"),""))</f>
        <v/>
      </c>
      <c r="BS13" s="5" t="str">
        <f t="array" ref="BS13">IFERROR(INDEX($BR$13:$BR$412, MATCH(0, COUNTIF($BS$12:$BS12, $BR$13:$BR$412), 0)),"")</f>
        <v/>
      </c>
      <c r="BT13" s="404" t="str">
        <f t="shared" ref="BT13:BT44" si="19">IF(X13="","",CONCATENATE("MOHCD ",X13*100,"%"))</f>
        <v/>
      </c>
      <c r="BU13" s="404" t="str">
        <f t="array" ref="BU13">IFERROR(INDEX($BT$13:$BT$412, MATCH(0, COUNTIF($BU$12:$BU12, $BT$13:$BT$412), 0)),"")</f>
        <v/>
      </c>
    </row>
    <row r="14" spans="1:73" s="404" customFormat="1" ht="13.2">
      <c r="A14" s="406">
        <f t="shared" ref="A14:A77" si="20">A13+1</f>
        <v>2</v>
      </c>
      <c r="B14" s="407"/>
      <c r="C14" s="470"/>
      <c r="D14" s="407"/>
      <c r="E14" s="407"/>
      <c r="F14" s="408"/>
      <c r="G14" s="409"/>
      <c r="H14" s="407"/>
      <c r="I14" s="1029" t="str">
        <f>IFERROR(G14/HLOOKUP(H14,RentsUA!$B$8:$J$9,2),"")</f>
        <v/>
      </c>
      <c r="J14" s="407"/>
      <c r="K14" s="412"/>
      <c r="L14" s="672">
        <f t="shared" si="0"/>
        <v>0</v>
      </c>
      <c r="M14" s="671"/>
      <c r="N14" s="410">
        <f t="shared" si="1"/>
        <v>0</v>
      </c>
      <c r="O14" s="469" t="str">
        <f>IF($M14=0,"",IFERROR(($L14+$M14)/(HLOOKUP($D14,RentsUA!$K$12:$Q$35,19,FALSE)),""))</f>
        <v/>
      </c>
      <c r="P14" s="469" t="str">
        <f>IF($M14=0,"",IFERROR(($M14+K14+L14)/(HLOOKUP($D14,RentsUA!$K$12:$Q$35,19,FALSE)),""))</f>
        <v/>
      </c>
      <c r="Q14" s="411"/>
      <c r="R14" s="673" t="str">
        <f>IF($Q14=0,"",VLOOKUP($Q14,RentsUA!$A$12:$H$35,MATCH($D14,RentsUA!$A$12:$H$12,0),FALSE))</f>
        <v/>
      </c>
      <c r="S14" s="409"/>
      <c r="T14" s="674"/>
      <c r="U14" s="672"/>
      <c r="V14" s="673" t="str">
        <f t="shared" ref="V14:V77" si="21">IF(Q14&lt;&gt;"",R14-L14,IF(U14&lt;&gt;0,U14-L14,""))</f>
        <v/>
      </c>
      <c r="W14" s="470"/>
      <c r="X14" s="411"/>
      <c r="Y14" s="410" t="str">
        <f>IF(X14=0,"",VLOOKUP($X14,RentsUA!$A$12:$H$35,MATCH($D14,RentsUA!$A$12:$H$12,0),FALSE))</f>
        <v/>
      </c>
      <c r="Z14" s="410" t="str">
        <f t="shared" si="2"/>
        <v/>
      </c>
      <c r="AA14" s="1297" t="str">
        <f>IF(H14="","",IF(G14/HLOOKUP($H14,RentsUA!$M$8:$T$9,2,FALSE)&gt;1,"&gt; 80%","&lt;= 80%"))</f>
        <v/>
      </c>
      <c r="AB14" s="1106"/>
      <c r="AC14" s="1106"/>
      <c r="AD14" s="622"/>
      <c r="AE14" s="412"/>
      <c r="AF14" s="807" t="str">
        <f>IF(AD14="","",IFERROR(IF(AD14=Lists!$U$3,M14,IF(AD14=Lists!$U$4,V14,IF(AD14=Lists!$U$5,Y14-L14,AE14))),""))</f>
        <v/>
      </c>
      <c r="AG14" s="410" t="str">
        <f t="shared" si="3"/>
        <v/>
      </c>
      <c r="AH14" s="469" t="str">
        <f t="shared" si="4"/>
        <v/>
      </c>
      <c r="AI14" s="469" t="str">
        <f>IF($AF14=0,0,IFERROR(($L14+$AF14)/(HLOOKUP($D14,RentsUA!$K$12:$Q$35,19,FALSE)),""))</f>
        <v/>
      </c>
      <c r="AJ14" s="469" t="str">
        <f>IF($AF14=0,0,IFERROR(($AF14+K14+L14)/(HLOOKUP($D14,RentsUA!$K$12:$Q$35,19,FALSE)),""))</f>
        <v/>
      </c>
      <c r="AK14" s="469" t="str">
        <f t="shared" ref="AK14:AK77" si="22">IFERROR(AG14*12/G14,"")</f>
        <v/>
      </c>
      <c r="AL14" s="469" t="str">
        <f t="shared" ref="AL14:AL77" si="23">IFERROR(AF14*12/$G14,"")</f>
        <v/>
      </c>
      <c r="AM14" s="1106" t="str">
        <f t="shared" ref="AM14:AM77" si="24">AF14</f>
        <v/>
      </c>
      <c r="AN14" s="1106" t="str">
        <f>IFERROR(AM14*(1+'7a.20YrDetails'!$F$9),"")</f>
        <v/>
      </c>
      <c r="AO14" s="1106" t="str">
        <f>IFERROR(AN14*(1+'7a.20YrDetails'!$F$9),"")</f>
        <v/>
      </c>
      <c r="AP14" s="1106" t="str">
        <f>IFERROR(AO14*(1+'7a.20YrDetails'!$F$9),"")</f>
        <v/>
      </c>
      <c r="AQ14" s="1106" t="str">
        <f>IFERROR(AP14*(1+'7a.20YrDetails'!$F$9),"")</f>
        <v/>
      </c>
      <c r="AR14" s="674">
        <v>0.8</v>
      </c>
      <c r="AS14" s="672" t="str">
        <f>IF($D14=0,"",VLOOKUP($AR14,RentsUA!$A$12:$H$35,MATCH($D14,RentsUA!$A$12:$H$12,0),FALSE)-L14)</f>
        <v/>
      </c>
      <c r="AT14" s="1732" t="str">
        <f>IF($AF14=0,0,IFERROR(($AF14+L14)/(HLOOKUP($D14,RentsUA!$B$61:$H$62,2,FALSE)),""))</f>
        <v/>
      </c>
      <c r="AU14" s="1733" t="str">
        <f>IFERROR(G14/HLOOKUP(H14,RentsUA!$B$40:$I$41,2),"")</f>
        <v/>
      </c>
      <c r="AW14" s="333" t="str">
        <f>'3a.NewProj-Rent&amp;UnitMix'!D10</f>
        <v>Studio</v>
      </c>
      <c r="AX14" s="377"/>
      <c r="AY14" s="609">
        <f>'1.GeneralProjectInfo'!$C30</f>
        <v>0</v>
      </c>
      <c r="AZ14" s="1037">
        <f t="shared" ref="AZ14:AZ19" si="25">BA14+BB14</f>
        <v>0</v>
      </c>
      <c r="BA14" s="770">
        <f t="shared" si="5"/>
        <v>0</v>
      </c>
      <c r="BB14" s="1040">
        <f t="shared" si="6"/>
        <v>0</v>
      </c>
      <c r="BC14" s="1162">
        <f t="shared" si="7"/>
        <v>0</v>
      </c>
      <c r="BD14" s="1159" t="str">
        <f t="shared" si="8"/>
        <v/>
      </c>
      <c r="BE14" s="1159" t="str">
        <f t="shared" si="9"/>
        <v/>
      </c>
      <c r="BF14" s="1159" t="str">
        <f t="shared" si="10"/>
        <v/>
      </c>
      <c r="BG14" s="1160" t="str">
        <f t="shared" si="11"/>
        <v/>
      </c>
      <c r="BH14" s="1037">
        <f t="shared" ref="BH14:BH19" si="26">BI14+BJ14</f>
        <v>0</v>
      </c>
      <c r="BI14" s="10">
        <f t="shared" si="12"/>
        <v>0</v>
      </c>
      <c r="BJ14" s="10">
        <f t="shared" si="13"/>
        <v>0</v>
      </c>
      <c r="BK14" s="1163">
        <f t="shared" si="14"/>
        <v>0</v>
      </c>
      <c r="BL14" s="1159" t="str">
        <f t="shared" si="15"/>
        <v/>
      </c>
      <c r="BM14" s="1159" t="str">
        <f t="shared" si="16"/>
        <v/>
      </c>
      <c r="BN14" s="1159" t="str">
        <f t="shared" si="17"/>
        <v/>
      </c>
      <c r="BO14" s="481" t="str">
        <f t="shared" si="18"/>
        <v/>
      </c>
      <c r="BR14" s="404" t="str">
        <f t="shared" ref="BR14:BR77" si="27">IF(Q14&lt;&gt;"","MOHCD "&amp;Q14*100&amp;"%",IF(AND(Q14="",S14&lt;&gt;""),CONCATENATE(S14, " ",T14*100,"%"),""))</f>
        <v/>
      </c>
      <c r="BS14" s="5" t="str">
        <f t="array" ref="BS14">IFERROR(INDEX($BR$13:$BR$412, MATCH(0, COUNTIF($BS$12:$BS13, $BR$13:$BR$412), 0)),"")</f>
        <v/>
      </c>
      <c r="BT14" s="404" t="str">
        <f t="shared" si="19"/>
        <v/>
      </c>
      <c r="BU14" s="404" t="str">
        <f t="array" ref="BU14">IFERROR(INDEX($BT$13:$BT$412, MATCH(0, COUNTIF($BU$12:$BU13, $BT$13:$BT$412), 0)),"")</f>
        <v/>
      </c>
    </row>
    <row r="15" spans="1:73" s="404" customFormat="1" ht="13.2">
      <c r="A15" s="406">
        <f t="shared" si="20"/>
        <v>3</v>
      </c>
      <c r="B15" s="407"/>
      <c r="C15" s="470"/>
      <c r="D15" s="407"/>
      <c r="E15" s="407"/>
      <c r="F15" s="408"/>
      <c r="G15" s="409"/>
      <c r="H15" s="407"/>
      <c r="I15" s="1029" t="str">
        <f>IFERROR(G15/HLOOKUP(H15,RentsUA!$B$8:$J$9,2),"")</f>
        <v/>
      </c>
      <c r="J15" s="407"/>
      <c r="K15" s="412"/>
      <c r="L15" s="672">
        <f t="shared" si="0"/>
        <v>0</v>
      </c>
      <c r="M15" s="671"/>
      <c r="N15" s="410">
        <f t="shared" si="1"/>
        <v>0</v>
      </c>
      <c r="O15" s="469" t="str">
        <f>IF($M15=0,"",IFERROR(($L15+$M15)/(HLOOKUP($D15,RentsUA!$K$12:$Q$35,19,FALSE)),""))</f>
        <v/>
      </c>
      <c r="P15" s="469" t="str">
        <f>IF($M15=0,"",IFERROR(($M15+K15+L15)/(HLOOKUP($D15,RentsUA!$K$12:$Q$35,19,FALSE)),""))</f>
        <v/>
      </c>
      <c r="Q15" s="411"/>
      <c r="R15" s="673" t="str">
        <f>IF($Q15=0,"",VLOOKUP($Q15,RentsUA!$A$12:$H$35,MATCH($D15,RentsUA!$A$12:$H$12,0),FALSE))</f>
        <v/>
      </c>
      <c r="S15" s="409"/>
      <c r="T15" s="674"/>
      <c r="U15" s="672"/>
      <c r="V15" s="673" t="str">
        <f t="shared" si="21"/>
        <v/>
      </c>
      <c r="W15" s="470"/>
      <c r="X15" s="411"/>
      <c r="Y15" s="410" t="str">
        <f>IF(X15=0,"",VLOOKUP($X15,RentsUA!$A$12:$H$35,MATCH($D15,RentsUA!$A$12:$H$12,0),FALSE))</f>
        <v/>
      </c>
      <c r="Z15" s="410" t="str">
        <f t="shared" si="2"/>
        <v/>
      </c>
      <c r="AA15" s="1297" t="str">
        <f>IF(H15="","",IF(G15/HLOOKUP($H15,RentsUA!$M$8:$T$9,2,FALSE)&gt;1,"&gt; 80%","&lt;= 80%"))</f>
        <v/>
      </c>
      <c r="AB15" s="1106"/>
      <c r="AC15" s="1106"/>
      <c r="AD15" s="622"/>
      <c r="AE15" s="412"/>
      <c r="AF15" s="807" t="str">
        <f>IF(AD15="","",IFERROR(IF(AD15=Lists!$U$3,M15,IF(AD15=Lists!$U$4,V15,IF(AD15=Lists!$U$5,Y15-L15,AE15))),""))</f>
        <v/>
      </c>
      <c r="AG15" s="410" t="str">
        <f t="shared" si="3"/>
        <v/>
      </c>
      <c r="AH15" s="469" t="str">
        <f t="shared" si="4"/>
        <v/>
      </c>
      <c r="AI15" s="469" t="str">
        <f>IF($AF15=0,0,IFERROR(($L15+$AF15)/(HLOOKUP($D15,RentsUA!$K$12:$Q$35,19,FALSE)),""))</f>
        <v/>
      </c>
      <c r="AJ15" s="469" t="str">
        <f>IF($AF15=0,0,IFERROR(($AF15+K15+L15)/(HLOOKUP($D15,RentsUA!$K$12:$Q$35,19,FALSE)),""))</f>
        <v/>
      </c>
      <c r="AK15" s="469" t="str">
        <f t="shared" si="22"/>
        <v/>
      </c>
      <c r="AL15" s="469" t="str">
        <f t="shared" si="23"/>
        <v/>
      </c>
      <c r="AM15" s="1106" t="str">
        <f t="shared" si="24"/>
        <v/>
      </c>
      <c r="AN15" s="1106" t="str">
        <f>IFERROR(AM15*(1+'7a.20YrDetails'!$F$9),"")</f>
        <v/>
      </c>
      <c r="AO15" s="1106" t="str">
        <f>IFERROR(AN15*(1+'7a.20YrDetails'!$F$9),"")</f>
        <v/>
      </c>
      <c r="AP15" s="1106" t="str">
        <f>IFERROR(AO15*(1+'7a.20YrDetails'!$F$9),"")</f>
        <v/>
      </c>
      <c r="AQ15" s="1106" t="str">
        <f>IFERROR(AP15*(1+'7a.20YrDetails'!$F$9),"")</f>
        <v/>
      </c>
      <c r="AR15" s="674">
        <v>0.8</v>
      </c>
      <c r="AS15" s="672" t="str">
        <f>IF($D15=0,"",VLOOKUP($AR15,RentsUA!$A$12:$H$35,MATCH($D15,RentsUA!$A$12:$H$12,0),FALSE)-L15)</f>
        <v/>
      </c>
      <c r="AT15" s="1732" t="str">
        <f>IF($AF15=0,0,IFERROR(($AF15+L15)/(HLOOKUP($D15,RentsUA!$B$61:$H$62,2,FALSE)),""))</f>
        <v/>
      </c>
      <c r="AU15" s="1733" t="str">
        <f>IFERROR(G15/HLOOKUP(H15,RentsUA!$B$40:$I$41,2),"")</f>
        <v/>
      </c>
      <c r="AW15" s="333" t="str">
        <f>'3a.NewProj-Rent&amp;UnitMix'!D11</f>
        <v>1BR</v>
      </c>
      <c r="AX15" s="377"/>
      <c r="AY15" s="609">
        <f>'1.GeneralProjectInfo'!$C31</f>
        <v>0</v>
      </c>
      <c r="AZ15" s="1037">
        <f t="shared" si="25"/>
        <v>0</v>
      </c>
      <c r="BA15" s="770">
        <f t="shared" si="5"/>
        <v>0</v>
      </c>
      <c r="BB15" s="1040">
        <f t="shared" si="6"/>
        <v>0</v>
      </c>
      <c r="BC15" s="1162">
        <f t="shared" si="7"/>
        <v>0</v>
      </c>
      <c r="BD15" s="1159" t="str">
        <f t="shared" si="8"/>
        <v/>
      </c>
      <c r="BE15" s="1159" t="str">
        <f t="shared" si="9"/>
        <v/>
      </c>
      <c r="BF15" s="1159" t="str">
        <f t="shared" si="10"/>
        <v/>
      </c>
      <c r="BG15" s="1160" t="str">
        <f t="shared" si="11"/>
        <v/>
      </c>
      <c r="BH15" s="1037">
        <f t="shared" si="26"/>
        <v>0</v>
      </c>
      <c r="BI15" s="10">
        <f t="shared" si="12"/>
        <v>0</v>
      </c>
      <c r="BJ15" s="10">
        <f t="shared" si="13"/>
        <v>0</v>
      </c>
      <c r="BK15" s="1163">
        <f t="shared" si="14"/>
        <v>0</v>
      </c>
      <c r="BL15" s="1159" t="str">
        <f t="shared" si="15"/>
        <v/>
      </c>
      <c r="BM15" s="1159" t="str">
        <f t="shared" si="16"/>
        <v/>
      </c>
      <c r="BN15" s="1159" t="str">
        <f t="shared" si="17"/>
        <v/>
      </c>
      <c r="BO15" s="481" t="str">
        <f t="shared" si="18"/>
        <v/>
      </c>
      <c r="BR15" s="404" t="str">
        <f t="shared" si="27"/>
        <v/>
      </c>
      <c r="BS15" s="5" t="str">
        <f t="array" ref="BS15">IFERROR(INDEX($BR$13:$BR$412, MATCH(0, COUNTIF($BS$12:$BS14, $BR$13:$BR$412), 0)),"")</f>
        <v/>
      </c>
      <c r="BT15" s="404" t="str">
        <f t="shared" si="19"/>
        <v/>
      </c>
      <c r="BU15" s="404" t="str">
        <f t="array" ref="BU15">IFERROR(INDEX($BT$13:$BT$412, MATCH(0, COUNTIF($BU$12:$BU14, $BT$13:$BT$412), 0)),"")</f>
        <v/>
      </c>
    </row>
    <row r="16" spans="1:73" s="404" customFormat="1" ht="13.2">
      <c r="A16" s="406">
        <f t="shared" si="20"/>
        <v>4</v>
      </c>
      <c r="B16" s="407"/>
      <c r="C16" s="470"/>
      <c r="D16" s="1295"/>
      <c r="E16" s="407"/>
      <c r="F16" s="408"/>
      <c r="G16" s="409"/>
      <c r="H16" s="407"/>
      <c r="I16" s="1029" t="str">
        <f>IFERROR(G16/HLOOKUP(H16,RentsUA!$B$8:$J$9,2),"")</f>
        <v/>
      </c>
      <c r="J16" s="407"/>
      <c r="K16" s="412"/>
      <c r="L16" s="672">
        <f t="shared" si="0"/>
        <v>0</v>
      </c>
      <c r="M16" s="671"/>
      <c r="N16" s="410">
        <f t="shared" si="1"/>
        <v>0</v>
      </c>
      <c r="O16" s="469" t="str">
        <f>IF($M16=0,"",IFERROR(($L16+$M16)/(HLOOKUP($D16,RentsUA!$K$12:$Q$35,19,FALSE)),""))</f>
        <v/>
      </c>
      <c r="P16" s="469" t="str">
        <f>IF($M16=0,"",IFERROR(($M16+K16+L16)/(HLOOKUP($D16,RentsUA!$K$12:$Q$35,19,FALSE)),""))</f>
        <v/>
      </c>
      <c r="Q16" s="411"/>
      <c r="R16" s="673" t="str">
        <f>IF($Q16=0,"",VLOOKUP($Q16,RentsUA!$A$12:$H$35,MATCH($D16,RentsUA!$A$12:$H$12,0),FALSE))</f>
        <v/>
      </c>
      <c r="S16" s="409"/>
      <c r="T16" s="674"/>
      <c r="U16" s="672"/>
      <c r="V16" s="673" t="str">
        <f t="shared" si="21"/>
        <v/>
      </c>
      <c r="W16" s="470"/>
      <c r="X16" s="411"/>
      <c r="Y16" s="410" t="str">
        <f>IF(X16=0,"",VLOOKUP($X16,RentsUA!$A$12:$H$35,MATCH($D16,RentsUA!$A$12:$H$12,0),FALSE))</f>
        <v/>
      </c>
      <c r="Z16" s="410" t="str">
        <f t="shared" si="2"/>
        <v/>
      </c>
      <c r="AA16" s="1297" t="str">
        <f>IF(H16="","",IF(G16/HLOOKUP($H16,RentsUA!$M$8:$T$9,2,FALSE)&gt;1,"&gt; 80%","&lt;= 80%"))</f>
        <v/>
      </c>
      <c r="AB16" s="1106"/>
      <c r="AC16" s="1106"/>
      <c r="AD16" s="622"/>
      <c r="AE16" s="412"/>
      <c r="AF16" s="807" t="str">
        <f>IF(AD16="","",IF(AD16=Lists!$U$3,M16,IF(AD16=Lists!$U$4,V16,IF(AD16=Lists!$U$5,Y16-L16,AE16))))</f>
        <v/>
      </c>
      <c r="AG16" s="410" t="str">
        <f t="shared" si="3"/>
        <v/>
      </c>
      <c r="AH16" s="469" t="str">
        <f t="shared" si="4"/>
        <v/>
      </c>
      <c r="AI16" s="469" t="str">
        <f>IF($AF16=0,0,IFERROR(($L16+$AF16)/(HLOOKUP($D16,RentsUA!$K$12:$Q$35,19,FALSE)),""))</f>
        <v/>
      </c>
      <c r="AJ16" s="469" t="str">
        <f>IF($AF16=0,0,IFERROR(($AF16+K16+L16)/(HLOOKUP($D16,RentsUA!$K$12:$Q$35,19,FALSE)),""))</f>
        <v/>
      </c>
      <c r="AK16" s="469" t="str">
        <f t="shared" si="22"/>
        <v/>
      </c>
      <c r="AL16" s="469" t="str">
        <f t="shared" si="23"/>
        <v/>
      </c>
      <c r="AM16" s="1106" t="str">
        <f t="shared" si="24"/>
        <v/>
      </c>
      <c r="AN16" s="1106" t="str">
        <f>IFERROR(AM16*(1+'7a.20YrDetails'!$F$9),"")</f>
        <v/>
      </c>
      <c r="AO16" s="1106" t="str">
        <f>IFERROR(AN16*(1+'7a.20YrDetails'!$F$9),"")</f>
        <v/>
      </c>
      <c r="AP16" s="1106" t="str">
        <f>IFERROR(AO16*(1+'7a.20YrDetails'!$F$9),"")</f>
        <v/>
      </c>
      <c r="AQ16" s="1106" t="str">
        <f>IFERROR(AP16*(1+'7a.20YrDetails'!$F$9),"")</f>
        <v/>
      </c>
      <c r="AR16" s="674">
        <v>0.8</v>
      </c>
      <c r="AS16" s="672" t="str">
        <f>IF($D16=0,"",VLOOKUP($AR16,RentsUA!$A$12:$H$35,MATCH($D16,RentsUA!$A$12:$H$12,0),FALSE)-L16)</f>
        <v/>
      </c>
      <c r="AT16" s="1732" t="str">
        <f>IF($AF16=0,0,IFERROR(($AF16+L16)/(HLOOKUP($D16,RentsUA!$B$61:$H$62,2,FALSE)),""))</f>
        <v/>
      </c>
      <c r="AU16" s="1733" t="str">
        <f>IFERROR(G16/HLOOKUP(H16,RentsUA!$B$40:$I$41,2),"")</f>
        <v/>
      </c>
      <c r="AW16" s="333" t="str">
        <f>'3a.NewProj-Rent&amp;UnitMix'!D12</f>
        <v>2BR</v>
      </c>
      <c r="AX16" s="377"/>
      <c r="AY16" s="609">
        <f>'1.GeneralProjectInfo'!$C32</f>
        <v>0</v>
      </c>
      <c r="AZ16" s="1037">
        <f t="shared" si="25"/>
        <v>0</v>
      </c>
      <c r="BA16" s="770">
        <f t="shared" si="5"/>
        <v>0</v>
      </c>
      <c r="BB16" s="1040">
        <f t="shared" si="6"/>
        <v>0</v>
      </c>
      <c r="BC16" s="1162">
        <f t="shared" si="7"/>
        <v>0</v>
      </c>
      <c r="BD16" s="1159" t="str">
        <f t="shared" si="8"/>
        <v/>
      </c>
      <c r="BE16" s="1159" t="str">
        <f t="shared" si="9"/>
        <v/>
      </c>
      <c r="BF16" s="1159" t="str">
        <f t="shared" si="10"/>
        <v/>
      </c>
      <c r="BG16" s="1160" t="str">
        <f t="shared" si="11"/>
        <v/>
      </c>
      <c r="BH16" s="1037">
        <f t="shared" si="26"/>
        <v>0</v>
      </c>
      <c r="BI16" s="10">
        <f t="shared" si="12"/>
        <v>0</v>
      </c>
      <c r="BJ16" s="10">
        <f t="shared" si="13"/>
        <v>0</v>
      </c>
      <c r="BK16" s="1163">
        <f t="shared" si="14"/>
        <v>0</v>
      </c>
      <c r="BL16" s="1159" t="str">
        <f t="shared" si="15"/>
        <v/>
      </c>
      <c r="BM16" s="1159" t="str">
        <f t="shared" si="16"/>
        <v/>
      </c>
      <c r="BN16" s="1159" t="str">
        <f t="shared" si="17"/>
        <v/>
      </c>
      <c r="BO16" s="481" t="str">
        <f t="shared" si="18"/>
        <v/>
      </c>
      <c r="BR16" s="404" t="str">
        <f t="shared" si="27"/>
        <v/>
      </c>
      <c r="BS16" s="5" t="str">
        <f t="array" ref="BS16">IFERROR(INDEX($BR$13:$BR$412, MATCH(0, COUNTIF($BS$12:$BS15, $BR$13:$BR$412), 0)),"")</f>
        <v/>
      </c>
      <c r="BT16" s="404" t="str">
        <f t="shared" si="19"/>
        <v/>
      </c>
      <c r="BU16" s="404" t="str">
        <f t="array" ref="BU16">IFERROR(INDEX($BT$13:$BT$412, MATCH(0, COUNTIF($BU$12:$BU15, $BT$13:$BT$412), 0)),"")</f>
        <v/>
      </c>
    </row>
    <row r="17" spans="1:73" s="404" customFormat="1" ht="13.2">
      <c r="A17" s="406">
        <f t="shared" si="20"/>
        <v>5</v>
      </c>
      <c r="B17" s="407"/>
      <c r="C17" s="470"/>
      <c r="D17" s="407"/>
      <c r="E17" s="407"/>
      <c r="F17" s="1296"/>
      <c r="G17" s="409"/>
      <c r="H17" s="407"/>
      <c r="I17" s="1029" t="str">
        <f>IFERROR(G17/HLOOKUP(H17,RentsUA!$B$8:$J$9,2),"")</f>
        <v/>
      </c>
      <c r="J17" s="407"/>
      <c r="K17" s="412"/>
      <c r="L17" s="672">
        <f t="shared" si="0"/>
        <v>0</v>
      </c>
      <c r="M17" s="671"/>
      <c r="N17" s="410">
        <f t="shared" si="1"/>
        <v>0</v>
      </c>
      <c r="O17" s="469" t="str">
        <f>IF($M17=0,"",IFERROR(($L17+$M17)/(HLOOKUP($D17,RentsUA!$K$12:$Q$35,19,FALSE)),""))</f>
        <v/>
      </c>
      <c r="P17" s="469" t="str">
        <f>IF($M17=0,"",IFERROR(($M17+K17+L17)/(HLOOKUP($D17,RentsUA!$K$12:$Q$35,19,FALSE)),""))</f>
        <v/>
      </c>
      <c r="Q17" s="411"/>
      <c r="R17" s="673" t="str">
        <f>IF($Q17=0,"",VLOOKUP($Q17,RentsUA!$A$12:$H$35,MATCH($D17,RentsUA!$A$12:$H$12,0),FALSE))</f>
        <v/>
      </c>
      <c r="S17" s="409"/>
      <c r="T17" s="674"/>
      <c r="U17" s="672"/>
      <c r="V17" s="673" t="str">
        <f t="shared" si="21"/>
        <v/>
      </c>
      <c r="W17" s="470"/>
      <c r="X17" s="411"/>
      <c r="Y17" s="410" t="str">
        <f>IF(X17=0,"",VLOOKUP($X17,RentsUA!$A$12:$H$35,MATCH($D17,RentsUA!$A$12:$H$12,0),FALSE))</f>
        <v/>
      </c>
      <c r="Z17" s="410" t="str">
        <f t="shared" si="2"/>
        <v/>
      </c>
      <c r="AA17" s="1297" t="str">
        <f>IF(H17="","",IF(G17/HLOOKUP($H17,RentsUA!$M$8:$T$9,2,FALSE)&gt;1,"&gt; 80%","&lt;= 80%"))</f>
        <v/>
      </c>
      <c r="AB17" s="1106"/>
      <c r="AC17" s="1106"/>
      <c r="AD17" s="622"/>
      <c r="AE17" s="412"/>
      <c r="AF17" s="807" t="str">
        <f>IF(AD17="","",IF(AD17=Lists!$U$3,M17,IF(AD17=Lists!$U$4,V17,IF(AD17=Lists!$U$5,Y17-L17,AE17))))</f>
        <v/>
      </c>
      <c r="AG17" s="410" t="str">
        <f t="shared" si="3"/>
        <v/>
      </c>
      <c r="AH17" s="469" t="str">
        <f t="shared" si="4"/>
        <v/>
      </c>
      <c r="AI17" s="469" t="str">
        <f>IF($AF17=0,0,IFERROR(($L17+$AF17)/(HLOOKUP($D17,RentsUA!$K$12:$Q$35,19,FALSE)),""))</f>
        <v/>
      </c>
      <c r="AJ17" s="469" t="str">
        <f>IF($AF17=0,0,IFERROR(($AF17+K17+L17)/(HLOOKUP($D17,RentsUA!$K$12:$Q$35,19,FALSE)),""))</f>
        <v/>
      </c>
      <c r="AK17" s="469" t="str">
        <f t="shared" si="22"/>
        <v/>
      </c>
      <c r="AL17" s="469" t="str">
        <f t="shared" si="23"/>
        <v/>
      </c>
      <c r="AM17" s="1106" t="str">
        <f t="shared" si="24"/>
        <v/>
      </c>
      <c r="AN17" s="1106" t="str">
        <f>IFERROR(AM17*(1+'7a.20YrDetails'!$F$9),"")</f>
        <v/>
      </c>
      <c r="AO17" s="1106" t="str">
        <f>IFERROR(AN17*(1+'7a.20YrDetails'!$F$9),"")</f>
        <v/>
      </c>
      <c r="AP17" s="1106" t="str">
        <f>IFERROR(AO17*(1+'7a.20YrDetails'!$F$9),"")</f>
        <v/>
      </c>
      <c r="AQ17" s="1106" t="str">
        <f>IFERROR(AP17*(1+'7a.20YrDetails'!$F$9),"")</f>
        <v/>
      </c>
      <c r="AR17" s="674">
        <v>0.8</v>
      </c>
      <c r="AS17" s="672" t="str">
        <f>IF($D17=0,"",VLOOKUP($AR17,RentsUA!$A$12:$H$35,MATCH($D17,RentsUA!$A$12:$H$12,0),FALSE)-L17)</f>
        <v/>
      </c>
      <c r="AT17" s="1732" t="str">
        <f>IF($AF17=0,0,IFERROR(($AF17+L17)/(HLOOKUP($D17,RentsUA!$B$61:$H$62,2,FALSE)),""))</f>
        <v/>
      </c>
      <c r="AU17" s="1733" t="str">
        <f>IFERROR(G17/HLOOKUP(H17,RentsUA!$B$40:$I$41,2),"")</f>
        <v/>
      </c>
      <c r="AW17" s="333" t="str">
        <f>'3a.NewProj-Rent&amp;UnitMix'!D13</f>
        <v>3BR</v>
      </c>
      <c r="AX17" s="377"/>
      <c r="AY17" s="609">
        <f>'1.GeneralProjectInfo'!$C33</f>
        <v>0</v>
      </c>
      <c r="AZ17" s="1037">
        <f t="shared" si="25"/>
        <v>0</v>
      </c>
      <c r="BA17" s="770">
        <f t="shared" si="5"/>
        <v>0</v>
      </c>
      <c r="BB17" s="1040">
        <f t="shared" si="6"/>
        <v>0</v>
      </c>
      <c r="BC17" s="1162">
        <f t="shared" si="7"/>
        <v>0</v>
      </c>
      <c r="BD17" s="1159" t="str">
        <f t="shared" si="8"/>
        <v/>
      </c>
      <c r="BE17" s="1159" t="str">
        <f t="shared" si="9"/>
        <v/>
      </c>
      <c r="BF17" s="1159" t="str">
        <f t="shared" si="10"/>
        <v/>
      </c>
      <c r="BG17" s="1160" t="str">
        <f t="shared" si="11"/>
        <v/>
      </c>
      <c r="BH17" s="1037">
        <f t="shared" si="26"/>
        <v>0</v>
      </c>
      <c r="BI17" s="10">
        <f t="shared" si="12"/>
        <v>0</v>
      </c>
      <c r="BJ17" s="10">
        <f t="shared" si="13"/>
        <v>0</v>
      </c>
      <c r="BK17" s="1163">
        <f t="shared" si="14"/>
        <v>0</v>
      </c>
      <c r="BL17" s="1159" t="str">
        <f t="shared" si="15"/>
        <v/>
      </c>
      <c r="BM17" s="1159" t="str">
        <f t="shared" si="16"/>
        <v/>
      </c>
      <c r="BN17" s="1159" t="str">
        <f t="shared" si="17"/>
        <v/>
      </c>
      <c r="BO17" s="481" t="str">
        <f t="shared" si="18"/>
        <v/>
      </c>
      <c r="BR17" s="404" t="str">
        <f t="shared" si="27"/>
        <v/>
      </c>
      <c r="BS17" s="5" t="str">
        <f t="array" ref="BS17">IFERROR(INDEX($BR$13:$BR$412, MATCH(0, COUNTIF($BS$12:$BS16, $BR$13:$BR$412), 0)),"")</f>
        <v/>
      </c>
      <c r="BT17" s="404" t="str">
        <f t="shared" si="19"/>
        <v/>
      </c>
      <c r="BU17" s="404" t="str">
        <f t="array" ref="BU17">IFERROR(INDEX($BT$13:$BT$412, MATCH(0, COUNTIF($BU$12:$BU16, $BT$13:$BT$412), 0)),"")</f>
        <v/>
      </c>
    </row>
    <row r="18" spans="1:73" s="404" customFormat="1" ht="13.2">
      <c r="A18" s="406">
        <f t="shared" si="20"/>
        <v>6</v>
      </c>
      <c r="B18" s="407"/>
      <c r="C18" s="470"/>
      <c r="D18" s="407"/>
      <c r="E18" s="407"/>
      <c r="F18" s="408"/>
      <c r="G18" s="409"/>
      <c r="H18" s="407"/>
      <c r="I18" s="1029" t="str">
        <f>IFERROR(G18/HLOOKUP(H18,RentsUA!$B$8:$J$9,2),"")</f>
        <v/>
      </c>
      <c r="J18" s="407"/>
      <c r="K18" s="412"/>
      <c r="L18" s="672">
        <f t="shared" si="0"/>
        <v>0</v>
      </c>
      <c r="M18" s="671"/>
      <c r="N18" s="410">
        <f t="shared" si="1"/>
        <v>0</v>
      </c>
      <c r="O18" s="469" t="str">
        <f>IF($M18=0,"",IFERROR(($L18+$M18)/(HLOOKUP($D18,RentsUA!$K$12:$Q$35,19,FALSE)),""))</f>
        <v/>
      </c>
      <c r="P18" s="469" t="str">
        <f>IF($M18=0,"",IFERROR(($M18+K18+L18)/(HLOOKUP($D18,RentsUA!$K$12:$Q$35,19,FALSE)),""))</f>
        <v/>
      </c>
      <c r="Q18" s="411"/>
      <c r="R18" s="673" t="str">
        <f>IF($Q18=0,"",VLOOKUP($Q18,RentsUA!$A$12:$H$35,MATCH($D18,RentsUA!$A$12:$H$12,0),FALSE))</f>
        <v/>
      </c>
      <c r="S18" s="409"/>
      <c r="T18" s="674"/>
      <c r="U18" s="672"/>
      <c r="V18" s="673" t="str">
        <f t="shared" si="21"/>
        <v/>
      </c>
      <c r="W18" s="470"/>
      <c r="X18" s="411"/>
      <c r="Y18" s="410" t="str">
        <f>IF(X18=0,"",VLOOKUP($X18,RentsUA!$A$12:$H$35,MATCH($D18,RentsUA!$A$12:$H$12,0),FALSE))</f>
        <v/>
      </c>
      <c r="Z18" s="410" t="str">
        <f t="shared" si="2"/>
        <v/>
      </c>
      <c r="AA18" s="1297" t="str">
        <f>IF(H18="","",IF(G18/HLOOKUP($H18,RentsUA!$M$8:$T$9,2,FALSE)&gt;1,"&gt; 80%","&lt;= 80%"))</f>
        <v/>
      </c>
      <c r="AB18" s="1106"/>
      <c r="AC18" s="1106"/>
      <c r="AD18" s="622"/>
      <c r="AE18" s="412"/>
      <c r="AF18" s="807" t="str">
        <f>IF(AD18="","",IF(AD18=Lists!$U$3,M18,IF(AD18=Lists!$U$4,V18,IF(AD18=Lists!$U$5,Y18-L18,AE18))))</f>
        <v/>
      </c>
      <c r="AG18" s="410" t="str">
        <f t="shared" si="3"/>
        <v/>
      </c>
      <c r="AH18" s="469" t="str">
        <f t="shared" si="4"/>
        <v/>
      </c>
      <c r="AI18" s="469" t="str">
        <f>IF($AF18=0,0,IFERROR(($L18+$AF18)/(HLOOKUP($D18,RentsUA!$K$12:$Q$35,19,FALSE)),""))</f>
        <v/>
      </c>
      <c r="AJ18" s="469" t="str">
        <f>IF($AF18=0,0,IFERROR(($AF18+K18+L18)/(HLOOKUP($D18,RentsUA!$K$12:$Q$35,19,FALSE)),""))</f>
        <v/>
      </c>
      <c r="AK18" s="469" t="str">
        <f t="shared" si="22"/>
        <v/>
      </c>
      <c r="AL18" s="469" t="str">
        <f t="shared" si="23"/>
        <v/>
      </c>
      <c r="AM18" s="1106" t="str">
        <f t="shared" si="24"/>
        <v/>
      </c>
      <c r="AN18" s="1106" t="str">
        <f>IFERROR(AM18*(1+'7a.20YrDetails'!$F$9),"")</f>
        <v/>
      </c>
      <c r="AO18" s="1106" t="str">
        <f>IFERROR(AN18*(1+'7a.20YrDetails'!$F$9),"")</f>
        <v/>
      </c>
      <c r="AP18" s="1106" t="str">
        <f>IFERROR(AO18*(1+'7a.20YrDetails'!$F$9),"")</f>
        <v/>
      </c>
      <c r="AQ18" s="1106" t="str">
        <f>IFERROR(AP18*(1+'7a.20YrDetails'!$F$9),"")</f>
        <v/>
      </c>
      <c r="AR18" s="674">
        <v>0.8</v>
      </c>
      <c r="AS18" s="672" t="str">
        <f>IF($D18=0,"",VLOOKUP($AR18,RentsUA!$A$12:$H$35,MATCH($D18,RentsUA!$A$12:$H$12,0),FALSE)-L18)</f>
        <v/>
      </c>
      <c r="AT18" s="1732" t="str">
        <f>IF($AF18=0,0,IFERROR(($AF18+L18)/(HLOOKUP($D18,RentsUA!$B$61:$H$62,2,FALSE)),""))</f>
        <v/>
      </c>
      <c r="AU18" s="1733" t="str">
        <f>IFERROR(G18/HLOOKUP(H18,RentsUA!$B$40:$I$41,2),"")</f>
        <v/>
      </c>
      <c r="AW18" s="333" t="str">
        <f>'3a.NewProj-Rent&amp;UnitMix'!D14</f>
        <v>4BR</v>
      </c>
      <c r="AX18" s="377"/>
      <c r="AY18" s="609">
        <f>'1.GeneralProjectInfo'!$C34</f>
        <v>0</v>
      </c>
      <c r="AZ18" s="1037">
        <f t="shared" si="25"/>
        <v>0</v>
      </c>
      <c r="BA18" s="770">
        <f t="shared" si="5"/>
        <v>0</v>
      </c>
      <c r="BB18" s="1040">
        <f t="shared" si="6"/>
        <v>0</v>
      </c>
      <c r="BC18" s="1162">
        <f t="shared" si="7"/>
        <v>0</v>
      </c>
      <c r="BD18" s="1159" t="str">
        <f t="shared" si="8"/>
        <v/>
      </c>
      <c r="BE18" s="1159" t="str">
        <f t="shared" si="9"/>
        <v/>
      </c>
      <c r="BF18" s="1159" t="str">
        <f t="shared" si="10"/>
        <v/>
      </c>
      <c r="BG18" s="1160" t="str">
        <f t="shared" si="11"/>
        <v/>
      </c>
      <c r="BH18" s="1037">
        <f t="shared" si="26"/>
        <v>0</v>
      </c>
      <c r="BI18" s="10">
        <f t="shared" si="12"/>
        <v>0</v>
      </c>
      <c r="BJ18" s="10">
        <f t="shared" si="13"/>
        <v>0</v>
      </c>
      <c r="BK18" s="1163">
        <f t="shared" si="14"/>
        <v>0</v>
      </c>
      <c r="BL18" s="1159" t="str">
        <f t="shared" si="15"/>
        <v/>
      </c>
      <c r="BM18" s="1159" t="str">
        <f t="shared" si="16"/>
        <v/>
      </c>
      <c r="BN18" s="1159" t="str">
        <f t="shared" si="17"/>
        <v/>
      </c>
      <c r="BO18" s="481" t="str">
        <f t="shared" si="18"/>
        <v/>
      </c>
      <c r="BR18" s="404" t="str">
        <f t="shared" si="27"/>
        <v/>
      </c>
      <c r="BS18" s="5" t="str">
        <f t="array" ref="BS18">IFERROR(INDEX($BR$13:$BR$412, MATCH(0, COUNTIF($BS$12:$BS17, $BR$13:$BR$412), 0)),"")</f>
        <v/>
      </c>
      <c r="BT18" s="404" t="str">
        <f t="shared" si="19"/>
        <v/>
      </c>
      <c r="BU18" s="404" t="str">
        <f t="array" ref="BU18">IFERROR(INDEX($BT$13:$BT$412, MATCH(0, COUNTIF($BU$12:$BU17, $BT$13:$BT$412), 0)),"")</f>
        <v/>
      </c>
    </row>
    <row r="19" spans="1:73" s="404" customFormat="1" thickBot="1">
      <c r="A19" s="406">
        <f t="shared" si="20"/>
        <v>7</v>
      </c>
      <c r="B19" s="407"/>
      <c r="C19" s="470"/>
      <c r="D19" s="407"/>
      <c r="E19" s="407"/>
      <c r="F19" s="1296"/>
      <c r="G19" s="409"/>
      <c r="H19" s="407"/>
      <c r="I19" s="1029" t="str">
        <f>IFERROR(G19/HLOOKUP(H19,RentsUA!$B$8:$J$9,2),"")</f>
        <v/>
      </c>
      <c r="J19" s="407"/>
      <c r="K19" s="412"/>
      <c r="L19" s="672">
        <f t="shared" si="0"/>
        <v>0</v>
      </c>
      <c r="M19" s="671"/>
      <c r="N19" s="410">
        <f t="shared" si="1"/>
        <v>0</v>
      </c>
      <c r="O19" s="469" t="str">
        <f>IF($M19=0,"",IFERROR(($L19+$M19)/(HLOOKUP($D19,RentsUA!$K$12:$Q$35,19,FALSE)),""))</f>
        <v/>
      </c>
      <c r="P19" s="469" t="str">
        <f>IF($M19=0,"",IFERROR(($M19+K19+L19)/(HLOOKUP($D19,RentsUA!$K$12:$Q$35,19,FALSE)),""))</f>
        <v/>
      </c>
      <c r="Q19" s="411"/>
      <c r="R19" s="673" t="str">
        <f>IF($Q19=0,"",VLOOKUP($Q19,RentsUA!$A$12:$H$35,MATCH($D19,RentsUA!$A$12:$H$12,0),FALSE))</f>
        <v/>
      </c>
      <c r="S19" s="409"/>
      <c r="T19" s="674"/>
      <c r="U19" s="672"/>
      <c r="V19" s="673" t="str">
        <f t="shared" si="21"/>
        <v/>
      </c>
      <c r="W19" s="470"/>
      <c r="X19" s="411"/>
      <c r="Y19" s="410" t="str">
        <f>IF(X19=0,"",VLOOKUP($X19,RentsUA!$A$12:$H$35,MATCH($D19,RentsUA!$A$12:$H$12,0),FALSE))</f>
        <v/>
      </c>
      <c r="Z19" s="410" t="str">
        <f t="shared" si="2"/>
        <v/>
      </c>
      <c r="AA19" s="1297" t="str">
        <f>IF(H19="","",IF(G19/HLOOKUP($H19,RentsUA!$M$8:$T$9,2,FALSE)&gt;1,"&gt; 80%","&lt;= 80%"))</f>
        <v/>
      </c>
      <c r="AB19" s="1106"/>
      <c r="AC19" s="1106"/>
      <c r="AD19" s="622"/>
      <c r="AE19" s="412"/>
      <c r="AF19" s="807" t="str">
        <f>IF(AD19="","",IF(AD19=Lists!$U$3,M19,IF(AD19=Lists!$U$4,V19,IF(AD19=Lists!$U$5,Y19-L19,AE19))))</f>
        <v/>
      </c>
      <c r="AG19" s="410" t="str">
        <f t="shared" si="3"/>
        <v/>
      </c>
      <c r="AH19" s="469" t="str">
        <f t="shared" si="4"/>
        <v/>
      </c>
      <c r="AI19" s="469" t="str">
        <f>IF($AF19=0,0,IFERROR(($L19+$AF19)/(HLOOKUP($D19,RentsUA!$K$12:$Q$35,19,FALSE)),""))</f>
        <v/>
      </c>
      <c r="AJ19" s="469" t="str">
        <f>IF($AF19=0,0,IFERROR(($AF19+K19+L19)/(HLOOKUP($D19,RentsUA!$K$12:$Q$35,19,FALSE)),""))</f>
        <v/>
      </c>
      <c r="AK19" s="469" t="str">
        <f t="shared" si="22"/>
        <v/>
      </c>
      <c r="AL19" s="469" t="str">
        <f t="shared" si="23"/>
        <v/>
      </c>
      <c r="AM19" s="1106" t="str">
        <f t="shared" si="24"/>
        <v/>
      </c>
      <c r="AN19" s="1106" t="str">
        <f>IFERROR(AM19*(1+'7a.20YrDetails'!$F$9),"")</f>
        <v/>
      </c>
      <c r="AO19" s="1106" t="str">
        <f>IFERROR(AN19*(1+'7a.20YrDetails'!$F$9),"")</f>
        <v/>
      </c>
      <c r="AP19" s="1106" t="str">
        <f>IFERROR(AO19*(1+'7a.20YrDetails'!$F$9),"")</f>
        <v/>
      </c>
      <c r="AQ19" s="1106" t="str">
        <f>IFERROR(AP19*(1+'7a.20YrDetails'!$F$9),"")</f>
        <v/>
      </c>
      <c r="AR19" s="674">
        <v>0.8</v>
      </c>
      <c r="AS19" s="672" t="str">
        <f>IF($D19=0,"",VLOOKUP($AR19,RentsUA!$A$12:$H$35,MATCH($D19,RentsUA!$A$12:$H$12,0),FALSE)-L19)</f>
        <v/>
      </c>
      <c r="AT19" s="1732" t="str">
        <f>IF($AF19=0,0,IFERROR(($AF19+L19)/(HLOOKUP($D19,RentsUA!$B$61:$H$62,2,FALSE)),""))</f>
        <v/>
      </c>
      <c r="AU19" s="1733" t="str">
        <f>IFERROR(G19/HLOOKUP(H19,RentsUA!$B$40:$I$41,2),"")</f>
        <v/>
      </c>
      <c r="AW19" s="482" t="str">
        <f>'3a.NewProj-Rent&amp;UnitMix'!D15</f>
        <v>5BR</v>
      </c>
      <c r="AX19" s="378"/>
      <c r="AY19" s="610">
        <f>'1.GeneralProjectInfo'!$C35</f>
        <v>0</v>
      </c>
      <c r="AZ19" s="1037">
        <f t="shared" si="25"/>
        <v>0</v>
      </c>
      <c r="BA19" s="1035">
        <f t="shared" si="5"/>
        <v>0</v>
      </c>
      <c r="BB19" s="1040">
        <f t="shared" si="6"/>
        <v>0</v>
      </c>
      <c r="BC19" s="1164">
        <f t="shared" si="7"/>
        <v>0</v>
      </c>
      <c r="BD19" s="1165" t="str">
        <f t="shared" si="8"/>
        <v/>
      </c>
      <c r="BE19" s="1165" t="str">
        <f t="shared" si="9"/>
        <v/>
      </c>
      <c r="BF19" s="1165" t="str">
        <f t="shared" si="10"/>
        <v/>
      </c>
      <c r="BG19" s="1166" t="str">
        <f t="shared" si="11"/>
        <v/>
      </c>
      <c r="BH19" s="1037">
        <f t="shared" si="26"/>
        <v>0</v>
      </c>
      <c r="BI19" s="379">
        <f t="shared" si="12"/>
        <v>0</v>
      </c>
      <c r="BJ19" s="10">
        <f t="shared" si="13"/>
        <v>0</v>
      </c>
      <c r="BK19" s="1167">
        <f t="shared" si="14"/>
        <v>0</v>
      </c>
      <c r="BL19" s="1165" t="str">
        <f t="shared" si="15"/>
        <v/>
      </c>
      <c r="BM19" s="1165" t="str">
        <f t="shared" si="16"/>
        <v/>
      </c>
      <c r="BN19" s="1165" t="str">
        <f t="shared" si="17"/>
        <v/>
      </c>
      <c r="BO19" s="483" t="str">
        <f t="shared" si="18"/>
        <v/>
      </c>
      <c r="BR19" s="404" t="str">
        <f t="shared" si="27"/>
        <v/>
      </c>
      <c r="BS19" s="5" t="str">
        <f t="array" ref="BS19">IFERROR(INDEX($BR$13:$BR$412, MATCH(0, COUNTIF($BS$12:$BS18, $BR$13:$BR$412), 0)),"")</f>
        <v/>
      </c>
      <c r="BT19" s="404" t="str">
        <f t="shared" si="19"/>
        <v/>
      </c>
      <c r="BU19" s="404" t="str">
        <f t="array" ref="BU19">IFERROR(INDEX($BT$13:$BT$412, MATCH(0, COUNTIF($BU$12:$BU18, $BT$13:$BT$412), 0)),"")</f>
        <v/>
      </c>
    </row>
    <row r="20" spans="1:73" s="404" customFormat="1" thickTop="1">
      <c r="A20" s="406">
        <f t="shared" si="20"/>
        <v>8</v>
      </c>
      <c r="B20" s="407"/>
      <c r="C20" s="470"/>
      <c r="D20" s="407"/>
      <c r="E20" s="407"/>
      <c r="F20" s="1296"/>
      <c r="G20" s="409"/>
      <c r="H20" s="407"/>
      <c r="I20" s="1029" t="str">
        <f>IFERROR(G20/HLOOKUP(H20,RentsUA!$B$8:$J$9,2),"")</f>
        <v/>
      </c>
      <c r="J20" s="407"/>
      <c r="K20" s="412"/>
      <c r="L20" s="672">
        <f t="shared" si="0"/>
        <v>0</v>
      </c>
      <c r="M20" s="671"/>
      <c r="N20" s="410">
        <f t="shared" si="1"/>
        <v>0</v>
      </c>
      <c r="O20" s="469" t="str">
        <f>IF($M20=0,"",IFERROR(($L20+$M20)/(HLOOKUP($D20,RentsUA!$K$12:$Q$35,19,FALSE)),""))</f>
        <v/>
      </c>
      <c r="P20" s="469" t="str">
        <f>IF($M20=0,"",IFERROR(($M20+K20+L20)/(HLOOKUP($D20,RentsUA!$K$12:$Q$35,19,FALSE)),""))</f>
        <v/>
      </c>
      <c r="Q20" s="411"/>
      <c r="R20" s="673" t="str">
        <f>IF($Q20=0,"",VLOOKUP($Q20,RentsUA!$A$12:$H$35,MATCH($D20,RentsUA!$A$12:$H$12,0),FALSE))</f>
        <v/>
      </c>
      <c r="S20" s="409"/>
      <c r="T20" s="674"/>
      <c r="U20" s="672"/>
      <c r="V20" s="673" t="str">
        <f t="shared" si="21"/>
        <v/>
      </c>
      <c r="W20" s="470"/>
      <c r="X20" s="411"/>
      <c r="Y20" s="410" t="str">
        <f>IF(X20=0,"",VLOOKUP($X20,RentsUA!$A$12:$H$35,MATCH($D20,RentsUA!$A$12:$H$12,0),FALSE))</f>
        <v/>
      </c>
      <c r="Z20" s="410" t="str">
        <f t="shared" si="2"/>
        <v/>
      </c>
      <c r="AA20" s="1297" t="str">
        <f>IF(H20="","",IF(G20/HLOOKUP($H20,RentsUA!$M$8:$T$9,2,FALSE)&gt;1,"&gt; 80%","&lt;= 80%"))</f>
        <v/>
      </c>
      <c r="AB20" s="1106"/>
      <c r="AC20" s="1106"/>
      <c r="AD20" s="622"/>
      <c r="AE20" s="412"/>
      <c r="AF20" s="807" t="str">
        <f>IF(AD20="","",IF(AD20=Lists!$U$3,M20,IF(AD20=Lists!$U$4,V20,IF(AD20=Lists!$U$5,Y20-L20,AE20))))</f>
        <v/>
      </c>
      <c r="AG20" s="410" t="str">
        <f t="shared" si="3"/>
        <v/>
      </c>
      <c r="AH20" s="469" t="str">
        <f t="shared" si="4"/>
        <v/>
      </c>
      <c r="AI20" s="469" t="str">
        <f>IF($AF20=0,0,IFERROR(($L20+$AF20)/(HLOOKUP($D20,RentsUA!$K$12:$Q$35,19,FALSE)),""))</f>
        <v/>
      </c>
      <c r="AJ20" s="469" t="str">
        <f>IF($AF20=0,0,IFERROR(($AF20+K20+L20)/(HLOOKUP($D20,RentsUA!$K$12:$Q$35,19,FALSE)),""))</f>
        <v/>
      </c>
      <c r="AK20" s="469" t="str">
        <f t="shared" si="22"/>
        <v/>
      </c>
      <c r="AL20" s="469" t="str">
        <f t="shared" si="23"/>
        <v/>
      </c>
      <c r="AM20" s="1106" t="str">
        <f t="shared" si="24"/>
        <v/>
      </c>
      <c r="AN20" s="1106" t="str">
        <f>IFERROR(AM20*(1+'7a.20YrDetails'!$F$9),"")</f>
        <v/>
      </c>
      <c r="AO20" s="1106" t="str">
        <f>IFERROR(AN20*(1+'7a.20YrDetails'!$F$9),"")</f>
        <v/>
      </c>
      <c r="AP20" s="1106" t="str">
        <f>IFERROR(AO20*(1+'7a.20YrDetails'!$F$9),"")</f>
        <v/>
      </c>
      <c r="AQ20" s="1106" t="str">
        <f>IFERROR(AP20*(1+'7a.20YrDetails'!$F$9),"")</f>
        <v/>
      </c>
      <c r="AR20" s="674">
        <v>0.8</v>
      </c>
      <c r="AS20" s="672" t="str">
        <f>IF($D20=0,"",VLOOKUP($AR20,RentsUA!$A$12:$H$35,MATCH($D20,RentsUA!$A$12:$H$12,0),FALSE)-L20)</f>
        <v/>
      </c>
      <c r="AT20" s="1732" t="str">
        <f>IF($AF20=0,0,IFERROR(($AF20+L20)/(HLOOKUP($D20,RentsUA!$B$61:$H$62,2,FALSE)),""))</f>
        <v/>
      </c>
      <c r="AU20" s="1733" t="str">
        <f>IFERROR(G20/HLOOKUP(H20,RentsUA!$B$40:$I$41,2),"")</f>
        <v/>
      </c>
      <c r="AW20" s="263" t="s">
        <v>148</v>
      </c>
      <c r="AX20" s="264"/>
      <c r="AY20" s="611">
        <f>SUM(AY13:AY19)</f>
        <v>0</v>
      </c>
      <c r="AZ20" s="1038">
        <f>SUM(AZ13:AZ19)</f>
        <v>0</v>
      </c>
      <c r="BA20" s="606" t="str">
        <f>IF(SUM(BA13:BA19)=0,"",SUM(BA13:BA19))</f>
        <v/>
      </c>
      <c r="BB20" s="1041" t="str">
        <f>IF(SUM(BB13:BB19)=0,"",SUM(BB13:BB19))</f>
        <v/>
      </c>
      <c r="BC20" s="1043">
        <f>SUM(BC13:BC19)</f>
        <v>0</v>
      </c>
      <c r="BD20" s="264" t="str">
        <f>IF(SUM(BD13:BD19)=0,"",SUM(BD13:BD19))</f>
        <v/>
      </c>
      <c r="BE20" s="264" t="str">
        <f>IF(SUM(BE13:BE19)=0,"",SUM(BE13:BE19))</f>
        <v/>
      </c>
      <c r="BF20" s="264" t="str">
        <f>IF(SUM(BF13:BF19)=0,"",SUM(BF13:BF19))</f>
        <v/>
      </c>
      <c r="BG20" s="606" t="str">
        <f>IF(SUM(BG13:BG19)=0,"",SUM(BG13:BG19))</f>
        <v/>
      </c>
      <c r="BH20" s="1038">
        <f>SUM(BH13:BH19)</f>
        <v>0</v>
      </c>
      <c r="BI20" s="348"/>
      <c r="BJ20" s="348"/>
      <c r="BK20" s="1046">
        <f>SUM(BK13:BK19)</f>
        <v>0</v>
      </c>
      <c r="BL20" s="264" t="str">
        <f>IF(SUM(BL13:BL19)=0,"",SUM(BL13:BL19))</f>
        <v/>
      </c>
      <c r="BM20" s="264" t="str">
        <f>IF(SUM(BM13:BM19)=0,"",SUM(BM13:BM19))</f>
        <v/>
      </c>
      <c r="BN20" s="264" t="str">
        <f>IF(SUM(BN13:BN19)=0,"",SUM(BN13:BN19))</f>
        <v/>
      </c>
      <c r="BO20" s="308" t="str">
        <f>IF(SUM(BO13:BO19)=0,"",SUM(BO13:BO19))</f>
        <v/>
      </c>
      <c r="BR20" s="404" t="str">
        <f t="shared" si="27"/>
        <v/>
      </c>
      <c r="BS20" s="5" t="str">
        <f t="array" ref="BS20">IFERROR(INDEX($BR$13:$BR$412, MATCH(0, COUNTIF($BS$12:$BS19, $BR$13:$BR$412), 0)),"")</f>
        <v/>
      </c>
      <c r="BT20" s="404" t="str">
        <f t="shared" si="19"/>
        <v/>
      </c>
      <c r="BU20" s="404" t="str">
        <f t="array" ref="BU20">IFERROR(INDEX($BT$13:$BT$412, MATCH(0, COUNTIF($BU$12:$BU19, $BT$13:$BT$412), 0)),"")</f>
        <v/>
      </c>
    </row>
    <row r="21" spans="1:73" s="404" customFormat="1" ht="13.2">
      <c r="A21" s="406">
        <f t="shared" si="20"/>
        <v>9</v>
      </c>
      <c r="B21" s="472"/>
      <c r="C21" s="470"/>
      <c r="D21" s="407"/>
      <c r="E21" s="407"/>
      <c r="F21" s="408"/>
      <c r="G21" s="409"/>
      <c r="H21" s="407"/>
      <c r="I21" s="1029" t="str">
        <f>IFERROR(G21/HLOOKUP(H21,RentsUA!$B$8:$J$9,2),"")</f>
        <v/>
      </c>
      <c r="J21" s="407"/>
      <c r="K21" s="412"/>
      <c r="L21" s="672">
        <f t="shared" si="0"/>
        <v>0</v>
      </c>
      <c r="M21" s="671"/>
      <c r="N21" s="410">
        <f t="shared" si="1"/>
        <v>0</v>
      </c>
      <c r="O21" s="469" t="str">
        <f>IF($M21=0,"",IFERROR(($L21+$M21)/(HLOOKUP($D21,RentsUA!$K$12:$Q$35,19,FALSE)),""))</f>
        <v/>
      </c>
      <c r="P21" s="469" t="str">
        <f>IF($M21=0,"",IFERROR(($M21+K21+L21)/(HLOOKUP($D21,RentsUA!$K$12:$Q$35,19,FALSE)),""))</f>
        <v/>
      </c>
      <c r="Q21" s="411"/>
      <c r="R21" s="673" t="str">
        <f>IF($Q21=0,"",VLOOKUP($Q21,RentsUA!$A$12:$H$35,MATCH($D21,RentsUA!$A$12:$H$12,0),FALSE))</f>
        <v/>
      </c>
      <c r="S21" s="409"/>
      <c r="T21" s="674"/>
      <c r="U21" s="672"/>
      <c r="V21" s="673" t="str">
        <f t="shared" si="21"/>
        <v/>
      </c>
      <c r="W21" s="470"/>
      <c r="X21" s="411"/>
      <c r="Y21" s="410" t="str">
        <f>IF(X21=0,"",VLOOKUP($X21,RentsUA!$A$12:$H$35,MATCH($D21,RentsUA!$A$12:$H$12,0),FALSE))</f>
        <v/>
      </c>
      <c r="Z21" s="410" t="str">
        <f t="shared" si="2"/>
        <v/>
      </c>
      <c r="AA21" s="1297" t="str">
        <f>IF(H21="","",IF(G21/HLOOKUP($H21,RentsUA!$M$8:$T$9,2,FALSE)&gt;1,"&gt; 80%","&lt;= 80%"))</f>
        <v/>
      </c>
      <c r="AB21" s="1106"/>
      <c r="AC21" s="1106"/>
      <c r="AD21" s="622"/>
      <c r="AE21" s="412"/>
      <c r="AF21" s="807" t="str">
        <f>IF(AD21="","",IF(AD21=Lists!$U$3,M21,IF(AD21=Lists!$U$4,V21,IF(AD21=Lists!$U$5,Y21-L21,AE21))))</f>
        <v/>
      </c>
      <c r="AG21" s="410" t="str">
        <f t="shared" si="3"/>
        <v/>
      </c>
      <c r="AH21" s="469" t="str">
        <f t="shared" si="4"/>
        <v/>
      </c>
      <c r="AI21" s="469" t="str">
        <f>IF($AF21=0,0,IFERROR(($L21+$AF21)/(HLOOKUP($D21,RentsUA!$K$12:$Q$35,19,FALSE)),""))</f>
        <v/>
      </c>
      <c r="AJ21" s="469" t="str">
        <f>IF($AF21=0,0,IFERROR(($AF21+K21+L21)/(HLOOKUP($D21,RentsUA!$K$12:$Q$35,19,FALSE)),""))</f>
        <v/>
      </c>
      <c r="AK21" s="469" t="str">
        <f t="shared" si="22"/>
        <v/>
      </c>
      <c r="AL21" s="469" t="str">
        <f t="shared" si="23"/>
        <v/>
      </c>
      <c r="AM21" s="1106" t="str">
        <f t="shared" si="24"/>
        <v/>
      </c>
      <c r="AN21" s="1106" t="str">
        <f>IFERROR(AM21*(1+'7a.20YrDetails'!$F$9),"")</f>
        <v/>
      </c>
      <c r="AO21" s="1106" t="str">
        <f>IFERROR(AN21*(1+'7a.20YrDetails'!$F$9),"")</f>
        <v/>
      </c>
      <c r="AP21" s="1106" t="str">
        <f>IFERROR(AO21*(1+'7a.20YrDetails'!$F$9),"")</f>
        <v/>
      </c>
      <c r="AQ21" s="1106" t="str">
        <f>IFERROR(AP21*(1+'7a.20YrDetails'!$F$9),"")</f>
        <v/>
      </c>
      <c r="AR21" s="674">
        <v>0.8</v>
      </c>
      <c r="AS21" s="672" t="str">
        <f>IF($D21=0,"",VLOOKUP($AR21,RentsUA!$A$12:$H$35,MATCH($D21,RentsUA!$A$12:$H$12,0),FALSE)-L21)</f>
        <v/>
      </c>
      <c r="AT21" s="1732" t="str">
        <f>IF($AF21=0,0,IFERROR(($AF21+L21)/(HLOOKUP($D21,RentsUA!$B$61:$H$62,2,FALSE)),""))</f>
        <v/>
      </c>
      <c r="AU21" s="1733" t="str">
        <f>IFERROR(G21/HLOOKUP(H21,RentsUA!$B$40:$I$41,2),"")</f>
        <v/>
      </c>
      <c r="BR21" s="404" t="str">
        <f t="shared" si="27"/>
        <v/>
      </c>
      <c r="BS21" s="5" t="str">
        <f t="array" ref="BS21">IFERROR(INDEX($BR$13:$BR$412, MATCH(0, COUNTIF($BS$12:$BS20, $BR$13:$BR$412), 0)),"")</f>
        <v/>
      </c>
      <c r="BT21" s="404" t="str">
        <f t="shared" si="19"/>
        <v/>
      </c>
      <c r="BU21" s="404" t="str">
        <f t="array" ref="BU21">IFERROR(INDEX($BT$13:$BT$412, MATCH(0, COUNTIF($BU$12:$BU20, $BT$13:$BT$412), 0)),"")</f>
        <v/>
      </c>
    </row>
    <row r="22" spans="1:73" s="404" customFormat="1" ht="13.2">
      <c r="A22" s="406">
        <f t="shared" si="20"/>
        <v>10</v>
      </c>
      <c r="B22" s="472"/>
      <c r="C22" s="470"/>
      <c r="D22" s="407"/>
      <c r="E22" s="407"/>
      <c r="F22" s="408"/>
      <c r="G22" s="409"/>
      <c r="H22" s="407"/>
      <c r="I22" s="1029" t="str">
        <f>IFERROR(G22/HLOOKUP(H22,RentsUA!$B$8:$J$9,2),"")</f>
        <v/>
      </c>
      <c r="J22" s="407"/>
      <c r="K22" s="412"/>
      <c r="L22" s="672">
        <f t="shared" si="0"/>
        <v>0</v>
      </c>
      <c r="M22" s="671"/>
      <c r="N22" s="410">
        <f t="shared" si="1"/>
        <v>0</v>
      </c>
      <c r="O22" s="469" t="str">
        <f>IF($M22=0,"",IFERROR(($L22+$M22)/(HLOOKUP($D22,RentsUA!$K$12:$Q$35,19,FALSE)),""))</f>
        <v/>
      </c>
      <c r="P22" s="469" t="str">
        <f>IF($M22=0,"",IFERROR(($M22+K22+L22)/(HLOOKUP($D22,RentsUA!$K$12:$Q$35,19,FALSE)),""))</f>
        <v/>
      </c>
      <c r="Q22" s="411"/>
      <c r="R22" s="673" t="str">
        <f>IF($Q22=0,"",VLOOKUP($Q22,RentsUA!$A$12:$H$35,MATCH($D22,RentsUA!$A$12:$H$12,0),FALSE))</f>
        <v/>
      </c>
      <c r="S22" s="409"/>
      <c r="T22" s="674"/>
      <c r="U22" s="672"/>
      <c r="V22" s="673" t="str">
        <f t="shared" si="21"/>
        <v/>
      </c>
      <c r="W22" s="470"/>
      <c r="X22" s="411"/>
      <c r="Y22" s="410" t="str">
        <f>IF(X22=0,"",VLOOKUP($X22,RentsUA!$A$12:$H$35,MATCH($D22,RentsUA!$A$12:$H$12,0),FALSE))</f>
        <v/>
      </c>
      <c r="Z22" s="410" t="str">
        <f t="shared" si="2"/>
        <v/>
      </c>
      <c r="AA22" s="1297" t="str">
        <f>IF(H22="","",IF(G22/HLOOKUP($H22,RentsUA!$M$8:$T$9,2,FALSE)&gt;1,"&gt; 80%","&lt;= 80%"))</f>
        <v/>
      </c>
      <c r="AB22" s="1106"/>
      <c r="AC22" s="1106"/>
      <c r="AD22" s="622"/>
      <c r="AE22" s="412"/>
      <c r="AF22" s="807" t="str">
        <f>IF(AD22="","",IF(AD22=Lists!$U$3,M22,IF(AD22=Lists!$U$4,V22,IF(AD22=Lists!$U$5,Y22-L22,AE22))))</f>
        <v/>
      </c>
      <c r="AG22" s="410" t="str">
        <f t="shared" si="3"/>
        <v/>
      </c>
      <c r="AH22" s="469" t="str">
        <f t="shared" si="4"/>
        <v/>
      </c>
      <c r="AI22" s="469" t="str">
        <f>IF($AF22=0,0,IFERROR(($L22+$AF22)/(HLOOKUP($D22,RentsUA!$K$12:$Q$35,19,FALSE)),""))</f>
        <v/>
      </c>
      <c r="AJ22" s="469" t="str">
        <f>IF($AF22=0,0,IFERROR(($AF22+K22+L22)/(HLOOKUP($D22,RentsUA!$K$12:$Q$35,19,FALSE)),""))</f>
        <v/>
      </c>
      <c r="AK22" s="469" t="str">
        <f t="shared" si="22"/>
        <v/>
      </c>
      <c r="AL22" s="469" t="str">
        <f t="shared" si="23"/>
        <v/>
      </c>
      <c r="AM22" s="1106" t="str">
        <f t="shared" si="24"/>
        <v/>
      </c>
      <c r="AN22" s="1106" t="str">
        <f>IFERROR(AM22*(1+'7a.20YrDetails'!$F$9),"")</f>
        <v/>
      </c>
      <c r="AO22" s="1106" t="str">
        <f>IFERROR(AN22*(1+'7a.20YrDetails'!$F$9),"")</f>
        <v/>
      </c>
      <c r="AP22" s="1106" t="str">
        <f>IFERROR(AO22*(1+'7a.20YrDetails'!$F$9),"")</f>
        <v/>
      </c>
      <c r="AQ22" s="1106" t="str">
        <f>IFERROR(AP22*(1+'7a.20YrDetails'!$F$9),"")</f>
        <v/>
      </c>
      <c r="AR22" s="674">
        <v>0.8</v>
      </c>
      <c r="AS22" s="672" t="str">
        <f>IF($D22=0,"",VLOOKUP($AR22,RentsUA!$A$12:$H$35,MATCH($D22,RentsUA!$A$12:$H$12,0),FALSE)-L22)</f>
        <v/>
      </c>
      <c r="AT22" s="1732" t="str">
        <f>IF($AF22=0,0,IFERROR(($AF22+L22)/(HLOOKUP($D22,RentsUA!$B$61:$H$62,2,FALSE)),""))</f>
        <v/>
      </c>
      <c r="AU22" s="1733" t="str">
        <f>IFERROR(G22/HLOOKUP(H22,RentsUA!$B$40:$I$41,2),"")</f>
        <v/>
      </c>
      <c r="AW22" s="603" t="str">
        <f>IF(SmallSites=TRUE,"Calculated Unadjusted MOHCD AMI per Current Rents:","Calculated Unadjusted MOHCD AMI per Current Gross Rents:")</f>
        <v>Calculated Unadjusted MOHCD AMI per Current Gross Rents:</v>
      </c>
      <c r="AX22" s="475"/>
      <c r="BE22" s="509" t="str">
        <f>IF(SmallSites=TRUE,$AC$7,IFERROR(AVERAGE($O$13:$O$412),""))</f>
        <v/>
      </c>
      <c r="BR22" s="404" t="str">
        <f t="shared" si="27"/>
        <v/>
      </c>
      <c r="BS22" s="5" t="str">
        <f t="array" ref="BS22">IFERROR(INDEX($BR$13:$BR$412, MATCH(0, COUNTIF($BS$12:$BS21, $BR$13:$BR$412), 0)),"")</f>
        <v/>
      </c>
      <c r="BT22" s="404" t="str">
        <f t="shared" si="19"/>
        <v/>
      </c>
      <c r="BU22" s="404" t="str">
        <f t="array" ref="BU22">IFERROR(INDEX($BT$13:$BT$412, MATCH(0, COUNTIF($BU$12:$BU21, $BT$13:$BT$412), 0)),"")</f>
        <v/>
      </c>
    </row>
    <row r="23" spans="1:73" s="404" customFormat="1" ht="13.2">
      <c r="A23" s="406">
        <f t="shared" si="20"/>
        <v>11</v>
      </c>
      <c r="B23" s="472"/>
      <c r="C23" s="470"/>
      <c r="D23" s="407"/>
      <c r="E23" s="407"/>
      <c r="F23" s="408"/>
      <c r="G23" s="409"/>
      <c r="H23" s="407"/>
      <c r="I23" s="1029" t="str">
        <f>IFERROR(G23/HLOOKUP(H23,RentsUA!$B$8:$J$9,2),"")</f>
        <v/>
      </c>
      <c r="J23" s="407"/>
      <c r="K23" s="412"/>
      <c r="L23" s="672">
        <f t="shared" si="0"/>
        <v>0</v>
      </c>
      <c r="M23" s="671"/>
      <c r="N23" s="410">
        <f t="shared" si="1"/>
        <v>0</v>
      </c>
      <c r="O23" s="469" t="str">
        <f>IF($M23=0,"",IFERROR(($L23+$M23)/(HLOOKUP($D23,RentsUA!$K$12:$Q$35,19,FALSE)),""))</f>
        <v/>
      </c>
      <c r="P23" s="469" t="str">
        <f>IF($M23=0,"",IFERROR(($M23+K23+L23)/(HLOOKUP($D23,RentsUA!$K$12:$Q$35,19,FALSE)),""))</f>
        <v/>
      </c>
      <c r="Q23" s="411"/>
      <c r="R23" s="673" t="str">
        <f>IF($Q23=0,"",VLOOKUP($Q23,RentsUA!$A$12:$H$35,MATCH($D23,RentsUA!$A$12:$H$12,0),FALSE))</f>
        <v/>
      </c>
      <c r="S23" s="409"/>
      <c r="T23" s="674"/>
      <c r="U23" s="672"/>
      <c r="V23" s="673" t="str">
        <f t="shared" si="21"/>
        <v/>
      </c>
      <c r="W23" s="470"/>
      <c r="X23" s="411"/>
      <c r="Y23" s="410" t="str">
        <f>IF(X23=0,"",VLOOKUP($X23,RentsUA!$A$12:$H$35,MATCH($D23,RentsUA!$A$12:$H$12,0),FALSE))</f>
        <v/>
      </c>
      <c r="Z23" s="410" t="str">
        <f t="shared" si="2"/>
        <v/>
      </c>
      <c r="AA23" s="1297" t="str">
        <f>IF(H23="","",IF(G23/HLOOKUP($H23,RentsUA!$M$8:$T$9,2,FALSE)&gt;1,"&gt; 80%","&lt;= 80%"))</f>
        <v/>
      </c>
      <c r="AB23" s="1106"/>
      <c r="AC23" s="1106"/>
      <c r="AD23" s="622"/>
      <c r="AE23" s="412"/>
      <c r="AF23" s="807" t="str">
        <f>IF(AD23="","",IF(AD23=Lists!$U$3,M23,IF(AD23=Lists!$U$4,V23,IF(AD23=Lists!$U$5,Y23-L23,AE23))))</f>
        <v/>
      </c>
      <c r="AG23" s="410" t="str">
        <f t="shared" si="3"/>
        <v/>
      </c>
      <c r="AH23" s="469" t="str">
        <f t="shared" si="4"/>
        <v/>
      </c>
      <c r="AI23" s="469" t="str">
        <f>IF($AF23=0,0,IFERROR(($L23+$AF23)/(HLOOKUP($D23,RentsUA!$K$12:$Q$35,19,FALSE)),""))</f>
        <v/>
      </c>
      <c r="AJ23" s="469" t="str">
        <f>IF($AF23=0,0,IFERROR(($AF23+K23+L23)/(HLOOKUP($D23,RentsUA!$K$12:$Q$35,19,FALSE)),""))</f>
        <v/>
      </c>
      <c r="AK23" s="469" t="str">
        <f t="shared" si="22"/>
        <v/>
      </c>
      <c r="AL23" s="469" t="str">
        <f t="shared" si="23"/>
        <v/>
      </c>
      <c r="AM23" s="1106" t="str">
        <f t="shared" si="24"/>
        <v/>
      </c>
      <c r="AN23" s="1106" t="str">
        <f>IFERROR(AM23*(1+'7a.20YrDetails'!$F$9),"")</f>
        <v/>
      </c>
      <c r="AO23" s="1106" t="str">
        <f>IFERROR(AN23*(1+'7a.20YrDetails'!$F$9),"")</f>
        <v/>
      </c>
      <c r="AP23" s="1106" t="str">
        <f>IFERROR(AO23*(1+'7a.20YrDetails'!$F$9),"")</f>
        <v/>
      </c>
      <c r="AQ23" s="1106" t="str">
        <f>IFERROR(AP23*(1+'7a.20YrDetails'!$F$9),"")</f>
        <v/>
      </c>
      <c r="AR23" s="674">
        <v>0.8</v>
      </c>
      <c r="AS23" s="672" t="str">
        <f>IF($D23=0,"",VLOOKUP($AR23,RentsUA!$A$12:$H$35,MATCH($D23,RentsUA!$A$12:$H$12,0),FALSE)-L23)</f>
        <v/>
      </c>
      <c r="AT23" s="1732" t="str">
        <f>IF($AF23=0,0,IFERROR(($AF23+L23)/(HLOOKUP($D23,RentsUA!$B$61:$H$62,2,FALSE)),""))</f>
        <v/>
      </c>
      <c r="AU23" s="1733" t="str">
        <f>IFERROR(G23/HLOOKUP(H23,RentsUA!$B$40:$I$41,2),"")</f>
        <v/>
      </c>
      <c r="AW23" s="603" t="str">
        <f>IF(SmallSites=TRUE,"Calculated Unadjusted MOHCD AMI per Proposed Rents:","Calculated Unadjusted MOHCD AMI per Proposed Gross Rents:")</f>
        <v>Calculated Unadjusted MOHCD AMI per Proposed Gross Rents:</v>
      </c>
      <c r="AX23" s="475"/>
      <c r="BE23" s="509" t="str">
        <f>IF(SmallSites=TRUE,$AC$8,IFERROR(AVERAGE($AI$13:$AI$412),""))</f>
        <v/>
      </c>
      <c r="BR23" s="404" t="str">
        <f t="shared" si="27"/>
        <v/>
      </c>
      <c r="BS23" s="5" t="str">
        <f t="array" ref="BS23">IFERROR(INDEX($BR$13:$BR$412, MATCH(0, COUNTIF($BS$12:$BS22, $BR$13:$BR$412), 0)),"")</f>
        <v/>
      </c>
      <c r="BT23" s="404" t="str">
        <f t="shared" si="19"/>
        <v/>
      </c>
      <c r="BU23" s="404" t="str">
        <f t="array" ref="BU23">IFERROR(INDEX($BT$13:$BT$412, MATCH(0, COUNTIF($BU$12:$BU22, $BT$13:$BT$412), 0)),"")</f>
        <v/>
      </c>
    </row>
    <row r="24" spans="1:73" s="404" customFormat="1" ht="13.2">
      <c r="A24" s="406">
        <f t="shared" si="20"/>
        <v>12</v>
      </c>
      <c r="B24" s="472"/>
      <c r="C24" s="470"/>
      <c r="D24" s="407"/>
      <c r="E24" s="407"/>
      <c r="F24" s="408"/>
      <c r="G24" s="409"/>
      <c r="H24" s="407"/>
      <c r="I24" s="1029" t="str">
        <f>IFERROR(G24/HLOOKUP(H24,RentsUA!$B$8:$J$9,2),"")</f>
        <v/>
      </c>
      <c r="J24" s="407"/>
      <c r="K24" s="412"/>
      <c r="L24" s="672">
        <f t="shared" si="0"/>
        <v>0</v>
      </c>
      <c r="M24" s="671"/>
      <c r="N24" s="410">
        <f t="shared" si="1"/>
        <v>0</v>
      </c>
      <c r="O24" s="469" t="str">
        <f>IF($M24=0,"",IFERROR(($L24+$M24)/(HLOOKUP($D24,RentsUA!$K$12:$Q$35,19,FALSE)),""))</f>
        <v/>
      </c>
      <c r="P24" s="469" t="str">
        <f>IF($M24=0,"",IFERROR(($M24+K24+L24)/(HLOOKUP($D24,RentsUA!$K$12:$Q$35,19,FALSE)),""))</f>
        <v/>
      </c>
      <c r="Q24" s="411"/>
      <c r="R24" s="673" t="str">
        <f>IF($Q24=0,"",VLOOKUP($Q24,RentsUA!$A$12:$H$35,MATCH($D24,RentsUA!$A$12:$H$12,0),FALSE))</f>
        <v/>
      </c>
      <c r="S24" s="409"/>
      <c r="T24" s="674"/>
      <c r="U24" s="672"/>
      <c r="V24" s="673" t="str">
        <f t="shared" si="21"/>
        <v/>
      </c>
      <c r="W24" s="470"/>
      <c r="X24" s="411"/>
      <c r="Y24" s="410" t="str">
        <f>IF(X24=0,"",VLOOKUP($X24,RentsUA!$A$12:$H$35,MATCH($D24,RentsUA!$A$12:$H$12,0),FALSE))</f>
        <v/>
      </c>
      <c r="Z24" s="410" t="str">
        <f t="shared" si="2"/>
        <v/>
      </c>
      <c r="AA24" s="1297" t="str">
        <f>IF(H24="","",IF(G24/HLOOKUP($H24,RentsUA!$M$8:$T$9,2,FALSE)&gt;1,"&gt; 80%","&lt;= 80%"))</f>
        <v/>
      </c>
      <c r="AB24" s="1106"/>
      <c r="AC24" s="1106"/>
      <c r="AD24" s="622"/>
      <c r="AE24" s="412"/>
      <c r="AF24" s="807" t="str">
        <f>IF(AD24="","",IF(AD24=Lists!$U$3,M24,IF(AD24=Lists!$U$4,V24,IF(AD24=Lists!$U$5,Y24-L24,AE24))))</f>
        <v/>
      </c>
      <c r="AG24" s="410" t="str">
        <f t="shared" si="3"/>
        <v/>
      </c>
      <c r="AH24" s="469" t="str">
        <f t="shared" si="4"/>
        <v/>
      </c>
      <c r="AI24" s="469" t="str">
        <f>IF($AF24=0,0,IFERROR(($L24+$AF24)/(HLOOKUP($D24,RentsUA!$K$12:$Q$35,19,FALSE)),""))</f>
        <v/>
      </c>
      <c r="AJ24" s="469" t="str">
        <f>IF($AF24=0,0,IFERROR(($AF24+K24+L24)/(HLOOKUP($D24,RentsUA!$K$12:$Q$35,19,FALSE)),""))</f>
        <v/>
      </c>
      <c r="AK24" s="469" t="str">
        <f t="shared" si="22"/>
        <v/>
      </c>
      <c r="AL24" s="469" t="str">
        <f t="shared" si="23"/>
        <v/>
      </c>
      <c r="AM24" s="1106" t="str">
        <f t="shared" si="24"/>
        <v/>
      </c>
      <c r="AN24" s="1106" t="str">
        <f>IFERROR(AM24*(1+'7a.20YrDetails'!$F$9),"")</f>
        <v/>
      </c>
      <c r="AO24" s="1106" t="str">
        <f>IFERROR(AN24*(1+'7a.20YrDetails'!$F$9),"")</f>
        <v/>
      </c>
      <c r="AP24" s="1106" t="str">
        <f>IFERROR(AO24*(1+'7a.20YrDetails'!$F$9),"")</f>
        <v/>
      </c>
      <c r="AQ24" s="1106" t="str">
        <f>IFERROR(AP24*(1+'7a.20YrDetails'!$F$9),"")</f>
        <v/>
      </c>
      <c r="AR24" s="674">
        <v>0.8</v>
      </c>
      <c r="AS24" s="672" t="str">
        <f>IF($D24=0,"",VLOOKUP($AR24,RentsUA!$A$12:$H$35,MATCH($D24,RentsUA!$A$12:$H$12,0),FALSE)-L24)</f>
        <v/>
      </c>
      <c r="AT24" s="1732" t="str">
        <f>IF($AF24=0,0,IFERROR(($AF24+L24)/(HLOOKUP($D24,RentsUA!$B$61:$H$62,2,FALSE)),""))</f>
        <v/>
      </c>
      <c r="AU24" s="1733" t="str">
        <f>IFERROR(G24/HLOOKUP(H24,RentsUA!$B$40:$I$41,2),"")</f>
        <v/>
      </c>
      <c r="BR24" s="404" t="str">
        <f t="shared" si="27"/>
        <v/>
      </c>
      <c r="BS24" s="5" t="str">
        <f t="array" ref="BS24">IFERROR(INDEX($BR$13:$BR$412, MATCH(0, COUNTIF($BS$12:$BS23, $BR$13:$BR$412), 0)),"")</f>
        <v/>
      </c>
      <c r="BT24" s="404" t="str">
        <f t="shared" si="19"/>
        <v/>
      </c>
      <c r="BU24" s="404" t="str">
        <f t="array" ref="BU24">IFERROR(INDEX($BT$13:$BT$412, MATCH(0, COUNTIF($BU$12:$BU23, $BT$13:$BT$412), 0)),"")</f>
        <v/>
      </c>
    </row>
    <row r="25" spans="1:73" s="404" customFormat="1" ht="13.2">
      <c r="A25" s="406">
        <f t="shared" si="20"/>
        <v>13</v>
      </c>
      <c r="B25" s="472"/>
      <c r="C25" s="470"/>
      <c r="D25" s="407"/>
      <c r="E25" s="407"/>
      <c r="F25" s="408"/>
      <c r="G25" s="409"/>
      <c r="H25" s="407"/>
      <c r="I25" s="1029" t="str">
        <f>IFERROR(G25/HLOOKUP(H25,RentsUA!$B$8:$J$9,2),"")</f>
        <v/>
      </c>
      <c r="J25" s="407"/>
      <c r="K25" s="412"/>
      <c r="L25" s="672">
        <f t="shared" si="0"/>
        <v>0</v>
      </c>
      <c r="M25" s="671"/>
      <c r="N25" s="410">
        <f t="shared" si="1"/>
        <v>0</v>
      </c>
      <c r="O25" s="469" t="str">
        <f>IF($M25=0,"",IFERROR(($L25+$M25)/(HLOOKUP($D25,RentsUA!$K$12:$Q$35,19,FALSE)),""))</f>
        <v/>
      </c>
      <c r="P25" s="469" t="str">
        <f>IF($M25=0,"",IFERROR(($M25+K25+L25)/(HLOOKUP($D25,RentsUA!$K$12:$Q$35,19,FALSE)),""))</f>
        <v/>
      </c>
      <c r="Q25" s="411"/>
      <c r="R25" s="673" t="str">
        <f>IF($Q25=0,"",VLOOKUP($Q25,RentsUA!$A$12:$H$35,MATCH($D25,RentsUA!$A$12:$H$12,0),FALSE))</f>
        <v/>
      </c>
      <c r="S25" s="409"/>
      <c r="T25" s="674"/>
      <c r="U25" s="672"/>
      <c r="V25" s="673" t="str">
        <f t="shared" si="21"/>
        <v/>
      </c>
      <c r="W25" s="470"/>
      <c r="X25" s="411"/>
      <c r="Y25" s="410" t="str">
        <f>IF(X25=0,"",VLOOKUP($X25,RentsUA!$A$12:$H$35,MATCH($D25,RentsUA!$A$12:$H$12,0),FALSE))</f>
        <v/>
      </c>
      <c r="Z25" s="410" t="str">
        <f t="shared" si="2"/>
        <v/>
      </c>
      <c r="AA25" s="1297" t="str">
        <f>IF(H25="","",IF(G25/HLOOKUP($H25,RentsUA!$M$8:$T$9,2,FALSE)&gt;1,"&gt; 80%","&lt;= 80%"))</f>
        <v/>
      </c>
      <c r="AB25" s="1106"/>
      <c r="AC25" s="1106"/>
      <c r="AD25" s="622"/>
      <c r="AE25" s="412"/>
      <c r="AF25" s="807" t="str">
        <f>IF(AD25="","",IF(AD25=Lists!$U$3,M25,IF(AD25=Lists!$U$4,V25,IF(AD25=Lists!$U$5,Y25-L25,AE25))))</f>
        <v/>
      </c>
      <c r="AG25" s="410" t="str">
        <f t="shared" si="3"/>
        <v/>
      </c>
      <c r="AH25" s="469" t="str">
        <f t="shared" si="4"/>
        <v/>
      </c>
      <c r="AI25" s="469" t="str">
        <f>IF($AF25=0,0,IFERROR(($L25+$AF25)/(HLOOKUP($D25,RentsUA!$K$12:$Q$35,19,FALSE)),""))</f>
        <v/>
      </c>
      <c r="AJ25" s="469" t="str">
        <f>IF($AF25=0,0,IFERROR(($AF25+K25+L25)/(HLOOKUP($D25,RentsUA!$K$12:$Q$35,19,FALSE)),""))</f>
        <v/>
      </c>
      <c r="AK25" s="469" t="str">
        <f t="shared" si="22"/>
        <v/>
      </c>
      <c r="AL25" s="469" t="str">
        <f t="shared" si="23"/>
        <v/>
      </c>
      <c r="AM25" s="1106" t="str">
        <f t="shared" si="24"/>
        <v/>
      </c>
      <c r="AN25" s="1106" t="str">
        <f>IFERROR(AM25*(1+'7a.20YrDetails'!$F$9),"")</f>
        <v/>
      </c>
      <c r="AO25" s="1106" t="str">
        <f>IFERROR(AN25*(1+'7a.20YrDetails'!$F$9),"")</f>
        <v/>
      </c>
      <c r="AP25" s="1106" t="str">
        <f>IFERROR(AO25*(1+'7a.20YrDetails'!$F$9),"")</f>
        <v/>
      </c>
      <c r="AQ25" s="1106" t="str">
        <f>IFERROR(AP25*(1+'7a.20YrDetails'!$F$9),"")</f>
        <v/>
      </c>
      <c r="AR25" s="674">
        <v>0.8</v>
      </c>
      <c r="AS25" s="672" t="str">
        <f>IF($D25=0,"",VLOOKUP($AR25,RentsUA!$A$12:$H$35,MATCH($D25,RentsUA!$A$12:$H$12,0),FALSE)-L25)</f>
        <v/>
      </c>
      <c r="AT25" s="1732" t="str">
        <f>IF($AF25=0,0,IFERROR(($AF25+L25)/(HLOOKUP($D25,RentsUA!$B$61:$H$62,2,FALSE)),""))</f>
        <v/>
      </c>
      <c r="AU25" s="1733" t="str">
        <f>IFERROR(G25/HLOOKUP(H25,RentsUA!$B$40:$I$41,2),"")</f>
        <v/>
      </c>
      <c r="BR25" s="404" t="str">
        <f t="shared" si="27"/>
        <v/>
      </c>
      <c r="BS25" s="5" t="str">
        <f t="array" ref="BS25">IFERROR(INDEX($BR$13:$BR$412, MATCH(0, COUNTIF($BS$12:$BS24, $BR$13:$BR$412), 0)),"")</f>
        <v/>
      </c>
      <c r="BT25" s="404" t="str">
        <f t="shared" si="19"/>
        <v/>
      </c>
      <c r="BU25" s="404" t="str">
        <f t="array" ref="BU25">IFERROR(INDEX($BT$13:$BT$412, MATCH(0, COUNTIF($BU$12:$BU24, $BT$13:$BT$412), 0)),"")</f>
        <v/>
      </c>
    </row>
    <row r="26" spans="1:73" s="404" customFormat="1" ht="13.2">
      <c r="A26" s="406">
        <f t="shared" si="20"/>
        <v>14</v>
      </c>
      <c r="B26" s="472"/>
      <c r="C26" s="470"/>
      <c r="D26" s="407"/>
      <c r="E26" s="407"/>
      <c r="F26" s="408"/>
      <c r="G26" s="409"/>
      <c r="H26" s="407"/>
      <c r="I26" s="1029" t="str">
        <f>IFERROR(G26/HLOOKUP(H26,RentsUA!$B$8:$J$9,2),"")</f>
        <v/>
      </c>
      <c r="J26" s="407"/>
      <c r="K26" s="412"/>
      <c r="L26" s="672">
        <f t="shared" si="0"/>
        <v>0</v>
      </c>
      <c r="M26" s="671"/>
      <c r="N26" s="410">
        <f t="shared" si="1"/>
        <v>0</v>
      </c>
      <c r="O26" s="469" t="str">
        <f>IF($M26=0,"",IFERROR(($L26+$M26)/(HLOOKUP($D26,RentsUA!$K$12:$Q$35,19,FALSE)),""))</f>
        <v/>
      </c>
      <c r="P26" s="469" t="str">
        <f>IF($M26=0,"",IFERROR(($M26+K26+L26)/(HLOOKUP($D26,RentsUA!$K$12:$Q$35,19,FALSE)),""))</f>
        <v/>
      </c>
      <c r="Q26" s="411"/>
      <c r="R26" s="673" t="str">
        <f>IF($Q26=0,"",VLOOKUP($Q26,RentsUA!$A$12:$H$35,MATCH($D26,RentsUA!$A$12:$H$12,0),FALSE))</f>
        <v/>
      </c>
      <c r="S26" s="409"/>
      <c r="T26" s="674"/>
      <c r="U26" s="672"/>
      <c r="V26" s="673" t="str">
        <f t="shared" si="21"/>
        <v/>
      </c>
      <c r="W26" s="470"/>
      <c r="X26" s="411"/>
      <c r="Y26" s="410" t="str">
        <f>IF(X26=0,"",VLOOKUP($X26,RentsUA!$A$12:$H$35,MATCH($D26,RentsUA!$A$12:$H$12,0),FALSE))</f>
        <v/>
      </c>
      <c r="Z26" s="410" t="str">
        <f t="shared" si="2"/>
        <v/>
      </c>
      <c r="AA26" s="1297" t="str">
        <f>IF(H26="","",IF(G26/HLOOKUP($H26,RentsUA!$M$8:$T$9,2,FALSE)&gt;1,"&gt; 80%","&lt;= 80%"))</f>
        <v/>
      </c>
      <c r="AB26" s="1106"/>
      <c r="AC26" s="1106"/>
      <c r="AD26" s="622"/>
      <c r="AE26" s="412"/>
      <c r="AF26" s="807" t="str">
        <f>IF(AD26="","",IF(AD26=Lists!$U$3,M26,IF(AD26=Lists!$U$4,V26,IF(AD26=Lists!$U$5,Y26-L26,AE26))))</f>
        <v/>
      </c>
      <c r="AG26" s="410" t="str">
        <f t="shared" si="3"/>
        <v/>
      </c>
      <c r="AH26" s="469" t="str">
        <f t="shared" si="4"/>
        <v/>
      </c>
      <c r="AI26" s="469" t="str">
        <f>IF($AF26=0,0,IFERROR(($L26+$AF26)/(HLOOKUP($D26,RentsUA!$K$12:$Q$35,19,FALSE)),""))</f>
        <v/>
      </c>
      <c r="AJ26" s="469" t="str">
        <f>IF($AF26=0,0,IFERROR(($AF26+K26+L26)/(HLOOKUP($D26,RentsUA!$K$12:$Q$35,19,FALSE)),""))</f>
        <v/>
      </c>
      <c r="AK26" s="469" t="str">
        <f t="shared" si="22"/>
        <v/>
      </c>
      <c r="AL26" s="469" t="str">
        <f t="shared" si="23"/>
        <v/>
      </c>
      <c r="AM26" s="1106" t="str">
        <f t="shared" si="24"/>
        <v/>
      </c>
      <c r="AN26" s="1106" t="str">
        <f>IFERROR(AM26*(1+'7a.20YrDetails'!$F$9),"")</f>
        <v/>
      </c>
      <c r="AO26" s="1106" t="str">
        <f>IFERROR(AN26*(1+'7a.20YrDetails'!$F$9),"")</f>
        <v/>
      </c>
      <c r="AP26" s="1106" t="str">
        <f>IFERROR(AO26*(1+'7a.20YrDetails'!$F$9),"")</f>
        <v/>
      </c>
      <c r="AQ26" s="1106" t="str">
        <f>IFERROR(AP26*(1+'7a.20YrDetails'!$F$9),"")</f>
        <v/>
      </c>
      <c r="AR26" s="674">
        <v>0.8</v>
      </c>
      <c r="AS26" s="672" t="str">
        <f>IF($D26=0,"",VLOOKUP($AR26,RentsUA!$A$12:$H$35,MATCH($D26,RentsUA!$A$12:$H$12,0),FALSE)-L26)</f>
        <v/>
      </c>
      <c r="AT26" s="1732" t="str">
        <f>IF($AF26=0,0,IFERROR(($AF26+L26)/(HLOOKUP($D26,RentsUA!$B$61:$H$62,2,FALSE)),""))</f>
        <v/>
      </c>
      <c r="AU26" s="1733" t="str">
        <f>IFERROR(G26/HLOOKUP(H26,RentsUA!$B$40:$I$41,2),"")</f>
        <v/>
      </c>
      <c r="BR26" s="404" t="str">
        <f t="shared" si="27"/>
        <v/>
      </c>
      <c r="BS26" s="5" t="str">
        <f t="array" ref="BS26">IFERROR(INDEX($BR$13:$BR$412, MATCH(0, COUNTIF($BS$12:$BS25, $BR$13:$BR$412), 0)),"")</f>
        <v/>
      </c>
      <c r="BT26" s="404" t="str">
        <f t="shared" si="19"/>
        <v/>
      </c>
      <c r="BU26" s="404" t="str">
        <f t="array" ref="BU26">IFERROR(INDEX($BT$13:$BT$412, MATCH(0, COUNTIF($BU$12:$BU25, $BT$13:$BT$412), 0)),"")</f>
        <v/>
      </c>
    </row>
    <row r="27" spans="1:73" s="404" customFormat="1" ht="13.2">
      <c r="A27" s="406">
        <f t="shared" si="20"/>
        <v>15</v>
      </c>
      <c r="B27" s="472"/>
      <c r="C27" s="470"/>
      <c r="D27" s="407"/>
      <c r="E27" s="407"/>
      <c r="F27" s="408"/>
      <c r="G27" s="409"/>
      <c r="H27" s="407"/>
      <c r="I27" s="1029" t="str">
        <f>IFERROR(G27/HLOOKUP(H27,RentsUA!$B$8:$J$9,2),"")</f>
        <v/>
      </c>
      <c r="J27" s="407"/>
      <c r="K27" s="412"/>
      <c r="L27" s="672">
        <f t="shared" si="0"/>
        <v>0</v>
      </c>
      <c r="M27" s="671"/>
      <c r="N27" s="410">
        <f t="shared" si="1"/>
        <v>0</v>
      </c>
      <c r="O27" s="469" t="str">
        <f>IF($M27=0,"",IFERROR(($L27+$M27)/(HLOOKUP($D27,RentsUA!$K$12:$Q$35,19,FALSE)),""))</f>
        <v/>
      </c>
      <c r="P27" s="469" t="str">
        <f>IF($M27=0,"",IFERROR(($M27+K27+L27)/(HLOOKUP($D27,RentsUA!$K$12:$Q$35,19,FALSE)),""))</f>
        <v/>
      </c>
      <c r="Q27" s="411"/>
      <c r="R27" s="673" t="str">
        <f>IF($Q27=0,"",VLOOKUP($Q27,RentsUA!$A$12:$H$35,MATCH($D27,RentsUA!$A$12:$H$12,0),FALSE))</f>
        <v/>
      </c>
      <c r="S27" s="409"/>
      <c r="T27" s="674"/>
      <c r="U27" s="672"/>
      <c r="V27" s="673" t="str">
        <f t="shared" si="21"/>
        <v/>
      </c>
      <c r="W27" s="470"/>
      <c r="X27" s="411"/>
      <c r="Y27" s="410" t="str">
        <f>IF(X27=0,"",VLOOKUP($X27,RentsUA!$A$12:$H$35,MATCH($D27,RentsUA!$A$12:$H$12,0),FALSE))</f>
        <v/>
      </c>
      <c r="Z27" s="410" t="str">
        <f t="shared" si="2"/>
        <v/>
      </c>
      <c r="AA27" s="1297" t="str">
        <f>IF(H27="","",IF(G27/HLOOKUP($H27,RentsUA!$M$8:$T$9,2,FALSE)&gt;1,"&gt; 80%","&lt;= 80%"))</f>
        <v/>
      </c>
      <c r="AB27" s="1106"/>
      <c r="AC27" s="1106"/>
      <c r="AD27" s="622"/>
      <c r="AE27" s="412"/>
      <c r="AF27" s="807" t="str">
        <f>IF(AD27="","",IF(AD27=Lists!$U$3,M27,IF(AD27=Lists!$U$4,V27,IF(AD27=Lists!$U$5,Y27-L27,AE27))))</f>
        <v/>
      </c>
      <c r="AG27" s="410" t="str">
        <f t="shared" si="3"/>
        <v/>
      </c>
      <c r="AH27" s="469" t="str">
        <f t="shared" si="4"/>
        <v/>
      </c>
      <c r="AI27" s="469" t="str">
        <f>IF($AF27=0,0,IFERROR(($L27+$AF27)/(HLOOKUP($D27,RentsUA!$K$12:$Q$35,19,FALSE)),""))</f>
        <v/>
      </c>
      <c r="AJ27" s="469" t="str">
        <f>IF($AF27=0,0,IFERROR(($AF27+K27+L27)/(HLOOKUP($D27,RentsUA!$K$12:$Q$35,19,FALSE)),""))</f>
        <v/>
      </c>
      <c r="AK27" s="469" t="str">
        <f t="shared" si="22"/>
        <v/>
      </c>
      <c r="AL27" s="469" t="str">
        <f t="shared" si="23"/>
        <v/>
      </c>
      <c r="AM27" s="1106" t="str">
        <f t="shared" si="24"/>
        <v/>
      </c>
      <c r="AN27" s="1106" t="str">
        <f>IFERROR(AM27*(1+'7a.20YrDetails'!$F$9),"")</f>
        <v/>
      </c>
      <c r="AO27" s="1106" t="str">
        <f>IFERROR(AN27*(1+'7a.20YrDetails'!$F$9),"")</f>
        <v/>
      </c>
      <c r="AP27" s="1106" t="str">
        <f>IFERROR(AO27*(1+'7a.20YrDetails'!$F$9),"")</f>
        <v/>
      </c>
      <c r="AQ27" s="1106" t="str">
        <f>IFERROR(AP27*(1+'7a.20YrDetails'!$F$9),"")</f>
        <v/>
      </c>
      <c r="AR27" s="674">
        <v>0.8</v>
      </c>
      <c r="AS27" s="672" t="str">
        <f>IF($D27=0,"",VLOOKUP($AR27,RentsUA!$A$12:$H$35,MATCH($D27,RentsUA!$A$12:$H$12,0),FALSE)-L27)</f>
        <v/>
      </c>
      <c r="AT27" s="1732" t="str">
        <f>IF($AF27=0,0,IFERROR(($AF27+L27)/(HLOOKUP($D27,RentsUA!$B$61:$H$62,2,FALSE)),""))</f>
        <v/>
      </c>
      <c r="AU27" s="1733" t="str">
        <f>IFERROR(G27/HLOOKUP(H27,RentsUA!$B$40:$I$41,2),"")</f>
        <v/>
      </c>
      <c r="BR27" s="404" t="str">
        <f t="shared" si="27"/>
        <v/>
      </c>
      <c r="BS27" s="5" t="str">
        <f t="array" ref="BS27">IFERROR(INDEX($BR$13:$BR$412, MATCH(0, COUNTIF($BS$12:$BS26, $BR$13:$BR$412), 0)),"")</f>
        <v/>
      </c>
      <c r="BT27" s="404" t="str">
        <f t="shared" si="19"/>
        <v/>
      </c>
      <c r="BU27" s="404" t="str">
        <f t="array" ref="BU27">IFERROR(INDEX($BT$13:$BT$412, MATCH(0, COUNTIF($BU$12:$BU26, $BT$13:$BT$412), 0)),"")</f>
        <v/>
      </c>
    </row>
    <row r="28" spans="1:73" s="404" customFormat="1" ht="13.2">
      <c r="A28" s="406">
        <f t="shared" si="20"/>
        <v>16</v>
      </c>
      <c r="B28" s="472"/>
      <c r="C28" s="470"/>
      <c r="D28" s="407"/>
      <c r="E28" s="407"/>
      <c r="F28" s="408"/>
      <c r="G28" s="409"/>
      <c r="H28" s="407"/>
      <c r="I28" s="1029" t="str">
        <f>IFERROR(G28/HLOOKUP(H28,RentsUA!$B$8:$J$9,2),"")</f>
        <v/>
      </c>
      <c r="J28" s="407"/>
      <c r="K28" s="412"/>
      <c r="L28" s="672">
        <f t="shared" si="0"/>
        <v>0</v>
      </c>
      <c r="M28" s="671"/>
      <c r="N28" s="410">
        <f t="shared" si="1"/>
        <v>0</v>
      </c>
      <c r="O28" s="469" t="str">
        <f>IF($M28=0,"",IFERROR(($L28+$M28)/(HLOOKUP($D28,RentsUA!$K$12:$Q$35,19,FALSE)),""))</f>
        <v/>
      </c>
      <c r="P28" s="469" t="str">
        <f>IF($M28=0,"",IFERROR(($M28+K28+L28)/(HLOOKUP($D28,RentsUA!$K$12:$Q$35,19,FALSE)),""))</f>
        <v/>
      </c>
      <c r="Q28" s="411"/>
      <c r="R28" s="673" t="str">
        <f>IF($Q28=0,"",VLOOKUP($Q28,RentsUA!$A$12:$H$35,MATCH($D28,RentsUA!$A$12:$H$12,0),FALSE))</f>
        <v/>
      </c>
      <c r="S28" s="409"/>
      <c r="T28" s="674"/>
      <c r="U28" s="672"/>
      <c r="V28" s="673" t="str">
        <f t="shared" si="21"/>
        <v/>
      </c>
      <c r="W28" s="470"/>
      <c r="X28" s="411"/>
      <c r="Y28" s="410" t="str">
        <f>IF(X28=0,"",VLOOKUP($X28,RentsUA!$A$12:$H$35,MATCH($D28,RentsUA!$A$12:$H$12,0),FALSE))</f>
        <v/>
      </c>
      <c r="Z28" s="410" t="str">
        <f t="shared" si="2"/>
        <v/>
      </c>
      <c r="AA28" s="1297" t="str">
        <f>IF(H28="","",IF(G28/HLOOKUP($H28,RentsUA!$M$8:$T$9,2,FALSE)&gt;1,"&gt; 80%","&lt;= 80%"))</f>
        <v/>
      </c>
      <c r="AB28" s="1106"/>
      <c r="AC28" s="1106"/>
      <c r="AD28" s="622"/>
      <c r="AE28" s="412"/>
      <c r="AF28" s="807" t="str">
        <f>IF(AD28="","",IF(AD28=Lists!$U$3,M28,IF(AD28=Lists!$U$4,V28,IF(AD28=Lists!$U$5,Y28-L28,AE28))))</f>
        <v/>
      </c>
      <c r="AG28" s="410" t="str">
        <f t="shared" si="3"/>
        <v/>
      </c>
      <c r="AH28" s="469" t="str">
        <f t="shared" si="4"/>
        <v/>
      </c>
      <c r="AI28" s="469" t="str">
        <f>IF($AF28=0,0,IFERROR(($L28+$AF28)/(HLOOKUP($D28,RentsUA!$K$12:$Q$35,19,FALSE)),""))</f>
        <v/>
      </c>
      <c r="AJ28" s="469" t="str">
        <f>IF($AF28=0,0,IFERROR(($AF28+K28+L28)/(HLOOKUP($D28,RentsUA!$K$12:$Q$35,19,FALSE)),""))</f>
        <v/>
      </c>
      <c r="AK28" s="469" t="str">
        <f t="shared" si="22"/>
        <v/>
      </c>
      <c r="AL28" s="469" t="str">
        <f t="shared" si="23"/>
        <v/>
      </c>
      <c r="AM28" s="1106" t="str">
        <f t="shared" si="24"/>
        <v/>
      </c>
      <c r="AN28" s="1106" t="str">
        <f>IFERROR(AM28*(1+'7a.20YrDetails'!$F$9),"")</f>
        <v/>
      </c>
      <c r="AO28" s="1106" t="str">
        <f>IFERROR(AN28*(1+'7a.20YrDetails'!$F$9),"")</f>
        <v/>
      </c>
      <c r="AP28" s="1106" t="str">
        <f>IFERROR(AO28*(1+'7a.20YrDetails'!$F$9),"")</f>
        <v/>
      </c>
      <c r="AQ28" s="1106" t="str">
        <f>IFERROR(AP28*(1+'7a.20YrDetails'!$F$9),"")</f>
        <v/>
      </c>
      <c r="AR28" s="674">
        <v>0.8</v>
      </c>
      <c r="AS28" s="672" t="str">
        <f>IF($D28=0,"",VLOOKUP($AR28,RentsUA!$A$12:$H$35,MATCH($D28,RentsUA!$A$12:$H$12,0),FALSE)-L28)</f>
        <v/>
      </c>
      <c r="AT28" s="1732" t="str">
        <f>IF($AF28=0,0,IFERROR(($AF28+L28)/(HLOOKUP($D28,RentsUA!$B$61:$H$62,2,FALSE)),""))</f>
        <v/>
      </c>
      <c r="AU28" s="1733" t="str">
        <f>IFERROR(G28/HLOOKUP(H28,RentsUA!$B$40:$I$41,2),"")</f>
        <v/>
      </c>
      <c r="BR28" s="404" t="str">
        <f t="shared" si="27"/>
        <v/>
      </c>
      <c r="BS28" s="5" t="str">
        <f t="array" ref="BS28">IFERROR(INDEX($BR$13:$BR$412, MATCH(0, COUNTIF($BS$12:$BS27, $BR$13:$BR$412), 0)),"")</f>
        <v/>
      </c>
      <c r="BT28" s="404" t="str">
        <f t="shared" si="19"/>
        <v/>
      </c>
      <c r="BU28" s="404" t="str">
        <f t="array" ref="BU28">IFERROR(INDEX($BT$13:$BT$412, MATCH(0, COUNTIF($BU$12:$BU27, $BT$13:$BT$412), 0)),"")</f>
        <v/>
      </c>
    </row>
    <row r="29" spans="1:73" s="404" customFormat="1" ht="13.2">
      <c r="A29" s="406">
        <f t="shared" si="20"/>
        <v>17</v>
      </c>
      <c r="B29" s="472"/>
      <c r="C29" s="470"/>
      <c r="D29" s="407"/>
      <c r="E29" s="407"/>
      <c r="F29" s="408"/>
      <c r="G29" s="409"/>
      <c r="H29" s="407"/>
      <c r="I29" s="1029" t="str">
        <f>IFERROR(G29/HLOOKUP(H29,RentsUA!$B$8:$J$9,2),"")</f>
        <v/>
      </c>
      <c r="J29" s="407"/>
      <c r="K29" s="412"/>
      <c r="L29" s="672">
        <f t="shared" si="0"/>
        <v>0</v>
      </c>
      <c r="M29" s="671"/>
      <c r="N29" s="410">
        <f t="shared" si="1"/>
        <v>0</v>
      </c>
      <c r="O29" s="469" t="str">
        <f>IF($M29=0,"",IFERROR(($L29+$M29)/(HLOOKUP($D29,RentsUA!$K$12:$Q$35,19,FALSE)),""))</f>
        <v/>
      </c>
      <c r="P29" s="469" t="str">
        <f>IF($M29=0,"",IFERROR(($M29+K29+L29)/(HLOOKUP($D29,RentsUA!$K$12:$Q$35,19,FALSE)),""))</f>
        <v/>
      </c>
      <c r="Q29" s="411"/>
      <c r="R29" s="673" t="str">
        <f>IF($Q29=0,"",VLOOKUP($Q29,RentsUA!$A$12:$H$35,MATCH($D29,RentsUA!$A$12:$H$12,0),FALSE))</f>
        <v/>
      </c>
      <c r="S29" s="409"/>
      <c r="T29" s="674"/>
      <c r="U29" s="672"/>
      <c r="V29" s="673" t="str">
        <f t="shared" si="21"/>
        <v/>
      </c>
      <c r="W29" s="470"/>
      <c r="X29" s="411"/>
      <c r="Y29" s="410" t="str">
        <f>IF(X29=0,"",VLOOKUP($X29,RentsUA!$A$12:$H$35,MATCH($D29,RentsUA!$A$12:$H$12,0),FALSE))</f>
        <v/>
      </c>
      <c r="Z29" s="410" t="str">
        <f t="shared" si="2"/>
        <v/>
      </c>
      <c r="AA29" s="1297" t="str">
        <f>IF(H29="","",IF(G29/HLOOKUP($H29,RentsUA!$M$8:$T$9,2,FALSE)&gt;1,"&gt; 80%","&lt;= 80%"))</f>
        <v/>
      </c>
      <c r="AB29" s="1106"/>
      <c r="AC29" s="1106"/>
      <c r="AD29" s="622"/>
      <c r="AE29" s="412"/>
      <c r="AF29" s="807" t="str">
        <f>IF(AD29="","",IF(AD29=Lists!$U$3,M29,IF(AD29=Lists!$U$4,V29,IF(AD29=Lists!$U$5,Y29-L29,AE29))))</f>
        <v/>
      </c>
      <c r="AG29" s="410" t="str">
        <f t="shared" si="3"/>
        <v/>
      </c>
      <c r="AH29" s="469" t="str">
        <f t="shared" si="4"/>
        <v/>
      </c>
      <c r="AI29" s="469" t="str">
        <f>IF($AF29=0,0,IFERROR(($L29+$AF29)/(HLOOKUP($D29,RentsUA!$K$12:$Q$35,19,FALSE)),""))</f>
        <v/>
      </c>
      <c r="AJ29" s="469" t="str">
        <f>IF($AF29=0,0,IFERROR(($AF29+K29+L29)/(HLOOKUP($D29,RentsUA!$K$12:$Q$35,19,FALSE)),""))</f>
        <v/>
      </c>
      <c r="AK29" s="469" t="str">
        <f t="shared" si="22"/>
        <v/>
      </c>
      <c r="AL29" s="469" t="str">
        <f t="shared" si="23"/>
        <v/>
      </c>
      <c r="AM29" s="1106" t="str">
        <f t="shared" si="24"/>
        <v/>
      </c>
      <c r="AN29" s="1106" t="str">
        <f>IFERROR(AM29*(1+'7a.20YrDetails'!$F$9),"")</f>
        <v/>
      </c>
      <c r="AO29" s="1106" t="str">
        <f>IFERROR(AN29*(1+'7a.20YrDetails'!$F$9),"")</f>
        <v/>
      </c>
      <c r="AP29" s="1106" t="str">
        <f>IFERROR(AO29*(1+'7a.20YrDetails'!$F$9),"")</f>
        <v/>
      </c>
      <c r="AQ29" s="1106" t="str">
        <f>IFERROR(AP29*(1+'7a.20YrDetails'!$F$9),"")</f>
        <v/>
      </c>
      <c r="AR29" s="674">
        <v>0.8</v>
      </c>
      <c r="AS29" s="672" t="str">
        <f>IF($D29=0,"",VLOOKUP($AR29,RentsUA!$A$12:$H$35,MATCH($D29,RentsUA!$A$12:$H$12,0),FALSE)-L29)</f>
        <v/>
      </c>
      <c r="AT29" s="1732" t="str">
        <f>IF($AF29=0,0,IFERROR(($AF29+L29)/(HLOOKUP($D29,RentsUA!$B$61:$H$62,2,FALSE)),""))</f>
        <v/>
      </c>
      <c r="AU29" s="1733" t="str">
        <f>IFERROR(G29/HLOOKUP(H29,RentsUA!$B$40:$I$41,2),"")</f>
        <v/>
      </c>
      <c r="BR29" s="404" t="str">
        <f t="shared" si="27"/>
        <v/>
      </c>
      <c r="BS29" s="5" t="str">
        <f t="array" ref="BS29">IFERROR(INDEX($BR$13:$BR$412, MATCH(0, COUNTIF($BS$12:$BS28, $BR$13:$BR$412), 0)),"")</f>
        <v/>
      </c>
      <c r="BT29" s="404" t="str">
        <f t="shared" si="19"/>
        <v/>
      </c>
      <c r="BU29" s="404" t="str">
        <f t="array" ref="BU29">IFERROR(INDEX($BT$13:$BT$412, MATCH(0, COUNTIF($BU$12:$BU28, $BT$13:$BT$412), 0)),"")</f>
        <v/>
      </c>
    </row>
    <row r="30" spans="1:73" s="404" customFormat="1" ht="13.2">
      <c r="A30" s="406">
        <f t="shared" si="20"/>
        <v>18</v>
      </c>
      <c r="B30" s="472"/>
      <c r="C30" s="470"/>
      <c r="D30" s="407"/>
      <c r="E30" s="407"/>
      <c r="F30" s="408"/>
      <c r="G30" s="409"/>
      <c r="H30" s="407"/>
      <c r="I30" s="1029" t="str">
        <f>IFERROR(G30/HLOOKUP(H30,RentsUA!$B$8:$J$9,2),"")</f>
        <v/>
      </c>
      <c r="J30" s="407"/>
      <c r="K30" s="412"/>
      <c r="L30" s="672">
        <f t="shared" si="0"/>
        <v>0</v>
      </c>
      <c r="M30" s="671"/>
      <c r="N30" s="410">
        <f t="shared" si="1"/>
        <v>0</v>
      </c>
      <c r="O30" s="469" t="str">
        <f>IF($M30=0,"",IFERROR(($L30+$M30)/(HLOOKUP($D30,RentsUA!$K$12:$Q$35,19,FALSE)),""))</f>
        <v/>
      </c>
      <c r="P30" s="469" t="str">
        <f>IF($M30=0,"",IFERROR(($M30+K30+L30)/(HLOOKUP($D30,RentsUA!$K$12:$Q$35,19,FALSE)),""))</f>
        <v/>
      </c>
      <c r="Q30" s="411"/>
      <c r="R30" s="673" t="str">
        <f>IF($Q30=0,"",VLOOKUP($Q30,RentsUA!$A$12:$H$35,MATCH($D30,RentsUA!$A$12:$H$12,0),FALSE))</f>
        <v/>
      </c>
      <c r="S30" s="409"/>
      <c r="T30" s="674"/>
      <c r="U30" s="672"/>
      <c r="V30" s="673" t="str">
        <f t="shared" si="21"/>
        <v/>
      </c>
      <c r="W30" s="470"/>
      <c r="X30" s="411"/>
      <c r="Y30" s="410" t="str">
        <f>IF(X30=0,"",VLOOKUP($X30,RentsUA!$A$12:$H$35,MATCH($D30,RentsUA!$A$12:$H$12,0),FALSE))</f>
        <v/>
      </c>
      <c r="Z30" s="410" t="str">
        <f t="shared" si="2"/>
        <v/>
      </c>
      <c r="AA30" s="1297" t="str">
        <f>IF(H30="","",IF(G30/HLOOKUP($H30,RentsUA!$M$8:$T$9,2,FALSE)&gt;1,"&gt; 80%","&lt;= 80%"))</f>
        <v/>
      </c>
      <c r="AB30" s="1106"/>
      <c r="AC30" s="1106"/>
      <c r="AD30" s="622"/>
      <c r="AE30" s="412"/>
      <c r="AF30" s="807" t="str">
        <f>IF(AD30="","",IF(AD30=Lists!$U$3,M30,IF(AD30=Lists!$U$4,V30,IF(AD30=Lists!$U$5,Y30-L30,AE30))))</f>
        <v/>
      </c>
      <c r="AG30" s="410" t="str">
        <f t="shared" si="3"/>
        <v/>
      </c>
      <c r="AH30" s="469" t="str">
        <f t="shared" si="4"/>
        <v/>
      </c>
      <c r="AI30" s="469" t="str">
        <f>IF($AF30=0,0,IFERROR(($L30+$AF30)/(HLOOKUP($D30,RentsUA!$K$12:$Q$35,19,FALSE)),""))</f>
        <v/>
      </c>
      <c r="AJ30" s="469" t="str">
        <f>IF($AF30=0,0,IFERROR(($AF30+K30+L30)/(HLOOKUP($D30,RentsUA!$K$12:$Q$35,19,FALSE)),""))</f>
        <v/>
      </c>
      <c r="AK30" s="469" t="str">
        <f t="shared" si="22"/>
        <v/>
      </c>
      <c r="AL30" s="469" t="str">
        <f t="shared" si="23"/>
        <v/>
      </c>
      <c r="AM30" s="1106" t="str">
        <f t="shared" si="24"/>
        <v/>
      </c>
      <c r="AN30" s="1106" t="str">
        <f>IFERROR(AM30*(1+'7a.20YrDetails'!$F$9),"")</f>
        <v/>
      </c>
      <c r="AO30" s="1106" t="str">
        <f>IFERROR(AN30*(1+'7a.20YrDetails'!$F$9),"")</f>
        <v/>
      </c>
      <c r="AP30" s="1106" t="str">
        <f>IFERROR(AO30*(1+'7a.20YrDetails'!$F$9),"")</f>
        <v/>
      </c>
      <c r="AQ30" s="1106" t="str">
        <f>IFERROR(AP30*(1+'7a.20YrDetails'!$F$9),"")</f>
        <v/>
      </c>
      <c r="AR30" s="674">
        <v>0.8</v>
      </c>
      <c r="AS30" s="672" t="str">
        <f>IF($D30=0,"",VLOOKUP($AR30,RentsUA!$A$12:$H$35,MATCH($D30,RentsUA!$A$12:$H$12,0),FALSE)-L30)</f>
        <v/>
      </c>
      <c r="AT30" s="1732" t="str">
        <f>IF($AF30=0,0,IFERROR(($AF30+L30)/(HLOOKUP($D30,RentsUA!$B$61:$H$62,2,FALSE)),""))</f>
        <v/>
      </c>
      <c r="AU30" s="1733" t="str">
        <f>IFERROR(G30/HLOOKUP(H30,RentsUA!$B$40:$I$41,2),"")</f>
        <v/>
      </c>
      <c r="BR30" s="404" t="str">
        <f t="shared" si="27"/>
        <v/>
      </c>
      <c r="BS30" s="5" t="str">
        <f t="array" ref="BS30">IFERROR(INDEX($BR$13:$BR$412, MATCH(0, COUNTIF($BS$12:$BS29, $BR$13:$BR$412), 0)),"")</f>
        <v/>
      </c>
      <c r="BT30" s="404" t="str">
        <f t="shared" si="19"/>
        <v/>
      </c>
      <c r="BU30" s="404" t="str">
        <f t="array" ref="BU30">IFERROR(INDEX($BT$13:$BT$412, MATCH(0, COUNTIF($BU$12:$BU29, $BT$13:$BT$412), 0)),"")</f>
        <v/>
      </c>
    </row>
    <row r="31" spans="1:73" s="404" customFormat="1" ht="13.2">
      <c r="A31" s="406">
        <f t="shared" si="20"/>
        <v>19</v>
      </c>
      <c r="B31" s="472"/>
      <c r="C31" s="470"/>
      <c r="D31" s="407"/>
      <c r="E31" s="407"/>
      <c r="F31" s="408"/>
      <c r="G31" s="409"/>
      <c r="H31" s="407"/>
      <c r="I31" s="1029" t="str">
        <f>IFERROR(G31/HLOOKUP(H31,RentsUA!$B$8:$J$9,2),"")</f>
        <v/>
      </c>
      <c r="J31" s="407"/>
      <c r="K31" s="412"/>
      <c r="L31" s="672">
        <f t="shared" si="0"/>
        <v>0</v>
      </c>
      <c r="M31" s="671"/>
      <c r="N31" s="410">
        <f t="shared" si="1"/>
        <v>0</v>
      </c>
      <c r="O31" s="469" t="str">
        <f>IF($M31=0,"",IFERROR(($L31+$M31)/(HLOOKUP($D31,RentsUA!$K$12:$Q$35,19,FALSE)),""))</f>
        <v/>
      </c>
      <c r="P31" s="469" t="str">
        <f>IF($M31=0,"",IFERROR(($M31+K31+L31)/(HLOOKUP($D31,RentsUA!$K$12:$Q$35,19,FALSE)),""))</f>
        <v/>
      </c>
      <c r="Q31" s="411"/>
      <c r="R31" s="673" t="str">
        <f>IF($Q31=0,"",VLOOKUP($Q31,RentsUA!$A$12:$H$35,MATCH($D31,RentsUA!$A$12:$H$12,0),FALSE))</f>
        <v/>
      </c>
      <c r="S31" s="409"/>
      <c r="T31" s="674"/>
      <c r="U31" s="672"/>
      <c r="V31" s="673" t="str">
        <f t="shared" si="21"/>
        <v/>
      </c>
      <c r="W31" s="470"/>
      <c r="X31" s="411"/>
      <c r="Y31" s="410" t="str">
        <f>IF(X31=0,"",VLOOKUP($X31,RentsUA!$A$12:$H$35,MATCH($D31,RentsUA!$A$12:$H$12,0),FALSE))</f>
        <v/>
      </c>
      <c r="Z31" s="410" t="str">
        <f t="shared" si="2"/>
        <v/>
      </c>
      <c r="AA31" s="1297" t="str">
        <f>IF(H31="","",IF(G31/HLOOKUP($H31,RentsUA!$M$8:$T$9,2,FALSE)&gt;1,"&gt; 80%","&lt;= 80%"))</f>
        <v/>
      </c>
      <c r="AB31" s="1106"/>
      <c r="AC31" s="1106"/>
      <c r="AD31" s="622"/>
      <c r="AE31" s="412"/>
      <c r="AF31" s="807" t="str">
        <f>IF(AD31="","",IF(AD31=Lists!$U$3,M31,IF(AD31=Lists!$U$4,V31,IF(AD31=Lists!$U$5,Y31-L31,AE31))))</f>
        <v/>
      </c>
      <c r="AG31" s="410" t="str">
        <f t="shared" si="3"/>
        <v/>
      </c>
      <c r="AH31" s="469" t="str">
        <f t="shared" si="4"/>
        <v/>
      </c>
      <c r="AI31" s="469" t="str">
        <f>IF($AF31=0,0,IFERROR(($L31+$AF31)/(HLOOKUP($D31,RentsUA!$K$12:$Q$35,19,FALSE)),""))</f>
        <v/>
      </c>
      <c r="AJ31" s="469" t="str">
        <f>IF($AF31=0,0,IFERROR(($AF31+K31+L31)/(HLOOKUP($D31,RentsUA!$K$12:$Q$35,19,FALSE)),""))</f>
        <v/>
      </c>
      <c r="AK31" s="469" t="str">
        <f t="shared" si="22"/>
        <v/>
      </c>
      <c r="AL31" s="469" t="str">
        <f t="shared" si="23"/>
        <v/>
      </c>
      <c r="AM31" s="1106" t="str">
        <f t="shared" si="24"/>
        <v/>
      </c>
      <c r="AN31" s="1106" t="str">
        <f>IFERROR(AM31*(1+'7a.20YrDetails'!$F$9),"")</f>
        <v/>
      </c>
      <c r="AO31" s="1106" t="str">
        <f>IFERROR(AN31*(1+'7a.20YrDetails'!$F$9),"")</f>
        <v/>
      </c>
      <c r="AP31" s="1106" t="str">
        <f>IFERROR(AO31*(1+'7a.20YrDetails'!$F$9),"")</f>
        <v/>
      </c>
      <c r="AQ31" s="1106" t="str">
        <f>IFERROR(AP31*(1+'7a.20YrDetails'!$F$9),"")</f>
        <v/>
      </c>
      <c r="AR31" s="674">
        <v>0.8</v>
      </c>
      <c r="AS31" s="672" t="str">
        <f>IF($D31=0,"",VLOOKUP($AR31,RentsUA!$A$12:$H$35,MATCH($D31,RentsUA!$A$12:$H$12,0),FALSE)-L31)</f>
        <v/>
      </c>
      <c r="AT31" s="1732" t="str">
        <f>IF($AF31=0,0,IFERROR(($AF31+L31)/(HLOOKUP($D31,RentsUA!$B$61:$H$62,2,FALSE)),""))</f>
        <v/>
      </c>
      <c r="AU31" s="1733" t="str">
        <f>IFERROR(G31/HLOOKUP(H31,RentsUA!$B$40:$I$41,2),"")</f>
        <v/>
      </c>
      <c r="BR31" s="404" t="str">
        <f t="shared" si="27"/>
        <v/>
      </c>
      <c r="BS31" s="5" t="str">
        <f t="array" ref="BS31">IFERROR(INDEX($BR$13:$BR$412, MATCH(0, COUNTIF($BS$12:$BS30, $BR$13:$BR$412), 0)),"")</f>
        <v/>
      </c>
      <c r="BT31" s="404" t="str">
        <f t="shared" si="19"/>
        <v/>
      </c>
      <c r="BU31" s="404" t="str">
        <f t="array" ref="BU31">IFERROR(INDEX($BT$13:$BT$412, MATCH(0, COUNTIF($BU$12:$BU30, $BT$13:$BT$412), 0)),"")</f>
        <v/>
      </c>
    </row>
    <row r="32" spans="1:73" s="404" customFormat="1" ht="13.2">
      <c r="A32" s="406">
        <f t="shared" si="20"/>
        <v>20</v>
      </c>
      <c r="B32" s="472"/>
      <c r="C32" s="470"/>
      <c r="D32" s="407"/>
      <c r="E32" s="407"/>
      <c r="F32" s="408"/>
      <c r="G32" s="409"/>
      <c r="H32" s="407"/>
      <c r="I32" s="1029" t="str">
        <f>IFERROR(G32/HLOOKUP(H32,RentsUA!$B$8:$J$9,2),"")</f>
        <v/>
      </c>
      <c r="J32" s="407"/>
      <c r="K32" s="412"/>
      <c r="L32" s="672">
        <f t="shared" si="0"/>
        <v>0</v>
      </c>
      <c r="M32" s="671"/>
      <c r="N32" s="410">
        <f t="shared" si="1"/>
        <v>0</v>
      </c>
      <c r="O32" s="469" t="str">
        <f>IF($M32=0,"",IFERROR(($L32+$M32)/(HLOOKUP($D32,RentsUA!$K$12:$Q$35,19,FALSE)),""))</f>
        <v/>
      </c>
      <c r="P32" s="469" t="str">
        <f>IF($M32=0,"",IFERROR(($M32+K32+L32)/(HLOOKUP($D32,RentsUA!$K$12:$Q$35,19,FALSE)),""))</f>
        <v/>
      </c>
      <c r="Q32" s="411"/>
      <c r="R32" s="673" t="str">
        <f>IF($Q32=0,"",VLOOKUP($Q32,RentsUA!$A$12:$H$35,MATCH($D32,RentsUA!$A$12:$H$12,0),FALSE))</f>
        <v/>
      </c>
      <c r="S32" s="409"/>
      <c r="T32" s="674"/>
      <c r="U32" s="672"/>
      <c r="V32" s="673" t="str">
        <f t="shared" si="21"/>
        <v/>
      </c>
      <c r="W32" s="470"/>
      <c r="X32" s="411"/>
      <c r="Y32" s="410" t="str">
        <f>IF(X32=0,"",VLOOKUP($X32,RentsUA!$A$12:$H$35,MATCH($D32,RentsUA!$A$12:$H$12,0),FALSE))</f>
        <v/>
      </c>
      <c r="Z32" s="410" t="str">
        <f t="shared" si="2"/>
        <v/>
      </c>
      <c r="AA32" s="1297" t="str">
        <f>IF(H32="","",IF(G32/HLOOKUP($H32,RentsUA!$M$8:$T$9,2,FALSE)&gt;1,"&gt; 80%","&lt;= 80%"))</f>
        <v/>
      </c>
      <c r="AB32" s="1106"/>
      <c r="AC32" s="1106"/>
      <c r="AD32" s="622"/>
      <c r="AE32" s="412"/>
      <c r="AF32" s="807" t="str">
        <f>IF(AD32="","",IF(AD32=Lists!$U$3,M32,IF(AD32=Lists!$U$4,V32,IF(AD32=Lists!$U$5,Y32-L32,AE32))))</f>
        <v/>
      </c>
      <c r="AG32" s="410" t="str">
        <f t="shared" si="3"/>
        <v/>
      </c>
      <c r="AH32" s="469" t="str">
        <f t="shared" si="4"/>
        <v/>
      </c>
      <c r="AI32" s="469" t="str">
        <f>IF($AF32=0,0,IFERROR(($L32+$AF32)/(HLOOKUP($D32,RentsUA!$K$12:$Q$35,19,FALSE)),""))</f>
        <v/>
      </c>
      <c r="AJ32" s="469" t="str">
        <f>IF($AF32=0,0,IFERROR(($AF32+K32+L32)/(HLOOKUP($D32,RentsUA!$K$12:$Q$35,19,FALSE)),""))</f>
        <v/>
      </c>
      <c r="AK32" s="469" t="str">
        <f t="shared" si="22"/>
        <v/>
      </c>
      <c r="AL32" s="469" t="str">
        <f t="shared" si="23"/>
        <v/>
      </c>
      <c r="AM32" s="1106" t="str">
        <f t="shared" si="24"/>
        <v/>
      </c>
      <c r="AN32" s="1106" t="str">
        <f>IFERROR(AM32*(1+'7a.20YrDetails'!$F$9),"")</f>
        <v/>
      </c>
      <c r="AO32" s="1106" t="str">
        <f>IFERROR(AN32*(1+'7a.20YrDetails'!$F$9),"")</f>
        <v/>
      </c>
      <c r="AP32" s="1106" t="str">
        <f>IFERROR(AO32*(1+'7a.20YrDetails'!$F$9),"")</f>
        <v/>
      </c>
      <c r="AQ32" s="1106" t="str">
        <f>IFERROR(AP32*(1+'7a.20YrDetails'!$F$9),"")</f>
        <v/>
      </c>
      <c r="AR32" s="674">
        <v>0.8</v>
      </c>
      <c r="AS32" s="672" t="str">
        <f>IF($D32=0,"",VLOOKUP($AR32,RentsUA!$A$12:$H$35,MATCH($D32,RentsUA!$A$12:$H$12,0),FALSE)-L32)</f>
        <v/>
      </c>
      <c r="AT32" s="1732" t="str">
        <f>IF($AF32=0,0,IFERROR(($AF32+L32)/(HLOOKUP($D32,RentsUA!$B$61:$H$62,2,FALSE)),""))</f>
        <v/>
      </c>
      <c r="AU32" s="1733" t="str">
        <f>IFERROR(G32/HLOOKUP(H32,RentsUA!$B$40:$I$41,2),"")</f>
        <v/>
      </c>
      <c r="BR32" s="404" t="str">
        <f t="shared" si="27"/>
        <v/>
      </c>
      <c r="BS32" s="5" t="str">
        <f t="array" ref="BS32">IFERROR(INDEX($BR$13:$BR$412, MATCH(0, COUNTIF($BS$12:$BS31, $BR$13:$BR$412), 0)),"")</f>
        <v/>
      </c>
      <c r="BT32" s="404" t="str">
        <f t="shared" si="19"/>
        <v/>
      </c>
      <c r="BU32" s="404" t="str">
        <f t="array" ref="BU32">IFERROR(INDEX($BT$13:$BT$412, MATCH(0, COUNTIF($BU$12:$BU31, $BT$13:$BT$412), 0)),"")</f>
        <v/>
      </c>
    </row>
    <row r="33" spans="1:73" s="404" customFormat="1" ht="13.2">
      <c r="A33" s="406">
        <f t="shared" si="20"/>
        <v>21</v>
      </c>
      <c r="B33" s="472"/>
      <c r="C33" s="470"/>
      <c r="D33" s="407"/>
      <c r="E33" s="407"/>
      <c r="F33" s="408"/>
      <c r="G33" s="409"/>
      <c r="H33" s="407"/>
      <c r="I33" s="1029" t="str">
        <f>IFERROR(G33/HLOOKUP(H33,RentsUA!$B$8:$J$9,2),"")</f>
        <v/>
      </c>
      <c r="J33" s="407"/>
      <c r="K33" s="412"/>
      <c r="L33" s="672">
        <f t="shared" si="0"/>
        <v>0</v>
      </c>
      <c r="M33" s="671"/>
      <c r="N33" s="410">
        <f t="shared" si="1"/>
        <v>0</v>
      </c>
      <c r="O33" s="469" t="str">
        <f>IF($M33=0,"",IFERROR(($L33+$M33)/(HLOOKUP($D33,RentsUA!$K$12:$Q$35,19,FALSE)),""))</f>
        <v/>
      </c>
      <c r="P33" s="469" t="str">
        <f>IF($M33=0,"",IFERROR(($M33+K33+L33)/(HLOOKUP($D33,RentsUA!$K$12:$Q$35,19,FALSE)),""))</f>
        <v/>
      </c>
      <c r="Q33" s="411"/>
      <c r="R33" s="673" t="str">
        <f>IF($Q33=0,"",VLOOKUP($Q33,RentsUA!$A$12:$H$35,MATCH($D33,RentsUA!$A$12:$H$12,0),FALSE))</f>
        <v/>
      </c>
      <c r="S33" s="409"/>
      <c r="T33" s="674"/>
      <c r="U33" s="672"/>
      <c r="V33" s="673" t="str">
        <f t="shared" si="21"/>
        <v/>
      </c>
      <c r="W33" s="470"/>
      <c r="X33" s="411"/>
      <c r="Y33" s="410" t="str">
        <f>IF(X33=0,"",VLOOKUP($X33,RentsUA!$A$12:$H$35,MATCH($D33,RentsUA!$A$12:$H$12,0),FALSE))</f>
        <v/>
      </c>
      <c r="Z33" s="410" t="str">
        <f t="shared" si="2"/>
        <v/>
      </c>
      <c r="AA33" s="1297" t="str">
        <f>IF(H33="","",IF(G33/HLOOKUP($H33,RentsUA!$M$8:$T$9,2,FALSE)&gt;1,"&gt; 80%","&lt;= 80%"))</f>
        <v/>
      </c>
      <c r="AB33" s="1106"/>
      <c r="AC33" s="1106"/>
      <c r="AD33" s="622"/>
      <c r="AE33" s="412"/>
      <c r="AF33" s="807" t="str">
        <f>IF(AD33="","",IF(AD33=Lists!$U$3,M33,IF(AD33=Lists!$U$4,V33,IF(AD33=Lists!$U$5,Y33-L33,AE33))))</f>
        <v/>
      </c>
      <c r="AG33" s="410" t="str">
        <f t="shared" si="3"/>
        <v/>
      </c>
      <c r="AH33" s="469" t="str">
        <f t="shared" si="4"/>
        <v/>
      </c>
      <c r="AI33" s="469" t="str">
        <f>IF($AF33=0,0,IFERROR(($L33+$AF33)/(HLOOKUP($D33,RentsUA!$K$12:$Q$35,19,FALSE)),""))</f>
        <v/>
      </c>
      <c r="AJ33" s="469" t="str">
        <f>IF($AF33=0,0,IFERROR(($AF33+K33+L33)/(HLOOKUP($D33,RentsUA!$K$12:$Q$35,19,FALSE)),""))</f>
        <v/>
      </c>
      <c r="AK33" s="469" t="str">
        <f t="shared" si="22"/>
        <v/>
      </c>
      <c r="AL33" s="469" t="str">
        <f t="shared" si="23"/>
        <v/>
      </c>
      <c r="AM33" s="1106" t="str">
        <f t="shared" si="24"/>
        <v/>
      </c>
      <c r="AN33" s="1106" t="str">
        <f>IFERROR(AM33*(1+'7a.20YrDetails'!$F$9),"")</f>
        <v/>
      </c>
      <c r="AO33" s="1106" t="str">
        <f>IFERROR(AN33*(1+'7a.20YrDetails'!$F$9),"")</f>
        <v/>
      </c>
      <c r="AP33" s="1106" t="str">
        <f>IFERROR(AO33*(1+'7a.20YrDetails'!$F$9),"")</f>
        <v/>
      </c>
      <c r="AQ33" s="1106" t="str">
        <f>IFERROR(AP33*(1+'7a.20YrDetails'!$F$9),"")</f>
        <v/>
      </c>
      <c r="AR33" s="674">
        <v>0.8</v>
      </c>
      <c r="AS33" s="672" t="str">
        <f>IF($D33=0,"",VLOOKUP($AR33,RentsUA!$A$12:$H$35,MATCH($D33,RentsUA!$A$12:$H$12,0),FALSE)-L33)</f>
        <v/>
      </c>
      <c r="AT33" s="1732" t="str">
        <f>IF($AF33=0,0,IFERROR(($AF33+L33)/(HLOOKUP($D33,RentsUA!$B$61:$H$62,2,FALSE)),""))</f>
        <v/>
      </c>
      <c r="AU33" s="1733" t="str">
        <f>IFERROR(G33/HLOOKUP(H33,RentsUA!$B$40:$I$41,2),"")</f>
        <v/>
      </c>
      <c r="BR33" s="404" t="str">
        <f t="shared" si="27"/>
        <v/>
      </c>
      <c r="BS33" s="5" t="str">
        <f t="array" ref="BS33">IFERROR(INDEX($BR$13:$BR$412, MATCH(0, COUNTIF($BS$12:$BS32, $BR$13:$BR$412), 0)),"")</f>
        <v/>
      </c>
      <c r="BT33" s="404" t="str">
        <f t="shared" si="19"/>
        <v/>
      </c>
      <c r="BU33" s="404" t="str">
        <f t="array" ref="BU33">IFERROR(INDEX($BT$13:$BT$412, MATCH(0, COUNTIF($BU$12:$BU32, $BT$13:$BT$412), 0)),"")</f>
        <v/>
      </c>
    </row>
    <row r="34" spans="1:73" s="404" customFormat="1" ht="13.2">
      <c r="A34" s="406">
        <f t="shared" si="20"/>
        <v>22</v>
      </c>
      <c r="B34" s="472"/>
      <c r="C34" s="470"/>
      <c r="D34" s="407"/>
      <c r="E34" s="407"/>
      <c r="F34" s="408"/>
      <c r="G34" s="409"/>
      <c r="H34" s="407"/>
      <c r="I34" s="1029" t="str">
        <f>IFERROR(G34/HLOOKUP(H34,RentsUA!$B$8:$J$9,2),"")</f>
        <v/>
      </c>
      <c r="J34" s="407"/>
      <c r="K34" s="412"/>
      <c r="L34" s="672">
        <f t="shared" si="0"/>
        <v>0</v>
      </c>
      <c r="M34" s="671"/>
      <c r="N34" s="410">
        <f t="shared" si="1"/>
        <v>0</v>
      </c>
      <c r="O34" s="469" t="str">
        <f>IF($M34=0,"",IFERROR(($L34+$M34)/(HLOOKUP($D34,RentsUA!$K$12:$Q$35,19,FALSE)),""))</f>
        <v/>
      </c>
      <c r="P34" s="469" t="str">
        <f>IF($M34=0,"",IFERROR(($M34+K34+L34)/(HLOOKUP($D34,RentsUA!$K$12:$Q$35,19,FALSE)),""))</f>
        <v/>
      </c>
      <c r="Q34" s="411"/>
      <c r="R34" s="673" t="str">
        <f>IF($Q34=0,"",VLOOKUP($Q34,RentsUA!$A$12:$H$35,MATCH($D34,RentsUA!$A$12:$H$12,0),FALSE))</f>
        <v/>
      </c>
      <c r="S34" s="409"/>
      <c r="T34" s="674"/>
      <c r="U34" s="672"/>
      <c r="V34" s="673" t="str">
        <f t="shared" si="21"/>
        <v/>
      </c>
      <c r="W34" s="470"/>
      <c r="X34" s="411"/>
      <c r="Y34" s="410" t="str">
        <f>IF(X34=0,"",VLOOKUP($X34,RentsUA!$A$12:$H$35,MATCH($D34,RentsUA!$A$12:$H$12,0),FALSE))</f>
        <v/>
      </c>
      <c r="Z34" s="410" t="str">
        <f t="shared" si="2"/>
        <v/>
      </c>
      <c r="AA34" s="1297" t="str">
        <f>IF(H34="","",IF(G34/HLOOKUP($H34,RentsUA!$M$8:$T$9,2,FALSE)&gt;1,"&gt; 80%","&lt;= 80%"))</f>
        <v/>
      </c>
      <c r="AB34" s="1106"/>
      <c r="AC34" s="1106"/>
      <c r="AD34" s="622"/>
      <c r="AE34" s="412"/>
      <c r="AF34" s="807" t="str">
        <f>IF(AD34="","",IF(AD34=Lists!$U$3,M34,IF(AD34=Lists!$U$4,V34,IF(AD34=Lists!$U$5,Y34-L34,AE34))))</f>
        <v/>
      </c>
      <c r="AG34" s="410" t="str">
        <f t="shared" si="3"/>
        <v/>
      </c>
      <c r="AH34" s="469" t="str">
        <f t="shared" si="4"/>
        <v/>
      </c>
      <c r="AI34" s="469" t="str">
        <f>IF($AF34=0,0,IFERROR(($L34+$AF34)/(HLOOKUP($D34,RentsUA!$K$12:$Q$35,19,FALSE)),""))</f>
        <v/>
      </c>
      <c r="AJ34" s="469" t="str">
        <f>IF($AF34=0,0,IFERROR(($AF34+K34+L34)/(HLOOKUP($D34,RentsUA!$K$12:$Q$35,19,FALSE)),""))</f>
        <v/>
      </c>
      <c r="AK34" s="469" t="str">
        <f t="shared" si="22"/>
        <v/>
      </c>
      <c r="AL34" s="469" t="str">
        <f t="shared" si="23"/>
        <v/>
      </c>
      <c r="AM34" s="1106" t="str">
        <f t="shared" si="24"/>
        <v/>
      </c>
      <c r="AN34" s="1106" t="str">
        <f>IFERROR(AM34*(1+'7a.20YrDetails'!$F$9),"")</f>
        <v/>
      </c>
      <c r="AO34" s="1106" t="str">
        <f>IFERROR(AN34*(1+'7a.20YrDetails'!$F$9),"")</f>
        <v/>
      </c>
      <c r="AP34" s="1106" t="str">
        <f>IFERROR(AO34*(1+'7a.20YrDetails'!$F$9),"")</f>
        <v/>
      </c>
      <c r="AQ34" s="1106" t="str">
        <f>IFERROR(AP34*(1+'7a.20YrDetails'!$F$9),"")</f>
        <v/>
      </c>
      <c r="AR34" s="674">
        <v>0.8</v>
      </c>
      <c r="AS34" s="672" t="str">
        <f>IF($D34=0,"",VLOOKUP($AR34,RentsUA!$A$12:$H$35,MATCH($D34,RentsUA!$A$12:$H$12,0),FALSE)-L34)</f>
        <v/>
      </c>
      <c r="AT34" s="1732" t="str">
        <f>IF($AF34=0,0,IFERROR(($AF34+L34)/(HLOOKUP($D34,RentsUA!$B$61:$H$62,2,FALSE)),""))</f>
        <v/>
      </c>
      <c r="AU34" s="1733" t="str">
        <f>IFERROR(G34/HLOOKUP(H34,RentsUA!$B$40:$I$41,2),"")</f>
        <v/>
      </c>
      <c r="BR34" s="404" t="str">
        <f t="shared" si="27"/>
        <v/>
      </c>
      <c r="BS34" s="5" t="str">
        <f t="array" ref="BS34">IFERROR(INDEX($BR$13:$BR$412, MATCH(0, COUNTIF($BS$12:$BS33, $BR$13:$BR$412), 0)),"")</f>
        <v/>
      </c>
      <c r="BT34" s="404" t="str">
        <f t="shared" si="19"/>
        <v/>
      </c>
      <c r="BU34" s="404" t="str">
        <f t="array" ref="BU34">IFERROR(INDEX($BT$13:$BT$412, MATCH(0, COUNTIF($BU$12:$BU33, $BT$13:$BT$412), 0)),"")</f>
        <v/>
      </c>
    </row>
    <row r="35" spans="1:73" s="404" customFormat="1" ht="13.2">
      <c r="A35" s="406">
        <f t="shared" si="20"/>
        <v>23</v>
      </c>
      <c r="B35" s="472"/>
      <c r="C35" s="470"/>
      <c r="D35" s="407"/>
      <c r="E35" s="407"/>
      <c r="F35" s="408"/>
      <c r="G35" s="409"/>
      <c r="H35" s="407"/>
      <c r="I35" s="1029" t="str">
        <f>IFERROR(G35/HLOOKUP(H35,RentsUA!$B$8:$J$9,2),"")</f>
        <v/>
      </c>
      <c r="J35" s="407"/>
      <c r="K35" s="412"/>
      <c r="L35" s="672">
        <f t="shared" si="0"/>
        <v>0</v>
      </c>
      <c r="M35" s="671"/>
      <c r="N35" s="410">
        <f t="shared" si="1"/>
        <v>0</v>
      </c>
      <c r="O35" s="469" t="str">
        <f>IF($M35=0,"",IFERROR(($L35+$M35)/(HLOOKUP($D35,RentsUA!$K$12:$Q$35,19,FALSE)),""))</f>
        <v/>
      </c>
      <c r="P35" s="469" t="str">
        <f>IF($M35=0,"",IFERROR(($M35+K35+L35)/(HLOOKUP($D35,RentsUA!$K$12:$Q$35,19,FALSE)),""))</f>
        <v/>
      </c>
      <c r="Q35" s="411"/>
      <c r="R35" s="673" t="str">
        <f>IF($Q35=0,"",VLOOKUP($Q35,RentsUA!$A$12:$H$35,MATCH($D35,RentsUA!$A$12:$H$12,0),FALSE))</f>
        <v/>
      </c>
      <c r="S35" s="409"/>
      <c r="T35" s="674"/>
      <c r="U35" s="672"/>
      <c r="V35" s="673" t="str">
        <f t="shared" si="21"/>
        <v/>
      </c>
      <c r="W35" s="470"/>
      <c r="X35" s="411"/>
      <c r="Y35" s="410" t="str">
        <f>IF(X35=0,"",VLOOKUP($X35,RentsUA!$A$12:$H$35,MATCH($D35,RentsUA!$A$12:$H$12,0),FALSE))</f>
        <v/>
      </c>
      <c r="Z35" s="410" t="str">
        <f t="shared" si="2"/>
        <v/>
      </c>
      <c r="AA35" s="1297" t="str">
        <f>IF(H35="","",IF(G35/HLOOKUP($H35,RentsUA!$M$8:$T$9,2,FALSE)&gt;1,"&gt; 80%","&lt;= 80%"))</f>
        <v/>
      </c>
      <c r="AB35" s="1106"/>
      <c r="AC35" s="1106"/>
      <c r="AD35" s="622"/>
      <c r="AE35" s="412"/>
      <c r="AF35" s="807" t="str">
        <f>IF(AD35="","",IF(AD35=Lists!$U$3,M35,IF(AD35=Lists!$U$4,V35,IF(AD35=Lists!$U$5,Y35-L35,AE35))))</f>
        <v/>
      </c>
      <c r="AG35" s="410" t="str">
        <f t="shared" si="3"/>
        <v/>
      </c>
      <c r="AH35" s="469" t="str">
        <f t="shared" si="4"/>
        <v/>
      </c>
      <c r="AI35" s="469" t="str">
        <f>IF($AF35=0,0,IFERROR(($L35+$AF35)/(HLOOKUP($D35,RentsUA!$K$12:$Q$35,19,FALSE)),""))</f>
        <v/>
      </c>
      <c r="AJ35" s="469" t="str">
        <f>IF($AF35=0,0,IFERROR(($AF35+K35+L35)/(HLOOKUP($D35,RentsUA!$K$12:$Q$35,19,FALSE)),""))</f>
        <v/>
      </c>
      <c r="AK35" s="469" t="str">
        <f t="shared" si="22"/>
        <v/>
      </c>
      <c r="AL35" s="469" t="str">
        <f t="shared" si="23"/>
        <v/>
      </c>
      <c r="AM35" s="1106" t="str">
        <f t="shared" si="24"/>
        <v/>
      </c>
      <c r="AN35" s="1106" t="str">
        <f>IFERROR(AM35*(1+'7a.20YrDetails'!$F$9),"")</f>
        <v/>
      </c>
      <c r="AO35" s="1106" t="str">
        <f>IFERROR(AN35*(1+'7a.20YrDetails'!$F$9),"")</f>
        <v/>
      </c>
      <c r="AP35" s="1106" t="str">
        <f>IFERROR(AO35*(1+'7a.20YrDetails'!$F$9),"")</f>
        <v/>
      </c>
      <c r="AQ35" s="1106" t="str">
        <f>IFERROR(AP35*(1+'7a.20YrDetails'!$F$9),"")</f>
        <v/>
      </c>
      <c r="AR35" s="674">
        <v>0.8</v>
      </c>
      <c r="AS35" s="672" t="str">
        <f>IF($D35=0,"",VLOOKUP($AR35,RentsUA!$A$12:$H$35,MATCH($D35,RentsUA!$A$12:$H$12,0),FALSE)-L35)</f>
        <v/>
      </c>
      <c r="AT35" s="1732" t="str">
        <f>IF($AF35=0,0,IFERROR(($AF35+L35)/(HLOOKUP($D35,RentsUA!$B$61:$H$62,2,FALSE)),""))</f>
        <v/>
      </c>
      <c r="AU35" s="1733" t="str">
        <f>IFERROR(G35/HLOOKUP(H35,RentsUA!$B$40:$I$41,2),"")</f>
        <v/>
      </c>
      <c r="BR35" s="404" t="str">
        <f t="shared" si="27"/>
        <v/>
      </c>
      <c r="BS35" s="5" t="str">
        <f t="array" ref="BS35">IFERROR(INDEX($BR$13:$BR$412, MATCH(0, COUNTIF($BS$12:$BS34, $BR$13:$BR$412), 0)),"")</f>
        <v/>
      </c>
      <c r="BT35" s="404" t="str">
        <f t="shared" si="19"/>
        <v/>
      </c>
      <c r="BU35" s="404" t="str">
        <f t="array" ref="BU35">IFERROR(INDEX($BT$13:$BT$412, MATCH(0, COUNTIF($BU$12:$BU34, $BT$13:$BT$412), 0)),"")</f>
        <v/>
      </c>
    </row>
    <row r="36" spans="1:73" s="404" customFormat="1" ht="13.2">
      <c r="A36" s="406">
        <f t="shared" si="20"/>
        <v>24</v>
      </c>
      <c r="B36" s="472"/>
      <c r="C36" s="470"/>
      <c r="D36" s="407"/>
      <c r="E36" s="407"/>
      <c r="F36" s="408"/>
      <c r="G36" s="409"/>
      <c r="H36" s="407"/>
      <c r="I36" s="1029" t="str">
        <f>IFERROR(G36/HLOOKUP(H36,RentsUA!$B$8:$J$9,2),"")</f>
        <v/>
      </c>
      <c r="J36" s="407"/>
      <c r="K36" s="412"/>
      <c r="L36" s="672">
        <f t="shared" si="0"/>
        <v>0</v>
      </c>
      <c r="M36" s="671"/>
      <c r="N36" s="410">
        <f t="shared" si="1"/>
        <v>0</v>
      </c>
      <c r="O36" s="469" t="str">
        <f>IF($M36=0,"",IFERROR(($L36+$M36)/(HLOOKUP($D36,RentsUA!$K$12:$Q$35,19,FALSE)),""))</f>
        <v/>
      </c>
      <c r="P36" s="469" t="str">
        <f>IF($M36=0,"",IFERROR(($M36+K36+L36)/(HLOOKUP($D36,RentsUA!$K$12:$Q$35,19,FALSE)),""))</f>
        <v/>
      </c>
      <c r="Q36" s="411"/>
      <c r="R36" s="673" t="str">
        <f>IF($Q36=0,"",VLOOKUP($Q36,RentsUA!$A$12:$H$35,MATCH($D36,RentsUA!$A$12:$H$12,0),FALSE))</f>
        <v/>
      </c>
      <c r="S36" s="409"/>
      <c r="T36" s="674"/>
      <c r="U36" s="672"/>
      <c r="V36" s="673" t="str">
        <f t="shared" si="21"/>
        <v/>
      </c>
      <c r="W36" s="470"/>
      <c r="X36" s="411"/>
      <c r="Y36" s="410" t="str">
        <f>IF(X36=0,"",VLOOKUP($X36,RentsUA!$A$12:$H$35,MATCH($D36,RentsUA!$A$12:$H$12,0),FALSE))</f>
        <v/>
      </c>
      <c r="Z36" s="410" t="str">
        <f t="shared" si="2"/>
        <v/>
      </c>
      <c r="AA36" s="1297" t="str">
        <f>IF(H36="","",IF(G36/HLOOKUP($H36,RentsUA!$M$8:$T$9,2,FALSE)&gt;1,"&gt; 80%","&lt;= 80%"))</f>
        <v/>
      </c>
      <c r="AB36" s="1106"/>
      <c r="AC36" s="1106"/>
      <c r="AD36" s="622"/>
      <c r="AE36" s="412"/>
      <c r="AF36" s="807" t="str">
        <f>IF(AD36="","",IF(AD36=Lists!$U$3,M36,IF(AD36=Lists!$U$4,V36,IF(AD36=Lists!$U$5,Y36-L36,AE36))))</f>
        <v/>
      </c>
      <c r="AG36" s="410" t="str">
        <f t="shared" si="3"/>
        <v/>
      </c>
      <c r="AH36" s="469" t="str">
        <f t="shared" si="4"/>
        <v/>
      </c>
      <c r="AI36" s="469" t="str">
        <f>IF($AF36=0,0,IFERROR(($L36+$AF36)/(HLOOKUP($D36,RentsUA!$K$12:$Q$35,19,FALSE)),""))</f>
        <v/>
      </c>
      <c r="AJ36" s="469" t="str">
        <f>IF($AF36=0,0,IFERROR(($AF36+K36+L36)/(HLOOKUP($D36,RentsUA!$K$12:$Q$35,19,FALSE)),""))</f>
        <v/>
      </c>
      <c r="AK36" s="469" t="str">
        <f t="shared" si="22"/>
        <v/>
      </c>
      <c r="AL36" s="469" t="str">
        <f t="shared" si="23"/>
        <v/>
      </c>
      <c r="AM36" s="1106" t="str">
        <f t="shared" si="24"/>
        <v/>
      </c>
      <c r="AN36" s="1106" t="str">
        <f>IFERROR(AM36*(1+'7a.20YrDetails'!$F$9),"")</f>
        <v/>
      </c>
      <c r="AO36" s="1106" t="str">
        <f>IFERROR(AN36*(1+'7a.20YrDetails'!$F$9),"")</f>
        <v/>
      </c>
      <c r="AP36" s="1106" t="str">
        <f>IFERROR(AO36*(1+'7a.20YrDetails'!$F$9),"")</f>
        <v/>
      </c>
      <c r="AQ36" s="1106" t="str">
        <f>IFERROR(AP36*(1+'7a.20YrDetails'!$F$9),"")</f>
        <v/>
      </c>
      <c r="AR36" s="674">
        <v>0.8</v>
      </c>
      <c r="AS36" s="672" t="str">
        <f>IF($D36=0,"",VLOOKUP($AR36,RentsUA!$A$12:$H$35,MATCH($D36,RentsUA!$A$12:$H$12,0),FALSE)-L36)</f>
        <v/>
      </c>
      <c r="AT36" s="1732" t="str">
        <f>IF($AF36=0,0,IFERROR(($AF36+L36)/(HLOOKUP($D36,RentsUA!$B$61:$H$62,2,FALSE)),""))</f>
        <v/>
      </c>
      <c r="AU36" s="1733" t="str">
        <f>IFERROR(G36/HLOOKUP(H36,RentsUA!$B$40:$I$41,2),"")</f>
        <v/>
      </c>
      <c r="BR36" s="404" t="str">
        <f t="shared" si="27"/>
        <v/>
      </c>
      <c r="BS36" s="5" t="str">
        <f t="array" ref="BS36">IFERROR(INDEX($BR$13:$BR$412, MATCH(0, COUNTIF($BS$12:$BS35, $BR$13:$BR$412), 0)),"")</f>
        <v/>
      </c>
      <c r="BT36" s="404" t="str">
        <f t="shared" si="19"/>
        <v/>
      </c>
      <c r="BU36" s="404" t="str">
        <f t="array" ref="BU36">IFERROR(INDEX($BT$13:$BT$412, MATCH(0, COUNTIF($BU$12:$BU35, $BT$13:$BT$412), 0)),"")</f>
        <v/>
      </c>
    </row>
    <row r="37" spans="1:73" s="404" customFormat="1" ht="13.2">
      <c r="A37" s="406">
        <f t="shared" si="20"/>
        <v>25</v>
      </c>
      <c r="B37" s="472"/>
      <c r="C37" s="470"/>
      <c r="D37" s="407"/>
      <c r="E37" s="407"/>
      <c r="F37" s="408"/>
      <c r="G37" s="409"/>
      <c r="H37" s="407"/>
      <c r="I37" s="1029" t="str">
        <f>IFERROR(G37/HLOOKUP(H37,RentsUA!$B$8:$J$9,2),"")</f>
        <v/>
      </c>
      <c r="J37" s="407"/>
      <c r="K37" s="412"/>
      <c r="L37" s="672">
        <f t="shared" si="0"/>
        <v>0</v>
      </c>
      <c r="M37" s="671"/>
      <c r="N37" s="410">
        <f t="shared" si="1"/>
        <v>0</v>
      </c>
      <c r="O37" s="469" t="str">
        <f>IF($M37=0,"",IFERROR(($L37+$M37)/(HLOOKUP($D37,RentsUA!$K$12:$Q$35,19,FALSE)),""))</f>
        <v/>
      </c>
      <c r="P37" s="469" t="str">
        <f>IF($M37=0,"",IFERROR(($M37+K37+L37)/(HLOOKUP($D37,RentsUA!$K$12:$Q$35,19,FALSE)),""))</f>
        <v/>
      </c>
      <c r="Q37" s="411"/>
      <c r="R37" s="673" t="str">
        <f>IF($Q37=0,"",VLOOKUP($Q37,RentsUA!$A$12:$H$35,MATCH($D37,RentsUA!$A$12:$H$12,0),FALSE))</f>
        <v/>
      </c>
      <c r="S37" s="409"/>
      <c r="T37" s="674"/>
      <c r="U37" s="672"/>
      <c r="V37" s="673" t="str">
        <f t="shared" si="21"/>
        <v/>
      </c>
      <c r="W37" s="470"/>
      <c r="X37" s="411"/>
      <c r="Y37" s="410" t="str">
        <f>IF(X37=0,"",VLOOKUP($X37,RentsUA!$A$12:$H$35,MATCH($D37,RentsUA!$A$12:$H$12,0),FALSE))</f>
        <v/>
      </c>
      <c r="Z37" s="410" t="str">
        <f t="shared" si="2"/>
        <v/>
      </c>
      <c r="AA37" s="1297" t="str">
        <f>IF(H37="","",IF(G37/HLOOKUP($H37,RentsUA!$M$8:$T$9,2,FALSE)&gt;1,"&gt; 80%","&lt;= 80%"))</f>
        <v/>
      </c>
      <c r="AB37" s="1106"/>
      <c r="AC37" s="1106"/>
      <c r="AD37" s="622"/>
      <c r="AE37" s="412"/>
      <c r="AF37" s="807" t="str">
        <f>IF(AD37="","",IF(AD37=Lists!$U$3,M37,IF(AD37=Lists!$U$4,V37,IF(AD37=Lists!$U$5,Y37-L37,AE37))))</f>
        <v/>
      </c>
      <c r="AG37" s="410" t="str">
        <f t="shared" si="3"/>
        <v/>
      </c>
      <c r="AH37" s="469" t="str">
        <f t="shared" si="4"/>
        <v/>
      </c>
      <c r="AI37" s="469" t="str">
        <f>IF($AF37=0,0,IFERROR(($L37+$AF37)/(HLOOKUP($D37,RentsUA!$K$12:$Q$35,19,FALSE)),""))</f>
        <v/>
      </c>
      <c r="AJ37" s="469" t="str">
        <f>IF($AF37=0,0,IFERROR(($AF37+K37+L37)/(HLOOKUP($D37,RentsUA!$K$12:$Q$35,19,FALSE)),""))</f>
        <v/>
      </c>
      <c r="AK37" s="469" t="str">
        <f t="shared" si="22"/>
        <v/>
      </c>
      <c r="AL37" s="469" t="str">
        <f t="shared" si="23"/>
        <v/>
      </c>
      <c r="AM37" s="1106" t="str">
        <f t="shared" si="24"/>
        <v/>
      </c>
      <c r="AN37" s="1106" t="str">
        <f>IFERROR(AM37*(1+'7a.20YrDetails'!$F$9),"")</f>
        <v/>
      </c>
      <c r="AO37" s="1106" t="str">
        <f>IFERROR(AN37*(1+'7a.20YrDetails'!$F$9),"")</f>
        <v/>
      </c>
      <c r="AP37" s="1106" t="str">
        <f>IFERROR(AO37*(1+'7a.20YrDetails'!$F$9),"")</f>
        <v/>
      </c>
      <c r="AQ37" s="1106" t="str">
        <f>IFERROR(AP37*(1+'7a.20YrDetails'!$F$9),"")</f>
        <v/>
      </c>
      <c r="AR37" s="674">
        <v>0.8</v>
      </c>
      <c r="AS37" s="672" t="str">
        <f>IF($D37=0,"",VLOOKUP($AR37,RentsUA!$A$12:$H$35,MATCH($D37,RentsUA!$A$12:$H$12,0),FALSE)-L37)</f>
        <v/>
      </c>
      <c r="AT37" s="1732" t="str">
        <f>IF($AF37=0,0,IFERROR(($AF37+L37)/(HLOOKUP($D37,RentsUA!$B$61:$H$62,2,FALSE)),""))</f>
        <v/>
      </c>
      <c r="AU37" s="1733" t="str">
        <f>IFERROR(G37/HLOOKUP(H37,RentsUA!$B$40:$I$41,2),"")</f>
        <v/>
      </c>
      <c r="BR37" s="404" t="str">
        <f t="shared" si="27"/>
        <v/>
      </c>
      <c r="BS37" s="5" t="str">
        <f t="array" ref="BS37">IFERROR(INDEX($BR$13:$BR$412, MATCH(0, COUNTIF($BS$12:$BS36, $BR$13:$BR$412), 0)),"")</f>
        <v/>
      </c>
      <c r="BT37" s="404" t="str">
        <f t="shared" si="19"/>
        <v/>
      </c>
      <c r="BU37" s="404" t="str">
        <f t="array" ref="BU37">IFERROR(INDEX($BT$13:$BT$412, MATCH(0, COUNTIF($BU$12:$BU36, $BT$13:$BT$412), 0)),"")</f>
        <v/>
      </c>
    </row>
    <row r="38" spans="1:73" s="404" customFormat="1" ht="13.2">
      <c r="A38" s="406">
        <f t="shared" si="20"/>
        <v>26</v>
      </c>
      <c r="B38" s="472"/>
      <c r="C38" s="470"/>
      <c r="D38" s="407"/>
      <c r="E38" s="407"/>
      <c r="F38" s="408"/>
      <c r="G38" s="409"/>
      <c r="H38" s="407"/>
      <c r="I38" s="1029" t="str">
        <f>IFERROR(G38/HLOOKUP(H38,RentsUA!$B$8:$J$9,2),"")</f>
        <v/>
      </c>
      <c r="J38" s="407"/>
      <c r="K38" s="412"/>
      <c r="L38" s="672">
        <f t="shared" si="0"/>
        <v>0</v>
      </c>
      <c r="M38" s="671"/>
      <c r="N38" s="410">
        <f t="shared" si="1"/>
        <v>0</v>
      </c>
      <c r="O38" s="469" t="str">
        <f>IF($M38=0,"",IFERROR(($L38+$M38)/(HLOOKUP($D38,RentsUA!$K$12:$Q$35,19,FALSE)),""))</f>
        <v/>
      </c>
      <c r="P38" s="469" t="str">
        <f>IF($M38=0,"",IFERROR(($M38+K38+L38)/(HLOOKUP($D38,RentsUA!$K$12:$Q$35,19,FALSE)),""))</f>
        <v/>
      </c>
      <c r="Q38" s="411"/>
      <c r="R38" s="673" t="str">
        <f>IF($Q38=0,"",VLOOKUP($Q38,RentsUA!$A$12:$H$35,MATCH($D38,RentsUA!$A$12:$H$12,0),FALSE))</f>
        <v/>
      </c>
      <c r="S38" s="409"/>
      <c r="T38" s="674"/>
      <c r="U38" s="672"/>
      <c r="V38" s="673" t="str">
        <f t="shared" si="21"/>
        <v/>
      </c>
      <c r="W38" s="470"/>
      <c r="X38" s="411"/>
      <c r="Y38" s="410" t="str">
        <f>IF(X38=0,"",VLOOKUP($X38,RentsUA!$A$12:$H$35,MATCH($D38,RentsUA!$A$12:$H$12,0),FALSE))</f>
        <v/>
      </c>
      <c r="Z38" s="410" t="str">
        <f t="shared" si="2"/>
        <v/>
      </c>
      <c r="AA38" s="1297" t="str">
        <f>IF(H38="","",IF(G38/HLOOKUP($H38,RentsUA!$M$8:$T$9,2,FALSE)&gt;1,"&gt; 80%","&lt;= 80%"))</f>
        <v/>
      </c>
      <c r="AB38" s="1106"/>
      <c r="AC38" s="1106"/>
      <c r="AD38" s="622"/>
      <c r="AE38" s="412"/>
      <c r="AF38" s="807" t="str">
        <f>IF(AD38="","",IF(AD38=Lists!$U$3,M38,IF(AD38=Lists!$U$4,V38,IF(AD38=Lists!$U$5,Y38-L38,AE38))))</f>
        <v/>
      </c>
      <c r="AG38" s="410" t="str">
        <f t="shared" si="3"/>
        <v/>
      </c>
      <c r="AH38" s="469" t="str">
        <f t="shared" si="4"/>
        <v/>
      </c>
      <c r="AI38" s="469" t="str">
        <f>IF($AF38=0,0,IFERROR(($L38+$AF38)/(HLOOKUP($D38,RentsUA!$K$12:$Q$35,19,FALSE)),""))</f>
        <v/>
      </c>
      <c r="AJ38" s="469" t="str">
        <f>IF($AF38=0,0,IFERROR(($AF38+K38+L38)/(HLOOKUP($D38,RentsUA!$K$12:$Q$35,19,FALSE)),""))</f>
        <v/>
      </c>
      <c r="AK38" s="469" t="str">
        <f t="shared" si="22"/>
        <v/>
      </c>
      <c r="AL38" s="469" t="str">
        <f t="shared" si="23"/>
        <v/>
      </c>
      <c r="AM38" s="1106" t="str">
        <f t="shared" si="24"/>
        <v/>
      </c>
      <c r="AN38" s="1106" t="str">
        <f>IFERROR(AM38*(1+'7a.20YrDetails'!$F$9),"")</f>
        <v/>
      </c>
      <c r="AO38" s="1106" t="str">
        <f>IFERROR(AN38*(1+'7a.20YrDetails'!$F$9),"")</f>
        <v/>
      </c>
      <c r="AP38" s="1106" t="str">
        <f>IFERROR(AO38*(1+'7a.20YrDetails'!$F$9),"")</f>
        <v/>
      </c>
      <c r="AQ38" s="1106" t="str">
        <f>IFERROR(AP38*(1+'7a.20YrDetails'!$F$9),"")</f>
        <v/>
      </c>
      <c r="AR38" s="674"/>
      <c r="AS38" s="672" t="str">
        <f>IF($D38=0,"",VLOOKUP($AR38,RentsUA!$A$12:$H$35,MATCH($D38,RentsUA!$A$12:$H$12,0),FALSE)-L38)</f>
        <v/>
      </c>
      <c r="AT38" s="1732" t="str">
        <f>IF($AF38=0,0,IFERROR(($AF38+L38)/(HLOOKUP($D38,RentsUA!$B$61:$H$62,2,FALSE)),""))</f>
        <v/>
      </c>
      <c r="AU38" s="1733" t="str">
        <f>IFERROR(G38/HLOOKUP(H38,RentsUA!$B$40:$I$41,2),"")</f>
        <v/>
      </c>
      <c r="BR38" s="404" t="str">
        <f t="shared" si="27"/>
        <v/>
      </c>
      <c r="BS38" s="5" t="str">
        <f t="array" ref="BS38">IFERROR(INDEX($BR$13:$BR$412, MATCH(0, COUNTIF($BS$12:$BS37, $BR$13:$BR$412), 0)),"")</f>
        <v/>
      </c>
      <c r="BT38" s="404" t="str">
        <f t="shared" si="19"/>
        <v/>
      </c>
      <c r="BU38" s="404" t="str">
        <f t="array" ref="BU38">IFERROR(INDEX($BT$13:$BT$412, MATCH(0, COUNTIF($BU$12:$BU37, $BT$13:$BT$412), 0)),"")</f>
        <v/>
      </c>
    </row>
    <row r="39" spans="1:73" s="404" customFormat="1" ht="13.2">
      <c r="A39" s="406">
        <f t="shared" si="20"/>
        <v>27</v>
      </c>
      <c r="B39" s="472"/>
      <c r="C39" s="470"/>
      <c r="D39" s="407"/>
      <c r="E39" s="407"/>
      <c r="F39" s="408"/>
      <c r="G39" s="409"/>
      <c r="H39" s="407"/>
      <c r="I39" s="1029" t="str">
        <f>IFERROR(G39/HLOOKUP(H39,RentsUA!$B$8:$J$9,2),"")</f>
        <v/>
      </c>
      <c r="J39" s="407"/>
      <c r="K39" s="412"/>
      <c r="L39" s="672">
        <f t="shared" si="0"/>
        <v>0</v>
      </c>
      <c r="M39" s="671"/>
      <c r="N39" s="410">
        <f t="shared" si="1"/>
        <v>0</v>
      </c>
      <c r="O39" s="469" t="str">
        <f>IF($M39=0,"",IFERROR(($L39+$M39)/(HLOOKUP($D39,RentsUA!$K$12:$Q$35,19,FALSE)),""))</f>
        <v/>
      </c>
      <c r="P39" s="469" t="str">
        <f>IF($M39=0,"",IFERROR(($M39+K39+L39)/(HLOOKUP($D39,RentsUA!$K$12:$Q$35,19,FALSE)),""))</f>
        <v/>
      </c>
      <c r="Q39" s="411"/>
      <c r="R39" s="673" t="str">
        <f>IF($Q39=0,"",VLOOKUP($Q39,RentsUA!$A$12:$H$35,MATCH($D39,RentsUA!$A$12:$H$12,0),FALSE))</f>
        <v/>
      </c>
      <c r="S39" s="409"/>
      <c r="T39" s="674"/>
      <c r="U39" s="672"/>
      <c r="V39" s="673" t="str">
        <f t="shared" si="21"/>
        <v/>
      </c>
      <c r="W39" s="470"/>
      <c r="X39" s="411"/>
      <c r="Y39" s="410" t="str">
        <f>IF(X39=0,"",VLOOKUP($X39,RentsUA!$A$12:$H$35,MATCH($D39,RentsUA!$A$12:$H$12,0),FALSE))</f>
        <v/>
      </c>
      <c r="Z39" s="410" t="str">
        <f t="shared" si="2"/>
        <v/>
      </c>
      <c r="AA39" s="1297" t="str">
        <f>IF(H39="","",IF(G39/HLOOKUP($H39,RentsUA!$M$8:$T$9,2,FALSE)&gt;1,"&gt; 80%","&lt;= 80%"))</f>
        <v/>
      </c>
      <c r="AB39" s="1106"/>
      <c r="AC39" s="1106"/>
      <c r="AD39" s="622"/>
      <c r="AE39" s="412"/>
      <c r="AF39" s="807" t="str">
        <f>IF(AD39="","",IF(AD39=Lists!$U$3,M39,IF(AD39=Lists!$U$4,V39,IF(AD39=Lists!$U$5,Y39-L39,AE39))))</f>
        <v/>
      </c>
      <c r="AG39" s="410" t="str">
        <f t="shared" si="3"/>
        <v/>
      </c>
      <c r="AH39" s="469" t="str">
        <f t="shared" si="4"/>
        <v/>
      </c>
      <c r="AI39" s="469" t="str">
        <f>IF($AF39=0,0,IFERROR(($L39+$AF39)/(HLOOKUP($D39,RentsUA!$K$12:$Q$35,19,FALSE)),""))</f>
        <v/>
      </c>
      <c r="AJ39" s="469" t="str">
        <f>IF($AF39=0,0,IFERROR(($AF39+K39+L39)/(HLOOKUP($D39,RentsUA!$K$12:$Q$35,19,FALSE)),""))</f>
        <v/>
      </c>
      <c r="AK39" s="469" t="str">
        <f t="shared" si="22"/>
        <v/>
      </c>
      <c r="AL39" s="469" t="str">
        <f t="shared" si="23"/>
        <v/>
      </c>
      <c r="AM39" s="1106" t="str">
        <f t="shared" si="24"/>
        <v/>
      </c>
      <c r="AN39" s="1106" t="str">
        <f>IFERROR(AM39*(1+'7a.20YrDetails'!$F$9),"")</f>
        <v/>
      </c>
      <c r="AO39" s="1106" t="str">
        <f>IFERROR(AN39*(1+'7a.20YrDetails'!$F$9),"")</f>
        <v/>
      </c>
      <c r="AP39" s="1106" t="str">
        <f>IFERROR(AO39*(1+'7a.20YrDetails'!$F$9),"")</f>
        <v/>
      </c>
      <c r="AQ39" s="1106" t="str">
        <f>IFERROR(AP39*(1+'7a.20YrDetails'!$F$9),"")</f>
        <v/>
      </c>
      <c r="AR39" s="674"/>
      <c r="AS39" s="672" t="str">
        <f>IF($D39=0,"",VLOOKUP($AR39,RentsUA!$A$12:$H$35,MATCH($D39,RentsUA!$A$12:$H$12,0),FALSE)-L39)</f>
        <v/>
      </c>
      <c r="AT39" s="1732" t="str">
        <f>IF($AF39=0,0,IFERROR(($AF39+L39)/(HLOOKUP($D39,RentsUA!$B$61:$H$62,2,FALSE)),""))</f>
        <v/>
      </c>
      <c r="AU39" s="1733" t="str">
        <f>IFERROR(G39/HLOOKUP(H39,RentsUA!$B$40:$I$41,2),"")</f>
        <v/>
      </c>
      <c r="BR39" s="404" t="str">
        <f t="shared" si="27"/>
        <v/>
      </c>
      <c r="BS39" s="5" t="str">
        <f t="array" ref="BS39">IFERROR(INDEX($BR$13:$BR$412, MATCH(0, COUNTIF($BS$12:$BS38, $BR$13:$BR$412), 0)),"")</f>
        <v/>
      </c>
      <c r="BT39" s="404" t="str">
        <f t="shared" si="19"/>
        <v/>
      </c>
      <c r="BU39" s="404" t="str">
        <f t="array" ref="BU39">IFERROR(INDEX($BT$13:$BT$412, MATCH(0, COUNTIF($BU$12:$BU38, $BT$13:$BT$412), 0)),"")</f>
        <v/>
      </c>
    </row>
    <row r="40" spans="1:73" s="404" customFormat="1" ht="13.2">
      <c r="A40" s="406">
        <f t="shared" si="20"/>
        <v>28</v>
      </c>
      <c r="B40" s="472"/>
      <c r="C40" s="470"/>
      <c r="D40" s="407"/>
      <c r="E40" s="407"/>
      <c r="F40" s="408"/>
      <c r="G40" s="409"/>
      <c r="H40" s="407"/>
      <c r="I40" s="1029" t="str">
        <f>IFERROR(G40/HLOOKUP(H40,RentsUA!$B$8:$J$9,2),"")</f>
        <v/>
      </c>
      <c r="J40" s="407"/>
      <c r="K40" s="412"/>
      <c r="L40" s="672">
        <f t="shared" si="0"/>
        <v>0</v>
      </c>
      <c r="M40" s="671"/>
      <c r="N40" s="410">
        <f t="shared" si="1"/>
        <v>0</v>
      </c>
      <c r="O40" s="469" t="str">
        <f>IF($M40=0,"",IFERROR(($L40+$M40)/(HLOOKUP($D40,RentsUA!$K$12:$Q$35,19,FALSE)),""))</f>
        <v/>
      </c>
      <c r="P40" s="469" t="str">
        <f>IF($M40=0,"",IFERROR(($M40+K40+L40)/(HLOOKUP($D40,RentsUA!$K$12:$Q$35,19,FALSE)),""))</f>
        <v/>
      </c>
      <c r="Q40" s="411"/>
      <c r="R40" s="673" t="str">
        <f>IF($Q40=0,"",VLOOKUP($Q40,RentsUA!$A$12:$H$35,MATCH($D40,RentsUA!$A$12:$H$12,0),FALSE))</f>
        <v/>
      </c>
      <c r="S40" s="409"/>
      <c r="T40" s="674"/>
      <c r="U40" s="672"/>
      <c r="V40" s="673" t="str">
        <f t="shared" si="21"/>
        <v/>
      </c>
      <c r="W40" s="470"/>
      <c r="X40" s="411"/>
      <c r="Y40" s="410" t="str">
        <f>IF(X40=0,"",VLOOKUP($X40,RentsUA!$A$12:$H$35,MATCH($D40,RentsUA!$A$12:$H$12,0),FALSE))</f>
        <v/>
      </c>
      <c r="Z40" s="410" t="str">
        <f t="shared" si="2"/>
        <v/>
      </c>
      <c r="AA40" s="1297" t="str">
        <f>IF(H40="","",IF(G40/HLOOKUP($H40,RentsUA!$M$8:$T$9,2,FALSE)&gt;1,"&gt; 80%","&lt;= 80%"))</f>
        <v/>
      </c>
      <c r="AB40" s="1106"/>
      <c r="AC40" s="1106"/>
      <c r="AD40" s="622"/>
      <c r="AE40" s="412"/>
      <c r="AF40" s="807" t="str">
        <f>IF(AD40="","",IF(AD40=Lists!$U$3,M40,IF(AD40=Lists!$U$4,V40,IF(AD40=Lists!$U$5,Y40-L40,AE40))))</f>
        <v/>
      </c>
      <c r="AG40" s="410" t="str">
        <f t="shared" si="3"/>
        <v/>
      </c>
      <c r="AH40" s="469" t="str">
        <f t="shared" si="4"/>
        <v/>
      </c>
      <c r="AI40" s="469" t="str">
        <f>IF($AF40=0,0,IFERROR(($L40+$AF40)/(HLOOKUP($D40,RentsUA!$K$12:$Q$35,19,FALSE)),""))</f>
        <v/>
      </c>
      <c r="AJ40" s="469" t="str">
        <f>IF($AF40=0,0,IFERROR(($AF40+K40+L40)/(HLOOKUP($D40,RentsUA!$K$12:$Q$35,19,FALSE)),""))</f>
        <v/>
      </c>
      <c r="AK40" s="469" t="str">
        <f t="shared" si="22"/>
        <v/>
      </c>
      <c r="AL40" s="469" t="str">
        <f t="shared" si="23"/>
        <v/>
      </c>
      <c r="AM40" s="1106" t="str">
        <f t="shared" si="24"/>
        <v/>
      </c>
      <c r="AN40" s="1106" t="str">
        <f>IFERROR(AM40*(1+'7a.20YrDetails'!$F$9),"")</f>
        <v/>
      </c>
      <c r="AO40" s="1106" t="str">
        <f>IFERROR(AN40*(1+'7a.20YrDetails'!$F$9),"")</f>
        <v/>
      </c>
      <c r="AP40" s="1106" t="str">
        <f>IFERROR(AO40*(1+'7a.20YrDetails'!$F$9),"")</f>
        <v/>
      </c>
      <c r="AQ40" s="1106" t="str">
        <f>IFERROR(AP40*(1+'7a.20YrDetails'!$F$9),"")</f>
        <v/>
      </c>
      <c r="AR40" s="674"/>
      <c r="AS40" s="672" t="str">
        <f>IF($D40=0,"",VLOOKUP($AR40,RentsUA!$A$12:$H$35,MATCH($D40,RentsUA!$A$12:$H$12,0),FALSE)-L40)</f>
        <v/>
      </c>
      <c r="AT40" s="1732" t="str">
        <f>IF($AF40=0,0,IFERROR(($AF40+L40)/(HLOOKUP($D40,RentsUA!$B$61:$H$62,2,FALSE)),""))</f>
        <v/>
      </c>
      <c r="AU40" s="1733" t="str">
        <f>IFERROR(G40/HLOOKUP(H40,RentsUA!$B$40:$I$41,2),"")</f>
        <v/>
      </c>
      <c r="BR40" s="404" t="str">
        <f t="shared" si="27"/>
        <v/>
      </c>
      <c r="BS40" s="5" t="str">
        <f t="array" ref="BS40">IFERROR(INDEX($BR$13:$BR$412, MATCH(0, COUNTIF($BS$12:$BS39, $BR$13:$BR$412), 0)),"")</f>
        <v/>
      </c>
      <c r="BT40" s="404" t="str">
        <f t="shared" si="19"/>
        <v/>
      </c>
      <c r="BU40" s="404" t="str">
        <f t="array" ref="BU40">IFERROR(INDEX($BT$13:$BT$412, MATCH(0, COUNTIF($BU$12:$BU39, $BT$13:$BT$412), 0)),"")</f>
        <v/>
      </c>
    </row>
    <row r="41" spans="1:73" s="404" customFormat="1" ht="13.2">
      <c r="A41" s="406">
        <f t="shared" si="20"/>
        <v>29</v>
      </c>
      <c r="B41" s="472"/>
      <c r="C41" s="470"/>
      <c r="D41" s="407"/>
      <c r="E41" s="407"/>
      <c r="F41" s="408"/>
      <c r="G41" s="409"/>
      <c r="H41" s="407"/>
      <c r="I41" s="1029" t="str">
        <f>IFERROR(G41/HLOOKUP(H41,RentsUA!$B$8:$J$9,2),"")</f>
        <v/>
      </c>
      <c r="J41" s="407"/>
      <c r="K41" s="412"/>
      <c r="L41" s="672">
        <f t="shared" si="0"/>
        <v>0</v>
      </c>
      <c r="M41" s="671"/>
      <c r="N41" s="410">
        <f t="shared" si="1"/>
        <v>0</v>
      </c>
      <c r="O41" s="469" t="str">
        <f>IF($M41=0,"",IFERROR(($L41+$M41)/(HLOOKUP($D41,RentsUA!$K$12:$Q$35,19,FALSE)),""))</f>
        <v/>
      </c>
      <c r="P41" s="469" t="str">
        <f>IF($M41=0,"",IFERROR(($M41+K41+L41)/(HLOOKUP($D41,RentsUA!$K$12:$Q$35,19,FALSE)),""))</f>
        <v/>
      </c>
      <c r="Q41" s="411"/>
      <c r="R41" s="673" t="str">
        <f>IF($Q41=0,"",VLOOKUP($Q41,RentsUA!$A$12:$H$35,MATCH($D41,RentsUA!$A$12:$H$12,0),FALSE))</f>
        <v/>
      </c>
      <c r="S41" s="409"/>
      <c r="T41" s="674"/>
      <c r="U41" s="672"/>
      <c r="V41" s="673" t="str">
        <f t="shared" si="21"/>
        <v/>
      </c>
      <c r="W41" s="470"/>
      <c r="X41" s="411"/>
      <c r="Y41" s="410" t="str">
        <f>IF(X41=0,"",VLOOKUP($X41,RentsUA!$A$12:$H$35,MATCH($D41,RentsUA!$A$12:$H$12,0),FALSE))</f>
        <v/>
      </c>
      <c r="Z41" s="410" t="str">
        <f t="shared" si="2"/>
        <v/>
      </c>
      <c r="AA41" s="1297" t="str">
        <f>IF(H41="","",IF(G41/HLOOKUP($H41,RentsUA!$M$8:$T$9,2,FALSE)&gt;1,"&gt; 80%","&lt;= 80%"))</f>
        <v/>
      </c>
      <c r="AB41" s="1106"/>
      <c r="AC41" s="1106"/>
      <c r="AD41" s="622"/>
      <c r="AE41" s="412"/>
      <c r="AF41" s="807" t="str">
        <f>IF(AD41="","",IF(AD41=Lists!$U$3,M41,IF(AD41=Lists!$U$4,V41,IF(AD41=Lists!$U$5,Y41-L41,AE41))))</f>
        <v/>
      </c>
      <c r="AG41" s="410" t="str">
        <f t="shared" si="3"/>
        <v/>
      </c>
      <c r="AH41" s="469" t="str">
        <f t="shared" si="4"/>
        <v/>
      </c>
      <c r="AI41" s="469" t="str">
        <f>IF($AF41=0,0,IFERROR(($L41+$AF41)/(HLOOKUP($D41,RentsUA!$K$12:$Q$35,19,FALSE)),""))</f>
        <v/>
      </c>
      <c r="AJ41" s="469" t="str">
        <f>IF($AF41=0,0,IFERROR(($AF41+K41+L41)/(HLOOKUP($D41,RentsUA!$K$12:$Q$35,19,FALSE)),""))</f>
        <v/>
      </c>
      <c r="AK41" s="469" t="str">
        <f t="shared" si="22"/>
        <v/>
      </c>
      <c r="AL41" s="469" t="str">
        <f t="shared" si="23"/>
        <v/>
      </c>
      <c r="AM41" s="1106" t="str">
        <f t="shared" si="24"/>
        <v/>
      </c>
      <c r="AN41" s="1106" t="str">
        <f>IFERROR(AM41*(1+'7a.20YrDetails'!$F$9),"")</f>
        <v/>
      </c>
      <c r="AO41" s="1106" t="str">
        <f>IFERROR(AN41*(1+'7a.20YrDetails'!$F$9),"")</f>
        <v/>
      </c>
      <c r="AP41" s="1106" t="str">
        <f>IFERROR(AO41*(1+'7a.20YrDetails'!$F$9),"")</f>
        <v/>
      </c>
      <c r="AQ41" s="1106" t="str">
        <f>IFERROR(AP41*(1+'7a.20YrDetails'!$F$9),"")</f>
        <v/>
      </c>
      <c r="AR41" s="674"/>
      <c r="AS41" s="672" t="str">
        <f>IF($D41=0,"",VLOOKUP($AR41,RentsUA!$A$12:$H$35,MATCH($D41,RentsUA!$A$12:$H$12,0),FALSE)-L41)</f>
        <v/>
      </c>
      <c r="AT41" s="1732" t="str">
        <f>IF($AF41=0,0,IFERROR(($AF41+L41)/(HLOOKUP($D41,RentsUA!$B$61:$H$62,2,FALSE)),""))</f>
        <v/>
      </c>
      <c r="AU41" s="1733" t="str">
        <f>IFERROR(G41/HLOOKUP(H41,RentsUA!$B$40:$I$41,2),"")</f>
        <v/>
      </c>
      <c r="BR41" s="404" t="str">
        <f t="shared" si="27"/>
        <v/>
      </c>
      <c r="BS41" s="5" t="str">
        <f t="array" ref="BS41">IFERROR(INDEX($BR$13:$BR$412, MATCH(0, COUNTIF($BS$12:$BS40, $BR$13:$BR$412), 0)),"")</f>
        <v/>
      </c>
      <c r="BT41" s="404" t="str">
        <f t="shared" si="19"/>
        <v/>
      </c>
      <c r="BU41" s="404" t="str">
        <f t="array" ref="BU41">IFERROR(INDEX($BT$13:$BT$412, MATCH(0, COUNTIF($BU$12:$BU40, $BT$13:$BT$412), 0)),"")</f>
        <v/>
      </c>
    </row>
    <row r="42" spans="1:73" s="404" customFormat="1" ht="13.2">
      <c r="A42" s="406">
        <f t="shared" si="20"/>
        <v>30</v>
      </c>
      <c r="B42" s="472"/>
      <c r="C42" s="470"/>
      <c r="D42" s="407"/>
      <c r="E42" s="407"/>
      <c r="F42" s="408"/>
      <c r="G42" s="409"/>
      <c r="H42" s="407"/>
      <c r="I42" s="1029" t="str">
        <f>IFERROR(G42/HLOOKUP(H42,RentsUA!$B$8:$J$9,2),"")</f>
        <v/>
      </c>
      <c r="J42" s="407"/>
      <c r="K42" s="412"/>
      <c r="L42" s="672">
        <f t="shared" si="0"/>
        <v>0</v>
      </c>
      <c r="M42" s="671"/>
      <c r="N42" s="410">
        <f t="shared" si="1"/>
        <v>0</v>
      </c>
      <c r="O42" s="469" t="str">
        <f>IF($M42=0,"",IFERROR(($L42+$M42)/(HLOOKUP($D42,RentsUA!$K$12:$Q$35,19,FALSE)),""))</f>
        <v/>
      </c>
      <c r="P42" s="469" t="str">
        <f>IF($M42=0,"",IFERROR(($M42+K42+L42)/(HLOOKUP($D42,RentsUA!$K$12:$Q$35,19,FALSE)),""))</f>
        <v/>
      </c>
      <c r="Q42" s="411"/>
      <c r="R42" s="673" t="str">
        <f>IF($Q42=0,"",VLOOKUP($Q42,RentsUA!$A$12:$H$35,MATCH($D42,RentsUA!$A$12:$H$12,0),FALSE))</f>
        <v/>
      </c>
      <c r="S42" s="409"/>
      <c r="T42" s="674"/>
      <c r="U42" s="672"/>
      <c r="V42" s="673" t="str">
        <f t="shared" si="21"/>
        <v/>
      </c>
      <c r="W42" s="470"/>
      <c r="X42" s="411"/>
      <c r="Y42" s="410" t="str">
        <f>IF(X42=0,"",VLOOKUP($X42,RentsUA!$A$12:$H$35,MATCH($D42,RentsUA!$A$12:$H$12,0),FALSE))</f>
        <v/>
      </c>
      <c r="Z42" s="410" t="str">
        <f t="shared" si="2"/>
        <v/>
      </c>
      <c r="AA42" s="1297" t="str">
        <f>IF(H42="","",IF(G42/HLOOKUP($H42,RentsUA!$M$8:$T$9,2,FALSE)&gt;1,"&gt; 80%","&lt;= 80%"))</f>
        <v/>
      </c>
      <c r="AB42" s="1106"/>
      <c r="AC42" s="1106"/>
      <c r="AD42" s="622"/>
      <c r="AE42" s="412"/>
      <c r="AF42" s="807" t="str">
        <f>IF(AD42="","",IF(AD42=Lists!$U$3,M42,IF(AD42=Lists!$U$4,V42,IF(AD42=Lists!$U$5,Y42-L42,AE42))))</f>
        <v/>
      </c>
      <c r="AG42" s="410" t="str">
        <f t="shared" si="3"/>
        <v/>
      </c>
      <c r="AH42" s="469" t="str">
        <f t="shared" si="4"/>
        <v/>
      </c>
      <c r="AI42" s="469" t="str">
        <f>IF($AF42=0,0,IFERROR(($L42+$AF42)/(HLOOKUP($D42,RentsUA!$K$12:$Q$35,19,FALSE)),""))</f>
        <v/>
      </c>
      <c r="AJ42" s="469" t="str">
        <f>IF($AF42=0,0,IFERROR(($AF42+K42+L42)/(HLOOKUP($D42,RentsUA!$K$12:$Q$35,19,FALSE)),""))</f>
        <v/>
      </c>
      <c r="AK42" s="469" t="str">
        <f t="shared" si="22"/>
        <v/>
      </c>
      <c r="AL42" s="469" t="str">
        <f t="shared" si="23"/>
        <v/>
      </c>
      <c r="AM42" s="1106" t="str">
        <f t="shared" si="24"/>
        <v/>
      </c>
      <c r="AN42" s="1106" t="str">
        <f>IFERROR(AM42*(1+'7a.20YrDetails'!$F$9),"")</f>
        <v/>
      </c>
      <c r="AO42" s="1106" t="str">
        <f>IFERROR(AN42*(1+'7a.20YrDetails'!$F$9),"")</f>
        <v/>
      </c>
      <c r="AP42" s="1106" t="str">
        <f>IFERROR(AO42*(1+'7a.20YrDetails'!$F$9),"")</f>
        <v/>
      </c>
      <c r="AQ42" s="1106" t="str">
        <f>IFERROR(AP42*(1+'7a.20YrDetails'!$F$9),"")</f>
        <v/>
      </c>
      <c r="AR42" s="674"/>
      <c r="AS42" s="672" t="str">
        <f>IF($D42=0,"",VLOOKUP($AR42,RentsUA!$A$12:$H$35,MATCH($D42,RentsUA!$A$12:$H$12,0),FALSE)-L42)</f>
        <v/>
      </c>
      <c r="AT42" s="1732" t="str">
        <f>IF($AF42=0,0,IFERROR(($AF42+L42)/(HLOOKUP($D42,RentsUA!$B$61:$H$62,2,FALSE)),""))</f>
        <v/>
      </c>
      <c r="AU42" s="1733" t="str">
        <f>IFERROR(G42/HLOOKUP(H42,RentsUA!$B$40:$I$41,2),"")</f>
        <v/>
      </c>
      <c r="BR42" s="404" t="str">
        <f t="shared" si="27"/>
        <v/>
      </c>
      <c r="BS42" s="5" t="str">
        <f t="array" ref="BS42">IFERROR(INDEX($BR$13:$BR$412, MATCH(0, COUNTIF($BS$12:$BS41, $BR$13:$BR$412), 0)),"")</f>
        <v/>
      </c>
      <c r="BT42" s="404" t="str">
        <f t="shared" si="19"/>
        <v/>
      </c>
      <c r="BU42" s="404" t="str">
        <f t="array" ref="BU42">IFERROR(INDEX($BT$13:$BT$412, MATCH(0, COUNTIF($BU$12:$BU41, $BT$13:$BT$412), 0)),"")</f>
        <v/>
      </c>
    </row>
    <row r="43" spans="1:73" s="404" customFormat="1" ht="13.2">
      <c r="A43" s="406">
        <f t="shared" si="20"/>
        <v>31</v>
      </c>
      <c r="B43" s="472"/>
      <c r="C43" s="470"/>
      <c r="D43" s="407"/>
      <c r="E43" s="407"/>
      <c r="F43" s="408"/>
      <c r="G43" s="409"/>
      <c r="H43" s="407"/>
      <c r="I43" s="1029" t="str">
        <f>IFERROR(G43/HLOOKUP(H43,RentsUA!$B$8:$J$9,2),"")</f>
        <v/>
      </c>
      <c r="J43" s="407"/>
      <c r="K43" s="412"/>
      <c r="L43" s="672">
        <f t="shared" si="0"/>
        <v>0</v>
      </c>
      <c r="M43" s="671"/>
      <c r="N43" s="410">
        <f t="shared" si="1"/>
        <v>0</v>
      </c>
      <c r="O43" s="469" t="str">
        <f>IF($M43=0,"",IFERROR(($L43+$M43)/(HLOOKUP($D43,RentsUA!$K$12:$Q$35,19,FALSE)),""))</f>
        <v/>
      </c>
      <c r="P43" s="469" t="str">
        <f>IF($M43=0,"",IFERROR(($M43+K43+L43)/(HLOOKUP($D43,RentsUA!$K$12:$Q$35,19,FALSE)),""))</f>
        <v/>
      </c>
      <c r="Q43" s="411"/>
      <c r="R43" s="673" t="str">
        <f>IF($Q43=0,"",VLOOKUP($Q43,RentsUA!$A$12:$H$35,MATCH($D43,RentsUA!$A$12:$H$12,0),FALSE))</f>
        <v/>
      </c>
      <c r="S43" s="409"/>
      <c r="T43" s="674"/>
      <c r="U43" s="672"/>
      <c r="V43" s="673" t="str">
        <f t="shared" si="21"/>
        <v/>
      </c>
      <c r="W43" s="470"/>
      <c r="X43" s="411"/>
      <c r="Y43" s="410" t="str">
        <f>IF(X43=0,"",VLOOKUP($X43,RentsUA!$A$12:$H$35,MATCH($D43,RentsUA!$A$12:$H$12,0),FALSE))</f>
        <v/>
      </c>
      <c r="Z43" s="410" t="str">
        <f t="shared" si="2"/>
        <v/>
      </c>
      <c r="AA43" s="1297" t="str">
        <f>IF(H43="","",IF(G43/HLOOKUP($H43,RentsUA!$M$8:$T$9,2,FALSE)&gt;1,"&gt; 80%","&lt;= 80%"))</f>
        <v/>
      </c>
      <c r="AB43" s="1106"/>
      <c r="AC43" s="1106"/>
      <c r="AD43" s="622"/>
      <c r="AE43" s="412"/>
      <c r="AF43" s="807" t="str">
        <f>IF(AD43="","",IF(AD43=Lists!$U$3,M43,IF(AD43=Lists!$U$4,V43,IF(AD43=Lists!$U$5,Y43-L43,AE43))))</f>
        <v/>
      </c>
      <c r="AG43" s="410" t="str">
        <f t="shared" si="3"/>
        <v/>
      </c>
      <c r="AH43" s="469" t="str">
        <f t="shared" si="4"/>
        <v/>
      </c>
      <c r="AI43" s="469" t="str">
        <f>IF($AF43=0,0,IFERROR(($L43+$AF43)/(HLOOKUP($D43,RentsUA!$K$12:$Q$35,19,FALSE)),""))</f>
        <v/>
      </c>
      <c r="AJ43" s="469" t="str">
        <f>IF($AF43=0,0,IFERROR(($AF43+K43+L43)/(HLOOKUP($D43,RentsUA!$K$12:$Q$35,19,FALSE)),""))</f>
        <v/>
      </c>
      <c r="AK43" s="469" t="str">
        <f t="shared" si="22"/>
        <v/>
      </c>
      <c r="AL43" s="469" t="str">
        <f t="shared" si="23"/>
        <v/>
      </c>
      <c r="AM43" s="1106" t="str">
        <f t="shared" si="24"/>
        <v/>
      </c>
      <c r="AN43" s="1106" t="str">
        <f>IFERROR(AM43*(1+'7a.20YrDetails'!$F$9),"")</f>
        <v/>
      </c>
      <c r="AO43" s="1106" t="str">
        <f>IFERROR(AN43*(1+'7a.20YrDetails'!$F$9),"")</f>
        <v/>
      </c>
      <c r="AP43" s="1106" t="str">
        <f>IFERROR(AO43*(1+'7a.20YrDetails'!$F$9),"")</f>
        <v/>
      </c>
      <c r="AQ43" s="1106" t="str">
        <f>IFERROR(AP43*(1+'7a.20YrDetails'!$F$9),"")</f>
        <v/>
      </c>
      <c r="AR43" s="674"/>
      <c r="AS43" s="672" t="str">
        <f>IF($D43=0,"",VLOOKUP($AR43,RentsUA!$A$12:$H$35,MATCH($D43,RentsUA!$A$12:$H$12,0),FALSE)-L43)</f>
        <v/>
      </c>
      <c r="AT43" s="1732" t="str">
        <f>IF($AF43=0,0,IFERROR(($AF43+L43)/(HLOOKUP($D43,RentsUA!$B$61:$H$62,2,FALSE)),""))</f>
        <v/>
      </c>
      <c r="AU43" s="1733" t="str">
        <f>IFERROR(G43/HLOOKUP(H43,RentsUA!$B$40:$I$41,2),"")</f>
        <v/>
      </c>
      <c r="BR43" s="404" t="str">
        <f t="shared" si="27"/>
        <v/>
      </c>
      <c r="BS43" s="5" t="str">
        <f t="array" ref="BS43">IFERROR(INDEX($BR$13:$BR$412, MATCH(0, COUNTIF($BS$12:$BS42, $BR$13:$BR$412), 0)),"")</f>
        <v/>
      </c>
      <c r="BT43" s="404" t="str">
        <f t="shared" si="19"/>
        <v/>
      </c>
      <c r="BU43" s="404" t="str">
        <f t="array" ref="BU43">IFERROR(INDEX($BT$13:$BT$412, MATCH(0, COUNTIF($BU$12:$BU42, $BT$13:$BT$412), 0)),"")</f>
        <v/>
      </c>
    </row>
    <row r="44" spans="1:73" s="404" customFormat="1" ht="13.2">
      <c r="A44" s="406">
        <f t="shared" si="20"/>
        <v>32</v>
      </c>
      <c r="B44" s="472"/>
      <c r="C44" s="470"/>
      <c r="D44" s="407"/>
      <c r="E44" s="407"/>
      <c r="F44" s="408"/>
      <c r="G44" s="409"/>
      <c r="H44" s="407"/>
      <c r="I44" s="1029" t="str">
        <f>IFERROR(G44/HLOOKUP(H44,RentsUA!$B$8:$J$9,2),"")</f>
        <v/>
      </c>
      <c r="J44" s="407"/>
      <c r="K44" s="412"/>
      <c r="L44" s="672">
        <f t="shared" si="0"/>
        <v>0</v>
      </c>
      <c r="M44" s="671"/>
      <c r="N44" s="410">
        <f t="shared" si="1"/>
        <v>0</v>
      </c>
      <c r="O44" s="469" t="str">
        <f>IF($M44=0,"",IFERROR(($L44+$M44)/(HLOOKUP($D44,RentsUA!$K$12:$Q$35,19,FALSE)),""))</f>
        <v/>
      </c>
      <c r="P44" s="469" t="str">
        <f>IF($M44=0,"",IFERROR(($M44+K44+L44)/(HLOOKUP($D44,RentsUA!$K$12:$Q$35,19,FALSE)),""))</f>
        <v/>
      </c>
      <c r="Q44" s="411"/>
      <c r="R44" s="673" t="str">
        <f>IF($Q44=0,"",VLOOKUP($Q44,RentsUA!$A$12:$H$35,MATCH($D44,RentsUA!$A$12:$H$12,0),FALSE))</f>
        <v/>
      </c>
      <c r="S44" s="409"/>
      <c r="T44" s="674"/>
      <c r="U44" s="672"/>
      <c r="V44" s="673" t="str">
        <f t="shared" si="21"/>
        <v/>
      </c>
      <c r="W44" s="470"/>
      <c r="X44" s="411"/>
      <c r="Y44" s="410" t="str">
        <f>IF(X44=0,"",VLOOKUP($X44,RentsUA!$A$12:$H$35,MATCH($D44,RentsUA!$A$12:$H$12,0),FALSE))</f>
        <v/>
      </c>
      <c r="Z44" s="410" t="str">
        <f t="shared" si="2"/>
        <v/>
      </c>
      <c r="AA44" s="1297" t="str">
        <f>IF(H44="","",IF(G44/HLOOKUP($H44,RentsUA!$M$8:$T$9,2,FALSE)&gt;1,"&gt; 80%","&lt;= 80%"))</f>
        <v/>
      </c>
      <c r="AB44" s="1106"/>
      <c r="AC44" s="1106"/>
      <c r="AD44" s="622"/>
      <c r="AE44" s="412"/>
      <c r="AF44" s="807" t="str">
        <f>IF(AD44="","",IF(AD44=Lists!$U$3,M44,IF(AD44=Lists!$U$4,V44,IF(AD44=Lists!$U$5,Y44-L44,AE44))))</f>
        <v/>
      </c>
      <c r="AG44" s="410" t="str">
        <f t="shared" si="3"/>
        <v/>
      </c>
      <c r="AH44" s="469" t="str">
        <f t="shared" si="4"/>
        <v/>
      </c>
      <c r="AI44" s="469" t="str">
        <f>IF($AF44=0,0,IFERROR(($L44+$AF44)/(HLOOKUP($D44,RentsUA!$K$12:$Q$35,19,FALSE)),""))</f>
        <v/>
      </c>
      <c r="AJ44" s="469" t="str">
        <f>IF($AF44=0,0,IFERROR(($AF44+K44+L44)/(HLOOKUP($D44,RentsUA!$K$12:$Q$35,19,FALSE)),""))</f>
        <v/>
      </c>
      <c r="AK44" s="469" t="str">
        <f t="shared" si="22"/>
        <v/>
      </c>
      <c r="AL44" s="469" t="str">
        <f t="shared" si="23"/>
        <v/>
      </c>
      <c r="AM44" s="1106" t="str">
        <f t="shared" si="24"/>
        <v/>
      </c>
      <c r="AN44" s="1106" t="str">
        <f>IFERROR(AM44*(1+'7a.20YrDetails'!$F$9),"")</f>
        <v/>
      </c>
      <c r="AO44" s="1106" t="str">
        <f>IFERROR(AN44*(1+'7a.20YrDetails'!$F$9),"")</f>
        <v/>
      </c>
      <c r="AP44" s="1106" t="str">
        <f>IFERROR(AO44*(1+'7a.20YrDetails'!$F$9),"")</f>
        <v/>
      </c>
      <c r="AQ44" s="1106" t="str">
        <f>IFERROR(AP44*(1+'7a.20YrDetails'!$F$9),"")</f>
        <v/>
      </c>
      <c r="AR44" s="674"/>
      <c r="AS44" s="672" t="str">
        <f>IF($D44=0,"",VLOOKUP($AR44,RentsUA!$A$12:$H$35,MATCH($D44,RentsUA!$A$12:$H$12,0),FALSE)-L44)</f>
        <v/>
      </c>
      <c r="AT44" s="1732" t="str">
        <f>IF($AF44=0,0,IFERROR(($AF44+L44)/(HLOOKUP($D44,RentsUA!$B$61:$H$62,2,FALSE)),""))</f>
        <v/>
      </c>
      <c r="AU44" s="1733" t="str">
        <f>IFERROR(G44/HLOOKUP(H44,RentsUA!$B$40:$I$41,2),"")</f>
        <v/>
      </c>
      <c r="BR44" s="404" t="str">
        <f t="shared" si="27"/>
        <v/>
      </c>
      <c r="BS44" s="5" t="str">
        <f t="array" ref="BS44">IFERROR(INDEX($BR$13:$BR$412, MATCH(0, COUNTIF($BS$12:$BS43, $BR$13:$BR$412), 0)),"")</f>
        <v/>
      </c>
      <c r="BT44" s="404" t="str">
        <f t="shared" si="19"/>
        <v/>
      </c>
      <c r="BU44" s="404" t="str">
        <f t="array" ref="BU44">IFERROR(INDEX($BT$13:$BT$412, MATCH(0, COUNTIF($BU$12:$BU43, $BT$13:$BT$412), 0)),"")</f>
        <v/>
      </c>
    </row>
    <row r="45" spans="1:73" s="404" customFormat="1" ht="13.2">
      <c r="A45" s="406">
        <f t="shared" si="20"/>
        <v>33</v>
      </c>
      <c r="B45" s="472"/>
      <c r="C45" s="470"/>
      <c r="D45" s="407"/>
      <c r="E45" s="407"/>
      <c r="F45" s="408"/>
      <c r="G45" s="409"/>
      <c r="H45" s="407"/>
      <c r="I45" s="1029" t="str">
        <f>IFERROR(G45/HLOOKUP(H45,RentsUA!$B$8:$J$9,2),"")</f>
        <v/>
      </c>
      <c r="J45" s="407"/>
      <c r="K45" s="412"/>
      <c r="L45" s="672">
        <f t="shared" si="0"/>
        <v>0</v>
      </c>
      <c r="M45" s="671"/>
      <c r="N45" s="410">
        <f t="shared" si="1"/>
        <v>0</v>
      </c>
      <c r="O45" s="469" t="str">
        <f>IF($M45=0,"",IFERROR(($L45+$M45)/(HLOOKUP($D45,RentsUA!$K$12:$Q$35,19,FALSE)),""))</f>
        <v/>
      </c>
      <c r="P45" s="469" t="str">
        <f>IF($M45=0,"",IFERROR(($M45+K45+L45)/(HLOOKUP($D45,RentsUA!$K$12:$Q$35,19,FALSE)),""))</f>
        <v/>
      </c>
      <c r="Q45" s="411"/>
      <c r="R45" s="673" t="str">
        <f>IF($Q45=0,"",VLOOKUP($Q45,RentsUA!$A$12:$H$35,MATCH($D45,RentsUA!$A$12:$H$12,0),FALSE))</f>
        <v/>
      </c>
      <c r="S45" s="409"/>
      <c r="T45" s="674"/>
      <c r="U45" s="672"/>
      <c r="V45" s="673" t="str">
        <f t="shared" si="21"/>
        <v/>
      </c>
      <c r="W45" s="470"/>
      <c r="X45" s="411"/>
      <c r="Y45" s="410" t="str">
        <f>IF(X45=0,"",VLOOKUP($X45,RentsUA!$A$12:$H$35,MATCH($D45,RentsUA!$A$12:$H$12,0),FALSE))</f>
        <v/>
      </c>
      <c r="Z45" s="410" t="str">
        <f t="shared" si="2"/>
        <v/>
      </c>
      <c r="AA45" s="1297" t="str">
        <f>IF(H45="","",IF(G45/HLOOKUP($H45,RentsUA!$M$8:$T$9,2,FALSE)&gt;1,"&gt; 80%","&lt;= 80%"))</f>
        <v/>
      </c>
      <c r="AB45" s="1106"/>
      <c r="AC45" s="1106"/>
      <c r="AD45" s="622"/>
      <c r="AE45" s="412"/>
      <c r="AF45" s="807" t="str">
        <f>IF(AD45="","",IF(AD45=Lists!$U$3,M45,IF(AD45=Lists!$U$4,V45,IF(AD45=Lists!$U$5,Y45-L45,AE45))))</f>
        <v/>
      </c>
      <c r="AG45" s="410" t="str">
        <f t="shared" si="3"/>
        <v/>
      </c>
      <c r="AH45" s="469" t="str">
        <f t="shared" si="4"/>
        <v/>
      </c>
      <c r="AI45" s="469" t="str">
        <f>IF($AF45=0,0,IFERROR(($L45+$AF45)/(HLOOKUP($D45,RentsUA!$K$12:$Q$35,19,FALSE)),""))</f>
        <v/>
      </c>
      <c r="AJ45" s="469" t="str">
        <f>IF($AF45=0,0,IFERROR(($AF45+K45+L45)/(HLOOKUP($D45,RentsUA!$K$12:$Q$35,19,FALSE)),""))</f>
        <v/>
      </c>
      <c r="AK45" s="469" t="str">
        <f t="shared" si="22"/>
        <v/>
      </c>
      <c r="AL45" s="469" t="str">
        <f t="shared" si="23"/>
        <v/>
      </c>
      <c r="AM45" s="1106" t="str">
        <f t="shared" si="24"/>
        <v/>
      </c>
      <c r="AN45" s="1106" t="str">
        <f>IFERROR(AM45*(1+'7a.20YrDetails'!$F$9),"")</f>
        <v/>
      </c>
      <c r="AO45" s="1106" t="str">
        <f>IFERROR(AN45*(1+'7a.20YrDetails'!$F$9),"")</f>
        <v/>
      </c>
      <c r="AP45" s="1106" t="str">
        <f>IFERROR(AO45*(1+'7a.20YrDetails'!$F$9),"")</f>
        <v/>
      </c>
      <c r="AQ45" s="1106" t="str">
        <f>IFERROR(AP45*(1+'7a.20YrDetails'!$F$9),"")</f>
        <v/>
      </c>
      <c r="AR45" s="674"/>
      <c r="AS45" s="672" t="str">
        <f>IF($D45=0,"",VLOOKUP($AR45,RentsUA!$A$12:$H$35,MATCH($D45,RentsUA!$A$12:$H$12,0),FALSE)-L45)</f>
        <v/>
      </c>
      <c r="AT45" s="1732" t="str">
        <f>IF($AF45=0,0,IFERROR(($AF45+L45)/(HLOOKUP($D45,RentsUA!$B$61:$H$62,2,FALSE)),""))</f>
        <v/>
      </c>
      <c r="AU45" s="1733" t="str">
        <f>IFERROR(G45/HLOOKUP(H45,RentsUA!$B$40:$I$41,2),"")</f>
        <v/>
      </c>
      <c r="BR45" s="404" t="str">
        <f t="shared" si="27"/>
        <v/>
      </c>
      <c r="BS45" s="5" t="str">
        <f t="array" ref="BS45">IFERROR(INDEX($BR$13:$BR$412, MATCH(0, COUNTIF($BS$12:$BS44, $BR$13:$BR$412), 0)),"")</f>
        <v/>
      </c>
      <c r="BT45" s="404" t="str">
        <f t="shared" ref="BT45:BT76" si="28">IF(X45="","",CONCATENATE("MOHCD ",X45*100,"%"))</f>
        <v/>
      </c>
      <c r="BU45" s="404" t="str">
        <f t="array" ref="BU45">IFERROR(INDEX($BT$13:$BT$412, MATCH(0, COUNTIF($BU$12:$BU44, $BT$13:$BT$412), 0)),"")</f>
        <v/>
      </c>
    </row>
    <row r="46" spans="1:73" s="404" customFormat="1" ht="13.2">
      <c r="A46" s="406">
        <f t="shared" si="20"/>
        <v>34</v>
      </c>
      <c r="B46" s="472"/>
      <c r="C46" s="470"/>
      <c r="D46" s="407"/>
      <c r="E46" s="407"/>
      <c r="F46" s="408"/>
      <c r="G46" s="409"/>
      <c r="H46" s="407"/>
      <c r="I46" s="1029" t="str">
        <f>IFERROR(G46/HLOOKUP(H46,RentsUA!$B$8:$J$9,2),"")</f>
        <v/>
      </c>
      <c r="J46" s="407"/>
      <c r="K46" s="412"/>
      <c r="L46" s="672">
        <f t="shared" si="0"/>
        <v>0</v>
      </c>
      <c r="M46" s="671"/>
      <c r="N46" s="410">
        <f t="shared" si="1"/>
        <v>0</v>
      </c>
      <c r="O46" s="469" t="str">
        <f>IF($M46=0,"",IFERROR(($L46+$M46)/(HLOOKUP($D46,RentsUA!$K$12:$Q$35,19,FALSE)),""))</f>
        <v/>
      </c>
      <c r="P46" s="469" t="str">
        <f>IF($M46=0,"",IFERROR(($M46+K46+L46)/(HLOOKUP($D46,RentsUA!$K$12:$Q$35,19,FALSE)),""))</f>
        <v/>
      </c>
      <c r="Q46" s="411"/>
      <c r="R46" s="673" t="str">
        <f>IF($Q46=0,"",VLOOKUP($Q46,RentsUA!$A$12:$H$35,MATCH($D46,RentsUA!$A$12:$H$12,0),FALSE))</f>
        <v/>
      </c>
      <c r="S46" s="409"/>
      <c r="T46" s="674"/>
      <c r="U46" s="672"/>
      <c r="V46" s="673" t="str">
        <f t="shared" si="21"/>
        <v/>
      </c>
      <c r="W46" s="470"/>
      <c r="X46" s="411"/>
      <c r="Y46" s="410" t="str">
        <f>IF(X46=0,"",VLOOKUP($X46,RentsUA!$A$12:$H$35,MATCH($D46,RentsUA!$A$12:$H$12,0),FALSE))</f>
        <v/>
      </c>
      <c r="Z46" s="410" t="str">
        <f t="shared" si="2"/>
        <v/>
      </c>
      <c r="AA46" s="1297" t="str">
        <f>IF(H46="","",IF(G46/HLOOKUP($H46,RentsUA!$M$8:$T$9,2,FALSE)&gt;1,"&gt; 80%","&lt;= 80%"))</f>
        <v/>
      </c>
      <c r="AB46" s="1106"/>
      <c r="AC46" s="1106"/>
      <c r="AD46" s="622"/>
      <c r="AE46" s="412"/>
      <c r="AF46" s="807" t="str">
        <f>IF(AD46="","",IF(AD46=Lists!$U$3,M46,IF(AD46=Lists!$U$4,V46,IF(AD46=Lists!$U$5,Y46-L46,AE46))))</f>
        <v/>
      </c>
      <c r="AG46" s="410" t="str">
        <f t="shared" si="3"/>
        <v/>
      </c>
      <c r="AH46" s="469" t="str">
        <f t="shared" si="4"/>
        <v/>
      </c>
      <c r="AI46" s="469" t="str">
        <f>IF($AF46=0,0,IFERROR(($L46+$AF46)/(HLOOKUP($D46,RentsUA!$K$12:$Q$35,19,FALSE)),""))</f>
        <v/>
      </c>
      <c r="AJ46" s="469" t="str">
        <f>IF($AF46=0,0,IFERROR(($AF46+K46+L46)/(HLOOKUP($D46,RentsUA!$K$12:$Q$35,19,FALSE)),""))</f>
        <v/>
      </c>
      <c r="AK46" s="469" t="str">
        <f t="shared" si="22"/>
        <v/>
      </c>
      <c r="AL46" s="469" t="str">
        <f t="shared" si="23"/>
        <v/>
      </c>
      <c r="AM46" s="1106" t="str">
        <f t="shared" si="24"/>
        <v/>
      </c>
      <c r="AN46" s="1106" t="str">
        <f>IFERROR(AM46*(1+'7a.20YrDetails'!$F$9),"")</f>
        <v/>
      </c>
      <c r="AO46" s="1106" t="str">
        <f>IFERROR(AN46*(1+'7a.20YrDetails'!$F$9),"")</f>
        <v/>
      </c>
      <c r="AP46" s="1106" t="str">
        <f>IFERROR(AO46*(1+'7a.20YrDetails'!$F$9),"")</f>
        <v/>
      </c>
      <c r="AQ46" s="1106" t="str">
        <f>IFERROR(AP46*(1+'7a.20YrDetails'!$F$9),"")</f>
        <v/>
      </c>
      <c r="AR46" s="674"/>
      <c r="AS46" s="672" t="str">
        <f>IF($D46=0,"",VLOOKUP($AR46,RentsUA!$A$12:$H$35,MATCH($D46,RentsUA!$A$12:$H$12,0),FALSE)-L46)</f>
        <v/>
      </c>
      <c r="AT46" s="1732" t="str">
        <f>IF($AF46=0,0,IFERROR(($AF46+L46)/(HLOOKUP($D46,RentsUA!$B$61:$H$62,2,FALSE)),""))</f>
        <v/>
      </c>
      <c r="AU46" s="1733" t="str">
        <f>IFERROR(G46/HLOOKUP(H46,RentsUA!$B$40:$I$41,2),"")</f>
        <v/>
      </c>
      <c r="BR46" s="404" t="str">
        <f t="shared" si="27"/>
        <v/>
      </c>
      <c r="BS46" s="5" t="str">
        <f t="array" ref="BS46">IFERROR(INDEX($BR$13:$BR$412, MATCH(0, COUNTIF($BS$12:$BS45, $BR$13:$BR$412), 0)),"")</f>
        <v/>
      </c>
      <c r="BT46" s="404" t="str">
        <f t="shared" si="28"/>
        <v/>
      </c>
      <c r="BU46" s="404" t="str">
        <f t="array" ref="BU46">IFERROR(INDEX($BT$13:$BT$412, MATCH(0, COUNTIF($BU$12:$BU45, $BT$13:$BT$412), 0)),"")</f>
        <v/>
      </c>
    </row>
    <row r="47" spans="1:73" s="404" customFormat="1" ht="13.2">
      <c r="A47" s="406">
        <f t="shared" si="20"/>
        <v>35</v>
      </c>
      <c r="B47" s="472"/>
      <c r="C47" s="470"/>
      <c r="D47" s="407"/>
      <c r="E47" s="407"/>
      <c r="F47" s="408"/>
      <c r="G47" s="409"/>
      <c r="H47" s="407"/>
      <c r="I47" s="1029" t="str">
        <f>IFERROR(G47/HLOOKUP(H47,RentsUA!$B$8:$J$9,2),"")</f>
        <v/>
      </c>
      <c r="J47" s="407"/>
      <c r="K47" s="412"/>
      <c r="L47" s="672">
        <f t="shared" si="0"/>
        <v>0</v>
      </c>
      <c r="M47" s="671"/>
      <c r="N47" s="410">
        <f t="shared" si="1"/>
        <v>0</v>
      </c>
      <c r="O47" s="469" t="str">
        <f>IF($M47=0,"",IFERROR(($L47+$M47)/(HLOOKUP($D47,RentsUA!$K$12:$Q$35,19,FALSE)),""))</f>
        <v/>
      </c>
      <c r="P47" s="469" t="str">
        <f>IF($M47=0,"",IFERROR(($M47+K47+L47)/(HLOOKUP($D47,RentsUA!$K$12:$Q$35,19,FALSE)),""))</f>
        <v/>
      </c>
      <c r="Q47" s="411"/>
      <c r="R47" s="673" t="str">
        <f>IF($Q47=0,"",VLOOKUP($Q47,RentsUA!$A$12:$H$35,MATCH($D47,RentsUA!$A$12:$H$12,0),FALSE))</f>
        <v/>
      </c>
      <c r="S47" s="409"/>
      <c r="T47" s="674"/>
      <c r="U47" s="672"/>
      <c r="V47" s="673" t="str">
        <f t="shared" si="21"/>
        <v/>
      </c>
      <c r="W47" s="470"/>
      <c r="X47" s="411"/>
      <c r="Y47" s="410" t="str">
        <f>IF(X47=0,"",VLOOKUP($X47,RentsUA!$A$12:$H$35,MATCH($D47,RentsUA!$A$12:$H$12,0),FALSE))</f>
        <v/>
      </c>
      <c r="Z47" s="410" t="str">
        <f t="shared" si="2"/>
        <v/>
      </c>
      <c r="AA47" s="1297" t="str">
        <f>IF(H47="","",IF(G47/HLOOKUP($H47,RentsUA!$M$8:$T$9,2,FALSE)&gt;1,"&gt; 80%","&lt;= 80%"))</f>
        <v/>
      </c>
      <c r="AB47" s="1106"/>
      <c r="AC47" s="1106"/>
      <c r="AD47" s="622"/>
      <c r="AE47" s="412"/>
      <c r="AF47" s="807" t="str">
        <f>IF(AD47="","",IF(AD47=Lists!$U$3,M47,IF(AD47=Lists!$U$4,V47,IF(AD47=Lists!$U$5,Y47-L47,AE47))))</f>
        <v/>
      </c>
      <c r="AG47" s="410" t="str">
        <f t="shared" si="3"/>
        <v/>
      </c>
      <c r="AH47" s="469" t="str">
        <f t="shared" si="4"/>
        <v/>
      </c>
      <c r="AI47" s="469" t="str">
        <f>IF($AF47=0,0,IFERROR(($L47+$AF47)/(HLOOKUP($D47,RentsUA!$K$12:$Q$35,19,FALSE)),""))</f>
        <v/>
      </c>
      <c r="AJ47" s="469" t="str">
        <f>IF($AF47=0,0,IFERROR(($AF47+K47+L47)/(HLOOKUP($D47,RentsUA!$K$12:$Q$35,19,FALSE)),""))</f>
        <v/>
      </c>
      <c r="AK47" s="469" t="str">
        <f t="shared" si="22"/>
        <v/>
      </c>
      <c r="AL47" s="469" t="str">
        <f t="shared" si="23"/>
        <v/>
      </c>
      <c r="AM47" s="1106" t="str">
        <f t="shared" si="24"/>
        <v/>
      </c>
      <c r="AN47" s="1106" t="str">
        <f>IFERROR(AM47*(1+'7a.20YrDetails'!$F$9),"")</f>
        <v/>
      </c>
      <c r="AO47" s="1106" t="str">
        <f>IFERROR(AN47*(1+'7a.20YrDetails'!$F$9),"")</f>
        <v/>
      </c>
      <c r="AP47" s="1106" t="str">
        <f>IFERROR(AO47*(1+'7a.20YrDetails'!$F$9),"")</f>
        <v/>
      </c>
      <c r="AQ47" s="1106" t="str">
        <f>IFERROR(AP47*(1+'7a.20YrDetails'!$F$9),"")</f>
        <v/>
      </c>
      <c r="AR47" s="674"/>
      <c r="AS47" s="672" t="str">
        <f>IF($D47=0,"",VLOOKUP($AR47,RentsUA!$A$12:$H$35,MATCH($D47,RentsUA!$A$12:$H$12,0),FALSE)-L47)</f>
        <v/>
      </c>
      <c r="AT47" s="1732" t="str">
        <f>IF($AF47=0,0,IFERROR(($AF47+L47)/(HLOOKUP($D47,RentsUA!$B$61:$H$62,2,FALSE)),""))</f>
        <v/>
      </c>
      <c r="AU47" s="1733" t="str">
        <f>IFERROR(G47/HLOOKUP(H47,RentsUA!$B$40:$I$41,2),"")</f>
        <v/>
      </c>
      <c r="BR47" s="404" t="str">
        <f t="shared" si="27"/>
        <v/>
      </c>
      <c r="BS47" s="5" t="str">
        <f t="array" ref="BS47">IFERROR(INDEX($BR$13:$BR$412, MATCH(0, COUNTIF($BS$12:$BS46, $BR$13:$BR$412), 0)),"")</f>
        <v/>
      </c>
      <c r="BT47" s="404" t="str">
        <f t="shared" si="28"/>
        <v/>
      </c>
      <c r="BU47" s="404" t="str">
        <f t="array" ref="BU47">IFERROR(INDEX($BT$13:$BT$412, MATCH(0, COUNTIF($BU$12:$BU46, $BT$13:$BT$412), 0)),"")</f>
        <v/>
      </c>
    </row>
    <row r="48" spans="1:73" s="404" customFormat="1" ht="13.2">
      <c r="A48" s="406">
        <f t="shared" si="20"/>
        <v>36</v>
      </c>
      <c r="B48" s="472"/>
      <c r="C48" s="470"/>
      <c r="D48" s="407"/>
      <c r="E48" s="407"/>
      <c r="F48" s="408"/>
      <c r="G48" s="409"/>
      <c r="H48" s="407"/>
      <c r="I48" s="1029" t="str">
        <f>IFERROR(G48/HLOOKUP(H48,RentsUA!$B$8:$J$9,2),"")</f>
        <v/>
      </c>
      <c r="J48" s="407"/>
      <c r="K48" s="412"/>
      <c r="L48" s="672">
        <f t="shared" si="0"/>
        <v>0</v>
      </c>
      <c r="M48" s="671"/>
      <c r="N48" s="410">
        <f t="shared" si="1"/>
        <v>0</v>
      </c>
      <c r="O48" s="469" t="str">
        <f>IF($M48=0,"",IFERROR(($L48+$M48)/(HLOOKUP($D48,RentsUA!$K$12:$Q$35,19,FALSE)),""))</f>
        <v/>
      </c>
      <c r="P48" s="469" t="str">
        <f>IF($M48=0,"",IFERROR(($M48+K48+L48)/(HLOOKUP($D48,RentsUA!$K$12:$Q$35,19,FALSE)),""))</f>
        <v/>
      </c>
      <c r="Q48" s="411"/>
      <c r="R48" s="673" t="str">
        <f>IF($Q48=0,"",VLOOKUP($Q48,RentsUA!$A$12:$H$35,MATCH($D48,RentsUA!$A$12:$H$12,0),FALSE))</f>
        <v/>
      </c>
      <c r="S48" s="409"/>
      <c r="T48" s="674"/>
      <c r="U48" s="672"/>
      <c r="V48" s="673" t="str">
        <f t="shared" si="21"/>
        <v/>
      </c>
      <c r="W48" s="470"/>
      <c r="X48" s="411"/>
      <c r="Y48" s="410" t="str">
        <f>IF(X48=0,"",VLOOKUP($X48,RentsUA!$A$12:$H$35,MATCH($D48,RentsUA!$A$12:$H$12,0),FALSE))</f>
        <v/>
      </c>
      <c r="Z48" s="410" t="str">
        <f t="shared" si="2"/>
        <v/>
      </c>
      <c r="AA48" s="1297" t="str">
        <f>IF(H48="","",IF(G48/HLOOKUP($H48,RentsUA!$M$8:$T$9,2,FALSE)&gt;1,"&gt; 80%","&lt;= 80%"))</f>
        <v/>
      </c>
      <c r="AB48" s="1106"/>
      <c r="AC48" s="1106"/>
      <c r="AD48" s="622"/>
      <c r="AE48" s="412"/>
      <c r="AF48" s="807" t="str">
        <f>IF(AD48="","",IF(AD48=Lists!$U$3,M48,IF(AD48=Lists!$U$4,V48,IF(AD48=Lists!$U$5,Y48-L48,AE48))))</f>
        <v/>
      </c>
      <c r="AG48" s="410" t="str">
        <f t="shared" si="3"/>
        <v/>
      </c>
      <c r="AH48" s="469" t="str">
        <f t="shared" si="4"/>
        <v/>
      </c>
      <c r="AI48" s="469" t="str">
        <f>IF($AF48=0,0,IFERROR(($L48+$AF48)/(HLOOKUP($D48,RentsUA!$K$12:$Q$35,19,FALSE)),""))</f>
        <v/>
      </c>
      <c r="AJ48" s="469" t="str">
        <f>IF($AF48=0,0,IFERROR(($AF48+K48+L48)/(HLOOKUP($D48,RentsUA!$K$12:$Q$35,19,FALSE)),""))</f>
        <v/>
      </c>
      <c r="AK48" s="469" t="str">
        <f t="shared" si="22"/>
        <v/>
      </c>
      <c r="AL48" s="469" t="str">
        <f t="shared" si="23"/>
        <v/>
      </c>
      <c r="AM48" s="1106" t="str">
        <f t="shared" si="24"/>
        <v/>
      </c>
      <c r="AN48" s="1106" t="str">
        <f>IFERROR(AM48*(1+'7a.20YrDetails'!$F$9),"")</f>
        <v/>
      </c>
      <c r="AO48" s="1106" t="str">
        <f>IFERROR(AN48*(1+'7a.20YrDetails'!$F$9),"")</f>
        <v/>
      </c>
      <c r="AP48" s="1106" t="str">
        <f>IFERROR(AO48*(1+'7a.20YrDetails'!$F$9),"")</f>
        <v/>
      </c>
      <c r="AQ48" s="1106" t="str">
        <f>IFERROR(AP48*(1+'7a.20YrDetails'!$F$9),"")</f>
        <v/>
      </c>
      <c r="AR48" s="674"/>
      <c r="AS48" s="672" t="str">
        <f>IF($D48=0,"",VLOOKUP($AR48,RentsUA!$A$12:$H$35,MATCH($D48,RentsUA!$A$12:$H$12,0),FALSE)-L48)</f>
        <v/>
      </c>
      <c r="AT48" s="1732" t="str">
        <f>IF($AF48=0,0,IFERROR(($AF48+L48)/(HLOOKUP($D48,RentsUA!$B$61:$H$62,2,FALSE)),""))</f>
        <v/>
      </c>
      <c r="AU48" s="1733" t="str">
        <f>IFERROR(G48/HLOOKUP(H48,RentsUA!$B$40:$I$41,2),"")</f>
        <v/>
      </c>
      <c r="BR48" s="404" t="str">
        <f t="shared" si="27"/>
        <v/>
      </c>
      <c r="BS48" s="5" t="str">
        <f t="array" ref="BS48">IFERROR(INDEX($BR$13:$BR$412, MATCH(0, COUNTIF($BS$12:$BS47, $BR$13:$BR$412), 0)),"")</f>
        <v/>
      </c>
      <c r="BT48" s="404" t="str">
        <f t="shared" si="28"/>
        <v/>
      </c>
      <c r="BU48" s="404" t="str">
        <f t="array" ref="BU48">IFERROR(INDEX($BT$13:$BT$412, MATCH(0, COUNTIF($BU$12:$BU47, $BT$13:$BT$412), 0)),"")</f>
        <v/>
      </c>
    </row>
    <row r="49" spans="1:73" s="404" customFormat="1" ht="13.2">
      <c r="A49" s="406">
        <f t="shared" si="20"/>
        <v>37</v>
      </c>
      <c r="B49" s="472"/>
      <c r="C49" s="470"/>
      <c r="D49" s="407"/>
      <c r="E49" s="407"/>
      <c r="F49" s="408"/>
      <c r="G49" s="409"/>
      <c r="H49" s="407"/>
      <c r="I49" s="1029" t="str">
        <f>IFERROR(G49/HLOOKUP(H49,RentsUA!$B$8:$J$9,2),"")</f>
        <v/>
      </c>
      <c r="J49" s="407"/>
      <c r="K49" s="412"/>
      <c r="L49" s="672">
        <f t="shared" si="0"/>
        <v>0</v>
      </c>
      <c r="M49" s="671"/>
      <c r="N49" s="410">
        <f t="shared" si="1"/>
        <v>0</v>
      </c>
      <c r="O49" s="469" t="str">
        <f>IF($M49=0,"",IFERROR(($L49+$M49)/(HLOOKUP($D49,RentsUA!$K$12:$Q$35,19,FALSE)),""))</f>
        <v/>
      </c>
      <c r="P49" s="469" t="str">
        <f>IF($M49=0,"",IFERROR(($M49+K49+L49)/(HLOOKUP($D49,RentsUA!$K$12:$Q$35,19,FALSE)),""))</f>
        <v/>
      </c>
      <c r="Q49" s="411"/>
      <c r="R49" s="673" t="str">
        <f>IF($Q49=0,"",VLOOKUP($Q49,RentsUA!$A$12:$H$35,MATCH($D49,RentsUA!$A$12:$H$12,0),FALSE))</f>
        <v/>
      </c>
      <c r="S49" s="409"/>
      <c r="T49" s="674"/>
      <c r="U49" s="672"/>
      <c r="V49" s="673" t="str">
        <f t="shared" si="21"/>
        <v/>
      </c>
      <c r="W49" s="470"/>
      <c r="X49" s="411"/>
      <c r="Y49" s="410" t="str">
        <f>IF(X49=0,"",VLOOKUP($X49,RentsUA!$A$12:$H$35,MATCH($D49,RentsUA!$A$12:$H$12,0),FALSE))</f>
        <v/>
      </c>
      <c r="Z49" s="410" t="str">
        <f t="shared" si="2"/>
        <v/>
      </c>
      <c r="AA49" s="1297" t="str">
        <f>IF(H49="","",IF(G49/HLOOKUP($H49,RentsUA!$M$8:$T$9,2,FALSE)&gt;1,"&gt; 80%","&lt;= 80%"))</f>
        <v/>
      </c>
      <c r="AB49" s="1106"/>
      <c r="AC49" s="1106"/>
      <c r="AD49" s="622"/>
      <c r="AE49" s="412"/>
      <c r="AF49" s="807" t="str">
        <f>IF(AD49="","",IF(AD49=Lists!$U$3,M49,IF(AD49=Lists!$U$4,V49,IF(AD49=Lists!$U$5,Y49-L49,AE49))))</f>
        <v/>
      </c>
      <c r="AG49" s="410" t="str">
        <f t="shared" si="3"/>
        <v/>
      </c>
      <c r="AH49" s="469" t="str">
        <f t="shared" si="4"/>
        <v/>
      </c>
      <c r="AI49" s="469" t="str">
        <f>IF($AF49=0,0,IFERROR(($L49+$AF49)/(HLOOKUP($D49,RentsUA!$K$12:$Q$35,19,FALSE)),""))</f>
        <v/>
      </c>
      <c r="AJ49" s="469" t="str">
        <f>IF($AF49=0,0,IFERROR(($AF49+K49+L49)/(HLOOKUP($D49,RentsUA!$K$12:$Q$35,19,FALSE)),""))</f>
        <v/>
      </c>
      <c r="AK49" s="469" t="str">
        <f t="shared" si="22"/>
        <v/>
      </c>
      <c r="AL49" s="469" t="str">
        <f t="shared" si="23"/>
        <v/>
      </c>
      <c r="AM49" s="1106" t="str">
        <f t="shared" si="24"/>
        <v/>
      </c>
      <c r="AN49" s="1106" t="str">
        <f>IFERROR(AM49*(1+'7a.20YrDetails'!$F$9),"")</f>
        <v/>
      </c>
      <c r="AO49" s="1106" t="str">
        <f>IFERROR(AN49*(1+'7a.20YrDetails'!$F$9),"")</f>
        <v/>
      </c>
      <c r="AP49" s="1106" t="str">
        <f>IFERROR(AO49*(1+'7a.20YrDetails'!$F$9),"")</f>
        <v/>
      </c>
      <c r="AQ49" s="1106" t="str">
        <f>IFERROR(AP49*(1+'7a.20YrDetails'!$F$9),"")</f>
        <v/>
      </c>
      <c r="AR49" s="674"/>
      <c r="AS49" s="672" t="str">
        <f>IF($D49=0,"",VLOOKUP($AR49,RentsUA!$A$12:$H$35,MATCH($D49,RentsUA!$A$12:$H$12,0),FALSE)-L49)</f>
        <v/>
      </c>
      <c r="AT49" s="1732" t="str">
        <f>IF($AF49=0,0,IFERROR(($AF49+L49)/(HLOOKUP($D49,RentsUA!$B$61:$H$62,2,FALSE)),""))</f>
        <v/>
      </c>
      <c r="AU49" s="1733" t="str">
        <f>IFERROR(G49/HLOOKUP(H49,RentsUA!$B$40:$I$41,2),"")</f>
        <v/>
      </c>
      <c r="BR49" s="404" t="str">
        <f t="shared" si="27"/>
        <v/>
      </c>
      <c r="BS49" s="5" t="str">
        <f t="array" ref="BS49">IFERROR(INDEX($BR$13:$BR$412, MATCH(0, COUNTIF($BS$12:$BS48, $BR$13:$BR$412), 0)),"")</f>
        <v/>
      </c>
      <c r="BT49" s="404" t="str">
        <f t="shared" si="28"/>
        <v/>
      </c>
      <c r="BU49" s="404" t="str">
        <f t="array" ref="BU49">IFERROR(INDEX($BT$13:$BT$412, MATCH(0, COUNTIF($BU$12:$BU48, $BT$13:$BT$412), 0)),"")</f>
        <v/>
      </c>
    </row>
    <row r="50" spans="1:73" s="404" customFormat="1" ht="13.2">
      <c r="A50" s="406">
        <f t="shared" si="20"/>
        <v>38</v>
      </c>
      <c r="B50" s="472"/>
      <c r="C50" s="470"/>
      <c r="D50" s="407"/>
      <c r="E50" s="407"/>
      <c r="F50" s="408"/>
      <c r="G50" s="409"/>
      <c r="H50" s="407"/>
      <c r="I50" s="1029" t="str">
        <f>IFERROR(G50/HLOOKUP(H50,RentsUA!$B$8:$J$9,2),"")</f>
        <v/>
      </c>
      <c r="J50" s="407"/>
      <c r="K50" s="412"/>
      <c r="L50" s="672">
        <f t="shared" si="0"/>
        <v>0</v>
      </c>
      <c r="M50" s="671"/>
      <c r="N50" s="410">
        <f t="shared" si="1"/>
        <v>0</v>
      </c>
      <c r="O50" s="469" t="str">
        <f>IF($M50=0,"",IFERROR(($L50+$M50)/(HLOOKUP($D50,RentsUA!$K$12:$Q$35,19,FALSE)),""))</f>
        <v/>
      </c>
      <c r="P50" s="469" t="str">
        <f>IF($M50=0,"",IFERROR(($M50+K50+L50)/(HLOOKUP($D50,RentsUA!$K$12:$Q$35,19,FALSE)),""))</f>
        <v/>
      </c>
      <c r="Q50" s="411"/>
      <c r="R50" s="673" t="str">
        <f>IF($Q50=0,"",VLOOKUP($Q50,RentsUA!$A$12:$H$35,MATCH($D50,RentsUA!$A$12:$H$12,0),FALSE))</f>
        <v/>
      </c>
      <c r="S50" s="409"/>
      <c r="T50" s="674"/>
      <c r="U50" s="672"/>
      <c r="V50" s="673" t="str">
        <f t="shared" si="21"/>
        <v/>
      </c>
      <c r="W50" s="470"/>
      <c r="X50" s="411"/>
      <c r="Y50" s="410" t="str">
        <f>IF(X50=0,"",VLOOKUP($X50,RentsUA!$A$12:$H$35,MATCH($D50,RentsUA!$A$12:$H$12,0),FALSE))</f>
        <v/>
      </c>
      <c r="Z50" s="410" t="str">
        <f t="shared" si="2"/>
        <v/>
      </c>
      <c r="AA50" s="1297" t="str">
        <f>IF(H50="","",IF(G50/HLOOKUP($H50,RentsUA!$M$8:$T$9,2,FALSE)&gt;1,"&gt; 80%","&lt;= 80%"))</f>
        <v/>
      </c>
      <c r="AB50" s="1106"/>
      <c r="AC50" s="1106"/>
      <c r="AD50" s="622"/>
      <c r="AE50" s="412"/>
      <c r="AF50" s="807" t="str">
        <f>IF(AD50="","",IF(AD50=Lists!$U$3,M50,IF(AD50=Lists!$U$4,V50,IF(AD50=Lists!$U$5,Y50-L50,AE50))))</f>
        <v/>
      </c>
      <c r="AG50" s="410" t="str">
        <f t="shared" si="3"/>
        <v/>
      </c>
      <c r="AH50" s="469" t="str">
        <f t="shared" si="4"/>
        <v/>
      </c>
      <c r="AI50" s="469" t="str">
        <f>IF($AF50=0,0,IFERROR(($L50+$AF50)/(HLOOKUP($D50,RentsUA!$K$12:$Q$35,19,FALSE)),""))</f>
        <v/>
      </c>
      <c r="AJ50" s="469" t="str">
        <f>IF($AF50=0,0,IFERROR(($AF50+K50+L50)/(HLOOKUP($D50,RentsUA!$K$12:$Q$35,19,FALSE)),""))</f>
        <v/>
      </c>
      <c r="AK50" s="469" t="str">
        <f t="shared" si="22"/>
        <v/>
      </c>
      <c r="AL50" s="469" t="str">
        <f t="shared" si="23"/>
        <v/>
      </c>
      <c r="AM50" s="1106" t="str">
        <f t="shared" si="24"/>
        <v/>
      </c>
      <c r="AN50" s="1106" t="str">
        <f>IFERROR(AM50*(1+'7a.20YrDetails'!$F$9),"")</f>
        <v/>
      </c>
      <c r="AO50" s="1106" t="str">
        <f>IFERROR(AN50*(1+'7a.20YrDetails'!$F$9),"")</f>
        <v/>
      </c>
      <c r="AP50" s="1106" t="str">
        <f>IFERROR(AO50*(1+'7a.20YrDetails'!$F$9),"")</f>
        <v/>
      </c>
      <c r="AQ50" s="1106" t="str">
        <f>IFERROR(AP50*(1+'7a.20YrDetails'!$F$9),"")</f>
        <v/>
      </c>
      <c r="AR50" s="674"/>
      <c r="AS50" s="672" t="str">
        <f>IF($D50=0,"",VLOOKUP($AR50,RentsUA!$A$12:$H$35,MATCH($D50,RentsUA!$A$12:$H$12,0),FALSE)-L50)</f>
        <v/>
      </c>
      <c r="AT50" s="1732" t="str">
        <f>IF($AF50=0,0,IFERROR(($AF50+L50)/(HLOOKUP($D50,RentsUA!$B$61:$H$62,2,FALSE)),""))</f>
        <v/>
      </c>
      <c r="AU50" s="1733" t="str">
        <f>IFERROR(G50/HLOOKUP(H50,RentsUA!$B$40:$I$41,2),"")</f>
        <v/>
      </c>
      <c r="BR50" s="404" t="str">
        <f t="shared" si="27"/>
        <v/>
      </c>
      <c r="BS50" s="5" t="str">
        <f t="array" ref="BS50">IFERROR(INDEX($BR$13:$BR$412, MATCH(0, COUNTIF($BS$12:$BS49, $BR$13:$BR$412), 0)),"")</f>
        <v/>
      </c>
      <c r="BT50" s="404" t="str">
        <f t="shared" si="28"/>
        <v/>
      </c>
      <c r="BU50" s="404" t="str">
        <f t="array" ref="BU50">IFERROR(INDEX($BT$13:$BT$412, MATCH(0, COUNTIF($BU$12:$BU49, $BT$13:$BT$412), 0)),"")</f>
        <v/>
      </c>
    </row>
    <row r="51" spans="1:73" s="404" customFormat="1" ht="13.2">
      <c r="A51" s="406">
        <f t="shared" si="20"/>
        <v>39</v>
      </c>
      <c r="B51" s="472"/>
      <c r="C51" s="470"/>
      <c r="D51" s="407"/>
      <c r="E51" s="407"/>
      <c r="F51" s="408"/>
      <c r="G51" s="409"/>
      <c r="H51" s="407"/>
      <c r="I51" s="1029" t="str">
        <f>IFERROR(G51/HLOOKUP(H51,RentsUA!$B$8:$J$9,2),"")</f>
        <v/>
      </c>
      <c r="J51" s="407"/>
      <c r="K51" s="412"/>
      <c r="L51" s="672">
        <f t="shared" si="0"/>
        <v>0</v>
      </c>
      <c r="M51" s="671"/>
      <c r="N51" s="410">
        <f t="shared" si="1"/>
        <v>0</v>
      </c>
      <c r="O51" s="469" t="str">
        <f>IF($M51=0,"",IFERROR(($L51+$M51)/(HLOOKUP($D51,RentsUA!$K$12:$Q$35,19,FALSE)),""))</f>
        <v/>
      </c>
      <c r="P51" s="469" t="str">
        <f>IF($M51=0,"",IFERROR(($M51+K51+L51)/(HLOOKUP($D51,RentsUA!$K$12:$Q$35,19,FALSE)),""))</f>
        <v/>
      </c>
      <c r="Q51" s="411"/>
      <c r="R51" s="673" t="str">
        <f>IF($Q51=0,"",VLOOKUP($Q51,RentsUA!$A$12:$H$35,MATCH($D51,RentsUA!$A$12:$H$12,0),FALSE))</f>
        <v/>
      </c>
      <c r="S51" s="409"/>
      <c r="T51" s="674"/>
      <c r="U51" s="672"/>
      <c r="V51" s="673" t="str">
        <f t="shared" si="21"/>
        <v/>
      </c>
      <c r="W51" s="470"/>
      <c r="X51" s="411"/>
      <c r="Y51" s="410" t="str">
        <f>IF(X51=0,"",VLOOKUP($X51,RentsUA!$A$12:$H$35,MATCH($D51,RentsUA!$A$12:$H$12,0),FALSE))</f>
        <v/>
      </c>
      <c r="Z51" s="410" t="str">
        <f t="shared" si="2"/>
        <v/>
      </c>
      <c r="AA51" s="1297" t="str">
        <f>IF(H51="","",IF(G51/HLOOKUP($H51,RentsUA!$M$8:$T$9,2,FALSE)&gt;1,"&gt; 80%","&lt;= 80%"))</f>
        <v/>
      </c>
      <c r="AB51" s="1106"/>
      <c r="AC51" s="1106"/>
      <c r="AD51" s="622"/>
      <c r="AE51" s="412"/>
      <c r="AF51" s="807" t="str">
        <f>IF(AD51="","",IF(AD51=Lists!$U$3,M51,IF(AD51=Lists!$U$4,V51,IF(AD51=Lists!$U$5,Y51-L51,AE51))))</f>
        <v/>
      </c>
      <c r="AG51" s="410" t="str">
        <f t="shared" si="3"/>
        <v/>
      </c>
      <c r="AH51" s="469" t="str">
        <f t="shared" si="4"/>
        <v/>
      </c>
      <c r="AI51" s="469" t="str">
        <f>IF($AF51=0,0,IFERROR(($L51+$AF51)/(HLOOKUP($D51,RentsUA!$K$12:$Q$35,19,FALSE)),""))</f>
        <v/>
      </c>
      <c r="AJ51" s="469" t="str">
        <f>IF($AF51=0,0,IFERROR(($AF51+K51+L51)/(HLOOKUP($D51,RentsUA!$K$12:$Q$35,19,FALSE)),""))</f>
        <v/>
      </c>
      <c r="AK51" s="469" t="str">
        <f t="shared" si="22"/>
        <v/>
      </c>
      <c r="AL51" s="469" t="str">
        <f t="shared" si="23"/>
        <v/>
      </c>
      <c r="AM51" s="1106" t="str">
        <f t="shared" si="24"/>
        <v/>
      </c>
      <c r="AN51" s="1106" t="str">
        <f>IFERROR(AM51*(1+'7a.20YrDetails'!$F$9),"")</f>
        <v/>
      </c>
      <c r="AO51" s="1106" t="str">
        <f>IFERROR(AN51*(1+'7a.20YrDetails'!$F$9),"")</f>
        <v/>
      </c>
      <c r="AP51" s="1106" t="str">
        <f>IFERROR(AO51*(1+'7a.20YrDetails'!$F$9),"")</f>
        <v/>
      </c>
      <c r="AQ51" s="1106" t="str">
        <f>IFERROR(AP51*(1+'7a.20YrDetails'!$F$9),"")</f>
        <v/>
      </c>
      <c r="AR51" s="674"/>
      <c r="AS51" s="672" t="str">
        <f>IF($D51=0,"",VLOOKUP($AR51,RentsUA!$A$12:$H$35,MATCH($D51,RentsUA!$A$12:$H$12,0),FALSE)-L51)</f>
        <v/>
      </c>
      <c r="AT51" s="1732" t="str">
        <f>IF($AF51=0,0,IFERROR(($AF51+L51)/(HLOOKUP($D51,RentsUA!$B$61:$H$62,2,FALSE)),""))</f>
        <v/>
      </c>
      <c r="AU51" s="1733" t="str">
        <f>IFERROR(G51/HLOOKUP(H51,RentsUA!$B$40:$I$41,2),"")</f>
        <v/>
      </c>
      <c r="BR51" s="404" t="str">
        <f t="shared" si="27"/>
        <v/>
      </c>
      <c r="BS51" s="5" t="str">
        <f t="array" ref="BS51">IFERROR(INDEX($BR$13:$BR$412, MATCH(0, COUNTIF($BS$12:$BS50, $BR$13:$BR$412), 0)),"")</f>
        <v/>
      </c>
      <c r="BT51" s="404" t="str">
        <f t="shared" si="28"/>
        <v/>
      </c>
      <c r="BU51" s="404" t="str">
        <f t="array" ref="BU51">IFERROR(INDEX($BT$13:$BT$412, MATCH(0, COUNTIF($BU$12:$BU50, $BT$13:$BT$412), 0)),"")</f>
        <v/>
      </c>
    </row>
    <row r="52" spans="1:73" s="404" customFormat="1" ht="13.2">
      <c r="A52" s="406">
        <f t="shared" si="20"/>
        <v>40</v>
      </c>
      <c r="B52" s="472"/>
      <c r="C52" s="470"/>
      <c r="D52" s="407"/>
      <c r="E52" s="407"/>
      <c r="F52" s="408"/>
      <c r="G52" s="409"/>
      <c r="H52" s="407"/>
      <c r="I52" s="1029" t="str">
        <f>IFERROR(G52/HLOOKUP(H52,RentsUA!$B$8:$J$9,2),"")</f>
        <v/>
      </c>
      <c r="J52" s="407"/>
      <c r="K52" s="412"/>
      <c r="L52" s="672">
        <f t="shared" si="0"/>
        <v>0</v>
      </c>
      <c r="M52" s="671"/>
      <c r="N52" s="410">
        <f t="shared" si="1"/>
        <v>0</v>
      </c>
      <c r="O52" s="469" t="str">
        <f>IF($M52=0,"",IFERROR(($L52+$M52)/(HLOOKUP($D52,RentsUA!$K$12:$Q$35,19,FALSE)),""))</f>
        <v/>
      </c>
      <c r="P52" s="469" t="str">
        <f>IF($M52=0,"",IFERROR(($M52+K52+L52)/(HLOOKUP($D52,RentsUA!$K$12:$Q$35,19,FALSE)),""))</f>
        <v/>
      </c>
      <c r="Q52" s="411"/>
      <c r="R52" s="673" t="str">
        <f>IF($Q52=0,"",VLOOKUP($Q52,RentsUA!$A$12:$H$35,MATCH($D52,RentsUA!$A$12:$H$12,0),FALSE))</f>
        <v/>
      </c>
      <c r="S52" s="409"/>
      <c r="T52" s="674"/>
      <c r="U52" s="672"/>
      <c r="V52" s="673" t="str">
        <f t="shared" si="21"/>
        <v/>
      </c>
      <c r="W52" s="470"/>
      <c r="X52" s="411"/>
      <c r="Y52" s="410" t="str">
        <f>IF(X52=0,"",VLOOKUP($X52,RentsUA!$A$12:$H$35,MATCH($D52,RentsUA!$A$12:$H$12,0),FALSE))</f>
        <v/>
      </c>
      <c r="Z52" s="410" t="str">
        <f t="shared" si="2"/>
        <v/>
      </c>
      <c r="AA52" s="1297" t="str">
        <f>IF(H52="","",IF(G52/HLOOKUP($H52,RentsUA!$M$8:$T$9,2,FALSE)&gt;1,"&gt; 80%","&lt;= 80%"))</f>
        <v/>
      </c>
      <c r="AB52" s="1106"/>
      <c r="AC52" s="1106"/>
      <c r="AD52" s="622"/>
      <c r="AE52" s="412"/>
      <c r="AF52" s="807" t="str">
        <f>IF(AD52="","",IF(AD52=Lists!$U$3,M52,IF(AD52=Lists!$U$4,V52,IF(AD52=Lists!$U$5,Y52-L52,AE52))))</f>
        <v/>
      </c>
      <c r="AG52" s="410" t="str">
        <f t="shared" si="3"/>
        <v/>
      </c>
      <c r="AH52" s="469" t="str">
        <f t="shared" si="4"/>
        <v/>
      </c>
      <c r="AI52" s="469" t="str">
        <f>IF($AF52=0,0,IFERROR(($L52+$AF52)/(HLOOKUP($D52,RentsUA!$K$12:$Q$35,19,FALSE)),""))</f>
        <v/>
      </c>
      <c r="AJ52" s="469" t="str">
        <f>IF($AF52=0,0,IFERROR(($AF52+K52+L52)/(HLOOKUP($D52,RentsUA!$K$12:$Q$35,19,FALSE)),""))</f>
        <v/>
      </c>
      <c r="AK52" s="469" t="str">
        <f t="shared" si="22"/>
        <v/>
      </c>
      <c r="AL52" s="469" t="str">
        <f t="shared" si="23"/>
        <v/>
      </c>
      <c r="AM52" s="1106" t="str">
        <f t="shared" si="24"/>
        <v/>
      </c>
      <c r="AN52" s="1106" t="str">
        <f>IFERROR(AM52*(1+'7a.20YrDetails'!$F$9),"")</f>
        <v/>
      </c>
      <c r="AO52" s="1106" t="str">
        <f>IFERROR(AN52*(1+'7a.20YrDetails'!$F$9),"")</f>
        <v/>
      </c>
      <c r="AP52" s="1106" t="str">
        <f>IFERROR(AO52*(1+'7a.20YrDetails'!$F$9),"")</f>
        <v/>
      </c>
      <c r="AQ52" s="1106" t="str">
        <f>IFERROR(AP52*(1+'7a.20YrDetails'!$F$9),"")</f>
        <v/>
      </c>
      <c r="AR52" s="674"/>
      <c r="AS52" s="672" t="str">
        <f>IF($D52=0,"",VLOOKUP($AR52,RentsUA!$A$12:$H$35,MATCH($D52,RentsUA!$A$12:$H$12,0),FALSE)-L52)</f>
        <v/>
      </c>
      <c r="AT52" s="1732" t="str">
        <f>IF($AF52=0,0,IFERROR(($AF52+L52)/(HLOOKUP($D52,RentsUA!$B$61:$H$62,2,FALSE)),""))</f>
        <v/>
      </c>
      <c r="AU52" s="1733" t="str">
        <f>IFERROR(G52/HLOOKUP(H52,RentsUA!$B$40:$I$41,2),"")</f>
        <v/>
      </c>
      <c r="BR52" s="404" t="str">
        <f t="shared" si="27"/>
        <v/>
      </c>
      <c r="BS52" s="5" t="str">
        <f t="array" ref="BS52">IFERROR(INDEX($BR$13:$BR$412, MATCH(0, COUNTIF($BS$12:$BS51, $BR$13:$BR$412), 0)),"")</f>
        <v/>
      </c>
      <c r="BT52" s="404" t="str">
        <f t="shared" si="28"/>
        <v/>
      </c>
      <c r="BU52" s="404" t="str">
        <f t="array" ref="BU52">IFERROR(INDEX($BT$13:$BT$412, MATCH(0, COUNTIF($BU$12:$BU51, $BT$13:$BT$412), 0)),"")</f>
        <v/>
      </c>
    </row>
    <row r="53" spans="1:73" s="404" customFormat="1" ht="13.2">
      <c r="A53" s="406">
        <f t="shared" si="20"/>
        <v>41</v>
      </c>
      <c r="B53" s="472"/>
      <c r="C53" s="470"/>
      <c r="D53" s="407"/>
      <c r="E53" s="407"/>
      <c r="F53" s="408"/>
      <c r="G53" s="409"/>
      <c r="H53" s="407"/>
      <c r="I53" s="1029" t="str">
        <f>IFERROR(G53/HLOOKUP(H53,RentsUA!$B$8:$J$9,2),"")</f>
        <v/>
      </c>
      <c r="J53" s="407"/>
      <c r="K53" s="412"/>
      <c r="L53" s="672">
        <f t="shared" si="0"/>
        <v>0</v>
      </c>
      <c r="M53" s="671"/>
      <c r="N53" s="410">
        <f t="shared" si="1"/>
        <v>0</v>
      </c>
      <c r="O53" s="469" t="str">
        <f>IF($M53=0,"",IFERROR(($L53+$M53)/(HLOOKUP($D53,RentsUA!$K$12:$Q$35,19,FALSE)),""))</f>
        <v/>
      </c>
      <c r="P53" s="469" t="str">
        <f>IF($M53=0,"",IFERROR(($M53+K53+L53)/(HLOOKUP($D53,RentsUA!$K$12:$Q$35,19,FALSE)),""))</f>
        <v/>
      </c>
      <c r="Q53" s="411"/>
      <c r="R53" s="673" t="str">
        <f>IF($Q53=0,"",VLOOKUP($Q53,RentsUA!$A$12:$H$35,MATCH($D53,RentsUA!$A$12:$H$12,0),FALSE))</f>
        <v/>
      </c>
      <c r="S53" s="409"/>
      <c r="T53" s="674"/>
      <c r="U53" s="672"/>
      <c r="V53" s="673" t="str">
        <f t="shared" si="21"/>
        <v/>
      </c>
      <c r="W53" s="470"/>
      <c r="X53" s="411"/>
      <c r="Y53" s="410" t="str">
        <f>IF(X53=0,"",VLOOKUP($X53,RentsUA!$A$12:$H$35,MATCH($D53,RentsUA!$A$12:$H$12,0),FALSE))</f>
        <v/>
      </c>
      <c r="Z53" s="410" t="str">
        <f t="shared" si="2"/>
        <v/>
      </c>
      <c r="AA53" s="1297" t="str">
        <f>IF(H53="","",IF(G53/HLOOKUP($H53,RentsUA!$M$8:$T$9,2,FALSE)&gt;1,"&gt; 80%","&lt;= 80%"))</f>
        <v/>
      </c>
      <c r="AB53" s="1106"/>
      <c r="AC53" s="1106"/>
      <c r="AD53" s="622"/>
      <c r="AE53" s="412"/>
      <c r="AF53" s="807" t="str">
        <f>IF(AD53="","",IF(AD53=Lists!$U$3,M53,IF(AD53=Lists!$U$4,V53,IF(AD53=Lists!$U$5,Y53-L53,AE53))))</f>
        <v/>
      </c>
      <c r="AG53" s="410" t="str">
        <f t="shared" si="3"/>
        <v/>
      </c>
      <c r="AH53" s="469" t="str">
        <f t="shared" si="4"/>
        <v/>
      </c>
      <c r="AI53" s="469" t="str">
        <f>IF($AF53=0,0,IFERROR(($L53+$AF53)/(HLOOKUP($D53,RentsUA!$K$12:$Q$35,19,FALSE)),""))</f>
        <v/>
      </c>
      <c r="AJ53" s="469" t="str">
        <f>IF($AF53=0,0,IFERROR(($AF53+K53+L53)/(HLOOKUP($D53,RentsUA!$K$12:$Q$35,19,FALSE)),""))</f>
        <v/>
      </c>
      <c r="AK53" s="469" t="str">
        <f t="shared" si="22"/>
        <v/>
      </c>
      <c r="AL53" s="469" t="str">
        <f t="shared" si="23"/>
        <v/>
      </c>
      <c r="AM53" s="1106" t="str">
        <f t="shared" si="24"/>
        <v/>
      </c>
      <c r="AN53" s="1106" t="str">
        <f>IFERROR(AM53*(1+'7a.20YrDetails'!$F$9),"")</f>
        <v/>
      </c>
      <c r="AO53" s="1106" t="str">
        <f>IFERROR(AN53*(1+'7a.20YrDetails'!$F$9),"")</f>
        <v/>
      </c>
      <c r="AP53" s="1106" t="str">
        <f>IFERROR(AO53*(1+'7a.20YrDetails'!$F$9),"")</f>
        <v/>
      </c>
      <c r="AQ53" s="1106" t="str">
        <f>IFERROR(AP53*(1+'7a.20YrDetails'!$F$9),"")</f>
        <v/>
      </c>
      <c r="AR53" s="674"/>
      <c r="AS53" s="672" t="str">
        <f>IF($D53=0,"",VLOOKUP($AR53,RentsUA!$A$12:$H$35,MATCH($D53,RentsUA!$A$12:$H$12,0),FALSE)-L53)</f>
        <v/>
      </c>
      <c r="AT53" s="1732" t="str">
        <f>IF($AF53=0,0,IFERROR(($AF53+L53)/(HLOOKUP($D53,RentsUA!$B$61:$H$62,2,FALSE)),""))</f>
        <v/>
      </c>
      <c r="AU53" s="1733" t="str">
        <f>IFERROR(G53/HLOOKUP(H53,RentsUA!$B$40:$I$41,2),"")</f>
        <v/>
      </c>
      <c r="BR53" s="404" t="str">
        <f t="shared" si="27"/>
        <v/>
      </c>
      <c r="BS53" s="5" t="str">
        <f t="array" ref="BS53">IFERROR(INDEX($BR$13:$BR$412, MATCH(0, COUNTIF($BS$12:$BS52, $BR$13:$BR$412), 0)),"")</f>
        <v/>
      </c>
      <c r="BT53" s="404" t="str">
        <f t="shared" si="28"/>
        <v/>
      </c>
      <c r="BU53" s="404" t="str">
        <f t="array" ref="BU53">IFERROR(INDEX($BT$13:$BT$412, MATCH(0, COUNTIF($BU$12:$BU52, $BT$13:$BT$412), 0)),"")</f>
        <v/>
      </c>
    </row>
    <row r="54" spans="1:73" s="404" customFormat="1" ht="13.2">
      <c r="A54" s="406">
        <f t="shared" si="20"/>
        <v>42</v>
      </c>
      <c r="B54" s="472"/>
      <c r="C54" s="470"/>
      <c r="D54" s="407"/>
      <c r="E54" s="407"/>
      <c r="F54" s="408"/>
      <c r="G54" s="409"/>
      <c r="H54" s="407"/>
      <c r="I54" s="1029" t="str">
        <f>IFERROR(G54/HLOOKUP(H54,RentsUA!$B$8:$J$9,2),"")</f>
        <v/>
      </c>
      <c r="J54" s="407"/>
      <c r="K54" s="412"/>
      <c r="L54" s="672">
        <f t="shared" si="0"/>
        <v>0</v>
      </c>
      <c r="M54" s="671"/>
      <c r="N54" s="410">
        <f t="shared" si="1"/>
        <v>0</v>
      </c>
      <c r="O54" s="469" t="str">
        <f>IF($M54=0,"",IFERROR(($L54+$M54)/(HLOOKUP($D54,RentsUA!$K$12:$Q$35,19,FALSE)),""))</f>
        <v/>
      </c>
      <c r="P54" s="469" t="str">
        <f>IF($M54=0,"",IFERROR(($M54+K54+L54)/(HLOOKUP($D54,RentsUA!$K$12:$Q$35,19,FALSE)),""))</f>
        <v/>
      </c>
      <c r="Q54" s="411"/>
      <c r="R54" s="673" t="str">
        <f>IF($Q54=0,"",VLOOKUP($Q54,RentsUA!$A$12:$H$35,MATCH($D54,RentsUA!$A$12:$H$12,0),FALSE))</f>
        <v/>
      </c>
      <c r="S54" s="409"/>
      <c r="T54" s="674"/>
      <c r="U54" s="672"/>
      <c r="V54" s="673" t="str">
        <f t="shared" si="21"/>
        <v/>
      </c>
      <c r="W54" s="470"/>
      <c r="X54" s="411"/>
      <c r="Y54" s="410" t="str">
        <f>IF(X54=0,"",VLOOKUP($X54,RentsUA!$A$12:$H$35,MATCH($D54,RentsUA!$A$12:$H$12,0),FALSE))</f>
        <v/>
      </c>
      <c r="Z54" s="410" t="str">
        <f t="shared" si="2"/>
        <v/>
      </c>
      <c r="AA54" s="1297" t="str">
        <f>IF(H54="","",IF(G54/HLOOKUP($H54,RentsUA!$M$8:$T$9,2,FALSE)&gt;1,"&gt; 80%","&lt;= 80%"))</f>
        <v/>
      </c>
      <c r="AB54" s="1106"/>
      <c r="AC54" s="1106"/>
      <c r="AD54" s="622"/>
      <c r="AE54" s="412"/>
      <c r="AF54" s="807" t="str">
        <f>IF(AD54="","",IF(AD54=Lists!$U$3,M54,IF(AD54=Lists!$U$4,V54,IF(AD54=Lists!$U$5,Y54-L54,AE54))))</f>
        <v/>
      </c>
      <c r="AG54" s="410" t="str">
        <f t="shared" si="3"/>
        <v/>
      </c>
      <c r="AH54" s="469" t="str">
        <f t="shared" si="4"/>
        <v/>
      </c>
      <c r="AI54" s="469" t="str">
        <f>IF($AF54=0,0,IFERROR(($L54+$AF54)/(HLOOKUP($D54,RentsUA!$K$12:$Q$35,19,FALSE)),""))</f>
        <v/>
      </c>
      <c r="AJ54" s="469" t="str">
        <f>IF($AF54=0,0,IFERROR(($AF54+K54+L54)/(HLOOKUP($D54,RentsUA!$K$12:$Q$35,19,FALSE)),""))</f>
        <v/>
      </c>
      <c r="AK54" s="469" t="str">
        <f t="shared" si="22"/>
        <v/>
      </c>
      <c r="AL54" s="469" t="str">
        <f t="shared" si="23"/>
        <v/>
      </c>
      <c r="AM54" s="1106" t="str">
        <f t="shared" si="24"/>
        <v/>
      </c>
      <c r="AN54" s="1106" t="str">
        <f>IFERROR(AM54*(1+'7a.20YrDetails'!$F$9),"")</f>
        <v/>
      </c>
      <c r="AO54" s="1106" t="str">
        <f>IFERROR(AN54*(1+'7a.20YrDetails'!$F$9),"")</f>
        <v/>
      </c>
      <c r="AP54" s="1106" t="str">
        <f>IFERROR(AO54*(1+'7a.20YrDetails'!$F$9),"")</f>
        <v/>
      </c>
      <c r="AQ54" s="1106" t="str">
        <f>IFERROR(AP54*(1+'7a.20YrDetails'!$F$9),"")</f>
        <v/>
      </c>
      <c r="AR54" s="674"/>
      <c r="AS54" s="672" t="str">
        <f>IF($D54=0,"",VLOOKUP($AR54,RentsUA!$A$12:$H$35,MATCH($D54,RentsUA!$A$12:$H$12,0),FALSE)-L54)</f>
        <v/>
      </c>
      <c r="AT54" s="1732" t="str">
        <f>IF($AF54=0,0,IFERROR(($AF54+L54)/(HLOOKUP($D54,RentsUA!$B$61:$H$62,2,FALSE)),""))</f>
        <v/>
      </c>
      <c r="AU54" s="1733" t="str">
        <f>IFERROR(G54/HLOOKUP(H54,RentsUA!$B$40:$I$41,2),"")</f>
        <v/>
      </c>
      <c r="BR54" s="404" t="str">
        <f t="shared" si="27"/>
        <v/>
      </c>
      <c r="BS54" s="5" t="str">
        <f t="array" ref="BS54">IFERROR(INDEX($BR$13:$BR$412, MATCH(0, COUNTIF($BS$12:$BS53, $BR$13:$BR$412), 0)),"")</f>
        <v/>
      </c>
      <c r="BT54" s="404" t="str">
        <f t="shared" si="28"/>
        <v/>
      </c>
      <c r="BU54" s="404" t="str">
        <f t="array" ref="BU54">IFERROR(INDEX($BT$13:$BT$412, MATCH(0, COUNTIF($BU$12:$BU53, $BT$13:$BT$412), 0)),"")</f>
        <v/>
      </c>
    </row>
    <row r="55" spans="1:73" s="404" customFormat="1" ht="13.2">
      <c r="A55" s="406">
        <f t="shared" si="20"/>
        <v>43</v>
      </c>
      <c r="B55" s="472"/>
      <c r="C55" s="470"/>
      <c r="D55" s="407"/>
      <c r="E55" s="407"/>
      <c r="F55" s="408"/>
      <c r="G55" s="409"/>
      <c r="H55" s="407"/>
      <c r="I55" s="1029" t="str">
        <f>IFERROR(G55/HLOOKUP(H55,RentsUA!$B$8:$J$9,2),"")</f>
        <v/>
      </c>
      <c r="J55" s="407"/>
      <c r="K55" s="412"/>
      <c r="L55" s="672">
        <f t="shared" si="0"/>
        <v>0</v>
      </c>
      <c r="M55" s="671"/>
      <c r="N55" s="410">
        <f t="shared" si="1"/>
        <v>0</v>
      </c>
      <c r="O55" s="469" t="str">
        <f>IF($M55=0,"",IFERROR(($L55+$M55)/(HLOOKUP($D55,RentsUA!$K$12:$Q$35,19,FALSE)),""))</f>
        <v/>
      </c>
      <c r="P55" s="469" t="str">
        <f>IF($M55=0,"",IFERROR(($M55+K55+L55)/(HLOOKUP($D55,RentsUA!$K$12:$Q$35,19,FALSE)),""))</f>
        <v/>
      </c>
      <c r="Q55" s="411"/>
      <c r="R55" s="673" t="str">
        <f>IF($Q55=0,"",VLOOKUP($Q55,RentsUA!$A$12:$H$35,MATCH($D55,RentsUA!$A$12:$H$12,0),FALSE))</f>
        <v/>
      </c>
      <c r="S55" s="409"/>
      <c r="T55" s="674"/>
      <c r="U55" s="672"/>
      <c r="V55" s="673" t="str">
        <f t="shared" si="21"/>
        <v/>
      </c>
      <c r="W55" s="470"/>
      <c r="X55" s="411"/>
      <c r="Y55" s="410" t="str">
        <f>IF(X55=0,"",VLOOKUP($X55,RentsUA!$A$12:$H$35,MATCH($D55,RentsUA!$A$12:$H$12,0),FALSE))</f>
        <v/>
      </c>
      <c r="Z55" s="410" t="str">
        <f t="shared" si="2"/>
        <v/>
      </c>
      <c r="AA55" s="1297" t="str">
        <f>IF(H55="","",IF(G55/HLOOKUP($H55,RentsUA!$M$8:$T$9,2,FALSE)&gt;1,"&gt; 80%","&lt;= 80%"))</f>
        <v/>
      </c>
      <c r="AB55" s="1106"/>
      <c r="AC55" s="1106"/>
      <c r="AD55" s="622"/>
      <c r="AE55" s="412"/>
      <c r="AF55" s="807" t="str">
        <f>IF(AD55="","",IF(AD55=Lists!$U$3,M55,IF(AD55=Lists!$U$4,V55,IF(AD55=Lists!$U$5,Y55-L55,AE55))))</f>
        <v/>
      </c>
      <c r="AG55" s="410" t="str">
        <f t="shared" si="3"/>
        <v/>
      </c>
      <c r="AH55" s="469" t="str">
        <f t="shared" si="4"/>
        <v/>
      </c>
      <c r="AI55" s="469" t="str">
        <f>IF($AF55=0,0,IFERROR(($L55+$AF55)/(HLOOKUP($D55,RentsUA!$K$12:$Q$35,19,FALSE)),""))</f>
        <v/>
      </c>
      <c r="AJ55" s="469" t="str">
        <f>IF($AF55=0,0,IFERROR(($AF55+K55+L55)/(HLOOKUP($D55,RentsUA!$K$12:$Q$35,19,FALSE)),""))</f>
        <v/>
      </c>
      <c r="AK55" s="469" t="str">
        <f t="shared" si="22"/>
        <v/>
      </c>
      <c r="AL55" s="469" t="str">
        <f t="shared" si="23"/>
        <v/>
      </c>
      <c r="AM55" s="1106" t="str">
        <f t="shared" si="24"/>
        <v/>
      </c>
      <c r="AN55" s="1106" t="str">
        <f>IFERROR(AM55*(1+'7a.20YrDetails'!$F$9),"")</f>
        <v/>
      </c>
      <c r="AO55" s="1106" t="str">
        <f>IFERROR(AN55*(1+'7a.20YrDetails'!$F$9),"")</f>
        <v/>
      </c>
      <c r="AP55" s="1106" t="str">
        <f>IFERROR(AO55*(1+'7a.20YrDetails'!$F$9),"")</f>
        <v/>
      </c>
      <c r="AQ55" s="1106" t="str">
        <f>IFERROR(AP55*(1+'7a.20YrDetails'!$F$9),"")</f>
        <v/>
      </c>
      <c r="AR55" s="674"/>
      <c r="AS55" s="672" t="str">
        <f>IF($D55=0,"",VLOOKUP($AR55,RentsUA!$A$12:$H$35,MATCH($D55,RentsUA!$A$12:$H$12,0),FALSE)-L55)</f>
        <v/>
      </c>
      <c r="AT55" s="1732" t="str">
        <f>IF($AF55=0,0,IFERROR(($AF55+L55)/(HLOOKUP($D55,RentsUA!$B$61:$H$62,2,FALSE)),""))</f>
        <v/>
      </c>
      <c r="AU55" s="1733" t="str">
        <f>IFERROR(G55/HLOOKUP(H55,RentsUA!$B$40:$I$41,2),"")</f>
        <v/>
      </c>
      <c r="BR55" s="404" t="str">
        <f t="shared" si="27"/>
        <v/>
      </c>
      <c r="BS55" s="5" t="str">
        <f t="array" ref="BS55">IFERROR(INDEX($BR$13:$BR$412, MATCH(0, COUNTIF($BS$12:$BS54, $BR$13:$BR$412), 0)),"")</f>
        <v/>
      </c>
      <c r="BT55" s="404" t="str">
        <f t="shared" si="28"/>
        <v/>
      </c>
      <c r="BU55" s="404" t="str">
        <f t="array" ref="BU55">IFERROR(INDEX($BT$13:$BT$412, MATCH(0, COUNTIF($BU$12:$BU54, $BT$13:$BT$412), 0)),"")</f>
        <v/>
      </c>
    </row>
    <row r="56" spans="1:73" s="404" customFormat="1" ht="13.2">
      <c r="A56" s="406">
        <f t="shared" si="20"/>
        <v>44</v>
      </c>
      <c r="B56" s="472"/>
      <c r="C56" s="470"/>
      <c r="D56" s="407"/>
      <c r="E56" s="407"/>
      <c r="F56" s="408"/>
      <c r="G56" s="409"/>
      <c r="H56" s="407"/>
      <c r="I56" s="1029" t="str">
        <f>IFERROR(G56/HLOOKUP(H56,RentsUA!$B$8:$J$9,2),"")</f>
        <v/>
      </c>
      <c r="J56" s="407"/>
      <c r="K56" s="412"/>
      <c r="L56" s="672">
        <f t="shared" si="0"/>
        <v>0</v>
      </c>
      <c r="M56" s="671"/>
      <c r="N56" s="410">
        <f t="shared" si="1"/>
        <v>0</v>
      </c>
      <c r="O56" s="469" t="str">
        <f>IF($M56=0,"",IFERROR(($L56+$M56)/(HLOOKUP($D56,RentsUA!$K$12:$Q$35,19,FALSE)),""))</f>
        <v/>
      </c>
      <c r="P56" s="469" t="str">
        <f>IF($M56=0,"",IFERROR(($M56+K56+L56)/(HLOOKUP($D56,RentsUA!$K$12:$Q$35,19,FALSE)),""))</f>
        <v/>
      </c>
      <c r="Q56" s="411"/>
      <c r="R56" s="673" t="str">
        <f>IF($Q56=0,"",VLOOKUP($Q56,RentsUA!$A$12:$H$35,MATCH($D56,RentsUA!$A$12:$H$12,0),FALSE))</f>
        <v/>
      </c>
      <c r="S56" s="409"/>
      <c r="T56" s="674"/>
      <c r="U56" s="672"/>
      <c r="V56" s="673" t="str">
        <f t="shared" si="21"/>
        <v/>
      </c>
      <c r="W56" s="470"/>
      <c r="X56" s="411"/>
      <c r="Y56" s="410" t="str">
        <f>IF(X56=0,"",VLOOKUP($X56,RentsUA!$A$12:$H$35,MATCH($D56,RentsUA!$A$12:$H$12,0),FALSE))</f>
        <v/>
      </c>
      <c r="Z56" s="410" t="str">
        <f t="shared" si="2"/>
        <v/>
      </c>
      <c r="AA56" s="1297" t="str">
        <f>IF(H56="","",IF(G56/HLOOKUP($H56,RentsUA!$M$8:$T$9,2,FALSE)&gt;1,"&gt; 80%","&lt;= 80%"))</f>
        <v/>
      </c>
      <c r="AB56" s="1106"/>
      <c r="AC56" s="1106"/>
      <c r="AD56" s="622"/>
      <c r="AE56" s="412"/>
      <c r="AF56" s="807" t="str">
        <f>IF(AD56="","",IF(AD56=Lists!$U$3,M56,IF(AD56=Lists!$U$4,V56,IF(AD56=Lists!$U$5,Y56-L56,AE56))))</f>
        <v/>
      </c>
      <c r="AG56" s="410" t="str">
        <f t="shared" si="3"/>
        <v/>
      </c>
      <c r="AH56" s="469" t="str">
        <f t="shared" si="4"/>
        <v/>
      </c>
      <c r="AI56" s="469" t="str">
        <f>IF($AF56=0,0,IFERROR(($L56+$AF56)/(HLOOKUP($D56,RentsUA!$K$12:$Q$35,19,FALSE)),""))</f>
        <v/>
      </c>
      <c r="AJ56" s="469" t="str">
        <f>IF($AF56=0,0,IFERROR(($AF56+K56+L56)/(HLOOKUP($D56,RentsUA!$K$12:$Q$35,19,FALSE)),""))</f>
        <v/>
      </c>
      <c r="AK56" s="469" t="str">
        <f t="shared" si="22"/>
        <v/>
      </c>
      <c r="AL56" s="469" t="str">
        <f t="shared" si="23"/>
        <v/>
      </c>
      <c r="AM56" s="1106" t="str">
        <f t="shared" si="24"/>
        <v/>
      </c>
      <c r="AN56" s="1106" t="str">
        <f>IFERROR(AM56*(1+'7a.20YrDetails'!$F$9),"")</f>
        <v/>
      </c>
      <c r="AO56" s="1106" t="str">
        <f>IFERROR(AN56*(1+'7a.20YrDetails'!$F$9),"")</f>
        <v/>
      </c>
      <c r="AP56" s="1106" t="str">
        <f>IFERROR(AO56*(1+'7a.20YrDetails'!$F$9),"")</f>
        <v/>
      </c>
      <c r="AQ56" s="1106" t="str">
        <f>IFERROR(AP56*(1+'7a.20YrDetails'!$F$9),"")</f>
        <v/>
      </c>
      <c r="AR56" s="674"/>
      <c r="AS56" s="672" t="str">
        <f>IF($D56=0,"",VLOOKUP($AR56,RentsUA!$A$12:$H$35,MATCH($D56,RentsUA!$A$12:$H$12,0),FALSE)-L56)</f>
        <v/>
      </c>
      <c r="AT56" s="1732" t="str">
        <f>IF($AF56=0,0,IFERROR(($AF56+L56)/(HLOOKUP($D56,RentsUA!$B$61:$H$62,2,FALSE)),""))</f>
        <v/>
      </c>
      <c r="AU56" s="1733" t="str">
        <f>IFERROR(G56/HLOOKUP(H56,RentsUA!$B$40:$I$41,2),"")</f>
        <v/>
      </c>
      <c r="BR56" s="404" t="str">
        <f t="shared" si="27"/>
        <v/>
      </c>
      <c r="BS56" s="5" t="str">
        <f t="array" ref="BS56">IFERROR(INDEX($BR$13:$BR$412, MATCH(0, COUNTIF($BS$12:$BS55, $BR$13:$BR$412), 0)),"")</f>
        <v/>
      </c>
      <c r="BT56" s="404" t="str">
        <f t="shared" si="28"/>
        <v/>
      </c>
      <c r="BU56" s="404" t="str">
        <f t="array" ref="BU56">IFERROR(INDEX($BT$13:$BT$412, MATCH(0, COUNTIF($BU$12:$BU55, $BT$13:$BT$412), 0)),"")</f>
        <v/>
      </c>
    </row>
    <row r="57" spans="1:73" s="404" customFormat="1" ht="13.2">
      <c r="A57" s="406">
        <f t="shared" si="20"/>
        <v>45</v>
      </c>
      <c r="B57" s="472"/>
      <c r="C57" s="470"/>
      <c r="D57" s="407"/>
      <c r="E57" s="407"/>
      <c r="F57" s="408"/>
      <c r="G57" s="409"/>
      <c r="H57" s="407"/>
      <c r="I57" s="1029" t="str">
        <f>IFERROR(G57/HLOOKUP(H57,RentsUA!$B$8:$J$9,2),"")</f>
        <v/>
      </c>
      <c r="J57" s="407"/>
      <c r="K57" s="412"/>
      <c r="L57" s="672">
        <f t="shared" si="0"/>
        <v>0</v>
      </c>
      <c r="M57" s="671"/>
      <c r="N57" s="410">
        <f t="shared" si="1"/>
        <v>0</v>
      </c>
      <c r="O57" s="469" t="str">
        <f>IF($M57=0,"",IFERROR(($L57+$M57)/(HLOOKUP($D57,RentsUA!$K$12:$Q$35,19,FALSE)),""))</f>
        <v/>
      </c>
      <c r="P57" s="469" t="str">
        <f>IF($M57=0,"",IFERROR(($M57+K57+L57)/(HLOOKUP($D57,RentsUA!$K$12:$Q$35,19,FALSE)),""))</f>
        <v/>
      </c>
      <c r="Q57" s="411"/>
      <c r="R57" s="673" t="str">
        <f>IF($Q57=0,"",VLOOKUP($Q57,RentsUA!$A$12:$H$35,MATCH($D57,RentsUA!$A$12:$H$12,0),FALSE))</f>
        <v/>
      </c>
      <c r="S57" s="409"/>
      <c r="T57" s="674"/>
      <c r="U57" s="672"/>
      <c r="V57" s="673" t="str">
        <f t="shared" si="21"/>
        <v/>
      </c>
      <c r="W57" s="470"/>
      <c r="X57" s="411"/>
      <c r="Y57" s="410" t="str">
        <f>IF(X57=0,"",VLOOKUP($X57,RentsUA!$A$12:$H$35,MATCH($D57,RentsUA!$A$12:$H$12,0),FALSE))</f>
        <v/>
      </c>
      <c r="Z57" s="410" t="str">
        <f t="shared" si="2"/>
        <v/>
      </c>
      <c r="AA57" s="1297" t="str">
        <f>IF(H57="","",IF(G57/HLOOKUP($H57,RentsUA!$M$8:$T$9,2,FALSE)&gt;1,"&gt; 80%","&lt;= 80%"))</f>
        <v/>
      </c>
      <c r="AB57" s="1106"/>
      <c r="AC57" s="1106"/>
      <c r="AD57" s="622"/>
      <c r="AE57" s="412"/>
      <c r="AF57" s="807" t="str">
        <f>IF(AD57="","",IF(AD57=Lists!$U$3,M57,IF(AD57=Lists!$U$4,V57,IF(AD57=Lists!$U$5,Y57-L57,AE57))))</f>
        <v/>
      </c>
      <c r="AG57" s="410" t="str">
        <f t="shared" si="3"/>
        <v/>
      </c>
      <c r="AH57" s="469" t="str">
        <f t="shared" si="4"/>
        <v/>
      </c>
      <c r="AI57" s="469" t="str">
        <f>IF($AF57=0,0,IFERROR(($L57+$AF57)/(HLOOKUP($D57,RentsUA!$K$12:$Q$35,19,FALSE)),""))</f>
        <v/>
      </c>
      <c r="AJ57" s="469" t="str">
        <f>IF($AF57=0,0,IFERROR(($AF57+K57+L57)/(HLOOKUP($D57,RentsUA!$K$12:$Q$35,19,FALSE)),""))</f>
        <v/>
      </c>
      <c r="AK57" s="469" t="str">
        <f t="shared" si="22"/>
        <v/>
      </c>
      <c r="AL57" s="469" t="str">
        <f t="shared" si="23"/>
        <v/>
      </c>
      <c r="AM57" s="1106" t="str">
        <f t="shared" si="24"/>
        <v/>
      </c>
      <c r="AN57" s="1106" t="str">
        <f>IFERROR(AM57*(1+'7a.20YrDetails'!$F$9),"")</f>
        <v/>
      </c>
      <c r="AO57" s="1106" t="str">
        <f>IFERROR(AN57*(1+'7a.20YrDetails'!$F$9),"")</f>
        <v/>
      </c>
      <c r="AP57" s="1106" t="str">
        <f>IFERROR(AO57*(1+'7a.20YrDetails'!$F$9),"")</f>
        <v/>
      </c>
      <c r="AQ57" s="1106" t="str">
        <f>IFERROR(AP57*(1+'7a.20YrDetails'!$F$9),"")</f>
        <v/>
      </c>
      <c r="AR57" s="674"/>
      <c r="AS57" s="672" t="str">
        <f>IF($D57=0,"",VLOOKUP($AR57,RentsUA!$A$12:$H$35,MATCH($D57,RentsUA!$A$12:$H$12,0),FALSE)-L57)</f>
        <v/>
      </c>
      <c r="AT57" s="1732" t="str">
        <f>IF($AF57=0,0,IFERROR(($AF57+L57)/(HLOOKUP($D57,RentsUA!$B$61:$H$62,2,FALSE)),""))</f>
        <v/>
      </c>
      <c r="AU57" s="1733" t="str">
        <f>IFERROR(G57/HLOOKUP(H57,RentsUA!$B$40:$I$41,2),"")</f>
        <v/>
      </c>
      <c r="BR57" s="404" t="str">
        <f t="shared" si="27"/>
        <v/>
      </c>
      <c r="BS57" s="5" t="str">
        <f t="array" ref="BS57">IFERROR(INDEX($BR$13:$BR$412, MATCH(0, COUNTIF($BS$12:$BS56, $BR$13:$BR$412), 0)),"")</f>
        <v/>
      </c>
      <c r="BT57" s="404" t="str">
        <f t="shared" si="28"/>
        <v/>
      </c>
      <c r="BU57" s="404" t="str">
        <f t="array" ref="BU57">IFERROR(INDEX($BT$13:$BT$412, MATCH(0, COUNTIF($BU$12:$BU56, $BT$13:$BT$412), 0)),"")</f>
        <v/>
      </c>
    </row>
    <row r="58" spans="1:73" s="404" customFormat="1" ht="13.2">
      <c r="A58" s="406">
        <f t="shared" si="20"/>
        <v>46</v>
      </c>
      <c r="B58" s="472"/>
      <c r="C58" s="470"/>
      <c r="D58" s="407"/>
      <c r="E58" s="407"/>
      <c r="F58" s="408"/>
      <c r="G58" s="409"/>
      <c r="H58" s="407"/>
      <c r="I58" s="1029" t="str">
        <f>IFERROR(G58/HLOOKUP(H58,RentsUA!$B$8:$J$9,2),"")</f>
        <v/>
      </c>
      <c r="J58" s="407"/>
      <c r="K58" s="412"/>
      <c r="L58" s="672">
        <f t="shared" si="0"/>
        <v>0</v>
      </c>
      <c r="M58" s="671"/>
      <c r="N58" s="410">
        <f t="shared" si="1"/>
        <v>0</v>
      </c>
      <c r="O58" s="469" t="str">
        <f>IF($M58=0,"",IFERROR(($L58+$M58)/(HLOOKUP($D58,RentsUA!$K$12:$Q$35,19,FALSE)),""))</f>
        <v/>
      </c>
      <c r="P58" s="469" t="str">
        <f>IF($M58=0,"",IFERROR(($M58+K58+L58)/(HLOOKUP($D58,RentsUA!$K$12:$Q$35,19,FALSE)),""))</f>
        <v/>
      </c>
      <c r="Q58" s="411"/>
      <c r="R58" s="673" t="str">
        <f>IF($Q58=0,"",VLOOKUP($Q58,RentsUA!$A$12:$H$35,MATCH($D58,RentsUA!$A$12:$H$12,0),FALSE))</f>
        <v/>
      </c>
      <c r="S58" s="409"/>
      <c r="T58" s="674"/>
      <c r="U58" s="672"/>
      <c r="V58" s="673" t="str">
        <f t="shared" si="21"/>
        <v/>
      </c>
      <c r="W58" s="470"/>
      <c r="X58" s="411"/>
      <c r="Y58" s="410" t="str">
        <f>IF(X58=0,"",VLOOKUP($X58,RentsUA!$A$12:$H$35,MATCH($D58,RentsUA!$A$12:$H$12,0),FALSE))</f>
        <v/>
      </c>
      <c r="Z58" s="410" t="str">
        <f t="shared" si="2"/>
        <v/>
      </c>
      <c r="AA58" s="1297" t="str">
        <f>IF(H58="","",IF(G58/HLOOKUP($H58,RentsUA!$M$8:$T$9,2,FALSE)&gt;1,"&gt; 80%","&lt;= 80%"))</f>
        <v/>
      </c>
      <c r="AB58" s="1106"/>
      <c r="AC58" s="1106"/>
      <c r="AD58" s="622"/>
      <c r="AE58" s="412"/>
      <c r="AF58" s="807" t="str">
        <f>IF(AD58="","",IF(AD58=Lists!$U$3,M58,IF(AD58=Lists!$U$4,V58,IF(AD58=Lists!$U$5,Y58-L58,AE58))))</f>
        <v/>
      </c>
      <c r="AG58" s="410" t="str">
        <f t="shared" si="3"/>
        <v/>
      </c>
      <c r="AH58" s="469" t="str">
        <f t="shared" si="4"/>
        <v/>
      </c>
      <c r="AI58" s="469" t="str">
        <f>IF($AF58=0,0,IFERROR(($L58+$AF58)/(HLOOKUP($D58,RentsUA!$K$12:$Q$35,19,FALSE)),""))</f>
        <v/>
      </c>
      <c r="AJ58" s="469" t="str">
        <f>IF($AF58=0,0,IFERROR(($AF58+K58+L58)/(HLOOKUP($D58,RentsUA!$K$12:$Q$35,19,FALSE)),""))</f>
        <v/>
      </c>
      <c r="AK58" s="469" t="str">
        <f t="shared" si="22"/>
        <v/>
      </c>
      <c r="AL58" s="469" t="str">
        <f t="shared" si="23"/>
        <v/>
      </c>
      <c r="AM58" s="1106" t="str">
        <f t="shared" si="24"/>
        <v/>
      </c>
      <c r="AN58" s="1106" t="str">
        <f>IFERROR(AM58*(1+'7a.20YrDetails'!$F$9),"")</f>
        <v/>
      </c>
      <c r="AO58" s="1106" t="str">
        <f>IFERROR(AN58*(1+'7a.20YrDetails'!$F$9),"")</f>
        <v/>
      </c>
      <c r="AP58" s="1106" t="str">
        <f>IFERROR(AO58*(1+'7a.20YrDetails'!$F$9),"")</f>
        <v/>
      </c>
      <c r="AQ58" s="1106" t="str">
        <f>IFERROR(AP58*(1+'7a.20YrDetails'!$F$9),"")</f>
        <v/>
      </c>
      <c r="AR58" s="674"/>
      <c r="AS58" s="672" t="str">
        <f>IF($D58=0,"",VLOOKUP($AR58,RentsUA!$A$12:$H$35,MATCH($D58,RentsUA!$A$12:$H$12,0),FALSE)-L58)</f>
        <v/>
      </c>
      <c r="AT58" s="1732" t="str">
        <f>IF($AF58=0,0,IFERROR(($AF58+L58)/(HLOOKUP($D58,RentsUA!$B$61:$H$62,2,FALSE)),""))</f>
        <v/>
      </c>
      <c r="AU58" s="1733" t="str">
        <f>IFERROR(G58/HLOOKUP(H58,RentsUA!$B$40:$I$41,2),"")</f>
        <v/>
      </c>
      <c r="BR58" s="404" t="str">
        <f t="shared" si="27"/>
        <v/>
      </c>
      <c r="BS58" s="5" t="str">
        <f t="array" ref="BS58">IFERROR(INDEX($BR$13:$BR$412, MATCH(0, COUNTIF($BS$12:$BS57, $BR$13:$BR$412), 0)),"")</f>
        <v/>
      </c>
      <c r="BT58" s="404" t="str">
        <f t="shared" si="28"/>
        <v/>
      </c>
      <c r="BU58" s="404" t="str">
        <f t="array" ref="BU58">IFERROR(INDEX($BT$13:$BT$412, MATCH(0, COUNTIF($BU$12:$BU57, $BT$13:$BT$412), 0)),"")</f>
        <v/>
      </c>
    </row>
    <row r="59" spans="1:73" s="404" customFormat="1" ht="13.2">
      <c r="A59" s="406">
        <f t="shared" si="20"/>
        <v>47</v>
      </c>
      <c r="B59" s="472"/>
      <c r="C59" s="470"/>
      <c r="D59" s="407"/>
      <c r="E59" s="407"/>
      <c r="F59" s="408"/>
      <c r="G59" s="409"/>
      <c r="H59" s="407"/>
      <c r="I59" s="1029" t="str">
        <f>IFERROR(G59/HLOOKUP(H59,RentsUA!$B$8:$J$9,2),"")</f>
        <v/>
      </c>
      <c r="J59" s="407"/>
      <c r="K59" s="412"/>
      <c r="L59" s="672">
        <f t="shared" si="0"/>
        <v>0</v>
      </c>
      <c r="M59" s="671"/>
      <c r="N59" s="410">
        <f t="shared" si="1"/>
        <v>0</v>
      </c>
      <c r="O59" s="469" t="str">
        <f>IF($M59=0,"",IFERROR(($L59+$M59)/(HLOOKUP($D59,RentsUA!$K$12:$Q$35,19,FALSE)),""))</f>
        <v/>
      </c>
      <c r="P59" s="469" t="str">
        <f>IF($M59=0,"",IFERROR(($M59+K59+L59)/(HLOOKUP($D59,RentsUA!$K$12:$Q$35,19,FALSE)),""))</f>
        <v/>
      </c>
      <c r="Q59" s="411"/>
      <c r="R59" s="673" t="str">
        <f>IF($Q59=0,"",VLOOKUP($Q59,RentsUA!$A$12:$H$35,MATCH($D59,RentsUA!$A$12:$H$12,0),FALSE))</f>
        <v/>
      </c>
      <c r="S59" s="409"/>
      <c r="T59" s="674"/>
      <c r="U59" s="672"/>
      <c r="V59" s="673" t="str">
        <f t="shared" si="21"/>
        <v/>
      </c>
      <c r="W59" s="470"/>
      <c r="X59" s="411"/>
      <c r="Y59" s="410" t="str">
        <f>IF(X59=0,"",VLOOKUP($X59,RentsUA!$A$12:$H$35,MATCH($D59,RentsUA!$A$12:$H$12,0),FALSE))</f>
        <v/>
      </c>
      <c r="Z59" s="410" t="str">
        <f t="shared" si="2"/>
        <v/>
      </c>
      <c r="AA59" s="1297" t="str">
        <f>IF(H59="","",IF(G59/HLOOKUP($H59,RentsUA!$M$8:$T$9,2,FALSE)&gt;1,"&gt; 80%","&lt;= 80%"))</f>
        <v/>
      </c>
      <c r="AB59" s="1106"/>
      <c r="AC59" s="1106"/>
      <c r="AD59" s="622"/>
      <c r="AE59" s="412"/>
      <c r="AF59" s="807" t="str">
        <f>IF(AD59="","",IF(AD59=Lists!$U$3,M59,IF(AD59=Lists!$U$4,V59,IF(AD59=Lists!$U$5,Y59-L59,AE59))))</f>
        <v/>
      </c>
      <c r="AG59" s="410" t="str">
        <f t="shared" si="3"/>
        <v/>
      </c>
      <c r="AH59" s="469" t="str">
        <f t="shared" si="4"/>
        <v/>
      </c>
      <c r="AI59" s="469" t="str">
        <f>IF($AF59=0,0,IFERROR(($L59+$AF59)/(HLOOKUP($D59,RentsUA!$K$12:$Q$35,19,FALSE)),""))</f>
        <v/>
      </c>
      <c r="AJ59" s="469" t="str">
        <f>IF($AF59=0,0,IFERROR(($AF59+K59+L59)/(HLOOKUP($D59,RentsUA!$K$12:$Q$35,19,FALSE)),""))</f>
        <v/>
      </c>
      <c r="AK59" s="469" t="str">
        <f t="shared" si="22"/>
        <v/>
      </c>
      <c r="AL59" s="469" t="str">
        <f t="shared" si="23"/>
        <v/>
      </c>
      <c r="AM59" s="1106" t="str">
        <f t="shared" si="24"/>
        <v/>
      </c>
      <c r="AN59" s="1106" t="str">
        <f>IFERROR(AM59*(1+'7a.20YrDetails'!$F$9),"")</f>
        <v/>
      </c>
      <c r="AO59" s="1106" t="str">
        <f>IFERROR(AN59*(1+'7a.20YrDetails'!$F$9),"")</f>
        <v/>
      </c>
      <c r="AP59" s="1106" t="str">
        <f>IFERROR(AO59*(1+'7a.20YrDetails'!$F$9),"")</f>
        <v/>
      </c>
      <c r="AQ59" s="1106" t="str">
        <f>IFERROR(AP59*(1+'7a.20YrDetails'!$F$9),"")</f>
        <v/>
      </c>
      <c r="AR59" s="674"/>
      <c r="AS59" s="672" t="str">
        <f>IF($D59=0,"",VLOOKUP($AR59,RentsUA!$A$12:$H$35,MATCH($D59,RentsUA!$A$12:$H$12,0),FALSE)-L59)</f>
        <v/>
      </c>
      <c r="AT59" s="1732" t="str">
        <f>IF($AF59=0,0,IFERROR(($AF59+L59)/(HLOOKUP($D59,RentsUA!$B$61:$H$62,2,FALSE)),""))</f>
        <v/>
      </c>
      <c r="AU59" s="1733" t="str">
        <f>IFERROR(G59/HLOOKUP(H59,RentsUA!$B$40:$I$41,2),"")</f>
        <v/>
      </c>
      <c r="BR59" s="404" t="str">
        <f t="shared" si="27"/>
        <v/>
      </c>
      <c r="BS59" s="5" t="str">
        <f t="array" ref="BS59">IFERROR(INDEX($BR$13:$BR$412, MATCH(0, COUNTIF($BS$12:$BS58, $BR$13:$BR$412), 0)),"")</f>
        <v/>
      </c>
      <c r="BT59" s="404" t="str">
        <f t="shared" si="28"/>
        <v/>
      </c>
      <c r="BU59" s="404" t="str">
        <f t="array" ref="BU59">IFERROR(INDEX($BT$13:$BT$412, MATCH(0, COUNTIF($BU$12:$BU58, $BT$13:$BT$412), 0)),"")</f>
        <v/>
      </c>
    </row>
    <row r="60" spans="1:73" s="404" customFormat="1" ht="13.2">
      <c r="A60" s="406">
        <f t="shared" si="20"/>
        <v>48</v>
      </c>
      <c r="B60" s="472"/>
      <c r="C60" s="470"/>
      <c r="D60" s="407"/>
      <c r="E60" s="407"/>
      <c r="F60" s="408"/>
      <c r="G60" s="409"/>
      <c r="H60" s="407"/>
      <c r="I60" s="1029" t="str">
        <f>IFERROR(G60/HLOOKUP(H60,RentsUA!$B$8:$J$9,2),"")</f>
        <v/>
      </c>
      <c r="J60" s="407"/>
      <c r="K60" s="412"/>
      <c r="L60" s="672">
        <f t="shared" si="0"/>
        <v>0</v>
      </c>
      <c r="M60" s="671"/>
      <c r="N60" s="410">
        <f t="shared" si="1"/>
        <v>0</v>
      </c>
      <c r="O60" s="469" t="str">
        <f>IF($M60=0,"",IFERROR(($L60+$M60)/(HLOOKUP($D60,RentsUA!$K$12:$Q$35,19,FALSE)),""))</f>
        <v/>
      </c>
      <c r="P60" s="469" t="str">
        <f>IF($M60=0,"",IFERROR(($M60+K60+L60)/(HLOOKUP($D60,RentsUA!$K$12:$Q$35,19,FALSE)),""))</f>
        <v/>
      </c>
      <c r="Q60" s="411"/>
      <c r="R60" s="673" t="str">
        <f>IF($Q60=0,"",VLOOKUP($Q60,RentsUA!$A$12:$H$35,MATCH($D60,RentsUA!$A$12:$H$12,0),FALSE))</f>
        <v/>
      </c>
      <c r="S60" s="409"/>
      <c r="T60" s="674"/>
      <c r="U60" s="672"/>
      <c r="V60" s="673" t="str">
        <f t="shared" si="21"/>
        <v/>
      </c>
      <c r="W60" s="470"/>
      <c r="X60" s="411"/>
      <c r="Y60" s="410" t="str">
        <f>IF(X60=0,"",VLOOKUP($X60,RentsUA!$A$12:$H$35,MATCH($D60,RentsUA!$A$12:$H$12,0),FALSE))</f>
        <v/>
      </c>
      <c r="Z60" s="410" t="str">
        <f t="shared" si="2"/>
        <v/>
      </c>
      <c r="AA60" s="1297" t="str">
        <f>IF(H60="","",IF(G60/HLOOKUP($H60,RentsUA!$M$8:$T$9,2,FALSE)&gt;1,"&gt; 80%","&lt;= 80%"))</f>
        <v/>
      </c>
      <c r="AB60" s="1106"/>
      <c r="AC60" s="1106"/>
      <c r="AD60" s="622"/>
      <c r="AE60" s="412"/>
      <c r="AF60" s="807" t="str">
        <f>IF(AD60="","",IF(AD60=Lists!$U$3,M60,IF(AD60=Lists!$U$4,V60,IF(AD60=Lists!$U$5,Y60-L60,AE60))))</f>
        <v/>
      </c>
      <c r="AG60" s="410" t="str">
        <f t="shared" si="3"/>
        <v/>
      </c>
      <c r="AH60" s="469" t="str">
        <f t="shared" si="4"/>
        <v/>
      </c>
      <c r="AI60" s="469" t="str">
        <f>IF($AF60=0,0,IFERROR(($L60+$AF60)/(HLOOKUP($D60,RentsUA!$K$12:$Q$35,19,FALSE)),""))</f>
        <v/>
      </c>
      <c r="AJ60" s="469" t="str">
        <f>IF($AF60=0,0,IFERROR(($AF60+K60+L60)/(HLOOKUP($D60,RentsUA!$K$12:$Q$35,19,FALSE)),""))</f>
        <v/>
      </c>
      <c r="AK60" s="469" t="str">
        <f t="shared" si="22"/>
        <v/>
      </c>
      <c r="AL60" s="469" t="str">
        <f t="shared" si="23"/>
        <v/>
      </c>
      <c r="AM60" s="1106" t="str">
        <f t="shared" si="24"/>
        <v/>
      </c>
      <c r="AN60" s="1106" t="str">
        <f>IFERROR(AM60*(1+'7a.20YrDetails'!$F$9),"")</f>
        <v/>
      </c>
      <c r="AO60" s="1106" t="str">
        <f>IFERROR(AN60*(1+'7a.20YrDetails'!$F$9),"")</f>
        <v/>
      </c>
      <c r="AP60" s="1106" t="str">
        <f>IFERROR(AO60*(1+'7a.20YrDetails'!$F$9),"")</f>
        <v/>
      </c>
      <c r="AQ60" s="1106" t="str">
        <f>IFERROR(AP60*(1+'7a.20YrDetails'!$F$9),"")</f>
        <v/>
      </c>
      <c r="AR60" s="674"/>
      <c r="AS60" s="672" t="str">
        <f>IF($D60=0,"",VLOOKUP($AR60,RentsUA!$A$12:$H$35,MATCH($D60,RentsUA!$A$12:$H$12,0),FALSE)-L60)</f>
        <v/>
      </c>
      <c r="AT60" s="1732" t="str">
        <f>IF($AF60=0,0,IFERROR(($AF60+L60)/(HLOOKUP($D60,RentsUA!$B$61:$H$62,2,FALSE)),""))</f>
        <v/>
      </c>
      <c r="AU60" s="1733" t="str">
        <f>IFERROR(G60/HLOOKUP(H60,RentsUA!$B$40:$I$41,2),"")</f>
        <v/>
      </c>
      <c r="BR60" s="404" t="str">
        <f t="shared" si="27"/>
        <v/>
      </c>
      <c r="BS60" s="5" t="str">
        <f t="array" ref="BS60">IFERROR(INDEX($BR$13:$BR$412, MATCH(0, COUNTIF($BS$12:$BS59, $BR$13:$BR$412), 0)),"")</f>
        <v/>
      </c>
      <c r="BT60" s="404" t="str">
        <f t="shared" si="28"/>
        <v/>
      </c>
      <c r="BU60" s="404" t="str">
        <f t="array" ref="BU60">IFERROR(INDEX($BT$13:$BT$412, MATCH(0, COUNTIF($BU$12:$BU59, $BT$13:$BT$412), 0)),"")</f>
        <v/>
      </c>
    </row>
    <row r="61" spans="1:73" s="404" customFormat="1" ht="13.2">
      <c r="A61" s="406">
        <f t="shared" si="20"/>
        <v>49</v>
      </c>
      <c r="B61" s="472"/>
      <c r="C61" s="470"/>
      <c r="D61" s="407"/>
      <c r="E61" s="407"/>
      <c r="F61" s="408"/>
      <c r="G61" s="409"/>
      <c r="H61" s="407"/>
      <c r="I61" s="1029" t="str">
        <f>IFERROR(G61/HLOOKUP(H61,RentsUA!$B$8:$J$9,2),"")</f>
        <v/>
      </c>
      <c r="J61" s="407"/>
      <c r="K61" s="412"/>
      <c r="L61" s="672">
        <f t="shared" si="0"/>
        <v>0</v>
      </c>
      <c r="M61" s="671"/>
      <c r="N61" s="410">
        <f t="shared" si="1"/>
        <v>0</v>
      </c>
      <c r="O61" s="469" t="str">
        <f>IF($M61=0,"",IFERROR(($L61+$M61)/(HLOOKUP($D61,RentsUA!$K$12:$Q$35,19,FALSE)),""))</f>
        <v/>
      </c>
      <c r="P61" s="469" t="str">
        <f>IF($M61=0,"",IFERROR(($M61+K61+L61)/(HLOOKUP($D61,RentsUA!$K$12:$Q$35,19,FALSE)),""))</f>
        <v/>
      </c>
      <c r="Q61" s="411"/>
      <c r="R61" s="673" t="str">
        <f>IF($Q61=0,"",VLOOKUP($Q61,RentsUA!$A$12:$H$35,MATCH($D61,RentsUA!$A$12:$H$12,0),FALSE))</f>
        <v/>
      </c>
      <c r="S61" s="409"/>
      <c r="T61" s="674"/>
      <c r="U61" s="672"/>
      <c r="V61" s="673" t="str">
        <f t="shared" si="21"/>
        <v/>
      </c>
      <c r="W61" s="470"/>
      <c r="X61" s="411"/>
      <c r="Y61" s="410" t="str">
        <f>IF(X61=0,"",VLOOKUP($X61,RentsUA!$A$12:$H$35,MATCH($D61,RentsUA!$A$12:$H$12,0),FALSE))</f>
        <v/>
      </c>
      <c r="Z61" s="410" t="str">
        <f t="shared" si="2"/>
        <v/>
      </c>
      <c r="AA61" s="1297" t="str">
        <f>IF(H61="","",IF(G61/HLOOKUP($H61,RentsUA!$M$8:$T$9,2,FALSE)&gt;1,"&gt; 80%","&lt;= 80%"))</f>
        <v/>
      </c>
      <c r="AB61" s="1106"/>
      <c r="AC61" s="1106"/>
      <c r="AD61" s="622"/>
      <c r="AE61" s="412"/>
      <c r="AF61" s="807" t="str">
        <f>IF(AD61="","",IF(AD61=Lists!$U$3,M61,IF(AD61=Lists!$U$4,V61,IF(AD61=Lists!$U$5,Y61-L61,AE61))))</f>
        <v/>
      </c>
      <c r="AG61" s="410" t="str">
        <f t="shared" si="3"/>
        <v/>
      </c>
      <c r="AH61" s="469" t="str">
        <f t="shared" si="4"/>
        <v/>
      </c>
      <c r="AI61" s="469" t="str">
        <f>IF($AF61=0,0,IFERROR(($L61+$AF61)/(HLOOKUP($D61,RentsUA!$K$12:$Q$35,19,FALSE)),""))</f>
        <v/>
      </c>
      <c r="AJ61" s="469" t="str">
        <f>IF($AF61=0,0,IFERROR(($AF61+K61+L61)/(HLOOKUP($D61,RentsUA!$K$12:$Q$35,19,FALSE)),""))</f>
        <v/>
      </c>
      <c r="AK61" s="469" t="str">
        <f t="shared" si="22"/>
        <v/>
      </c>
      <c r="AL61" s="469" t="str">
        <f t="shared" si="23"/>
        <v/>
      </c>
      <c r="AM61" s="1106" t="str">
        <f t="shared" si="24"/>
        <v/>
      </c>
      <c r="AN61" s="1106" t="str">
        <f>IFERROR(AM61*(1+'7a.20YrDetails'!$F$9),"")</f>
        <v/>
      </c>
      <c r="AO61" s="1106" t="str">
        <f>IFERROR(AN61*(1+'7a.20YrDetails'!$F$9),"")</f>
        <v/>
      </c>
      <c r="AP61" s="1106" t="str">
        <f>IFERROR(AO61*(1+'7a.20YrDetails'!$F$9),"")</f>
        <v/>
      </c>
      <c r="AQ61" s="1106" t="str">
        <f>IFERROR(AP61*(1+'7a.20YrDetails'!$F$9),"")</f>
        <v/>
      </c>
      <c r="AR61" s="674"/>
      <c r="AS61" s="672" t="str">
        <f>IF($D61=0,"",VLOOKUP($AR61,RentsUA!$A$12:$H$35,MATCH($D61,RentsUA!$A$12:$H$12,0),FALSE)-L61)</f>
        <v/>
      </c>
      <c r="AT61" s="1732" t="str">
        <f>IF($AF61=0,0,IFERROR(($AF61+L61)/(HLOOKUP($D61,RentsUA!$B$61:$H$62,2,FALSE)),""))</f>
        <v/>
      </c>
      <c r="AU61" s="1733" t="str">
        <f>IFERROR(G61/HLOOKUP(H61,RentsUA!$B$40:$I$41,2),"")</f>
        <v/>
      </c>
      <c r="BR61" s="404" t="str">
        <f t="shared" si="27"/>
        <v/>
      </c>
      <c r="BS61" s="5" t="str">
        <f t="array" ref="BS61">IFERROR(INDEX($BR$13:$BR$412, MATCH(0, COUNTIF($BS$12:$BS60, $BR$13:$BR$412), 0)),"")</f>
        <v/>
      </c>
      <c r="BT61" s="404" t="str">
        <f t="shared" si="28"/>
        <v/>
      </c>
      <c r="BU61" s="404" t="str">
        <f t="array" ref="BU61">IFERROR(INDEX($BT$13:$BT$412, MATCH(0, COUNTIF($BU$12:$BU60, $BT$13:$BT$412), 0)),"")</f>
        <v/>
      </c>
    </row>
    <row r="62" spans="1:73" s="404" customFormat="1" ht="13.2">
      <c r="A62" s="406">
        <f t="shared" si="20"/>
        <v>50</v>
      </c>
      <c r="B62" s="472"/>
      <c r="C62" s="470"/>
      <c r="D62" s="407"/>
      <c r="E62" s="407"/>
      <c r="F62" s="408"/>
      <c r="G62" s="409"/>
      <c r="H62" s="407"/>
      <c r="I62" s="1029" t="str">
        <f>IFERROR(G62/HLOOKUP(H62,RentsUA!$B$8:$J$9,2),"")</f>
        <v/>
      </c>
      <c r="J62" s="407"/>
      <c r="K62" s="412"/>
      <c r="L62" s="672">
        <f t="shared" si="0"/>
        <v>0</v>
      </c>
      <c r="M62" s="671"/>
      <c r="N62" s="410">
        <f t="shared" si="1"/>
        <v>0</v>
      </c>
      <c r="O62" s="469" t="str">
        <f>IF($M62=0,"",IFERROR(($L62+$M62)/(HLOOKUP($D62,RentsUA!$K$12:$Q$35,19,FALSE)),""))</f>
        <v/>
      </c>
      <c r="P62" s="469" t="str">
        <f>IF($M62=0,"",IFERROR(($M62+K62+L62)/(HLOOKUP($D62,RentsUA!$K$12:$Q$35,19,FALSE)),""))</f>
        <v/>
      </c>
      <c r="Q62" s="411"/>
      <c r="R62" s="673" t="str">
        <f>IF($Q62=0,"",VLOOKUP($Q62,RentsUA!$A$12:$H$35,MATCH($D62,RentsUA!$A$12:$H$12,0),FALSE))</f>
        <v/>
      </c>
      <c r="S62" s="409"/>
      <c r="T62" s="674"/>
      <c r="U62" s="672"/>
      <c r="V62" s="673" t="str">
        <f t="shared" si="21"/>
        <v/>
      </c>
      <c r="W62" s="470"/>
      <c r="X62" s="411"/>
      <c r="Y62" s="410" t="str">
        <f>IF(X62=0,"",VLOOKUP($X62,RentsUA!$A$12:$H$35,MATCH($D62,RentsUA!$A$12:$H$12,0),FALSE))</f>
        <v/>
      </c>
      <c r="Z62" s="410" t="str">
        <f t="shared" si="2"/>
        <v/>
      </c>
      <c r="AA62" s="1297" t="str">
        <f>IF(H62="","",IF(G62/HLOOKUP($H62,RentsUA!$M$8:$T$9,2,FALSE)&gt;1,"&gt; 80%","&lt;= 80%"))</f>
        <v/>
      </c>
      <c r="AB62" s="1106"/>
      <c r="AC62" s="1106"/>
      <c r="AD62" s="622"/>
      <c r="AE62" s="412"/>
      <c r="AF62" s="807" t="str">
        <f>IF(AD62="","",IF(AD62=Lists!$U$3,M62,IF(AD62=Lists!$U$4,V62,IF(AD62=Lists!$U$5,Y62-L62,AE62))))</f>
        <v/>
      </c>
      <c r="AG62" s="410" t="str">
        <f t="shared" si="3"/>
        <v/>
      </c>
      <c r="AH62" s="469" t="str">
        <f t="shared" si="4"/>
        <v/>
      </c>
      <c r="AI62" s="469" t="str">
        <f>IF($AF62=0,0,IFERROR(($L62+$AF62)/(HLOOKUP($D62,RentsUA!$K$12:$Q$35,19,FALSE)),""))</f>
        <v/>
      </c>
      <c r="AJ62" s="469" t="str">
        <f>IF($AF62=0,0,IFERROR(($AF62+K62+L62)/(HLOOKUP($D62,RentsUA!$K$12:$Q$35,19,FALSE)),""))</f>
        <v/>
      </c>
      <c r="AK62" s="469" t="str">
        <f t="shared" si="22"/>
        <v/>
      </c>
      <c r="AL62" s="469" t="str">
        <f t="shared" si="23"/>
        <v/>
      </c>
      <c r="AM62" s="1106" t="str">
        <f t="shared" si="24"/>
        <v/>
      </c>
      <c r="AN62" s="1106" t="str">
        <f>IFERROR(AM62*(1+'7a.20YrDetails'!$F$9),"")</f>
        <v/>
      </c>
      <c r="AO62" s="1106" t="str">
        <f>IFERROR(AN62*(1+'7a.20YrDetails'!$F$9),"")</f>
        <v/>
      </c>
      <c r="AP62" s="1106" t="str">
        <f>IFERROR(AO62*(1+'7a.20YrDetails'!$F$9),"")</f>
        <v/>
      </c>
      <c r="AQ62" s="1106" t="str">
        <f>IFERROR(AP62*(1+'7a.20YrDetails'!$F$9),"")</f>
        <v/>
      </c>
      <c r="AR62" s="674"/>
      <c r="AS62" s="672" t="str">
        <f>IF($D62=0,"",VLOOKUP($AR62,RentsUA!$A$12:$H$35,MATCH($D62,RentsUA!$A$12:$H$12,0),FALSE)-L62)</f>
        <v/>
      </c>
      <c r="AT62" s="1732" t="str">
        <f>IF($AF62=0,0,IFERROR(($AF62+L62)/(HLOOKUP($D62,RentsUA!$B$61:$H$62,2,FALSE)),""))</f>
        <v/>
      </c>
      <c r="AU62" s="1733" t="str">
        <f>IFERROR(G62/HLOOKUP(H62,RentsUA!$B$40:$I$41,2),"")</f>
        <v/>
      </c>
      <c r="BR62" s="404" t="str">
        <f t="shared" si="27"/>
        <v/>
      </c>
      <c r="BS62" s="5" t="str">
        <f t="array" ref="BS62">IFERROR(INDEX($BR$13:$BR$412, MATCH(0, COUNTIF($BS$12:$BS61, $BR$13:$BR$412), 0)),"")</f>
        <v/>
      </c>
      <c r="BT62" s="404" t="str">
        <f t="shared" si="28"/>
        <v/>
      </c>
      <c r="BU62" s="404" t="str">
        <f t="array" ref="BU62">IFERROR(INDEX($BT$13:$BT$412, MATCH(0, COUNTIF($BU$12:$BU61, $BT$13:$BT$412), 0)),"")</f>
        <v/>
      </c>
    </row>
    <row r="63" spans="1:73" s="404" customFormat="1" ht="13.2">
      <c r="A63" s="406">
        <f t="shared" si="20"/>
        <v>51</v>
      </c>
      <c r="B63" s="472"/>
      <c r="C63" s="470"/>
      <c r="D63" s="407"/>
      <c r="E63" s="407"/>
      <c r="F63" s="408"/>
      <c r="G63" s="409"/>
      <c r="H63" s="407"/>
      <c r="I63" s="1029" t="str">
        <f>IFERROR(G63/HLOOKUP(H63,RentsUA!$B$8:$J$9,2),"")</f>
        <v/>
      </c>
      <c r="J63" s="407"/>
      <c r="K63" s="412"/>
      <c r="L63" s="672">
        <f t="shared" si="0"/>
        <v>0</v>
      </c>
      <c r="M63" s="671"/>
      <c r="N63" s="410">
        <f t="shared" si="1"/>
        <v>0</v>
      </c>
      <c r="O63" s="469" t="str">
        <f>IF($M63=0,"",IFERROR(($L63+$M63)/(HLOOKUP($D63,RentsUA!$K$12:$Q$35,19,FALSE)),""))</f>
        <v/>
      </c>
      <c r="P63" s="469" t="str">
        <f>IF($M63=0,"",IFERROR(($M63+K63+L63)/(HLOOKUP($D63,RentsUA!$K$12:$Q$35,19,FALSE)),""))</f>
        <v/>
      </c>
      <c r="Q63" s="411"/>
      <c r="R63" s="673" t="str">
        <f>IF($Q63=0,"",VLOOKUP($Q63,RentsUA!$A$12:$H$35,MATCH($D63,RentsUA!$A$12:$H$12,0),FALSE))</f>
        <v/>
      </c>
      <c r="S63" s="409"/>
      <c r="T63" s="674"/>
      <c r="U63" s="672"/>
      <c r="V63" s="673" t="str">
        <f t="shared" si="21"/>
        <v/>
      </c>
      <c r="W63" s="470"/>
      <c r="X63" s="411"/>
      <c r="Y63" s="410" t="str">
        <f>IF(X63=0,"",VLOOKUP($X63,RentsUA!$A$12:$H$35,MATCH($D63,RentsUA!$A$12:$H$12,0),FALSE))</f>
        <v/>
      </c>
      <c r="Z63" s="410" t="str">
        <f t="shared" si="2"/>
        <v/>
      </c>
      <c r="AA63" s="1297" t="str">
        <f>IF(H63="","",IF(G63/HLOOKUP($H63,RentsUA!$M$8:$T$9,2,FALSE)&gt;1,"&gt; 80%","&lt;= 80%"))</f>
        <v/>
      </c>
      <c r="AB63" s="1106"/>
      <c r="AC63" s="1106"/>
      <c r="AD63" s="622"/>
      <c r="AE63" s="412"/>
      <c r="AF63" s="807" t="str">
        <f>IF(AD63="","",IF(AD63=Lists!$U$3,M63,IF(AD63=Lists!$U$4,V63,IF(AD63=Lists!$U$5,Y63-L63,AE63))))</f>
        <v/>
      </c>
      <c r="AG63" s="410" t="str">
        <f t="shared" si="3"/>
        <v/>
      </c>
      <c r="AH63" s="469" t="str">
        <f t="shared" si="4"/>
        <v/>
      </c>
      <c r="AI63" s="469" t="str">
        <f>IF($AF63=0,0,IFERROR(($L63+$AF63)/(HLOOKUP($D63,RentsUA!$K$12:$Q$35,19,FALSE)),""))</f>
        <v/>
      </c>
      <c r="AJ63" s="469" t="str">
        <f>IF($AF63=0,0,IFERROR(($AF63+K63+L63)/(HLOOKUP($D63,RentsUA!$K$12:$Q$35,19,FALSE)),""))</f>
        <v/>
      </c>
      <c r="AK63" s="469" t="str">
        <f t="shared" si="22"/>
        <v/>
      </c>
      <c r="AL63" s="469" t="str">
        <f t="shared" si="23"/>
        <v/>
      </c>
      <c r="AM63" s="1106" t="str">
        <f t="shared" si="24"/>
        <v/>
      </c>
      <c r="AN63" s="1106" t="str">
        <f>IFERROR(AM63*(1+'7a.20YrDetails'!$F$9),"")</f>
        <v/>
      </c>
      <c r="AO63" s="1106" t="str">
        <f>IFERROR(AN63*(1+'7a.20YrDetails'!$F$9),"")</f>
        <v/>
      </c>
      <c r="AP63" s="1106" t="str">
        <f>IFERROR(AO63*(1+'7a.20YrDetails'!$F$9),"")</f>
        <v/>
      </c>
      <c r="AQ63" s="1106" t="str">
        <f>IFERROR(AP63*(1+'7a.20YrDetails'!$F$9),"")</f>
        <v/>
      </c>
      <c r="AR63" s="674"/>
      <c r="AS63" s="672"/>
      <c r="AT63" s="1732" t="str">
        <f>IF($AF63=0,0,IFERROR(($AF63+L63)/(HLOOKUP($D63,RentsUA!$B$61:$H$62,2,FALSE)),""))</f>
        <v/>
      </c>
      <c r="AU63" s="1733" t="str">
        <f>IFERROR(G63/HLOOKUP(H63,RentsUA!$B$40:$I$41,2),"")</f>
        <v/>
      </c>
      <c r="BR63" s="404" t="str">
        <f t="shared" si="27"/>
        <v/>
      </c>
      <c r="BS63" s="5" t="str">
        <f t="array" ref="BS63">IFERROR(INDEX($BR$13:$BR$412, MATCH(0, COUNTIF($BS$12:$BS62, $BR$13:$BR$412), 0)),"")</f>
        <v/>
      </c>
      <c r="BT63" s="404" t="str">
        <f t="shared" si="28"/>
        <v/>
      </c>
      <c r="BU63" s="404" t="str">
        <f t="array" ref="BU63">IFERROR(INDEX($BT$13:$BT$412, MATCH(0, COUNTIF($BU$12:$BU62, $BT$13:$BT$412), 0)),"")</f>
        <v/>
      </c>
    </row>
    <row r="64" spans="1:73" s="404" customFormat="1" ht="13.2">
      <c r="A64" s="406">
        <f t="shared" si="20"/>
        <v>52</v>
      </c>
      <c r="B64" s="472"/>
      <c r="C64" s="470"/>
      <c r="D64" s="407"/>
      <c r="E64" s="407"/>
      <c r="F64" s="408"/>
      <c r="G64" s="409"/>
      <c r="H64" s="407"/>
      <c r="I64" s="1029" t="str">
        <f>IFERROR(G64/HLOOKUP(H64,RentsUA!$B$8:$J$9,2),"")</f>
        <v/>
      </c>
      <c r="J64" s="407"/>
      <c r="K64" s="412"/>
      <c r="L64" s="672">
        <f t="shared" si="0"/>
        <v>0</v>
      </c>
      <c r="M64" s="671"/>
      <c r="N64" s="410">
        <f t="shared" si="1"/>
        <v>0</v>
      </c>
      <c r="O64" s="469" t="str">
        <f>IF($M64=0,"",IFERROR(($L64+$M64)/(HLOOKUP($D64,RentsUA!$K$12:$Q$35,19,FALSE)),""))</f>
        <v/>
      </c>
      <c r="P64" s="469" t="str">
        <f>IF($M64=0,"",IFERROR(($M64+K64+L64)/(HLOOKUP($D64,RentsUA!$K$12:$Q$35,19,FALSE)),""))</f>
        <v/>
      </c>
      <c r="Q64" s="411"/>
      <c r="R64" s="673" t="str">
        <f>IF($Q64=0,"",VLOOKUP($Q64,RentsUA!$A$12:$H$35,MATCH($D64,RentsUA!$A$12:$H$12,0),FALSE))</f>
        <v/>
      </c>
      <c r="S64" s="409"/>
      <c r="T64" s="674"/>
      <c r="U64" s="672"/>
      <c r="V64" s="673" t="str">
        <f t="shared" si="21"/>
        <v/>
      </c>
      <c r="W64" s="470"/>
      <c r="X64" s="411"/>
      <c r="Y64" s="410" t="str">
        <f>IF(X64=0,"",VLOOKUP($X64,RentsUA!$A$12:$H$35,MATCH($D64,RentsUA!$A$12:$H$12,0),FALSE))</f>
        <v/>
      </c>
      <c r="Z64" s="410" t="str">
        <f t="shared" si="2"/>
        <v/>
      </c>
      <c r="AA64" s="1297" t="str">
        <f>IF(H64="","",IF(G64/HLOOKUP($H64,RentsUA!$M$8:$T$9,2,FALSE)&gt;1,"&gt; 80%","&lt;= 80%"))</f>
        <v/>
      </c>
      <c r="AB64" s="1106"/>
      <c r="AC64" s="1106"/>
      <c r="AD64" s="622"/>
      <c r="AE64" s="412"/>
      <c r="AF64" s="807" t="str">
        <f>IF(AD64="","",IF(AD64=Lists!$U$3,M64,IF(AD64=Lists!$U$4,V64,IF(AD64=Lists!$U$5,Y64-L64,AE64))))</f>
        <v/>
      </c>
      <c r="AG64" s="410" t="str">
        <f t="shared" si="3"/>
        <v/>
      </c>
      <c r="AH64" s="469" t="str">
        <f t="shared" si="4"/>
        <v/>
      </c>
      <c r="AI64" s="469" t="str">
        <f>IF($AF64=0,0,IFERROR(($L64+$AF64)/(HLOOKUP($D64,RentsUA!$K$12:$Q$35,19,FALSE)),""))</f>
        <v/>
      </c>
      <c r="AJ64" s="469" t="str">
        <f>IF($AF64=0,0,IFERROR(($AF64+K64+L64)/(HLOOKUP($D64,RentsUA!$K$12:$Q$35,19,FALSE)),""))</f>
        <v/>
      </c>
      <c r="AK64" s="469" t="str">
        <f t="shared" si="22"/>
        <v/>
      </c>
      <c r="AL64" s="469" t="str">
        <f t="shared" si="23"/>
        <v/>
      </c>
      <c r="AM64" s="1106" t="str">
        <f t="shared" si="24"/>
        <v/>
      </c>
      <c r="AN64" s="1106" t="str">
        <f>IFERROR(AM64*(1+'7a.20YrDetails'!$F$9),"")</f>
        <v/>
      </c>
      <c r="AO64" s="1106" t="str">
        <f>IFERROR(AN64*(1+'7a.20YrDetails'!$F$9),"")</f>
        <v/>
      </c>
      <c r="AP64" s="1106" t="str">
        <f>IFERROR(AO64*(1+'7a.20YrDetails'!$F$9),"")</f>
        <v/>
      </c>
      <c r="AQ64" s="1106" t="str">
        <f>IFERROR(AP64*(1+'7a.20YrDetails'!$F$9),"")</f>
        <v/>
      </c>
      <c r="AR64" s="674"/>
      <c r="AS64" s="672"/>
      <c r="AT64" s="1732" t="str">
        <f>IF($AF64=0,0,IFERROR(($AF64+L64)/(HLOOKUP($D64,RentsUA!$B$61:$H$62,2,FALSE)),""))</f>
        <v/>
      </c>
      <c r="AU64" s="1733" t="str">
        <f>IFERROR(G64/HLOOKUP(H64,RentsUA!$B$40:$I$41,2),"")</f>
        <v/>
      </c>
      <c r="BR64" s="404" t="str">
        <f t="shared" si="27"/>
        <v/>
      </c>
      <c r="BS64" s="5" t="str">
        <f t="array" ref="BS64">IFERROR(INDEX($BR$13:$BR$412, MATCH(0, COUNTIF($BS$12:$BS63, $BR$13:$BR$412), 0)),"")</f>
        <v/>
      </c>
      <c r="BT64" s="404" t="str">
        <f t="shared" si="28"/>
        <v/>
      </c>
      <c r="BU64" s="404" t="str">
        <f t="array" ref="BU64">IFERROR(INDEX($BT$13:$BT$412, MATCH(0, COUNTIF($BU$12:$BU63, $BT$13:$BT$412), 0)),"")</f>
        <v/>
      </c>
    </row>
    <row r="65" spans="1:73" s="404" customFormat="1" ht="13.2">
      <c r="A65" s="406">
        <f t="shared" si="20"/>
        <v>53</v>
      </c>
      <c r="B65" s="472"/>
      <c r="C65" s="470"/>
      <c r="D65" s="407"/>
      <c r="E65" s="407"/>
      <c r="F65" s="408"/>
      <c r="G65" s="409"/>
      <c r="H65" s="407"/>
      <c r="I65" s="1029" t="str">
        <f>IFERROR(G65/HLOOKUP(H65,RentsUA!$B$8:$J$9,2),"")</f>
        <v/>
      </c>
      <c r="J65" s="407"/>
      <c r="K65" s="412"/>
      <c r="L65" s="672">
        <f t="shared" si="0"/>
        <v>0</v>
      </c>
      <c r="M65" s="671"/>
      <c r="N65" s="410">
        <f t="shared" si="1"/>
        <v>0</v>
      </c>
      <c r="O65" s="469" t="str">
        <f>IF($M65=0,"",IFERROR(($L65+$M65)/(HLOOKUP($D65,RentsUA!$K$12:$Q$35,19,FALSE)),""))</f>
        <v/>
      </c>
      <c r="P65" s="469" t="str">
        <f>IF($M65=0,"",IFERROR(($M65+K65+L65)/(HLOOKUP($D65,RentsUA!$K$12:$Q$35,19,FALSE)),""))</f>
        <v/>
      </c>
      <c r="Q65" s="411"/>
      <c r="R65" s="673" t="str">
        <f>IF($Q65=0,"",VLOOKUP($Q65,RentsUA!$A$12:$H$35,MATCH($D65,RentsUA!$A$12:$H$12,0),FALSE))</f>
        <v/>
      </c>
      <c r="S65" s="409"/>
      <c r="T65" s="674"/>
      <c r="U65" s="672"/>
      <c r="V65" s="673" t="str">
        <f t="shared" si="21"/>
        <v/>
      </c>
      <c r="W65" s="470"/>
      <c r="X65" s="411"/>
      <c r="Y65" s="410" t="str">
        <f>IF(X65=0,"",VLOOKUP($X65,RentsUA!$A$12:$H$35,MATCH($D65,RentsUA!$A$12:$H$12,0),FALSE))</f>
        <v/>
      </c>
      <c r="Z65" s="410" t="str">
        <f t="shared" si="2"/>
        <v/>
      </c>
      <c r="AA65" s="1297" t="str">
        <f>IF(H65="","",IF(G65/HLOOKUP($H65,RentsUA!$M$8:$T$9,2,FALSE)&gt;1,"&gt; 80%","&lt;= 80%"))</f>
        <v/>
      </c>
      <c r="AB65" s="1106"/>
      <c r="AC65" s="1106"/>
      <c r="AD65" s="622"/>
      <c r="AE65" s="412"/>
      <c r="AF65" s="807" t="str">
        <f>IF(AD65="","",IF(AD65=Lists!$U$3,M65,IF(AD65=Lists!$U$4,V65,IF(AD65=Lists!$U$5,Y65-L65,AE65))))</f>
        <v/>
      </c>
      <c r="AG65" s="410" t="str">
        <f t="shared" si="3"/>
        <v/>
      </c>
      <c r="AH65" s="469" t="str">
        <f t="shared" si="4"/>
        <v/>
      </c>
      <c r="AI65" s="469" t="str">
        <f>IF($AF65=0,0,IFERROR(($L65+$AF65)/(HLOOKUP($D65,RentsUA!$K$12:$Q$35,19,FALSE)),""))</f>
        <v/>
      </c>
      <c r="AJ65" s="469" t="str">
        <f>IF($AF65=0,0,IFERROR(($AF65+K65+L65)/(HLOOKUP($D65,RentsUA!$K$12:$Q$35,19,FALSE)),""))</f>
        <v/>
      </c>
      <c r="AK65" s="469" t="str">
        <f t="shared" si="22"/>
        <v/>
      </c>
      <c r="AL65" s="469" t="str">
        <f t="shared" si="23"/>
        <v/>
      </c>
      <c r="AM65" s="1106" t="str">
        <f t="shared" si="24"/>
        <v/>
      </c>
      <c r="AN65" s="1106" t="str">
        <f>IFERROR(AM65*(1+'7a.20YrDetails'!$F$9),"")</f>
        <v/>
      </c>
      <c r="AO65" s="1106" t="str">
        <f>IFERROR(AN65*(1+'7a.20YrDetails'!$F$9),"")</f>
        <v/>
      </c>
      <c r="AP65" s="1106" t="str">
        <f>IFERROR(AO65*(1+'7a.20YrDetails'!$F$9),"")</f>
        <v/>
      </c>
      <c r="AQ65" s="1106" t="str">
        <f>IFERROR(AP65*(1+'7a.20YrDetails'!$F$9),"")</f>
        <v/>
      </c>
      <c r="AR65" s="674"/>
      <c r="AS65" s="672"/>
      <c r="AT65" s="1732" t="str">
        <f>IF($AF65=0,0,IFERROR(($AF65+L65)/(HLOOKUP($D65,RentsUA!$B$61:$H$62,2,FALSE)),""))</f>
        <v/>
      </c>
      <c r="AU65" s="1733" t="str">
        <f>IFERROR(G65/HLOOKUP(H65,RentsUA!$B$40:$I$41,2),"")</f>
        <v/>
      </c>
      <c r="BR65" s="404" t="str">
        <f t="shared" si="27"/>
        <v/>
      </c>
      <c r="BS65" s="5" t="str">
        <f t="array" ref="BS65">IFERROR(INDEX($BR$13:$BR$412, MATCH(0, COUNTIF($BS$12:$BS64, $BR$13:$BR$412), 0)),"")</f>
        <v/>
      </c>
      <c r="BT65" s="404" t="str">
        <f t="shared" si="28"/>
        <v/>
      </c>
      <c r="BU65" s="404" t="str">
        <f t="array" ref="BU65">IFERROR(INDEX($BT$13:$BT$412, MATCH(0, COUNTIF($BU$12:$BU64, $BT$13:$BT$412), 0)),"")</f>
        <v/>
      </c>
    </row>
    <row r="66" spans="1:73" s="404" customFormat="1" ht="13.2">
      <c r="A66" s="406">
        <f t="shared" si="20"/>
        <v>54</v>
      </c>
      <c r="B66" s="472"/>
      <c r="C66" s="470"/>
      <c r="D66" s="407"/>
      <c r="E66" s="407"/>
      <c r="F66" s="408"/>
      <c r="G66" s="409"/>
      <c r="H66" s="407"/>
      <c r="I66" s="1029" t="str">
        <f>IFERROR(G66/HLOOKUP(H66,RentsUA!$B$8:$J$9,2),"")</f>
        <v/>
      </c>
      <c r="J66" s="407"/>
      <c r="K66" s="412"/>
      <c r="L66" s="672">
        <f t="shared" si="0"/>
        <v>0</v>
      </c>
      <c r="M66" s="671"/>
      <c r="N66" s="410">
        <f t="shared" si="1"/>
        <v>0</v>
      </c>
      <c r="O66" s="469" t="str">
        <f>IF($M66=0,"",IFERROR(($L66+$M66)/(HLOOKUP($D66,RentsUA!$K$12:$Q$35,19,FALSE)),""))</f>
        <v/>
      </c>
      <c r="P66" s="469" t="str">
        <f>IF($M66=0,"",IFERROR(($M66+K66+L66)/(HLOOKUP($D66,RentsUA!$K$12:$Q$35,19,FALSE)),""))</f>
        <v/>
      </c>
      <c r="Q66" s="411"/>
      <c r="R66" s="673" t="str">
        <f>IF($Q66=0,"",VLOOKUP($Q66,RentsUA!$A$12:$H$35,MATCH($D66,RentsUA!$A$12:$H$12,0),FALSE))</f>
        <v/>
      </c>
      <c r="S66" s="409"/>
      <c r="T66" s="674"/>
      <c r="U66" s="672"/>
      <c r="V66" s="673" t="str">
        <f t="shared" si="21"/>
        <v/>
      </c>
      <c r="W66" s="470"/>
      <c r="X66" s="411"/>
      <c r="Y66" s="410" t="str">
        <f>IF(X66=0,"",VLOOKUP($X66,RentsUA!$A$12:$H$35,MATCH($D66,RentsUA!$A$12:$H$12,0),FALSE))</f>
        <v/>
      </c>
      <c r="Z66" s="410" t="str">
        <f t="shared" si="2"/>
        <v/>
      </c>
      <c r="AA66" s="1297" t="str">
        <f>IF(H66="","",IF(G66/HLOOKUP($H66,RentsUA!$M$8:$T$9,2,FALSE)&gt;1,"&gt; 80%","&lt;= 80%"))</f>
        <v/>
      </c>
      <c r="AB66" s="1106"/>
      <c r="AC66" s="1106"/>
      <c r="AD66" s="622"/>
      <c r="AE66" s="412"/>
      <c r="AF66" s="807" t="str">
        <f>IF(AD66="","",IF(AD66=Lists!$U$3,M66,IF(AD66=Lists!$U$4,V66,IF(AD66=Lists!$U$5,Y66-L66,AE66))))</f>
        <v/>
      </c>
      <c r="AG66" s="410" t="str">
        <f t="shared" si="3"/>
        <v/>
      </c>
      <c r="AH66" s="469" t="str">
        <f t="shared" si="4"/>
        <v/>
      </c>
      <c r="AI66" s="469" t="str">
        <f>IF($AF66=0,0,IFERROR(($L66+$AF66)/(HLOOKUP($D66,RentsUA!$K$12:$Q$35,19,FALSE)),""))</f>
        <v/>
      </c>
      <c r="AJ66" s="469" t="str">
        <f>IF($AF66=0,0,IFERROR(($AF66+K66+L66)/(HLOOKUP($D66,RentsUA!$K$12:$Q$35,19,FALSE)),""))</f>
        <v/>
      </c>
      <c r="AK66" s="469" t="str">
        <f t="shared" si="22"/>
        <v/>
      </c>
      <c r="AL66" s="469" t="str">
        <f t="shared" si="23"/>
        <v/>
      </c>
      <c r="AM66" s="1106" t="str">
        <f t="shared" si="24"/>
        <v/>
      </c>
      <c r="AN66" s="1106" t="str">
        <f>IFERROR(AM66*(1+'7a.20YrDetails'!$F$9),"")</f>
        <v/>
      </c>
      <c r="AO66" s="1106" t="str">
        <f>IFERROR(AN66*(1+'7a.20YrDetails'!$F$9),"")</f>
        <v/>
      </c>
      <c r="AP66" s="1106" t="str">
        <f>IFERROR(AO66*(1+'7a.20YrDetails'!$F$9),"")</f>
        <v/>
      </c>
      <c r="AQ66" s="1106" t="str">
        <f>IFERROR(AP66*(1+'7a.20YrDetails'!$F$9),"")</f>
        <v/>
      </c>
      <c r="AR66" s="674"/>
      <c r="AS66" s="672"/>
      <c r="AT66" s="1732" t="str">
        <f>IF($AF66=0,0,IFERROR(($AF66+L66)/(HLOOKUP($D66,RentsUA!$B$61:$H$62,2,FALSE)),""))</f>
        <v/>
      </c>
      <c r="AU66" s="1733" t="str">
        <f>IFERROR(G66/HLOOKUP(H66,RentsUA!$B$40:$I$41,2),"")</f>
        <v/>
      </c>
      <c r="BR66" s="404" t="str">
        <f t="shared" si="27"/>
        <v/>
      </c>
      <c r="BS66" s="5" t="str">
        <f t="array" ref="BS66">IFERROR(INDEX($BR$13:$BR$412, MATCH(0, COUNTIF($BS$12:$BS65, $BR$13:$BR$412), 0)),"")</f>
        <v/>
      </c>
      <c r="BT66" s="404" t="str">
        <f t="shared" si="28"/>
        <v/>
      </c>
      <c r="BU66" s="404" t="str">
        <f t="array" ref="BU66">IFERROR(INDEX($BT$13:$BT$412, MATCH(0, COUNTIF($BU$12:$BU65, $BT$13:$BT$412), 0)),"")</f>
        <v/>
      </c>
    </row>
    <row r="67" spans="1:73" s="404" customFormat="1" ht="13.2">
      <c r="A67" s="406">
        <f t="shared" si="20"/>
        <v>55</v>
      </c>
      <c r="B67" s="472"/>
      <c r="C67" s="470"/>
      <c r="D67" s="407"/>
      <c r="E67" s="407"/>
      <c r="F67" s="408"/>
      <c r="G67" s="409"/>
      <c r="H67" s="407"/>
      <c r="I67" s="1029" t="str">
        <f>IFERROR(G67/HLOOKUP(H67,RentsUA!$B$8:$J$9,2),"")</f>
        <v/>
      </c>
      <c r="J67" s="407"/>
      <c r="K67" s="412"/>
      <c r="L67" s="672">
        <f t="shared" si="0"/>
        <v>0</v>
      </c>
      <c r="M67" s="671"/>
      <c r="N67" s="410">
        <f t="shared" si="1"/>
        <v>0</v>
      </c>
      <c r="O67" s="469" t="str">
        <f>IF($M67=0,"",IFERROR(($L67+$M67)/(HLOOKUP($D67,RentsUA!$K$12:$Q$35,19,FALSE)),""))</f>
        <v/>
      </c>
      <c r="P67" s="469" t="str">
        <f>IF($M67=0,"",IFERROR(($M67+K67+L67)/(HLOOKUP($D67,RentsUA!$K$12:$Q$35,19,FALSE)),""))</f>
        <v/>
      </c>
      <c r="Q67" s="411"/>
      <c r="R67" s="673" t="str">
        <f>IF($Q67=0,"",VLOOKUP($Q67,RentsUA!$A$12:$H$35,MATCH($D67,RentsUA!$A$12:$H$12,0),FALSE))</f>
        <v/>
      </c>
      <c r="S67" s="409"/>
      <c r="T67" s="674"/>
      <c r="U67" s="672"/>
      <c r="V67" s="673" t="str">
        <f t="shared" si="21"/>
        <v/>
      </c>
      <c r="W67" s="470"/>
      <c r="X67" s="411"/>
      <c r="Y67" s="410" t="str">
        <f>IF(X67=0,"",VLOOKUP($X67,RentsUA!$A$12:$H$35,MATCH($D67,RentsUA!$A$12:$H$12,0),FALSE))</f>
        <v/>
      </c>
      <c r="Z67" s="410" t="str">
        <f t="shared" si="2"/>
        <v/>
      </c>
      <c r="AA67" s="1297" t="str">
        <f>IF(H67="","",IF(G67/HLOOKUP($H67,RentsUA!$M$8:$T$9,2,FALSE)&gt;1,"&gt; 80%","&lt;= 80%"))</f>
        <v/>
      </c>
      <c r="AB67" s="1106"/>
      <c r="AC67" s="1106"/>
      <c r="AD67" s="622"/>
      <c r="AE67" s="412"/>
      <c r="AF67" s="807" t="str">
        <f>IF(AD67="","",IF(AD67=Lists!$U$3,M67,IF(AD67=Lists!$U$4,V67,IF(AD67=Lists!$U$5,Y67-L67,AE67))))</f>
        <v/>
      </c>
      <c r="AG67" s="410" t="str">
        <f t="shared" si="3"/>
        <v/>
      </c>
      <c r="AH67" s="469" t="str">
        <f t="shared" si="4"/>
        <v/>
      </c>
      <c r="AI67" s="469" t="str">
        <f>IF($AF67=0,0,IFERROR(($L67+$AF67)/(HLOOKUP($D67,RentsUA!$K$12:$Q$35,19,FALSE)),""))</f>
        <v/>
      </c>
      <c r="AJ67" s="469" t="str">
        <f>IF($AF67=0,0,IFERROR(($AF67+K67+L67)/(HLOOKUP($D67,RentsUA!$K$12:$Q$35,19,FALSE)),""))</f>
        <v/>
      </c>
      <c r="AK67" s="469" t="str">
        <f t="shared" si="22"/>
        <v/>
      </c>
      <c r="AL67" s="469" t="str">
        <f t="shared" si="23"/>
        <v/>
      </c>
      <c r="AM67" s="1106" t="str">
        <f t="shared" si="24"/>
        <v/>
      </c>
      <c r="AN67" s="1106" t="str">
        <f>IFERROR(AM67*(1+'7a.20YrDetails'!$F$9),"")</f>
        <v/>
      </c>
      <c r="AO67" s="1106" t="str">
        <f>IFERROR(AN67*(1+'7a.20YrDetails'!$F$9),"")</f>
        <v/>
      </c>
      <c r="AP67" s="1106" t="str">
        <f>IFERROR(AO67*(1+'7a.20YrDetails'!$F$9),"")</f>
        <v/>
      </c>
      <c r="AQ67" s="1106" t="str">
        <f>IFERROR(AP67*(1+'7a.20YrDetails'!$F$9),"")</f>
        <v/>
      </c>
      <c r="AR67" s="674"/>
      <c r="AS67" s="672"/>
      <c r="AT67" s="1732" t="str">
        <f>IF($AF67=0,0,IFERROR(($AF67+L67)/(HLOOKUP($D67,RentsUA!$B$61:$H$62,2,FALSE)),""))</f>
        <v/>
      </c>
      <c r="AU67" s="1733" t="str">
        <f>IFERROR(G67/HLOOKUP(H67,RentsUA!$B$40:$I$41,2),"")</f>
        <v/>
      </c>
      <c r="BR67" s="404" t="str">
        <f t="shared" si="27"/>
        <v/>
      </c>
      <c r="BS67" s="5" t="str">
        <f t="array" ref="BS67">IFERROR(INDEX($BR$13:$BR$412, MATCH(0, COUNTIF($BS$12:$BS66, $BR$13:$BR$412), 0)),"")</f>
        <v/>
      </c>
      <c r="BT67" s="404" t="str">
        <f t="shared" si="28"/>
        <v/>
      </c>
      <c r="BU67" s="404" t="str">
        <f t="array" ref="BU67">IFERROR(INDEX($BT$13:$BT$412, MATCH(0, COUNTIF($BU$12:$BU66, $BT$13:$BT$412), 0)),"")</f>
        <v/>
      </c>
    </row>
    <row r="68" spans="1:73" s="404" customFormat="1" ht="13.2">
      <c r="A68" s="406">
        <f t="shared" si="20"/>
        <v>56</v>
      </c>
      <c r="B68" s="472"/>
      <c r="C68" s="470"/>
      <c r="D68" s="407"/>
      <c r="E68" s="407"/>
      <c r="F68" s="408"/>
      <c r="G68" s="409"/>
      <c r="H68" s="407"/>
      <c r="I68" s="1029" t="str">
        <f>IFERROR(G68/HLOOKUP(H68,RentsUA!$B$8:$J$9,2),"")</f>
        <v/>
      </c>
      <c r="J68" s="407"/>
      <c r="K68" s="412"/>
      <c r="L68" s="672">
        <f t="shared" si="0"/>
        <v>0</v>
      </c>
      <c r="M68" s="671"/>
      <c r="N68" s="410">
        <f t="shared" si="1"/>
        <v>0</v>
      </c>
      <c r="O68" s="469" t="str">
        <f>IF($M68=0,"",IFERROR(($L68+$M68)/(HLOOKUP($D68,RentsUA!$K$12:$Q$35,19,FALSE)),""))</f>
        <v/>
      </c>
      <c r="P68" s="469" t="str">
        <f>IF($M68=0,"",IFERROR(($M68+K68+L68)/(HLOOKUP($D68,RentsUA!$K$12:$Q$35,19,FALSE)),""))</f>
        <v/>
      </c>
      <c r="Q68" s="411"/>
      <c r="R68" s="673" t="str">
        <f>IF($Q68=0,"",VLOOKUP($Q68,RentsUA!$A$12:$H$35,MATCH($D68,RentsUA!$A$12:$H$12,0),FALSE))</f>
        <v/>
      </c>
      <c r="S68" s="409"/>
      <c r="T68" s="674"/>
      <c r="U68" s="672"/>
      <c r="V68" s="673" t="str">
        <f t="shared" si="21"/>
        <v/>
      </c>
      <c r="W68" s="470"/>
      <c r="X68" s="411"/>
      <c r="Y68" s="410" t="str">
        <f>IF(X68=0,"",VLOOKUP($X68,RentsUA!$A$12:$H$35,MATCH($D68,RentsUA!$A$12:$H$12,0),FALSE))</f>
        <v/>
      </c>
      <c r="Z68" s="410" t="str">
        <f t="shared" si="2"/>
        <v/>
      </c>
      <c r="AA68" s="1297" t="str">
        <f>IF(H68="","",IF(G68/HLOOKUP($H68,RentsUA!$M$8:$T$9,2,FALSE)&gt;1,"&gt; 80%","&lt;= 80%"))</f>
        <v/>
      </c>
      <c r="AB68" s="1106"/>
      <c r="AC68" s="1106"/>
      <c r="AD68" s="622"/>
      <c r="AE68" s="412"/>
      <c r="AF68" s="807" t="str">
        <f>IF(AD68="","",IF(AD68=Lists!$U$3,M68,IF(AD68=Lists!$U$4,V68,IF(AD68=Lists!$U$5,Y68-L68,AE68))))</f>
        <v/>
      </c>
      <c r="AG68" s="410" t="str">
        <f t="shared" si="3"/>
        <v/>
      </c>
      <c r="AH68" s="469" t="str">
        <f t="shared" si="4"/>
        <v/>
      </c>
      <c r="AI68" s="469" t="str">
        <f>IF($AF68=0,0,IFERROR(($L68+$AF68)/(HLOOKUP($D68,RentsUA!$K$12:$Q$35,19,FALSE)),""))</f>
        <v/>
      </c>
      <c r="AJ68" s="469" t="str">
        <f>IF($AF68=0,0,IFERROR(($AF68+K68+L68)/(HLOOKUP($D68,RentsUA!$K$12:$Q$35,19,FALSE)),""))</f>
        <v/>
      </c>
      <c r="AK68" s="469" t="str">
        <f t="shared" si="22"/>
        <v/>
      </c>
      <c r="AL68" s="469" t="str">
        <f t="shared" si="23"/>
        <v/>
      </c>
      <c r="AM68" s="1106" t="str">
        <f t="shared" si="24"/>
        <v/>
      </c>
      <c r="AN68" s="1106" t="str">
        <f>IFERROR(AM68*(1+'7a.20YrDetails'!$F$9),"")</f>
        <v/>
      </c>
      <c r="AO68" s="1106" t="str">
        <f>IFERROR(AN68*(1+'7a.20YrDetails'!$F$9),"")</f>
        <v/>
      </c>
      <c r="AP68" s="1106" t="str">
        <f>IFERROR(AO68*(1+'7a.20YrDetails'!$F$9),"")</f>
        <v/>
      </c>
      <c r="AQ68" s="1106" t="str">
        <f>IFERROR(AP68*(1+'7a.20YrDetails'!$F$9),"")</f>
        <v/>
      </c>
      <c r="AR68" s="674"/>
      <c r="AS68" s="672"/>
      <c r="AT68" s="1732" t="str">
        <f>IF($AF68=0,0,IFERROR(($AF68+L68)/(HLOOKUP($D68,RentsUA!$B$61:$H$62,2,FALSE)),""))</f>
        <v/>
      </c>
      <c r="AU68" s="1733" t="str">
        <f>IFERROR(G68/HLOOKUP(H68,RentsUA!$B$40:$I$41,2),"")</f>
        <v/>
      </c>
      <c r="BR68" s="404" t="str">
        <f t="shared" si="27"/>
        <v/>
      </c>
      <c r="BS68" s="5" t="str">
        <f t="array" ref="BS68">IFERROR(INDEX($BR$13:$BR$412, MATCH(0, COUNTIF($BS$12:$BS67, $BR$13:$BR$412), 0)),"")</f>
        <v/>
      </c>
      <c r="BT68" s="404" t="str">
        <f t="shared" si="28"/>
        <v/>
      </c>
      <c r="BU68" s="404" t="str">
        <f t="array" ref="BU68">IFERROR(INDEX($BT$13:$BT$412, MATCH(0, COUNTIF($BU$12:$BU67, $BT$13:$BT$412), 0)),"")</f>
        <v/>
      </c>
    </row>
    <row r="69" spans="1:73" s="404" customFormat="1" ht="13.2">
      <c r="A69" s="406">
        <f t="shared" si="20"/>
        <v>57</v>
      </c>
      <c r="B69" s="472"/>
      <c r="C69" s="470"/>
      <c r="D69" s="407"/>
      <c r="E69" s="407"/>
      <c r="F69" s="408"/>
      <c r="G69" s="409"/>
      <c r="H69" s="407"/>
      <c r="I69" s="1029" t="str">
        <f>IFERROR(G69/HLOOKUP(H69,RentsUA!$B$8:$J$9,2),"")</f>
        <v/>
      </c>
      <c r="J69" s="407"/>
      <c r="K69" s="412"/>
      <c r="L69" s="672">
        <f t="shared" si="0"/>
        <v>0</v>
      </c>
      <c r="M69" s="671"/>
      <c r="N69" s="410">
        <f t="shared" si="1"/>
        <v>0</v>
      </c>
      <c r="O69" s="469" t="str">
        <f>IF($M69=0,"",IFERROR(($L69+$M69)/(HLOOKUP($D69,RentsUA!$K$12:$Q$35,19,FALSE)),""))</f>
        <v/>
      </c>
      <c r="P69" s="469" t="str">
        <f>IF($M69=0,"",IFERROR(($M69+K69+L69)/(HLOOKUP($D69,RentsUA!$K$12:$Q$35,19,FALSE)),""))</f>
        <v/>
      </c>
      <c r="Q69" s="411"/>
      <c r="R69" s="673" t="str">
        <f>IF($Q69=0,"",VLOOKUP($Q69,RentsUA!$A$12:$H$35,MATCH($D69,RentsUA!$A$12:$H$12,0),FALSE))</f>
        <v/>
      </c>
      <c r="S69" s="409"/>
      <c r="T69" s="674"/>
      <c r="U69" s="672"/>
      <c r="V69" s="673" t="str">
        <f t="shared" si="21"/>
        <v/>
      </c>
      <c r="W69" s="470"/>
      <c r="X69" s="411"/>
      <c r="Y69" s="410" t="str">
        <f>IF(X69=0,"",VLOOKUP($X69,RentsUA!$A$12:$H$35,MATCH($D69,RentsUA!$A$12:$H$12,0),FALSE))</f>
        <v/>
      </c>
      <c r="Z69" s="410" t="str">
        <f t="shared" si="2"/>
        <v/>
      </c>
      <c r="AA69" s="1297" t="str">
        <f>IF(H69="","",IF(G69/HLOOKUP($H69,RentsUA!$M$8:$T$9,2,FALSE)&gt;1,"&gt; 80%","&lt;= 80%"))</f>
        <v/>
      </c>
      <c r="AB69" s="1106"/>
      <c r="AC69" s="1106"/>
      <c r="AD69" s="622"/>
      <c r="AE69" s="412"/>
      <c r="AF69" s="807" t="str">
        <f>IF(AD69="","",IF(AD69=Lists!$U$3,M69,IF(AD69=Lists!$U$4,V69,IF(AD69=Lists!$U$5,Y69-L69,AE69))))</f>
        <v/>
      </c>
      <c r="AG69" s="410" t="str">
        <f t="shared" si="3"/>
        <v/>
      </c>
      <c r="AH69" s="469" t="str">
        <f t="shared" si="4"/>
        <v/>
      </c>
      <c r="AI69" s="469" t="str">
        <f>IF($AF69=0,0,IFERROR(($L69+$AF69)/(HLOOKUP($D69,RentsUA!$K$12:$Q$35,19,FALSE)),""))</f>
        <v/>
      </c>
      <c r="AJ69" s="469" t="str">
        <f>IF($AF69=0,0,IFERROR(($AF69+K69+L69)/(HLOOKUP($D69,RentsUA!$K$12:$Q$35,19,FALSE)),""))</f>
        <v/>
      </c>
      <c r="AK69" s="469" t="str">
        <f t="shared" si="22"/>
        <v/>
      </c>
      <c r="AL69" s="469" t="str">
        <f t="shared" si="23"/>
        <v/>
      </c>
      <c r="AM69" s="1106" t="str">
        <f t="shared" si="24"/>
        <v/>
      </c>
      <c r="AN69" s="1106" t="str">
        <f>IFERROR(AM69*(1+'7a.20YrDetails'!$F$9),"")</f>
        <v/>
      </c>
      <c r="AO69" s="1106" t="str">
        <f>IFERROR(AN69*(1+'7a.20YrDetails'!$F$9),"")</f>
        <v/>
      </c>
      <c r="AP69" s="1106" t="str">
        <f>IFERROR(AO69*(1+'7a.20YrDetails'!$F$9),"")</f>
        <v/>
      </c>
      <c r="AQ69" s="1106" t="str">
        <f>IFERROR(AP69*(1+'7a.20YrDetails'!$F$9),"")</f>
        <v/>
      </c>
      <c r="AR69" s="674"/>
      <c r="AS69" s="672"/>
      <c r="AT69" s="1732" t="str">
        <f>IF($AF69=0,0,IFERROR(($AF69+L69)/(HLOOKUP($D69,RentsUA!$B$61:$H$62,2,FALSE)),""))</f>
        <v/>
      </c>
      <c r="AU69" s="1733" t="str">
        <f>IFERROR(G69/HLOOKUP(H69,RentsUA!$B$40:$I$41,2),"")</f>
        <v/>
      </c>
      <c r="BR69" s="404" t="str">
        <f t="shared" si="27"/>
        <v/>
      </c>
      <c r="BS69" s="5" t="str">
        <f t="array" ref="BS69">IFERROR(INDEX($BR$13:$BR$412, MATCH(0, COUNTIF($BS$12:$BS68, $BR$13:$BR$412), 0)),"")</f>
        <v/>
      </c>
      <c r="BT69" s="404" t="str">
        <f t="shared" si="28"/>
        <v/>
      </c>
      <c r="BU69" s="404" t="str">
        <f t="array" ref="BU69">IFERROR(INDEX($BT$13:$BT$412, MATCH(0, COUNTIF($BU$12:$BU68, $BT$13:$BT$412), 0)),"")</f>
        <v/>
      </c>
    </row>
    <row r="70" spans="1:73" s="404" customFormat="1" ht="13.2">
      <c r="A70" s="406">
        <f t="shared" si="20"/>
        <v>58</v>
      </c>
      <c r="B70" s="472"/>
      <c r="C70" s="470"/>
      <c r="D70" s="407"/>
      <c r="E70" s="407"/>
      <c r="F70" s="408"/>
      <c r="G70" s="409"/>
      <c r="H70" s="407"/>
      <c r="I70" s="1029" t="str">
        <f>IFERROR(G70/HLOOKUP(H70,RentsUA!$B$8:$J$9,2),"")</f>
        <v/>
      </c>
      <c r="J70" s="407"/>
      <c r="K70" s="412"/>
      <c r="L70" s="672">
        <f t="shared" si="0"/>
        <v>0</v>
      </c>
      <c r="M70" s="671"/>
      <c r="N70" s="410">
        <f t="shared" si="1"/>
        <v>0</v>
      </c>
      <c r="O70" s="469" t="str">
        <f>IF($M70=0,"",IFERROR(($L70+$M70)/(HLOOKUP($D70,RentsUA!$K$12:$Q$35,19,FALSE)),""))</f>
        <v/>
      </c>
      <c r="P70" s="469" t="str">
        <f>IF($M70=0,"",IFERROR(($M70+K70+L70)/(HLOOKUP($D70,RentsUA!$K$12:$Q$35,19,FALSE)),""))</f>
        <v/>
      </c>
      <c r="Q70" s="411"/>
      <c r="R70" s="673" t="str">
        <f>IF($Q70=0,"",VLOOKUP($Q70,RentsUA!$A$12:$H$35,MATCH($D70,RentsUA!$A$12:$H$12,0),FALSE))</f>
        <v/>
      </c>
      <c r="S70" s="409"/>
      <c r="T70" s="674"/>
      <c r="U70" s="672"/>
      <c r="V70" s="673" t="str">
        <f t="shared" si="21"/>
        <v/>
      </c>
      <c r="W70" s="470"/>
      <c r="X70" s="411"/>
      <c r="Y70" s="410" t="str">
        <f>IF(X70=0,"",VLOOKUP($X70,RentsUA!$A$12:$H$35,MATCH($D70,RentsUA!$A$12:$H$12,0),FALSE))</f>
        <v/>
      </c>
      <c r="Z70" s="410" t="str">
        <f t="shared" si="2"/>
        <v/>
      </c>
      <c r="AA70" s="1297" t="str">
        <f>IF(H70="","",IF(G70/HLOOKUP($H70,RentsUA!$M$8:$T$9,2,FALSE)&gt;1,"&gt; 80%","&lt;= 80%"))</f>
        <v/>
      </c>
      <c r="AB70" s="1106"/>
      <c r="AC70" s="1106"/>
      <c r="AD70" s="622"/>
      <c r="AE70" s="412"/>
      <c r="AF70" s="807" t="str">
        <f>IF(AD70="","",IF(AD70=Lists!$U$3,M70,IF(AD70=Lists!$U$4,V70,IF(AD70=Lists!$U$5,Y70-L70,AE70))))</f>
        <v/>
      </c>
      <c r="AG70" s="410" t="str">
        <f t="shared" si="3"/>
        <v/>
      </c>
      <c r="AH70" s="469" t="str">
        <f t="shared" si="4"/>
        <v/>
      </c>
      <c r="AI70" s="469" t="str">
        <f>IF($AF70=0,0,IFERROR(($L70+$AF70)/(HLOOKUP($D70,RentsUA!$K$12:$Q$35,19,FALSE)),""))</f>
        <v/>
      </c>
      <c r="AJ70" s="469" t="str">
        <f>IF($AF70=0,0,IFERROR(($AF70+K70+L70)/(HLOOKUP($D70,RentsUA!$K$12:$Q$35,19,FALSE)),""))</f>
        <v/>
      </c>
      <c r="AK70" s="469" t="str">
        <f t="shared" si="22"/>
        <v/>
      </c>
      <c r="AL70" s="469" t="str">
        <f t="shared" si="23"/>
        <v/>
      </c>
      <c r="AM70" s="1106" t="str">
        <f t="shared" si="24"/>
        <v/>
      </c>
      <c r="AN70" s="1106" t="str">
        <f>IFERROR(AM70*(1+'7a.20YrDetails'!$F$9),"")</f>
        <v/>
      </c>
      <c r="AO70" s="1106" t="str">
        <f>IFERROR(AN70*(1+'7a.20YrDetails'!$F$9),"")</f>
        <v/>
      </c>
      <c r="AP70" s="1106" t="str">
        <f>IFERROR(AO70*(1+'7a.20YrDetails'!$F$9),"")</f>
        <v/>
      </c>
      <c r="AQ70" s="1106" t="str">
        <f>IFERROR(AP70*(1+'7a.20YrDetails'!$F$9),"")</f>
        <v/>
      </c>
      <c r="AR70" s="674"/>
      <c r="AS70" s="672"/>
      <c r="AT70" s="1732" t="str">
        <f>IF($AF70=0,0,IFERROR(($AF70+L70)/(HLOOKUP($D70,RentsUA!$B$61:$H$62,2,FALSE)),""))</f>
        <v/>
      </c>
      <c r="AU70" s="1733" t="str">
        <f>IFERROR(G70/HLOOKUP(H70,RentsUA!$B$40:$I$41,2),"")</f>
        <v/>
      </c>
      <c r="BR70" s="404" t="str">
        <f t="shared" si="27"/>
        <v/>
      </c>
      <c r="BS70" s="5" t="str">
        <f t="array" ref="BS70">IFERROR(INDEX($BR$13:$BR$412, MATCH(0, COUNTIF($BS$12:$BS69, $BR$13:$BR$412), 0)),"")</f>
        <v/>
      </c>
      <c r="BT70" s="404" t="str">
        <f t="shared" si="28"/>
        <v/>
      </c>
      <c r="BU70" s="404" t="str">
        <f t="array" ref="BU70">IFERROR(INDEX($BT$13:$BT$412, MATCH(0, COUNTIF($BU$12:$BU69, $BT$13:$BT$412), 0)),"")</f>
        <v/>
      </c>
    </row>
    <row r="71" spans="1:73" s="404" customFormat="1" ht="13.2">
      <c r="A71" s="406">
        <f t="shared" si="20"/>
        <v>59</v>
      </c>
      <c r="B71" s="472"/>
      <c r="C71" s="470"/>
      <c r="D71" s="407"/>
      <c r="E71" s="407"/>
      <c r="F71" s="408"/>
      <c r="G71" s="409"/>
      <c r="H71" s="407"/>
      <c r="I71" s="1029" t="str">
        <f>IFERROR(G71/HLOOKUP(H71,RentsUA!$B$8:$J$9,2),"")</f>
        <v/>
      </c>
      <c r="J71" s="407"/>
      <c r="K71" s="412"/>
      <c r="L71" s="672">
        <f t="shared" si="0"/>
        <v>0</v>
      </c>
      <c r="M71" s="671"/>
      <c r="N71" s="410">
        <f t="shared" si="1"/>
        <v>0</v>
      </c>
      <c r="O71" s="469" t="str">
        <f>IF($M71=0,"",IFERROR(($L71+$M71)/(HLOOKUP($D71,RentsUA!$K$12:$Q$35,19,FALSE)),""))</f>
        <v/>
      </c>
      <c r="P71" s="469" t="str">
        <f>IF($M71=0,"",IFERROR(($M71+K71+L71)/(HLOOKUP($D71,RentsUA!$K$12:$Q$35,19,FALSE)),""))</f>
        <v/>
      </c>
      <c r="Q71" s="411"/>
      <c r="R71" s="673" t="str">
        <f>IF($Q71=0,"",VLOOKUP($Q71,RentsUA!$A$12:$H$35,MATCH($D71,RentsUA!$A$12:$H$12,0),FALSE))</f>
        <v/>
      </c>
      <c r="S71" s="409"/>
      <c r="T71" s="674"/>
      <c r="U71" s="672"/>
      <c r="V71" s="673" t="str">
        <f t="shared" si="21"/>
        <v/>
      </c>
      <c r="W71" s="470"/>
      <c r="X71" s="411"/>
      <c r="Y71" s="410" t="str">
        <f>IF(X71=0,"",VLOOKUP($X71,RentsUA!$A$12:$H$35,MATCH($D71,RentsUA!$A$12:$H$12,0),FALSE))</f>
        <v/>
      </c>
      <c r="Z71" s="410" t="str">
        <f t="shared" si="2"/>
        <v/>
      </c>
      <c r="AA71" s="1297" t="str">
        <f>IF(H71="","",IF(G71/HLOOKUP($H71,RentsUA!$M$8:$T$9,2,FALSE)&gt;1,"&gt; 80%","&lt;= 80%"))</f>
        <v/>
      </c>
      <c r="AB71" s="1106"/>
      <c r="AC71" s="1106"/>
      <c r="AD71" s="622"/>
      <c r="AE71" s="412"/>
      <c r="AF71" s="807" t="str">
        <f>IF(AD71="","",IF(AD71=Lists!$U$3,M71,IF(AD71=Lists!$U$4,V71,IF(AD71=Lists!$U$5,Y71-L71,AE71))))</f>
        <v/>
      </c>
      <c r="AG71" s="410" t="str">
        <f t="shared" si="3"/>
        <v/>
      </c>
      <c r="AH71" s="469" t="str">
        <f t="shared" si="4"/>
        <v/>
      </c>
      <c r="AI71" s="469" t="str">
        <f>IF($AF71=0,0,IFERROR(($L71+$AF71)/(HLOOKUP($D71,RentsUA!$K$12:$Q$35,19,FALSE)),""))</f>
        <v/>
      </c>
      <c r="AJ71" s="469" t="str">
        <f>IF($AF71=0,0,IFERROR(($AF71+K71+L71)/(HLOOKUP($D71,RentsUA!$K$12:$Q$35,19,FALSE)),""))</f>
        <v/>
      </c>
      <c r="AK71" s="469" t="str">
        <f t="shared" si="22"/>
        <v/>
      </c>
      <c r="AL71" s="469" t="str">
        <f t="shared" si="23"/>
        <v/>
      </c>
      <c r="AM71" s="1106" t="str">
        <f t="shared" si="24"/>
        <v/>
      </c>
      <c r="AN71" s="1106" t="str">
        <f>IFERROR(AM71*(1+'7a.20YrDetails'!$F$9),"")</f>
        <v/>
      </c>
      <c r="AO71" s="1106" t="str">
        <f>IFERROR(AN71*(1+'7a.20YrDetails'!$F$9),"")</f>
        <v/>
      </c>
      <c r="AP71" s="1106" t="str">
        <f>IFERROR(AO71*(1+'7a.20YrDetails'!$F$9),"")</f>
        <v/>
      </c>
      <c r="AQ71" s="1106" t="str">
        <f>IFERROR(AP71*(1+'7a.20YrDetails'!$F$9),"")</f>
        <v/>
      </c>
      <c r="AR71" s="674"/>
      <c r="AS71" s="672"/>
      <c r="AT71" s="1732" t="str">
        <f>IF($AF71=0,0,IFERROR(($AF71+L71)/(HLOOKUP($D71,RentsUA!$B$61:$H$62,2,FALSE)),""))</f>
        <v/>
      </c>
      <c r="AU71" s="1733" t="str">
        <f>IFERROR(G71/HLOOKUP(H71,RentsUA!$B$40:$I$41,2),"")</f>
        <v/>
      </c>
      <c r="BR71" s="404" t="str">
        <f t="shared" si="27"/>
        <v/>
      </c>
      <c r="BS71" s="5" t="str">
        <f t="array" ref="BS71">IFERROR(INDEX($BR$13:$BR$412, MATCH(0, COUNTIF($BS$12:$BS70, $BR$13:$BR$412), 0)),"")</f>
        <v/>
      </c>
      <c r="BT71" s="404" t="str">
        <f t="shared" si="28"/>
        <v/>
      </c>
      <c r="BU71" s="404" t="str">
        <f t="array" ref="BU71">IFERROR(INDEX($BT$13:$BT$412, MATCH(0, COUNTIF($BU$12:$BU70, $BT$13:$BT$412), 0)),"")</f>
        <v/>
      </c>
    </row>
    <row r="72" spans="1:73" s="404" customFormat="1" ht="13.2">
      <c r="A72" s="406">
        <f t="shared" si="20"/>
        <v>60</v>
      </c>
      <c r="B72" s="472"/>
      <c r="C72" s="470"/>
      <c r="D72" s="407"/>
      <c r="E72" s="407"/>
      <c r="F72" s="408"/>
      <c r="G72" s="409"/>
      <c r="H72" s="407"/>
      <c r="I72" s="1029" t="str">
        <f>IFERROR(G72/HLOOKUP(H72,RentsUA!$B$8:$J$9,2),"")</f>
        <v/>
      </c>
      <c r="J72" s="407"/>
      <c r="K72" s="412"/>
      <c r="L72" s="672">
        <f t="shared" si="0"/>
        <v>0</v>
      </c>
      <c r="M72" s="671"/>
      <c r="N72" s="410">
        <f t="shared" si="1"/>
        <v>0</v>
      </c>
      <c r="O72" s="469" t="str">
        <f>IF($M72=0,"",IFERROR(($L72+$M72)/(HLOOKUP($D72,RentsUA!$K$12:$Q$35,19,FALSE)),""))</f>
        <v/>
      </c>
      <c r="P72" s="469" t="str">
        <f>IF($M72=0,"",IFERROR(($M72+K72+L72)/(HLOOKUP($D72,RentsUA!$K$12:$Q$35,19,FALSE)),""))</f>
        <v/>
      </c>
      <c r="Q72" s="411"/>
      <c r="R72" s="673" t="str">
        <f>IF($Q72=0,"",VLOOKUP($Q72,RentsUA!$A$12:$H$35,MATCH($D72,RentsUA!$A$12:$H$12,0),FALSE))</f>
        <v/>
      </c>
      <c r="S72" s="409"/>
      <c r="T72" s="674"/>
      <c r="U72" s="672"/>
      <c r="V72" s="673" t="str">
        <f t="shared" si="21"/>
        <v/>
      </c>
      <c r="W72" s="470"/>
      <c r="X72" s="411"/>
      <c r="Y72" s="410" t="str">
        <f>IF(X72=0,"",VLOOKUP($X72,RentsUA!$A$12:$H$35,MATCH($D72,RentsUA!$A$12:$H$12,0),FALSE))</f>
        <v/>
      </c>
      <c r="Z72" s="410" t="str">
        <f t="shared" si="2"/>
        <v/>
      </c>
      <c r="AA72" s="1297" t="str">
        <f>IF(H72="","",IF(G72/HLOOKUP($H72,RentsUA!$M$8:$T$9,2,FALSE)&gt;1,"&gt; 80%","&lt;= 80%"))</f>
        <v/>
      </c>
      <c r="AB72" s="1106"/>
      <c r="AC72" s="1106"/>
      <c r="AD72" s="622"/>
      <c r="AE72" s="412"/>
      <c r="AF72" s="807" t="str">
        <f>IF(AD72="","",IF(AD72=Lists!$U$3,M72,IF(AD72=Lists!$U$4,V72,IF(AD72=Lists!$U$5,Y72-L72,AE72))))</f>
        <v/>
      </c>
      <c r="AG72" s="410" t="str">
        <f t="shared" si="3"/>
        <v/>
      </c>
      <c r="AH72" s="469" t="str">
        <f t="shared" si="4"/>
        <v/>
      </c>
      <c r="AI72" s="469" t="str">
        <f>IF($AF72=0,0,IFERROR(($L72+$AF72)/(HLOOKUP($D72,RentsUA!$K$12:$Q$35,19,FALSE)),""))</f>
        <v/>
      </c>
      <c r="AJ72" s="469" t="str">
        <f>IF($AF72=0,0,IFERROR(($AF72+K72+L72)/(HLOOKUP($D72,RentsUA!$K$12:$Q$35,19,FALSE)),""))</f>
        <v/>
      </c>
      <c r="AK72" s="469" t="str">
        <f t="shared" si="22"/>
        <v/>
      </c>
      <c r="AL72" s="469" t="str">
        <f t="shared" si="23"/>
        <v/>
      </c>
      <c r="AM72" s="1106" t="str">
        <f t="shared" si="24"/>
        <v/>
      </c>
      <c r="AN72" s="1106" t="str">
        <f>IFERROR(AM72*(1+'7a.20YrDetails'!$F$9),"")</f>
        <v/>
      </c>
      <c r="AO72" s="1106" t="str">
        <f>IFERROR(AN72*(1+'7a.20YrDetails'!$F$9),"")</f>
        <v/>
      </c>
      <c r="AP72" s="1106" t="str">
        <f>IFERROR(AO72*(1+'7a.20YrDetails'!$F$9),"")</f>
        <v/>
      </c>
      <c r="AQ72" s="1106" t="str">
        <f>IFERROR(AP72*(1+'7a.20YrDetails'!$F$9),"")</f>
        <v/>
      </c>
      <c r="AR72" s="674"/>
      <c r="AS72" s="672"/>
      <c r="AT72" s="1732" t="str">
        <f>IF($AF72=0,0,IFERROR(($AF72+L72)/(HLOOKUP($D72,RentsUA!$B$61:$H$62,2,FALSE)),""))</f>
        <v/>
      </c>
      <c r="AU72" s="1733" t="str">
        <f>IFERROR(G72/HLOOKUP(H72,RentsUA!$B$40:$I$41,2),"")</f>
        <v/>
      </c>
      <c r="BR72" s="404" t="str">
        <f t="shared" si="27"/>
        <v/>
      </c>
      <c r="BS72" s="5" t="str">
        <f t="array" ref="BS72">IFERROR(INDEX($BR$13:$BR$412, MATCH(0, COUNTIF($BS$12:$BS71, $BR$13:$BR$412), 0)),"")</f>
        <v/>
      </c>
      <c r="BT72" s="404" t="str">
        <f t="shared" si="28"/>
        <v/>
      </c>
      <c r="BU72" s="404" t="str">
        <f t="array" ref="BU72">IFERROR(INDEX($BT$13:$BT$412, MATCH(0, COUNTIF($BU$12:$BU71, $BT$13:$BT$412), 0)),"")</f>
        <v/>
      </c>
    </row>
    <row r="73" spans="1:73" s="404" customFormat="1" ht="13.2">
      <c r="A73" s="406">
        <f t="shared" si="20"/>
        <v>61</v>
      </c>
      <c r="B73" s="472"/>
      <c r="C73" s="470"/>
      <c r="D73" s="407"/>
      <c r="E73" s="407"/>
      <c r="F73" s="408"/>
      <c r="G73" s="409"/>
      <c r="H73" s="407"/>
      <c r="I73" s="1029" t="str">
        <f>IFERROR(G73/HLOOKUP(H73,RentsUA!$B$8:$J$9,2),"")</f>
        <v/>
      </c>
      <c r="J73" s="407"/>
      <c r="K73" s="412"/>
      <c r="L73" s="672">
        <f t="shared" si="0"/>
        <v>0</v>
      </c>
      <c r="M73" s="671"/>
      <c r="N73" s="410">
        <f t="shared" si="1"/>
        <v>0</v>
      </c>
      <c r="O73" s="469" t="str">
        <f>IF($M73=0,"",IFERROR(($L73+$M73)/(HLOOKUP($D73,RentsUA!$K$12:$Q$35,19,FALSE)),""))</f>
        <v/>
      </c>
      <c r="P73" s="469" t="str">
        <f>IF($M73=0,"",IFERROR(($M73+K73+L73)/(HLOOKUP($D73,RentsUA!$K$12:$Q$35,19,FALSE)),""))</f>
        <v/>
      </c>
      <c r="Q73" s="411"/>
      <c r="R73" s="673" t="str">
        <f>IF($Q73=0,"",VLOOKUP($Q73,RentsUA!$A$12:$H$35,MATCH($D73,RentsUA!$A$12:$H$12,0),FALSE))</f>
        <v/>
      </c>
      <c r="S73" s="409"/>
      <c r="T73" s="674"/>
      <c r="U73" s="672"/>
      <c r="V73" s="673" t="str">
        <f t="shared" si="21"/>
        <v/>
      </c>
      <c r="W73" s="470"/>
      <c r="X73" s="411"/>
      <c r="Y73" s="410" t="str">
        <f>IF(X73=0,"",VLOOKUP($X73,RentsUA!$A$12:$H$35,MATCH($D73,RentsUA!$A$12:$H$12,0),FALSE))</f>
        <v/>
      </c>
      <c r="Z73" s="410" t="str">
        <f t="shared" si="2"/>
        <v/>
      </c>
      <c r="AA73" s="1297" t="str">
        <f>IF(H73="","",IF(G73/HLOOKUP($H73,RentsUA!$M$8:$T$9,2,FALSE)&gt;1,"&gt; 80%","&lt;= 80%"))</f>
        <v/>
      </c>
      <c r="AB73" s="1106"/>
      <c r="AC73" s="1106"/>
      <c r="AD73" s="622"/>
      <c r="AE73" s="412"/>
      <c r="AF73" s="807" t="str">
        <f>IF(AD73="","",IF(AD73=Lists!$U$3,M73,IF(AD73=Lists!$U$4,V73,IF(AD73=Lists!$U$5,Y73-L73,AE73))))</f>
        <v/>
      </c>
      <c r="AG73" s="410" t="str">
        <f t="shared" si="3"/>
        <v/>
      </c>
      <c r="AH73" s="469" t="str">
        <f t="shared" si="4"/>
        <v/>
      </c>
      <c r="AI73" s="469" t="str">
        <f>IF($AF73=0,0,IFERROR(($L73+$AF73)/(HLOOKUP($D73,RentsUA!$K$12:$Q$35,19,FALSE)),""))</f>
        <v/>
      </c>
      <c r="AJ73" s="469" t="str">
        <f>IF($AF73=0,0,IFERROR(($AF73+K73+L73)/(HLOOKUP($D73,RentsUA!$K$12:$Q$35,19,FALSE)),""))</f>
        <v/>
      </c>
      <c r="AK73" s="469" t="str">
        <f t="shared" si="22"/>
        <v/>
      </c>
      <c r="AL73" s="469" t="str">
        <f t="shared" si="23"/>
        <v/>
      </c>
      <c r="AM73" s="1106" t="str">
        <f t="shared" si="24"/>
        <v/>
      </c>
      <c r="AN73" s="1106" t="str">
        <f>IFERROR(AM73*(1+'7a.20YrDetails'!$F$9),"")</f>
        <v/>
      </c>
      <c r="AO73" s="1106" t="str">
        <f>IFERROR(AN73*(1+'7a.20YrDetails'!$F$9),"")</f>
        <v/>
      </c>
      <c r="AP73" s="1106" t="str">
        <f>IFERROR(AO73*(1+'7a.20YrDetails'!$F$9),"")</f>
        <v/>
      </c>
      <c r="AQ73" s="1106" t="str">
        <f>IFERROR(AP73*(1+'7a.20YrDetails'!$F$9),"")</f>
        <v/>
      </c>
      <c r="AR73" s="674"/>
      <c r="AS73" s="672"/>
      <c r="AT73" s="1732" t="str">
        <f>IF($AF73=0,0,IFERROR(($AF73+L73)/(HLOOKUP($D73,RentsUA!$B$61:$H$62,2,FALSE)),""))</f>
        <v/>
      </c>
      <c r="AU73" s="1733" t="str">
        <f>IFERROR(G73/HLOOKUP(H73,RentsUA!$B$40:$I$41,2),"")</f>
        <v/>
      </c>
      <c r="BR73" s="404" t="str">
        <f t="shared" si="27"/>
        <v/>
      </c>
      <c r="BS73" s="5" t="str">
        <f t="array" ref="BS73">IFERROR(INDEX($BR$13:$BR$412, MATCH(0, COUNTIF($BS$12:$BS72, $BR$13:$BR$412), 0)),"")</f>
        <v/>
      </c>
      <c r="BT73" s="404" t="str">
        <f t="shared" si="28"/>
        <v/>
      </c>
      <c r="BU73" s="404" t="str">
        <f t="array" ref="BU73">IFERROR(INDEX($BT$13:$BT$412, MATCH(0, COUNTIF($BU$12:$BU72, $BT$13:$BT$412), 0)),"")</f>
        <v/>
      </c>
    </row>
    <row r="74" spans="1:73" s="404" customFormat="1" ht="13.2">
      <c r="A74" s="406">
        <f t="shared" si="20"/>
        <v>62</v>
      </c>
      <c r="B74" s="472"/>
      <c r="C74" s="470"/>
      <c r="D74" s="407"/>
      <c r="E74" s="407"/>
      <c r="F74" s="408"/>
      <c r="G74" s="409"/>
      <c r="H74" s="407"/>
      <c r="I74" s="1029" t="str">
        <f>IFERROR(G74/HLOOKUP(H74,RentsUA!$B$8:$J$9,2),"")</f>
        <v/>
      </c>
      <c r="J74" s="407"/>
      <c r="K74" s="412"/>
      <c r="L74" s="672">
        <f t="shared" si="0"/>
        <v>0</v>
      </c>
      <c r="M74" s="671"/>
      <c r="N74" s="410">
        <f t="shared" si="1"/>
        <v>0</v>
      </c>
      <c r="O74" s="469" t="str">
        <f>IF($M74=0,"",IFERROR(($L74+$M74)/(HLOOKUP($D74,RentsUA!$K$12:$Q$35,19,FALSE)),""))</f>
        <v/>
      </c>
      <c r="P74" s="469" t="str">
        <f>IF($M74=0,"",IFERROR(($M74+K74+L74)/(HLOOKUP($D74,RentsUA!$K$12:$Q$35,19,FALSE)),""))</f>
        <v/>
      </c>
      <c r="Q74" s="411"/>
      <c r="R74" s="673" t="str">
        <f>IF($Q74=0,"",VLOOKUP($Q74,RentsUA!$A$12:$H$35,MATCH($D74,RentsUA!$A$12:$H$12,0),FALSE))</f>
        <v/>
      </c>
      <c r="S74" s="409"/>
      <c r="T74" s="674"/>
      <c r="U74" s="672"/>
      <c r="V74" s="673" t="str">
        <f t="shared" si="21"/>
        <v/>
      </c>
      <c r="W74" s="470"/>
      <c r="X74" s="411"/>
      <c r="Y74" s="410" t="str">
        <f>IF(X74=0,"",VLOOKUP($X74,RentsUA!$A$12:$H$35,MATCH($D74,RentsUA!$A$12:$H$12,0),FALSE))</f>
        <v/>
      </c>
      <c r="Z74" s="410" t="str">
        <f t="shared" si="2"/>
        <v/>
      </c>
      <c r="AA74" s="1297" t="str">
        <f>IF(H74="","",IF(G74/HLOOKUP($H74,RentsUA!$M$8:$T$9,2,FALSE)&gt;1,"&gt; 80%","&lt;= 80%"))</f>
        <v/>
      </c>
      <c r="AB74" s="1106"/>
      <c r="AC74" s="1106"/>
      <c r="AD74" s="622"/>
      <c r="AE74" s="412"/>
      <c r="AF74" s="807" t="str">
        <f>IF(AD74="","",IF(AD74=Lists!$U$3,M74,IF(AD74=Lists!$U$4,V74,IF(AD74=Lists!$U$5,Y74-L74,AE74))))</f>
        <v/>
      </c>
      <c r="AG74" s="410" t="str">
        <f t="shared" si="3"/>
        <v/>
      </c>
      <c r="AH74" s="469" t="str">
        <f t="shared" si="4"/>
        <v/>
      </c>
      <c r="AI74" s="469" t="str">
        <f>IF($AF74=0,0,IFERROR(($L74+$AF74)/(HLOOKUP($D74,RentsUA!$K$12:$Q$35,19,FALSE)),""))</f>
        <v/>
      </c>
      <c r="AJ74" s="469" t="str">
        <f>IF($AF74=0,0,IFERROR(($AF74+K74+L74)/(HLOOKUP($D74,RentsUA!$K$12:$Q$35,19,FALSE)),""))</f>
        <v/>
      </c>
      <c r="AK74" s="469" t="str">
        <f t="shared" si="22"/>
        <v/>
      </c>
      <c r="AL74" s="469" t="str">
        <f t="shared" si="23"/>
        <v/>
      </c>
      <c r="AM74" s="1106" t="str">
        <f t="shared" si="24"/>
        <v/>
      </c>
      <c r="AN74" s="1106" t="str">
        <f>IFERROR(AM74*(1+'7a.20YrDetails'!$F$9),"")</f>
        <v/>
      </c>
      <c r="AO74" s="1106" t="str">
        <f>IFERROR(AN74*(1+'7a.20YrDetails'!$F$9),"")</f>
        <v/>
      </c>
      <c r="AP74" s="1106" t="str">
        <f>IFERROR(AO74*(1+'7a.20YrDetails'!$F$9),"")</f>
        <v/>
      </c>
      <c r="AQ74" s="1106" t="str">
        <f>IFERROR(AP74*(1+'7a.20YrDetails'!$F$9),"")</f>
        <v/>
      </c>
      <c r="AR74" s="674"/>
      <c r="AS74" s="672"/>
      <c r="AT74" s="1732" t="str">
        <f>IF($AF74=0,0,IFERROR(($AF74+L74)/(HLOOKUP($D74,RentsUA!$B$61:$H$62,2,FALSE)),""))</f>
        <v/>
      </c>
      <c r="AU74" s="1733" t="str">
        <f>IFERROR(G74/HLOOKUP(H74,RentsUA!$B$40:$I$41,2),"")</f>
        <v/>
      </c>
      <c r="BR74" s="404" t="str">
        <f t="shared" si="27"/>
        <v/>
      </c>
      <c r="BS74" s="5" t="str">
        <f t="array" ref="BS74">IFERROR(INDEX($BR$13:$BR$412, MATCH(0, COUNTIF($BS$12:$BS73, $BR$13:$BR$412), 0)),"")</f>
        <v/>
      </c>
      <c r="BT74" s="404" t="str">
        <f t="shared" si="28"/>
        <v/>
      </c>
      <c r="BU74" s="404" t="str">
        <f t="array" ref="BU74">IFERROR(INDEX($BT$13:$BT$412, MATCH(0, COUNTIF($BU$12:$BU73, $BT$13:$BT$412), 0)),"")</f>
        <v/>
      </c>
    </row>
    <row r="75" spans="1:73" s="404" customFormat="1" ht="13.2">
      <c r="A75" s="406">
        <f t="shared" si="20"/>
        <v>63</v>
      </c>
      <c r="B75" s="472"/>
      <c r="C75" s="470"/>
      <c r="D75" s="407"/>
      <c r="E75" s="407"/>
      <c r="F75" s="408"/>
      <c r="G75" s="409"/>
      <c r="H75" s="407"/>
      <c r="I75" s="1029" t="str">
        <f>IFERROR(G75/HLOOKUP(H75,RentsUA!$B$8:$J$9,2),"")</f>
        <v/>
      </c>
      <c r="J75" s="407"/>
      <c r="K75" s="412"/>
      <c r="L75" s="672">
        <f t="shared" si="0"/>
        <v>0</v>
      </c>
      <c r="M75" s="671"/>
      <c r="N75" s="410">
        <f t="shared" si="1"/>
        <v>0</v>
      </c>
      <c r="O75" s="469" t="str">
        <f>IF($M75=0,"",IFERROR(($L75+$M75)/(HLOOKUP($D75,RentsUA!$K$12:$Q$35,19,FALSE)),""))</f>
        <v/>
      </c>
      <c r="P75" s="469" t="str">
        <f>IF($M75=0,"",IFERROR(($M75+K75+L75)/(HLOOKUP($D75,RentsUA!$K$12:$Q$35,19,FALSE)),""))</f>
        <v/>
      </c>
      <c r="Q75" s="411"/>
      <c r="R75" s="673" t="str">
        <f>IF($Q75=0,"",VLOOKUP($Q75,RentsUA!$A$12:$H$35,MATCH($D75,RentsUA!$A$12:$H$12,0),FALSE))</f>
        <v/>
      </c>
      <c r="S75" s="409"/>
      <c r="T75" s="674"/>
      <c r="U75" s="672"/>
      <c r="V75" s="673" t="str">
        <f t="shared" si="21"/>
        <v/>
      </c>
      <c r="W75" s="470"/>
      <c r="X75" s="411"/>
      <c r="Y75" s="410" t="str">
        <f>IF(X75=0,"",VLOOKUP($X75,RentsUA!$A$12:$H$35,MATCH($D75,RentsUA!$A$12:$H$12,0),FALSE))</f>
        <v/>
      </c>
      <c r="Z75" s="410" t="str">
        <f t="shared" si="2"/>
        <v/>
      </c>
      <c r="AA75" s="1297" t="str">
        <f>IF(H75="","",IF(G75/HLOOKUP($H75,RentsUA!$M$8:$T$9,2,FALSE)&gt;1,"&gt; 80%","&lt;= 80%"))</f>
        <v/>
      </c>
      <c r="AB75" s="1106"/>
      <c r="AC75" s="1106"/>
      <c r="AD75" s="622"/>
      <c r="AE75" s="412"/>
      <c r="AF75" s="807" t="str">
        <f>IF(AD75="","",IF(AD75=Lists!$U$3,M75,IF(AD75=Lists!$U$4,V75,IF(AD75=Lists!$U$5,Y75-L75,AE75))))</f>
        <v/>
      </c>
      <c r="AG75" s="410" t="str">
        <f t="shared" si="3"/>
        <v/>
      </c>
      <c r="AH75" s="469" t="str">
        <f t="shared" si="4"/>
        <v/>
      </c>
      <c r="AI75" s="469" t="str">
        <f>IF($AF75=0,0,IFERROR(($L75+$AF75)/(HLOOKUP($D75,RentsUA!$K$12:$Q$35,19,FALSE)),""))</f>
        <v/>
      </c>
      <c r="AJ75" s="469" t="str">
        <f>IF($AF75=0,0,IFERROR(($AF75+K75+L75)/(HLOOKUP($D75,RentsUA!$K$12:$Q$35,19,FALSE)),""))</f>
        <v/>
      </c>
      <c r="AK75" s="469" t="str">
        <f t="shared" si="22"/>
        <v/>
      </c>
      <c r="AL75" s="469" t="str">
        <f t="shared" si="23"/>
        <v/>
      </c>
      <c r="AM75" s="1106" t="str">
        <f t="shared" si="24"/>
        <v/>
      </c>
      <c r="AN75" s="1106" t="str">
        <f>IFERROR(AM75*(1+'7a.20YrDetails'!$F$9),"")</f>
        <v/>
      </c>
      <c r="AO75" s="1106" t="str">
        <f>IFERROR(AN75*(1+'7a.20YrDetails'!$F$9),"")</f>
        <v/>
      </c>
      <c r="AP75" s="1106" t="str">
        <f>IFERROR(AO75*(1+'7a.20YrDetails'!$F$9),"")</f>
        <v/>
      </c>
      <c r="AQ75" s="1106" t="str">
        <f>IFERROR(AP75*(1+'7a.20YrDetails'!$F$9),"")</f>
        <v/>
      </c>
      <c r="AR75" s="674"/>
      <c r="AS75" s="672"/>
      <c r="AT75" s="1732" t="str">
        <f>IF($AF75=0,0,IFERROR(($AF75+L75)/(HLOOKUP($D75,RentsUA!$B$61:$H$62,2,FALSE)),""))</f>
        <v/>
      </c>
      <c r="AU75" s="1733" t="str">
        <f>IFERROR(G75/HLOOKUP(H75,RentsUA!$B$40:$I$41,2),"")</f>
        <v/>
      </c>
      <c r="BR75" s="404" t="str">
        <f t="shared" si="27"/>
        <v/>
      </c>
      <c r="BS75" s="5" t="str">
        <f t="array" ref="BS75">IFERROR(INDEX($BR$13:$BR$412, MATCH(0, COUNTIF($BS$12:$BS74, $BR$13:$BR$412), 0)),"")</f>
        <v/>
      </c>
      <c r="BT75" s="404" t="str">
        <f t="shared" si="28"/>
        <v/>
      </c>
      <c r="BU75" s="404" t="str">
        <f t="array" ref="BU75">IFERROR(INDEX($BT$13:$BT$412, MATCH(0, COUNTIF($BU$12:$BU74, $BT$13:$BT$412), 0)),"")</f>
        <v/>
      </c>
    </row>
    <row r="76" spans="1:73" s="404" customFormat="1" ht="13.2">
      <c r="A76" s="406">
        <f t="shared" si="20"/>
        <v>64</v>
      </c>
      <c r="B76" s="472"/>
      <c r="C76" s="470"/>
      <c r="D76" s="407"/>
      <c r="E76" s="407"/>
      <c r="F76" s="408"/>
      <c r="G76" s="409"/>
      <c r="H76" s="407"/>
      <c r="I76" s="1029" t="str">
        <f>IFERROR(G76/HLOOKUP(H76,RentsUA!$B$8:$J$9,2),"")</f>
        <v/>
      </c>
      <c r="J76" s="407"/>
      <c r="K76" s="412"/>
      <c r="L76" s="672">
        <f t="shared" si="0"/>
        <v>0</v>
      </c>
      <c r="M76" s="671"/>
      <c r="N76" s="410">
        <f t="shared" si="1"/>
        <v>0</v>
      </c>
      <c r="O76" s="469" t="str">
        <f>IF($M76=0,"",IFERROR(($L76+$M76)/(HLOOKUP($D76,RentsUA!$K$12:$Q$35,19,FALSE)),""))</f>
        <v/>
      </c>
      <c r="P76" s="469" t="str">
        <f>IF($M76=0,"",IFERROR(($M76+K76+L76)/(HLOOKUP($D76,RentsUA!$K$12:$Q$35,19,FALSE)),""))</f>
        <v/>
      </c>
      <c r="Q76" s="411"/>
      <c r="R76" s="673" t="str">
        <f>IF($Q76=0,"",VLOOKUP($Q76,RentsUA!$A$12:$H$35,MATCH($D76,RentsUA!$A$12:$H$12,0),FALSE))</f>
        <v/>
      </c>
      <c r="S76" s="409"/>
      <c r="T76" s="674"/>
      <c r="U76" s="672"/>
      <c r="V76" s="673" t="str">
        <f t="shared" si="21"/>
        <v/>
      </c>
      <c r="W76" s="470"/>
      <c r="X76" s="411"/>
      <c r="Y76" s="410" t="str">
        <f>IF(X76=0,"",VLOOKUP($X76,RentsUA!$A$12:$H$35,MATCH($D76,RentsUA!$A$12:$H$12,0),FALSE))</f>
        <v/>
      </c>
      <c r="Z76" s="410" t="str">
        <f t="shared" si="2"/>
        <v/>
      </c>
      <c r="AA76" s="1297" t="str">
        <f>IF(H76="","",IF(G76/HLOOKUP($H76,RentsUA!$M$8:$T$9,2,FALSE)&gt;1,"&gt; 80%","&lt;= 80%"))</f>
        <v/>
      </c>
      <c r="AB76" s="1106"/>
      <c r="AC76" s="1106"/>
      <c r="AD76" s="622"/>
      <c r="AE76" s="412"/>
      <c r="AF76" s="807" t="str">
        <f>IF(AD76="","",IF(AD76=Lists!$U$3,M76,IF(AD76=Lists!$U$4,V76,IF(AD76=Lists!$U$5,Y76-L76,AE76))))</f>
        <v/>
      </c>
      <c r="AG76" s="410" t="str">
        <f t="shared" si="3"/>
        <v/>
      </c>
      <c r="AH76" s="469" t="str">
        <f t="shared" si="4"/>
        <v/>
      </c>
      <c r="AI76" s="469" t="str">
        <f>IF($AF76=0,0,IFERROR(($L76+$AF76)/(HLOOKUP($D76,RentsUA!$K$12:$Q$35,19,FALSE)),""))</f>
        <v/>
      </c>
      <c r="AJ76" s="469" t="str">
        <f>IF($AF76=0,0,IFERROR(($AF76+K76+L76)/(HLOOKUP($D76,RentsUA!$K$12:$Q$35,19,FALSE)),""))</f>
        <v/>
      </c>
      <c r="AK76" s="469" t="str">
        <f t="shared" si="22"/>
        <v/>
      </c>
      <c r="AL76" s="469" t="str">
        <f t="shared" si="23"/>
        <v/>
      </c>
      <c r="AM76" s="1106" t="str">
        <f t="shared" si="24"/>
        <v/>
      </c>
      <c r="AN76" s="1106" t="str">
        <f>IFERROR(AM76*(1+'7a.20YrDetails'!$F$9),"")</f>
        <v/>
      </c>
      <c r="AO76" s="1106" t="str">
        <f>IFERROR(AN76*(1+'7a.20YrDetails'!$F$9),"")</f>
        <v/>
      </c>
      <c r="AP76" s="1106" t="str">
        <f>IFERROR(AO76*(1+'7a.20YrDetails'!$F$9),"")</f>
        <v/>
      </c>
      <c r="AQ76" s="1106" t="str">
        <f>IFERROR(AP76*(1+'7a.20YrDetails'!$F$9),"")</f>
        <v/>
      </c>
      <c r="AR76" s="674"/>
      <c r="AS76" s="672"/>
      <c r="AT76" s="1732" t="str">
        <f>IF($AF76=0,0,IFERROR(($AF76+L76)/(HLOOKUP($D76,RentsUA!$B$61:$H$62,2,FALSE)),""))</f>
        <v/>
      </c>
      <c r="AU76" s="1733" t="str">
        <f>IFERROR(G76/HLOOKUP(H76,RentsUA!$B$40:$I$41,2),"")</f>
        <v/>
      </c>
      <c r="BR76" s="404" t="str">
        <f t="shared" si="27"/>
        <v/>
      </c>
      <c r="BS76" s="5" t="str">
        <f t="array" ref="BS76">IFERROR(INDEX($BR$13:$BR$412, MATCH(0, COUNTIF($BS$12:$BS75, $BR$13:$BR$412), 0)),"")</f>
        <v/>
      </c>
      <c r="BT76" s="404" t="str">
        <f t="shared" si="28"/>
        <v/>
      </c>
      <c r="BU76" s="404" t="str">
        <f t="array" ref="BU76">IFERROR(INDEX($BT$13:$BT$412, MATCH(0, COUNTIF($BU$12:$BU75, $BT$13:$BT$412), 0)),"")</f>
        <v/>
      </c>
    </row>
    <row r="77" spans="1:73" s="404" customFormat="1" ht="13.2">
      <c r="A77" s="406">
        <f t="shared" si="20"/>
        <v>65</v>
      </c>
      <c r="B77" s="472"/>
      <c r="C77" s="470"/>
      <c r="D77" s="407"/>
      <c r="E77" s="407"/>
      <c r="F77" s="408"/>
      <c r="G77" s="409"/>
      <c r="H77" s="407"/>
      <c r="I77" s="1029" t="str">
        <f>IFERROR(G77/HLOOKUP(H77,RentsUA!$B$8:$J$9,2),"")</f>
        <v/>
      </c>
      <c r="J77" s="407"/>
      <c r="K77" s="412"/>
      <c r="L77" s="672">
        <f t="shared" ref="L77:L140" si="29">IF(D77="",0,HLOOKUP($D77,UA,7,FALSE))</f>
        <v>0</v>
      </c>
      <c r="M77" s="671"/>
      <c r="N77" s="410">
        <f t="shared" ref="N77:N140" si="30">M77+L77</f>
        <v>0</v>
      </c>
      <c r="O77" s="469" t="str">
        <f>IF($M77=0,"",IFERROR(($L77+$M77)/(HLOOKUP($D77,RentsUA!$K$12:$Q$35,19,FALSE)),""))</f>
        <v/>
      </c>
      <c r="P77" s="469" t="str">
        <f>IF($M77=0,"",IFERROR(($M77+K77+L77)/(HLOOKUP($D77,RentsUA!$K$12:$Q$35,19,FALSE)),""))</f>
        <v/>
      </c>
      <c r="Q77" s="411"/>
      <c r="R77" s="673" t="str">
        <f>IF($Q77=0,"",VLOOKUP($Q77,RentsUA!$A$12:$H$35,MATCH($D77,RentsUA!$A$12:$H$12,0),FALSE))</f>
        <v/>
      </c>
      <c r="S77" s="409"/>
      <c r="T77" s="674"/>
      <c r="U77" s="672"/>
      <c r="V77" s="673" t="str">
        <f t="shared" si="21"/>
        <v/>
      </c>
      <c r="W77" s="470"/>
      <c r="X77" s="411"/>
      <c r="Y77" s="410" t="str">
        <f>IF(X77=0,"",VLOOKUP($X77,RentsUA!$A$12:$H$35,MATCH($D77,RentsUA!$A$12:$H$12,0),FALSE))</f>
        <v/>
      </c>
      <c r="Z77" s="410" t="str">
        <f t="shared" ref="Z77:Z140" si="31">IF(Y77&lt;&gt;"",Y77-L77,"")</f>
        <v/>
      </c>
      <c r="AA77" s="1297" t="str">
        <f>IF(H77="","",IF(G77/HLOOKUP($H77,RentsUA!$M$8:$T$9,2,FALSE)&gt;1,"&gt; 80%","&lt;= 80%"))</f>
        <v/>
      </c>
      <c r="AB77" s="1106"/>
      <c r="AC77" s="1106"/>
      <c r="AD77" s="622"/>
      <c r="AE77" s="412"/>
      <c r="AF77" s="807" t="str">
        <f>IF(AD77="","",IF(AD77=Lists!$U$3,M77,IF(AD77=Lists!$U$4,V77,IF(AD77=Lists!$U$5,Y77-L77,AE77))))</f>
        <v/>
      </c>
      <c r="AG77" s="410" t="str">
        <f t="shared" ref="AG77:AG140" si="32">IFERROR(AF77+L77,"")</f>
        <v/>
      </c>
      <c r="AH77" s="469" t="str">
        <f t="shared" ref="AH77:AH140" si="33">IFERROR(($AF77-$M77)/$M77,"")</f>
        <v/>
      </c>
      <c r="AI77" s="469" t="str">
        <f>IF($AF77=0,0,IFERROR(($L77+$AF77)/(HLOOKUP($D77,RentsUA!$K$12:$Q$35,19,FALSE)),""))</f>
        <v/>
      </c>
      <c r="AJ77" s="469" t="str">
        <f>IF($AF77=0,0,IFERROR(($AF77+K77+L77)/(HLOOKUP($D77,RentsUA!$K$12:$Q$35,19,FALSE)),""))</f>
        <v/>
      </c>
      <c r="AK77" s="469" t="str">
        <f t="shared" si="22"/>
        <v/>
      </c>
      <c r="AL77" s="469" t="str">
        <f t="shared" si="23"/>
        <v/>
      </c>
      <c r="AM77" s="1106" t="str">
        <f t="shared" si="24"/>
        <v/>
      </c>
      <c r="AN77" s="1106" t="str">
        <f>IFERROR(AM77*(1+'7a.20YrDetails'!$F$9),"")</f>
        <v/>
      </c>
      <c r="AO77" s="1106" t="str">
        <f>IFERROR(AN77*(1+'7a.20YrDetails'!$F$9),"")</f>
        <v/>
      </c>
      <c r="AP77" s="1106" t="str">
        <f>IFERROR(AO77*(1+'7a.20YrDetails'!$F$9),"")</f>
        <v/>
      </c>
      <c r="AQ77" s="1106" t="str">
        <f>IFERROR(AP77*(1+'7a.20YrDetails'!$F$9),"")</f>
        <v/>
      </c>
      <c r="AR77" s="674"/>
      <c r="AS77" s="672"/>
      <c r="AT77" s="1732" t="str">
        <f>IF($AF77=0,0,IFERROR(($AF77+L77)/(HLOOKUP($D77,RentsUA!$B$61:$H$62,2,FALSE)),""))</f>
        <v/>
      </c>
      <c r="AU77" s="1733" t="str">
        <f>IFERROR(G77/HLOOKUP(H77,RentsUA!$B$40:$I$41,2),"")</f>
        <v/>
      </c>
      <c r="BR77" s="404" t="str">
        <f t="shared" si="27"/>
        <v/>
      </c>
      <c r="BS77" s="5" t="str">
        <f t="array" ref="BS77">IFERROR(INDEX($BR$13:$BR$412, MATCH(0, COUNTIF($BS$12:$BS76, $BR$13:$BR$412), 0)),"")</f>
        <v/>
      </c>
      <c r="BT77" s="404" t="str">
        <f t="shared" ref="BT77:BT140" si="34">IF(X77="","",CONCATENATE("MOHCD ",X77*100,"%"))</f>
        <v/>
      </c>
      <c r="BU77" s="404" t="str">
        <f t="array" ref="BU77">IFERROR(INDEX($BT$13:$BT$412, MATCH(0, COUNTIF($BU$12:$BU76, $BT$13:$BT$412), 0)),"")</f>
        <v/>
      </c>
    </row>
    <row r="78" spans="1:73" s="404" customFormat="1" ht="13.2">
      <c r="A78" s="406">
        <f t="shared" ref="A78:A142" si="35">A77+1</f>
        <v>66</v>
      </c>
      <c r="B78" s="472"/>
      <c r="C78" s="470"/>
      <c r="D78" s="407"/>
      <c r="E78" s="407"/>
      <c r="F78" s="408"/>
      <c r="G78" s="409"/>
      <c r="H78" s="407"/>
      <c r="I78" s="1029" t="str">
        <f>IFERROR(G78/HLOOKUP(H78,RentsUA!$B$8:$J$9,2),"")</f>
        <v/>
      </c>
      <c r="J78" s="407"/>
      <c r="K78" s="412"/>
      <c r="L78" s="672">
        <f t="shared" si="29"/>
        <v>0</v>
      </c>
      <c r="M78" s="671"/>
      <c r="N78" s="410">
        <f t="shared" si="30"/>
        <v>0</v>
      </c>
      <c r="O78" s="469" t="str">
        <f>IF($M78=0,"",IFERROR(($L78+$M78)/(HLOOKUP($D78,RentsUA!$K$12:$Q$35,19,FALSE)),""))</f>
        <v/>
      </c>
      <c r="P78" s="469" t="str">
        <f>IF($M78=0,"",IFERROR(($M78+K78+L78)/(HLOOKUP($D78,RentsUA!$K$12:$Q$35,19,FALSE)),""))</f>
        <v/>
      </c>
      <c r="Q78" s="411"/>
      <c r="R78" s="673" t="str">
        <f>IF($Q78=0,"",VLOOKUP($Q78,RentsUA!$A$12:$H$35,MATCH($D78,RentsUA!$A$12:$H$12,0),FALSE))</f>
        <v/>
      </c>
      <c r="S78" s="409"/>
      <c r="T78" s="674"/>
      <c r="U78" s="672"/>
      <c r="V78" s="673" t="str">
        <f t="shared" ref="V78:V141" si="36">IF(Q78&lt;&gt;"",R78-L78,IF(U78&lt;&gt;0,U78-L78,""))</f>
        <v/>
      </c>
      <c r="W78" s="470"/>
      <c r="X78" s="411"/>
      <c r="Y78" s="410" t="str">
        <f>IF(X78=0,"",VLOOKUP($X78,RentsUA!$A$12:$H$35,MATCH($D78,RentsUA!$A$12:$H$12,0),FALSE))</f>
        <v/>
      </c>
      <c r="Z78" s="410" t="str">
        <f t="shared" si="31"/>
        <v/>
      </c>
      <c r="AA78" s="1297" t="str">
        <f>IF(H78="","",IF(G78/HLOOKUP($H78,RentsUA!$M$8:$T$9,2,FALSE)&gt;1,"&gt; 80%","&lt;= 80%"))</f>
        <v/>
      </c>
      <c r="AB78" s="1106"/>
      <c r="AC78" s="1106"/>
      <c r="AD78" s="622"/>
      <c r="AE78" s="412"/>
      <c r="AF78" s="807" t="str">
        <f>IF(AD78="","",IF(AD78=Lists!$U$3,M78,IF(AD78=Lists!$U$4,V78,IF(AD78=Lists!$U$5,Y78-L78,AE78))))</f>
        <v/>
      </c>
      <c r="AG78" s="410" t="str">
        <f t="shared" si="32"/>
        <v/>
      </c>
      <c r="AH78" s="469" t="str">
        <f t="shared" si="33"/>
        <v/>
      </c>
      <c r="AI78" s="469" t="str">
        <f>IF($AF78=0,0,IFERROR(($L78+$AF78)/(HLOOKUP($D78,RentsUA!$K$12:$Q$35,19,FALSE)),""))</f>
        <v/>
      </c>
      <c r="AJ78" s="469" t="str">
        <f>IF($AF78=0,0,IFERROR(($AF78+K78+L78)/(HLOOKUP($D78,RentsUA!$K$12:$Q$35,19,FALSE)),""))</f>
        <v/>
      </c>
      <c r="AK78" s="469" t="str">
        <f t="shared" ref="AK78:AK141" si="37">IFERROR(AG78*12/G78,"")</f>
        <v/>
      </c>
      <c r="AL78" s="469" t="str">
        <f t="shared" ref="AL78:AL141" si="38">IFERROR(AF78*12/$G78,"")</f>
        <v/>
      </c>
      <c r="AM78" s="1106" t="str">
        <f t="shared" ref="AM78:AM141" si="39">AF78</f>
        <v/>
      </c>
      <c r="AN78" s="1106" t="str">
        <f>IFERROR(AM78*(1+'7a.20YrDetails'!$F$9),"")</f>
        <v/>
      </c>
      <c r="AO78" s="1106" t="str">
        <f>IFERROR(AN78*(1+'7a.20YrDetails'!$F$9),"")</f>
        <v/>
      </c>
      <c r="AP78" s="1106" t="str">
        <f>IFERROR(AO78*(1+'7a.20YrDetails'!$F$9),"")</f>
        <v/>
      </c>
      <c r="AQ78" s="1106" t="str">
        <f>IFERROR(AP78*(1+'7a.20YrDetails'!$F$9),"")</f>
        <v/>
      </c>
      <c r="AR78" s="674"/>
      <c r="AS78" s="672"/>
      <c r="AT78" s="1732" t="str">
        <f>IF($AF78=0,0,IFERROR(($AF78+L78)/(HLOOKUP($D78,RentsUA!$B$61:$H$62,2,FALSE)),""))</f>
        <v/>
      </c>
      <c r="AU78" s="1733" t="str">
        <f>IFERROR(G78/HLOOKUP(H78,RentsUA!$B$40:$I$41,2),"")</f>
        <v/>
      </c>
      <c r="BR78" s="404" t="str">
        <f t="shared" ref="BR78:BR141" si="40">IF(Q78&lt;&gt;"","MOHCD "&amp;Q78*100&amp;"%",IF(AND(Q78="",S78&lt;&gt;""),CONCATENATE(S78, " ",T78*100,"%"),""))</f>
        <v/>
      </c>
      <c r="BS78" s="5" t="str">
        <f t="array" ref="BS78">IFERROR(INDEX($BR$13:$BR$412, MATCH(0, COUNTIF($BS$12:$BS77, $BR$13:$BR$412), 0)),"")</f>
        <v/>
      </c>
      <c r="BT78" s="404" t="str">
        <f t="shared" si="34"/>
        <v/>
      </c>
      <c r="BU78" s="404" t="str">
        <f t="array" ref="BU78">IFERROR(INDEX($BT$13:$BT$412, MATCH(0, COUNTIF($BU$12:$BU77, $BT$13:$BT$412), 0)),"")</f>
        <v/>
      </c>
    </row>
    <row r="79" spans="1:73" s="404" customFormat="1" ht="13.2">
      <c r="A79" s="406">
        <f t="shared" si="35"/>
        <v>67</v>
      </c>
      <c r="B79" s="472"/>
      <c r="C79" s="470"/>
      <c r="D79" s="407"/>
      <c r="E79" s="407"/>
      <c r="F79" s="408"/>
      <c r="G79" s="409"/>
      <c r="H79" s="407"/>
      <c r="I79" s="1029" t="str">
        <f>IFERROR(G79/HLOOKUP(H79,RentsUA!$B$8:$J$9,2),"")</f>
        <v/>
      </c>
      <c r="J79" s="407"/>
      <c r="K79" s="412"/>
      <c r="L79" s="672">
        <f t="shared" si="29"/>
        <v>0</v>
      </c>
      <c r="M79" s="671"/>
      <c r="N79" s="410">
        <f t="shared" si="30"/>
        <v>0</v>
      </c>
      <c r="O79" s="469" t="str">
        <f>IF($M79=0,"",IFERROR(($L79+$M79)/(HLOOKUP($D79,RentsUA!$K$12:$Q$35,19,FALSE)),""))</f>
        <v/>
      </c>
      <c r="P79" s="469" t="str">
        <f>IF($M79=0,"",IFERROR(($M79+K79+L79)/(HLOOKUP($D79,RentsUA!$K$12:$Q$35,19,FALSE)),""))</f>
        <v/>
      </c>
      <c r="Q79" s="411"/>
      <c r="R79" s="673" t="str">
        <f>IF($Q79=0,"",VLOOKUP($Q79,RentsUA!$A$12:$H$35,MATCH($D79,RentsUA!$A$12:$H$12,0),FALSE))</f>
        <v/>
      </c>
      <c r="S79" s="409"/>
      <c r="T79" s="674"/>
      <c r="U79" s="672"/>
      <c r="V79" s="673" t="str">
        <f t="shared" si="36"/>
        <v/>
      </c>
      <c r="W79" s="470"/>
      <c r="X79" s="411"/>
      <c r="Y79" s="410" t="str">
        <f>IF(X79=0,"",VLOOKUP($X79,RentsUA!$A$12:$H$35,MATCH($D79,RentsUA!$A$12:$H$12,0),FALSE))</f>
        <v/>
      </c>
      <c r="Z79" s="410" t="str">
        <f t="shared" si="31"/>
        <v/>
      </c>
      <c r="AA79" s="1297" t="str">
        <f>IF(H79="","",IF(G79/HLOOKUP($H79,RentsUA!$M$8:$T$9,2,FALSE)&gt;1,"&gt; 80%","&lt;= 80%"))</f>
        <v/>
      </c>
      <c r="AB79" s="1106"/>
      <c r="AC79" s="1106"/>
      <c r="AD79" s="622"/>
      <c r="AE79" s="412"/>
      <c r="AF79" s="807" t="str">
        <f>IF(AD79="","",IF(AD79=Lists!$U$3,M79,IF(AD79=Lists!$U$4,V79,IF(AD79=Lists!$U$5,Y79-L79,AE79))))</f>
        <v/>
      </c>
      <c r="AG79" s="410" t="str">
        <f t="shared" si="32"/>
        <v/>
      </c>
      <c r="AH79" s="469" t="str">
        <f t="shared" si="33"/>
        <v/>
      </c>
      <c r="AI79" s="469" t="str">
        <f>IF($AF79=0,0,IFERROR(($L79+$AF79)/(HLOOKUP($D79,RentsUA!$K$12:$Q$35,19,FALSE)),""))</f>
        <v/>
      </c>
      <c r="AJ79" s="469" t="str">
        <f>IF($AF79=0,0,IFERROR(($AF79+K79+L79)/(HLOOKUP($D79,RentsUA!$K$12:$Q$35,19,FALSE)),""))</f>
        <v/>
      </c>
      <c r="AK79" s="469" t="str">
        <f t="shared" si="37"/>
        <v/>
      </c>
      <c r="AL79" s="469" t="str">
        <f t="shared" si="38"/>
        <v/>
      </c>
      <c r="AM79" s="1106" t="str">
        <f t="shared" si="39"/>
        <v/>
      </c>
      <c r="AN79" s="1106" t="str">
        <f>IFERROR(AM79*(1+'7a.20YrDetails'!$F$9),"")</f>
        <v/>
      </c>
      <c r="AO79" s="1106" t="str">
        <f>IFERROR(AN79*(1+'7a.20YrDetails'!$F$9),"")</f>
        <v/>
      </c>
      <c r="AP79" s="1106" t="str">
        <f>IFERROR(AO79*(1+'7a.20YrDetails'!$F$9),"")</f>
        <v/>
      </c>
      <c r="AQ79" s="1106" t="str">
        <f>IFERROR(AP79*(1+'7a.20YrDetails'!$F$9),"")</f>
        <v/>
      </c>
      <c r="AR79" s="674"/>
      <c r="AS79" s="672"/>
      <c r="AT79" s="1732" t="str">
        <f>IF($AF79=0,0,IFERROR(($AF79+L79)/(HLOOKUP($D79,RentsUA!$B$61:$H$62,2,FALSE)),""))</f>
        <v/>
      </c>
      <c r="AU79" s="1733" t="str">
        <f>IFERROR(G79/HLOOKUP(H79,RentsUA!$B$40:$I$41,2),"")</f>
        <v/>
      </c>
      <c r="BR79" s="404" t="str">
        <f t="shared" si="40"/>
        <v/>
      </c>
      <c r="BS79" s="5" t="str">
        <f t="array" ref="BS79">IFERROR(INDEX($BR$13:$BR$412, MATCH(0, COUNTIF($BS$12:$BS78, $BR$13:$BR$412), 0)),"")</f>
        <v/>
      </c>
      <c r="BT79" s="404" t="str">
        <f t="shared" si="34"/>
        <v/>
      </c>
      <c r="BU79" s="404" t="str">
        <f t="array" ref="BU79">IFERROR(INDEX($BT$13:$BT$412, MATCH(0, COUNTIF($BU$12:$BU78, $BT$13:$BT$412), 0)),"")</f>
        <v/>
      </c>
    </row>
    <row r="80" spans="1:73" s="404" customFormat="1" ht="13.2">
      <c r="A80" s="406">
        <f t="shared" si="35"/>
        <v>68</v>
      </c>
      <c r="B80" s="472"/>
      <c r="C80" s="470"/>
      <c r="D80" s="407"/>
      <c r="E80" s="407"/>
      <c r="F80" s="408"/>
      <c r="G80" s="409"/>
      <c r="H80" s="407"/>
      <c r="I80" s="1029" t="str">
        <f>IFERROR(G80/HLOOKUP(H80,RentsUA!$B$8:$J$9,2),"")</f>
        <v/>
      </c>
      <c r="J80" s="407"/>
      <c r="K80" s="412"/>
      <c r="L80" s="672">
        <f t="shared" si="29"/>
        <v>0</v>
      </c>
      <c r="M80" s="671"/>
      <c r="N80" s="410">
        <f t="shared" si="30"/>
        <v>0</v>
      </c>
      <c r="O80" s="469" t="str">
        <f>IF($M80=0,"",IFERROR(($L80+$M80)/(HLOOKUP($D80,RentsUA!$K$12:$Q$35,19,FALSE)),""))</f>
        <v/>
      </c>
      <c r="P80" s="469" t="str">
        <f>IF($M80=0,"",IFERROR(($M80+K80+L80)/(HLOOKUP($D80,RentsUA!$K$12:$Q$35,19,FALSE)),""))</f>
        <v/>
      </c>
      <c r="Q80" s="411"/>
      <c r="R80" s="673" t="str">
        <f>IF($Q80=0,"",VLOOKUP($Q80,RentsUA!$A$12:$H$35,MATCH($D80,RentsUA!$A$12:$H$12,0),FALSE))</f>
        <v/>
      </c>
      <c r="S80" s="409"/>
      <c r="T80" s="674"/>
      <c r="U80" s="672"/>
      <c r="V80" s="673" t="str">
        <f t="shared" si="36"/>
        <v/>
      </c>
      <c r="W80" s="470"/>
      <c r="X80" s="411"/>
      <c r="Y80" s="410" t="str">
        <f>IF(X80=0,"",VLOOKUP($X80,RentsUA!$A$12:$H$35,MATCH($D80,RentsUA!$A$12:$H$12,0),FALSE))</f>
        <v/>
      </c>
      <c r="Z80" s="410" t="str">
        <f t="shared" si="31"/>
        <v/>
      </c>
      <c r="AA80" s="1297" t="str">
        <f>IF(H80="","",IF(G80/HLOOKUP($H80,RentsUA!$M$8:$T$9,2,FALSE)&gt;1,"&gt; 80%","&lt;= 80%"))</f>
        <v/>
      </c>
      <c r="AB80" s="1106"/>
      <c r="AC80" s="1106"/>
      <c r="AD80" s="622"/>
      <c r="AE80" s="412"/>
      <c r="AF80" s="807" t="str">
        <f>IF(AD80="","",IF(AD80=Lists!$U$3,M80,IF(AD80=Lists!$U$4,V80,IF(AD80=Lists!$U$5,Y80-L80,AE80))))</f>
        <v/>
      </c>
      <c r="AG80" s="410" t="str">
        <f t="shared" si="32"/>
        <v/>
      </c>
      <c r="AH80" s="469" t="str">
        <f t="shared" si="33"/>
        <v/>
      </c>
      <c r="AI80" s="469" t="str">
        <f>IF($AF80=0,0,IFERROR(($L80+$AF80)/(HLOOKUP($D80,RentsUA!$K$12:$Q$35,19,FALSE)),""))</f>
        <v/>
      </c>
      <c r="AJ80" s="469" t="str">
        <f>IF($AF80=0,0,IFERROR(($AF80+K80+L80)/(HLOOKUP($D80,RentsUA!$K$12:$Q$35,19,FALSE)),""))</f>
        <v/>
      </c>
      <c r="AK80" s="469" t="str">
        <f t="shared" si="37"/>
        <v/>
      </c>
      <c r="AL80" s="469" t="str">
        <f t="shared" si="38"/>
        <v/>
      </c>
      <c r="AM80" s="1106" t="str">
        <f t="shared" si="39"/>
        <v/>
      </c>
      <c r="AN80" s="1106" t="str">
        <f>IFERROR(AM80*(1+'7a.20YrDetails'!$F$9),"")</f>
        <v/>
      </c>
      <c r="AO80" s="1106" t="str">
        <f>IFERROR(AN80*(1+'7a.20YrDetails'!$F$9),"")</f>
        <v/>
      </c>
      <c r="AP80" s="1106" t="str">
        <f>IFERROR(AO80*(1+'7a.20YrDetails'!$F$9),"")</f>
        <v/>
      </c>
      <c r="AQ80" s="1106" t="str">
        <f>IFERROR(AP80*(1+'7a.20YrDetails'!$F$9),"")</f>
        <v/>
      </c>
      <c r="AR80" s="674"/>
      <c r="AS80" s="672"/>
      <c r="AT80" s="1732" t="str">
        <f>IF($AF80=0,0,IFERROR(($AF80+L80)/(HLOOKUP($D80,RentsUA!$B$61:$H$62,2,FALSE)),""))</f>
        <v/>
      </c>
      <c r="AU80" s="1733" t="str">
        <f>IFERROR(G80/HLOOKUP(H80,RentsUA!$B$40:$I$41,2),"")</f>
        <v/>
      </c>
      <c r="BR80" s="404" t="str">
        <f t="shared" si="40"/>
        <v/>
      </c>
      <c r="BS80" s="5" t="str">
        <f t="array" ref="BS80">IFERROR(INDEX($BR$13:$BR$412, MATCH(0, COUNTIF($BS$12:$BS79, $BR$13:$BR$412), 0)),"")</f>
        <v/>
      </c>
      <c r="BT80" s="404" t="str">
        <f t="shared" si="34"/>
        <v/>
      </c>
      <c r="BU80" s="404" t="str">
        <f t="array" ref="BU80">IFERROR(INDEX($BT$13:$BT$412, MATCH(0, COUNTIF($BU$12:$BU79, $BT$13:$BT$412), 0)),"")</f>
        <v/>
      </c>
    </row>
    <row r="81" spans="1:73" s="404" customFormat="1" ht="13.2">
      <c r="A81" s="406">
        <f t="shared" si="35"/>
        <v>69</v>
      </c>
      <c r="B81" s="472"/>
      <c r="C81" s="470"/>
      <c r="D81" s="407"/>
      <c r="E81" s="407"/>
      <c r="F81" s="408"/>
      <c r="G81" s="409"/>
      <c r="H81" s="407"/>
      <c r="I81" s="1029" t="str">
        <f>IFERROR(G81/HLOOKUP(H81,RentsUA!$B$8:$J$9,2),"")</f>
        <v/>
      </c>
      <c r="J81" s="407"/>
      <c r="K81" s="412"/>
      <c r="L81" s="672">
        <f t="shared" si="29"/>
        <v>0</v>
      </c>
      <c r="M81" s="671"/>
      <c r="N81" s="410">
        <f t="shared" si="30"/>
        <v>0</v>
      </c>
      <c r="O81" s="469" t="str">
        <f>IF($M81=0,"",IFERROR(($L81+$M81)/(HLOOKUP($D81,RentsUA!$K$12:$Q$35,19,FALSE)),""))</f>
        <v/>
      </c>
      <c r="P81" s="469" t="str">
        <f>IF($M81=0,"",IFERROR(($M81+K81+L81)/(HLOOKUP($D81,RentsUA!$K$12:$Q$35,19,FALSE)),""))</f>
        <v/>
      </c>
      <c r="Q81" s="411"/>
      <c r="R81" s="673" t="str">
        <f>IF($Q81=0,"",VLOOKUP($Q81,RentsUA!$A$12:$H$35,MATCH($D81,RentsUA!$A$12:$H$12,0),FALSE))</f>
        <v/>
      </c>
      <c r="S81" s="409"/>
      <c r="T81" s="674"/>
      <c r="U81" s="672"/>
      <c r="V81" s="673" t="str">
        <f t="shared" si="36"/>
        <v/>
      </c>
      <c r="W81" s="470"/>
      <c r="X81" s="411"/>
      <c r="Y81" s="410" t="str">
        <f>IF(X81=0,"",VLOOKUP($X81,RentsUA!$A$12:$H$35,MATCH($D81,RentsUA!$A$12:$H$12,0),FALSE))</f>
        <v/>
      </c>
      <c r="Z81" s="410" t="str">
        <f t="shared" si="31"/>
        <v/>
      </c>
      <c r="AA81" s="1297" t="str">
        <f>IF(H81="","",IF(G81/HLOOKUP($H81,RentsUA!$M$8:$T$9,2,FALSE)&gt;1,"&gt; 80%","&lt;= 80%"))</f>
        <v/>
      </c>
      <c r="AB81" s="1106"/>
      <c r="AC81" s="1106"/>
      <c r="AD81" s="622"/>
      <c r="AE81" s="412"/>
      <c r="AF81" s="807" t="str">
        <f>IF(AD81="","",IF(AD81=Lists!$U$3,M81,IF(AD81=Lists!$U$4,V81,IF(AD81=Lists!$U$5,Y81-L81,AE81))))</f>
        <v/>
      </c>
      <c r="AG81" s="410" t="str">
        <f t="shared" si="32"/>
        <v/>
      </c>
      <c r="AH81" s="469" t="str">
        <f t="shared" si="33"/>
        <v/>
      </c>
      <c r="AI81" s="469" t="str">
        <f>IF($AF81=0,0,IFERROR(($L81+$AF81)/(HLOOKUP($D81,RentsUA!$K$12:$Q$35,19,FALSE)),""))</f>
        <v/>
      </c>
      <c r="AJ81" s="469" t="str">
        <f>IF($AF81=0,0,IFERROR(($AF81+K81+L81)/(HLOOKUP($D81,RentsUA!$K$12:$Q$35,19,FALSE)),""))</f>
        <v/>
      </c>
      <c r="AK81" s="469" t="str">
        <f t="shared" si="37"/>
        <v/>
      </c>
      <c r="AL81" s="469" t="str">
        <f t="shared" si="38"/>
        <v/>
      </c>
      <c r="AM81" s="1106" t="str">
        <f t="shared" si="39"/>
        <v/>
      </c>
      <c r="AN81" s="1106" t="str">
        <f>IFERROR(AM81*(1+'7a.20YrDetails'!$F$9),"")</f>
        <v/>
      </c>
      <c r="AO81" s="1106" t="str">
        <f>IFERROR(AN81*(1+'7a.20YrDetails'!$F$9),"")</f>
        <v/>
      </c>
      <c r="AP81" s="1106" t="str">
        <f>IFERROR(AO81*(1+'7a.20YrDetails'!$F$9),"")</f>
        <v/>
      </c>
      <c r="AQ81" s="1106" t="str">
        <f>IFERROR(AP81*(1+'7a.20YrDetails'!$F$9),"")</f>
        <v/>
      </c>
      <c r="AR81" s="674"/>
      <c r="AS81" s="672"/>
      <c r="AT81" s="1732" t="str">
        <f>IF($AF81=0,0,IFERROR(($AF81+L81)/(HLOOKUP($D81,RentsUA!$B$61:$H$62,2,FALSE)),""))</f>
        <v/>
      </c>
      <c r="AU81" s="1733" t="str">
        <f>IFERROR(G81/HLOOKUP(H81,RentsUA!$B$40:$I$41,2),"")</f>
        <v/>
      </c>
      <c r="BR81" s="404" t="str">
        <f t="shared" si="40"/>
        <v/>
      </c>
      <c r="BS81" s="5" t="str">
        <f t="array" ref="BS81">IFERROR(INDEX($BR$13:$BR$412, MATCH(0, COUNTIF($BS$12:$BS80, $BR$13:$BR$412), 0)),"")</f>
        <v/>
      </c>
      <c r="BT81" s="404" t="str">
        <f t="shared" si="34"/>
        <v/>
      </c>
      <c r="BU81" s="404" t="str">
        <f t="array" ref="BU81">IFERROR(INDEX($BT$13:$BT$412, MATCH(0, COUNTIF($BU$12:$BU80, $BT$13:$BT$412), 0)),"")</f>
        <v/>
      </c>
    </row>
    <row r="82" spans="1:73" s="404" customFormat="1" ht="13.2">
      <c r="A82" s="406">
        <f t="shared" si="35"/>
        <v>70</v>
      </c>
      <c r="B82" s="472"/>
      <c r="C82" s="470"/>
      <c r="D82" s="407"/>
      <c r="E82" s="407"/>
      <c r="F82" s="408"/>
      <c r="G82" s="409"/>
      <c r="H82" s="407"/>
      <c r="I82" s="1029" t="str">
        <f>IFERROR(G82/HLOOKUP(H82,RentsUA!$B$8:$J$9,2),"")</f>
        <v/>
      </c>
      <c r="J82" s="407"/>
      <c r="K82" s="412"/>
      <c r="L82" s="672">
        <f t="shared" si="29"/>
        <v>0</v>
      </c>
      <c r="M82" s="671"/>
      <c r="N82" s="410">
        <f t="shared" si="30"/>
        <v>0</v>
      </c>
      <c r="O82" s="469" t="str">
        <f>IF($M82=0,"",IFERROR(($L82+$M82)/(HLOOKUP($D82,RentsUA!$K$12:$Q$35,19,FALSE)),""))</f>
        <v/>
      </c>
      <c r="P82" s="469" t="str">
        <f>IF($M82=0,"",IFERROR(($M82+K82+L82)/(HLOOKUP($D82,RentsUA!$K$12:$Q$35,19,FALSE)),""))</f>
        <v/>
      </c>
      <c r="Q82" s="411"/>
      <c r="R82" s="673" t="str">
        <f>IF($Q82=0,"",VLOOKUP($Q82,RentsUA!$A$12:$H$35,MATCH($D82,RentsUA!$A$12:$H$12,0),FALSE))</f>
        <v/>
      </c>
      <c r="S82" s="409"/>
      <c r="T82" s="674"/>
      <c r="U82" s="672"/>
      <c r="V82" s="673" t="str">
        <f t="shared" si="36"/>
        <v/>
      </c>
      <c r="W82" s="470"/>
      <c r="X82" s="411"/>
      <c r="Y82" s="410" t="str">
        <f>IF(X82=0,"",VLOOKUP($X82,RentsUA!$A$12:$H$35,MATCH($D82,RentsUA!$A$12:$H$12,0),FALSE))</f>
        <v/>
      </c>
      <c r="Z82" s="410" t="str">
        <f t="shared" si="31"/>
        <v/>
      </c>
      <c r="AA82" s="1297" t="str">
        <f>IF(H82="","",IF(G82/HLOOKUP($H82,RentsUA!$M$8:$T$9,2,FALSE)&gt;1,"&gt; 80%","&lt;= 80%"))</f>
        <v/>
      </c>
      <c r="AB82" s="1106"/>
      <c r="AC82" s="1106"/>
      <c r="AD82" s="622"/>
      <c r="AE82" s="412"/>
      <c r="AF82" s="807" t="str">
        <f>IF(AD82="","",IF(AD82=Lists!$U$3,M82,IF(AD82=Lists!$U$4,V82,IF(AD82=Lists!$U$5,Y82-L82,AE82))))</f>
        <v/>
      </c>
      <c r="AG82" s="410" t="str">
        <f t="shared" si="32"/>
        <v/>
      </c>
      <c r="AH82" s="469" t="str">
        <f t="shared" si="33"/>
        <v/>
      </c>
      <c r="AI82" s="469" t="str">
        <f>IF($AF82=0,0,IFERROR(($L82+$AF82)/(HLOOKUP($D82,RentsUA!$K$12:$Q$35,19,FALSE)),""))</f>
        <v/>
      </c>
      <c r="AJ82" s="469" t="str">
        <f>IF($AF82=0,0,IFERROR(($AF82+K82+L82)/(HLOOKUP($D82,RentsUA!$K$12:$Q$35,19,FALSE)),""))</f>
        <v/>
      </c>
      <c r="AK82" s="469" t="str">
        <f t="shared" si="37"/>
        <v/>
      </c>
      <c r="AL82" s="469" t="str">
        <f t="shared" si="38"/>
        <v/>
      </c>
      <c r="AM82" s="1106" t="str">
        <f t="shared" si="39"/>
        <v/>
      </c>
      <c r="AN82" s="1106" t="str">
        <f>IFERROR(AM82*(1+'7a.20YrDetails'!$F$9),"")</f>
        <v/>
      </c>
      <c r="AO82" s="1106" t="str">
        <f>IFERROR(AN82*(1+'7a.20YrDetails'!$F$9),"")</f>
        <v/>
      </c>
      <c r="AP82" s="1106" t="str">
        <f>IFERROR(AO82*(1+'7a.20YrDetails'!$F$9),"")</f>
        <v/>
      </c>
      <c r="AQ82" s="1106" t="str">
        <f>IFERROR(AP82*(1+'7a.20YrDetails'!$F$9),"")</f>
        <v/>
      </c>
      <c r="AR82" s="674"/>
      <c r="AS82" s="672"/>
      <c r="AT82" s="1732" t="str">
        <f>IF($AF82=0,0,IFERROR(($AF82+L82)/(HLOOKUP($D82,RentsUA!$B$61:$H$62,2,FALSE)),""))</f>
        <v/>
      </c>
      <c r="AU82" s="1733" t="str">
        <f>IFERROR(G82/HLOOKUP(H82,RentsUA!$B$40:$I$41,2),"")</f>
        <v/>
      </c>
      <c r="BR82" s="404" t="str">
        <f t="shared" si="40"/>
        <v/>
      </c>
      <c r="BS82" s="5" t="str">
        <f t="array" ref="BS82">IFERROR(INDEX($BR$13:$BR$412, MATCH(0, COUNTIF($BS$12:$BS81, $BR$13:$BR$412), 0)),"")</f>
        <v/>
      </c>
      <c r="BT82" s="404" t="str">
        <f t="shared" si="34"/>
        <v/>
      </c>
      <c r="BU82" s="404" t="str">
        <f t="array" ref="BU82">IFERROR(INDEX($BT$13:$BT$412, MATCH(0, COUNTIF($BU$12:$BU81, $BT$13:$BT$412), 0)),"")</f>
        <v/>
      </c>
    </row>
    <row r="83" spans="1:73" s="404" customFormat="1" ht="13.2">
      <c r="A83" s="406">
        <f t="shared" si="35"/>
        <v>71</v>
      </c>
      <c r="B83" s="472"/>
      <c r="C83" s="470"/>
      <c r="D83" s="407"/>
      <c r="E83" s="407"/>
      <c r="F83" s="408"/>
      <c r="G83" s="409"/>
      <c r="H83" s="407"/>
      <c r="I83" s="1029" t="str">
        <f>IFERROR(G83/HLOOKUP(H83,RentsUA!$B$8:$J$9,2),"")</f>
        <v/>
      </c>
      <c r="J83" s="407"/>
      <c r="K83" s="412"/>
      <c r="L83" s="672">
        <f t="shared" si="29"/>
        <v>0</v>
      </c>
      <c r="M83" s="671"/>
      <c r="N83" s="410">
        <f t="shared" si="30"/>
        <v>0</v>
      </c>
      <c r="O83" s="469" t="str">
        <f>IF($M83=0,"",IFERROR(($L83+$M83)/(HLOOKUP($D83,RentsUA!$K$12:$Q$35,19,FALSE)),""))</f>
        <v/>
      </c>
      <c r="P83" s="469" t="str">
        <f>IF($M83=0,"",IFERROR(($M83+K83+L83)/(HLOOKUP($D83,RentsUA!$K$12:$Q$35,19,FALSE)),""))</f>
        <v/>
      </c>
      <c r="Q83" s="411"/>
      <c r="R83" s="673" t="str">
        <f>IF($Q83=0,"",VLOOKUP($Q83,RentsUA!$A$12:$H$35,MATCH($D83,RentsUA!$A$12:$H$12,0),FALSE))</f>
        <v/>
      </c>
      <c r="S83" s="409"/>
      <c r="T83" s="674"/>
      <c r="U83" s="672"/>
      <c r="V83" s="673" t="str">
        <f t="shared" si="36"/>
        <v/>
      </c>
      <c r="W83" s="470"/>
      <c r="X83" s="411"/>
      <c r="Y83" s="410" t="str">
        <f>IF(X83=0,"",VLOOKUP($X83,RentsUA!$A$12:$H$35,MATCH($D83,RentsUA!$A$12:$H$12,0),FALSE))</f>
        <v/>
      </c>
      <c r="Z83" s="410" t="str">
        <f t="shared" si="31"/>
        <v/>
      </c>
      <c r="AA83" s="1297" t="str">
        <f>IF(H83="","",IF(G83/HLOOKUP($H83,RentsUA!$M$8:$T$9,2,FALSE)&gt;1,"&gt; 80%","&lt;= 80%"))</f>
        <v/>
      </c>
      <c r="AB83" s="1106"/>
      <c r="AC83" s="1106"/>
      <c r="AD83" s="622"/>
      <c r="AE83" s="412"/>
      <c r="AF83" s="807" t="str">
        <f>IF(AD83="","",IF(AD83=Lists!$U$3,M83,IF(AD83=Lists!$U$4,V83,IF(AD83=Lists!$U$5,Y83-L83,AE83))))</f>
        <v/>
      </c>
      <c r="AG83" s="410" t="str">
        <f t="shared" si="32"/>
        <v/>
      </c>
      <c r="AH83" s="469" t="str">
        <f t="shared" si="33"/>
        <v/>
      </c>
      <c r="AI83" s="469" t="str">
        <f>IF($AF83=0,0,IFERROR(($L83+$AF83)/(HLOOKUP($D83,RentsUA!$K$12:$Q$35,19,FALSE)),""))</f>
        <v/>
      </c>
      <c r="AJ83" s="469" t="str">
        <f>IF($AF83=0,0,IFERROR(($AF83+K83+L83)/(HLOOKUP($D83,RentsUA!$K$12:$Q$35,19,FALSE)),""))</f>
        <v/>
      </c>
      <c r="AK83" s="469" t="str">
        <f t="shared" si="37"/>
        <v/>
      </c>
      <c r="AL83" s="469" t="str">
        <f t="shared" si="38"/>
        <v/>
      </c>
      <c r="AM83" s="1106" t="str">
        <f t="shared" si="39"/>
        <v/>
      </c>
      <c r="AN83" s="1106" t="str">
        <f>IFERROR(AM83*(1+'7a.20YrDetails'!$F$9),"")</f>
        <v/>
      </c>
      <c r="AO83" s="1106" t="str">
        <f>IFERROR(AN83*(1+'7a.20YrDetails'!$F$9),"")</f>
        <v/>
      </c>
      <c r="AP83" s="1106" t="str">
        <f>IFERROR(AO83*(1+'7a.20YrDetails'!$F$9),"")</f>
        <v/>
      </c>
      <c r="AQ83" s="1106" t="str">
        <f>IFERROR(AP83*(1+'7a.20YrDetails'!$F$9),"")</f>
        <v/>
      </c>
      <c r="AR83" s="674"/>
      <c r="AS83" s="672"/>
      <c r="AT83" s="1732" t="str">
        <f>IF($AF83=0,0,IFERROR(($AF83+L83)/(HLOOKUP($D83,RentsUA!$B$61:$H$62,2,FALSE)),""))</f>
        <v/>
      </c>
      <c r="AU83" s="1733" t="str">
        <f>IFERROR(G83/HLOOKUP(H83,RentsUA!$B$40:$I$41,2),"")</f>
        <v/>
      </c>
      <c r="BR83" s="404" t="str">
        <f t="shared" si="40"/>
        <v/>
      </c>
      <c r="BS83" s="5" t="str">
        <f t="array" ref="BS83">IFERROR(INDEX($BR$13:$BR$412, MATCH(0, COUNTIF($BS$12:$BS82, $BR$13:$BR$412), 0)),"")</f>
        <v/>
      </c>
      <c r="BT83" s="404" t="str">
        <f t="shared" si="34"/>
        <v/>
      </c>
      <c r="BU83" s="404" t="str">
        <f t="array" ref="BU83">IFERROR(INDEX($BT$13:$BT$412, MATCH(0, COUNTIF($BU$12:$BU82, $BT$13:$BT$412), 0)),"")</f>
        <v/>
      </c>
    </row>
    <row r="84" spans="1:73" s="404" customFormat="1" ht="13.2">
      <c r="A84" s="406">
        <f t="shared" si="35"/>
        <v>72</v>
      </c>
      <c r="B84" s="472"/>
      <c r="C84" s="470"/>
      <c r="D84" s="407"/>
      <c r="E84" s="407"/>
      <c r="F84" s="408"/>
      <c r="G84" s="409"/>
      <c r="H84" s="407"/>
      <c r="I84" s="1029" t="str">
        <f>IFERROR(G84/HLOOKUP(H84,RentsUA!$B$8:$J$9,2),"")</f>
        <v/>
      </c>
      <c r="J84" s="407"/>
      <c r="K84" s="412"/>
      <c r="L84" s="672">
        <f t="shared" si="29"/>
        <v>0</v>
      </c>
      <c r="M84" s="671"/>
      <c r="N84" s="410">
        <f t="shared" si="30"/>
        <v>0</v>
      </c>
      <c r="O84" s="469" t="str">
        <f>IF($M84=0,"",IFERROR(($L84+$M84)/(HLOOKUP($D84,RentsUA!$K$12:$Q$35,19,FALSE)),""))</f>
        <v/>
      </c>
      <c r="P84" s="469" t="str">
        <f>IF($M84=0,"",IFERROR(($M84+K84+L84)/(HLOOKUP($D84,RentsUA!$K$12:$Q$35,19,FALSE)),""))</f>
        <v/>
      </c>
      <c r="Q84" s="411"/>
      <c r="R84" s="673" t="str">
        <f>IF($Q84=0,"",VLOOKUP($Q84,RentsUA!$A$12:$H$35,MATCH($D84,RentsUA!$A$12:$H$12,0),FALSE))</f>
        <v/>
      </c>
      <c r="S84" s="409"/>
      <c r="T84" s="674"/>
      <c r="U84" s="672"/>
      <c r="V84" s="673" t="str">
        <f t="shared" si="36"/>
        <v/>
      </c>
      <c r="W84" s="470"/>
      <c r="X84" s="411"/>
      <c r="Y84" s="410" t="str">
        <f>IF(X84=0,"",VLOOKUP($X84,RentsUA!$A$12:$H$35,MATCH($D84,RentsUA!$A$12:$H$12,0),FALSE))</f>
        <v/>
      </c>
      <c r="Z84" s="410" t="str">
        <f t="shared" si="31"/>
        <v/>
      </c>
      <c r="AA84" s="1297" t="str">
        <f>IF(H84="","",IF(G84/HLOOKUP($H84,RentsUA!$M$8:$T$9,2,FALSE)&gt;1,"&gt; 80%","&lt;= 80%"))</f>
        <v/>
      </c>
      <c r="AB84" s="1106"/>
      <c r="AC84" s="1106"/>
      <c r="AD84" s="622"/>
      <c r="AE84" s="412"/>
      <c r="AF84" s="807" t="str">
        <f>IF(AD84="","",IF(AD84=Lists!$U$3,M84,IF(AD84=Lists!$U$4,V84,IF(AD84=Lists!$U$5,Y84-L84,AE84))))</f>
        <v/>
      </c>
      <c r="AG84" s="410" t="str">
        <f t="shared" si="32"/>
        <v/>
      </c>
      <c r="AH84" s="469" t="str">
        <f t="shared" si="33"/>
        <v/>
      </c>
      <c r="AI84" s="469" t="str">
        <f>IF($AF84=0,0,IFERROR(($L84+$AF84)/(HLOOKUP($D84,RentsUA!$K$12:$Q$35,19,FALSE)),""))</f>
        <v/>
      </c>
      <c r="AJ84" s="469" t="str">
        <f>IF($AF84=0,0,IFERROR(($AF84+K84+L84)/(HLOOKUP($D84,RentsUA!$K$12:$Q$35,19,FALSE)),""))</f>
        <v/>
      </c>
      <c r="AK84" s="469" t="str">
        <f t="shared" si="37"/>
        <v/>
      </c>
      <c r="AL84" s="469" t="str">
        <f t="shared" si="38"/>
        <v/>
      </c>
      <c r="AM84" s="1106" t="str">
        <f t="shared" si="39"/>
        <v/>
      </c>
      <c r="AN84" s="1106" t="str">
        <f>IFERROR(AM84*(1+'7a.20YrDetails'!$F$9),"")</f>
        <v/>
      </c>
      <c r="AO84" s="1106" t="str">
        <f>IFERROR(AN84*(1+'7a.20YrDetails'!$F$9),"")</f>
        <v/>
      </c>
      <c r="AP84" s="1106" t="str">
        <f>IFERROR(AO84*(1+'7a.20YrDetails'!$F$9),"")</f>
        <v/>
      </c>
      <c r="AQ84" s="1106" t="str">
        <f>IFERROR(AP84*(1+'7a.20YrDetails'!$F$9),"")</f>
        <v/>
      </c>
      <c r="AR84" s="674"/>
      <c r="AS84" s="672"/>
      <c r="AT84" s="1732" t="str">
        <f>IF($AF84=0,0,IFERROR(($AF84+L84)/(HLOOKUP($D84,RentsUA!$B$61:$H$62,2,FALSE)),""))</f>
        <v/>
      </c>
      <c r="AU84" s="1733" t="str">
        <f>IFERROR(G84/HLOOKUP(H84,RentsUA!$B$40:$I$41,2),"")</f>
        <v/>
      </c>
      <c r="BR84" s="404" t="str">
        <f t="shared" si="40"/>
        <v/>
      </c>
      <c r="BS84" s="5" t="str">
        <f t="array" ref="BS84">IFERROR(INDEX($BR$13:$BR$412, MATCH(0, COUNTIF($BS$12:$BS83, $BR$13:$BR$412), 0)),"")</f>
        <v/>
      </c>
      <c r="BT84" s="404" t="str">
        <f t="shared" si="34"/>
        <v/>
      </c>
      <c r="BU84" s="404" t="str">
        <f t="array" ref="BU84">IFERROR(INDEX($BT$13:$BT$412, MATCH(0, COUNTIF($BU$12:$BU83, $BT$13:$BT$412), 0)),"")</f>
        <v/>
      </c>
    </row>
    <row r="85" spans="1:73" s="404" customFormat="1" ht="13.2">
      <c r="A85" s="406">
        <f t="shared" si="35"/>
        <v>73</v>
      </c>
      <c r="B85" s="472"/>
      <c r="C85" s="470"/>
      <c r="D85" s="407"/>
      <c r="E85" s="407"/>
      <c r="F85" s="408"/>
      <c r="G85" s="409"/>
      <c r="H85" s="407"/>
      <c r="I85" s="1029" t="str">
        <f>IFERROR(G85/HLOOKUP(H85,RentsUA!$B$8:$J$9,2),"")</f>
        <v/>
      </c>
      <c r="J85" s="407"/>
      <c r="K85" s="412"/>
      <c r="L85" s="672">
        <f t="shared" si="29"/>
        <v>0</v>
      </c>
      <c r="M85" s="671"/>
      <c r="N85" s="410">
        <f t="shared" si="30"/>
        <v>0</v>
      </c>
      <c r="O85" s="469" t="str">
        <f>IF($M85=0,"",IFERROR(($L85+$M85)/(HLOOKUP($D85,RentsUA!$K$12:$Q$35,19,FALSE)),""))</f>
        <v/>
      </c>
      <c r="P85" s="469" t="str">
        <f>IF($M85=0,"",IFERROR(($M85+K85+L85)/(HLOOKUP($D85,RentsUA!$K$12:$Q$35,19,FALSE)),""))</f>
        <v/>
      </c>
      <c r="Q85" s="411"/>
      <c r="R85" s="673" t="str">
        <f>IF($Q85=0,"",VLOOKUP($Q85,RentsUA!$A$12:$H$35,MATCH($D85,RentsUA!$A$12:$H$12,0),FALSE))</f>
        <v/>
      </c>
      <c r="S85" s="409"/>
      <c r="T85" s="674"/>
      <c r="U85" s="672"/>
      <c r="V85" s="673" t="str">
        <f t="shared" si="36"/>
        <v/>
      </c>
      <c r="W85" s="470"/>
      <c r="X85" s="411"/>
      <c r="Y85" s="410" t="str">
        <f>IF(X85=0,"",VLOOKUP($X85,RentsUA!$A$12:$H$35,MATCH($D85,RentsUA!$A$12:$H$12,0),FALSE))</f>
        <v/>
      </c>
      <c r="Z85" s="410" t="str">
        <f t="shared" si="31"/>
        <v/>
      </c>
      <c r="AA85" s="1297" t="str">
        <f>IF(H85="","",IF(G85/HLOOKUP($H85,RentsUA!$M$8:$T$9,2,FALSE)&gt;1,"&gt; 80%","&lt;= 80%"))</f>
        <v/>
      </c>
      <c r="AB85" s="1106"/>
      <c r="AC85" s="1106"/>
      <c r="AD85" s="622"/>
      <c r="AE85" s="412"/>
      <c r="AF85" s="807" t="str">
        <f>IF(AD85="","",IF(AD85=Lists!$U$3,M85,IF(AD85=Lists!$U$4,V85,IF(AD85=Lists!$U$5,Y85-L85,AE85))))</f>
        <v/>
      </c>
      <c r="AG85" s="410" t="str">
        <f t="shared" si="32"/>
        <v/>
      </c>
      <c r="AH85" s="469" t="str">
        <f t="shared" si="33"/>
        <v/>
      </c>
      <c r="AI85" s="469" t="str">
        <f>IF($AF85=0,0,IFERROR(($L85+$AF85)/(HLOOKUP($D85,RentsUA!$K$12:$Q$35,19,FALSE)),""))</f>
        <v/>
      </c>
      <c r="AJ85" s="469" t="str">
        <f>IF($AF85=0,0,IFERROR(($AF85+K85+L85)/(HLOOKUP($D85,RentsUA!$K$12:$Q$35,19,FALSE)),""))</f>
        <v/>
      </c>
      <c r="AK85" s="469" t="str">
        <f t="shared" si="37"/>
        <v/>
      </c>
      <c r="AL85" s="469" t="str">
        <f t="shared" si="38"/>
        <v/>
      </c>
      <c r="AM85" s="1106" t="str">
        <f t="shared" si="39"/>
        <v/>
      </c>
      <c r="AN85" s="1106" t="str">
        <f>IFERROR(AM85*(1+'7a.20YrDetails'!$F$9),"")</f>
        <v/>
      </c>
      <c r="AO85" s="1106" t="str">
        <f>IFERROR(AN85*(1+'7a.20YrDetails'!$F$9),"")</f>
        <v/>
      </c>
      <c r="AP85" s="1106" t="str">
        <f>IFERROR(AO85*(1+'7a.20YrDetails'!$F$9),"")</f>
        <v/>
      </c>
      <c r="AQ85" s="1106" t="str">
        <f>IFERROR(AP85*(1+'7a.20YrDetails'!$F$9),"")</f>
        <v/>
      </c>
      <c r="AR85" s="674"/>
      <c r="AS85" s="672"/>
      <c r="AT85" s="1732" t="str">
        <f>IF($AF85=0,0,IFERROR(($AF85+L85)/(HLOOKUP($D85,RentsUA!$B$61:$H$62,2,FALSE)),""))</f>
        <v/>
      </c>
      <c r="AU85" s="1733" t="str">
        <f>IFERROR(G85/HLOOKUP(H85,RentsUA!$B$40:$I$41,2),"")</f>
        <v/>
      </c>
      <c r="BR85" s="404" t="str">
        <f t="shared" si="40"/>
        <v/>
      </c>
      <c r="BS85" s="5" t="str">
        <f t="array" ref="BS85">IFERROR(INDEX($BR$13:$BR$412, MATCH(0, COUNTIF($BS$12:$BS84, $BR$13:$BR$412), 0)),"")</f>
        <v/>
      </c>
      <c r="BT85" s="404" t="str">
        <f t="shared" si="34"/>
        <v/>
      </c>
      <c r="BU85" s="404" t="str">
        <f t="array" ref="BU85">IFERROR(INDEX($BT$13:$BT$412, MATCH(0, COUNTIF($BU$12:$BU84, $BT$13:$BT$412), 0)),"")</f>
        <v/>
      </c>
    </row>
    <row r="86" spans="1:73" s="404" customFormat="1" ht="13.2">
      <c r="A86" s="406">
        <f t="shared" si="35"/>
        <v>74</v>
      </c>
      <c r="B86" s="472"/>
      <c r="C86" s="470"/>
      <c r="D86" s="407"/>
      <c r="E86" s="407"/>
      <c r="F86" s="408"/>
      <c r="G86" s="409"/>
      <c r="H86" s="407"/>
      <c r="I86" s="1029" t="str">
        <f>IFERROR(G86/HLOOKUP(H86,RentsUA!$B$8:$J$9,2),"")</f>
        <v/>
      </c>
      <c r="J86" s="407"/>
      <c r="K86" s="412"/>
      <c r="L86" s="672">
        <f t="shared" si="29"/>
        <v>0</v>
      </c>
      <c r="M86" s="671"/>
      <c r="N86" s="410">
        <f t="shared" si="30"/>
        <v>0</v>
      </c>
      <c r="O86" s="469" t="str">
        <f>IF($M86=0,"",IFERROR(($L86+$M86)/(HLOOKUP($D86,RentsUA!$K$12:$Q$35,19,FALSE)),""))</f>
        <v/>
      </c>
      <c r="P86" s="469" t="str">
        <f>IF($M86=0,"",IFERROR(($M86+K86+L86)/(HLOOKUP($D86,RentsUA!$K$12:$Q$35,19,FALSE)),""))</f>
        <v/>
      </c>
      <c r="Q86" s="411"/>
      <c r="R86" s="673" t="str">
        <f>IF($Q86=0,"",VLOOKUP($Q86,RentsUA!$A$12:$H$35,MATCH($D86,RentsUA!$A$12:$H$12,0),FALSE))</f>
        <v/>
      </c>
      <c r="S86" s="409"/>
      <c r="T86" s="674"/>
      <c r="U86" s="672"/>
      <c r="V86" s="673" t="str">
        <f t="shared" si="36"/>
        <v/>
      </c>
      <c r="W86" s="470"/>
      <c r="X86" s="411"/>
      <c r="Y86" s="410" t="str">
        <f>IF(X86=0,"",VLOOKUP($X86,RentsUA!$A$12:$H$35,MATCH($D86,RentsUA!$A$12:$H$12,0),FALSE))</f>
        <v/>
      </c>
      <c r="Z86" s="410" t="str">
        <f t="shared" si="31"/>
        <v/>
      </c>
      <c r="AA86" s="1297" t="str">
        <f>IF(H86="","",IF(G86/HLOOKUP($H86,RentsUA!$M$8:$T$9,2,FALSE)&gt;1,"&gt; 80%","&lt;= 80%"))</f>
        <v/>
      </c>
      <c r="AB86" s="1106"/>
      <c r="AC86" s="1106"/>
      <c r="AD86" s="622"/>
      <c r="AE86" s="412"/>
      <c r="AF86" s="807" t="str">
        <f>IF(AD86="","",IF(AD86=Lists!$U$3,M86,IF(AD86=Lists!$U$4,V86,IF(AD86=Lists!$U$5,Y86-L86,AE86))))</f>
        <v/>
      </c>
      <c r="AG86" s="410" t="str">
        <f t="shared" si="32"/>
        <v/>
      </c>
      <c r="AH86" s="469" t="str">
        <f t="shared" si="33"/>
        <v/>
      </c>
      <c r="AI86" s="469" t="str">
        <f>IF($AF86=0,0,IFERROR(($L86+$AF86)/(HLOOKUP($D86,RentsUA!$K$12:$Q$35,19,FALSE)),""))</f>
        <v/>
      </c>
      <c r="AJ86" s="469" t="str">
        <f>IF($AF86=0,0,IFERROR(($AF86+K86+L86)/(HLOOKUP($D86,RentsUA!$K$12:$Q$35,19,FALSE)),""))</f>
        <v/>
      </c>
      <c r="AK86" s="469" t="str">
        <f t="shared" si="37"/>
        <v/>
      </c>
      <c r="AL86" s="469" t="str">
        <f t="shared" si="38"/>
        <v/>
      </c>
      <c r="AM86" s="1106" t="str">
        <f t="shared" si="39"/>
        <v/>
      </c>
      <c r="AN86" s="1106" t="str">
        <f>IFERROR(AM86*(1+'7a.20YrDetails'!$F$9),"")</f>
        <v/>
      </c>
      <c r="AO86" s="1106" t="str">
        <f>IFERROR(AN86*(1+'7a.20YrDetails'!$F$9),"")</f>
        <v/>
      </c>
      <c r="AP86" s="1106" t="str">
        <f>IFERROR(AO86*(1+'7a.20YrDetails'!$F$9),"")</f>
        <v/>
      </c>
      <c r="AQ86" s="1106" t="str">
        <f>IFERROR(AP86*(1+'7a.20YrDetails'!$F$9),"")</f>
        <v/>
      </c>
      <c r="AR86" s="674"/>
      <c r="AS86" s="672"/>
      <c r="AT86" s="1732" t="str">
        <f>IF($AF86=0,0,IFERROR(($AF86+L86)/(HLOOKUP($D86,RentsUA!$B$61:$H$62,2,FALSE)),""))</f>
        <v/>
      </c>
      <c r="AU86" s="1733" t="str">
        <f>IFERROR(G86/HLOOKUP(H86,RentsUA!$B$40:$I$41,2),"")</f>
        <v/>
      </c>
      <c r="BR86" s="404" t="str">
        <f t="shared" si="40"/>
        <v/>
      </c>
      <c r="BS86" s="5" t="str">
        <f t="array" ref="BS86">IFERROR(INDEX($BR$13:$BR$412, MATCH(0, COUNTIF($BS$12:$BS85, $BR$13:$BR$412), 0)),"")</f>
        <v/>
      </c>
      <c r="BT86" s="404" t="str">
        <f t="shared" si="34"/>
        <v/>
      </c>
      <c r="BU86" s="404" t="str">
        <f t="array" ref="BU86">IFERROR(INDEX($BT$13:$BT$412, MATCH(0, COUNTIF($BU$12:$BU85, $BT$13:$BT$412), 0)),"")</f>
        <v/>
      </c>
    </row>
    <row r="87" spans="1:73" s="404" customFormat="1" ht="13.2">
      <c r="A87" s="406">
        <f t="shared" si="35"/>
        <v>75</v>
      </c>
      <c r="B87" s="472"/>
      <c r="C87" s="470"/>
      <c r="D87" s="407"/>
      <c r="E87" s="407"/>
      <c r="F87" s="408"/>
      <c r="G87" s="409"/>
      <c r="H87" s="407"/>
      <c r="I87" s="1029" t="str">
        <f>IFERROR(G87/HLOOKUP(H87,RentsUA!$B$8:$J$9,2),"")</f>
        <v/>
      </c>
      <c r="J87" s="407"/>
      <c r="K87" s="412"/>
      <c r="L87" s="672">
        <f t="shared" si="29"/>
        <v>0</v>
      </c>
      <c r="M87" s="671"/>
      <c r="N87" s="410">
        <f t="shared" si="30"/>
        <v>0</v>
      </c>
      <c r="O87" s="469" t="str">
        <f>IF($M87=0,"",IFERROR(($L87+$M87)/(HLOOKUP($D87,RentsUA!$K$12:$Q$35,19,FALSE)),""))</f>
        <v/>
      </c>
      <c r="P87" s="469" t="str">
        <f>IF($M87=0,"",IFERROR(($M87+K87+L87)/(HLOOKUP($D87,RentsUA!$K$12:$Q$35,19,FALSE)),""))</f>
        <v/>
      </c>
      <c r="Q87" s="411"/>
      <c r="R87" s="673" t="str">
        <f>IF($Q87=0,"",VLOOKUP($Q87,RentsUA!$A$12:$H$35,MATCH($D87,RentsUA!$A$12:$H$12,0),FALSE))</f>
        <v/>
      </c>
      <c r="S87" s="409"/>
      <c r="T87" s="674"/>
      <c r="U87" s="672"/>
      <c r="V87" s="673" t="str">
        <f t="shared" si="36"/>
        <v/>
      </c>
      <c r="W87" s="470"/>
      <c r="X87" s="411"/>
      <c r="Y87" s="410" t="str">
        <f>IF(X87=0,"",VLOOKUP($X87,RentsUA!$A$12:$H$35,MATCH($D87,RentsUA!$A$12:$H$12,0),FALSE))</f>
        <v/>
      </c>
      <c r="Z87" s="410" t="str">
        <f t="shared" si="31"/>
        <v/>
      </c>
      <c r="AA87" s="1297" t="str">
        <f>IF(H87="","",IF(G87/HLOOKUP($H87,RentsUA!$M$8:$T$9,2,FALSE)&gt;1,"&gt; 80%","&lt;= 80%"))</f>
        <v/>
      </c>
      <c r="AB87" s="1106"/>
      <c r="AC87" s="1106"/>
      <c r="AD87" s="622"/>
      <c r="AE87" s="412"/>
      <c r="AF87" s="807" t="str">
        <f>IF(AD87="","",IF(AD87=Lists!$U$3,M87,IF(AD87=Lists!$U$4,V87,IF(AD87=Lists!$U$5,Y87-L87,AE87))))</f>
        <v/>
      </c>
      <c r="AG87" s="410" t="str">
        <f t="shared" si="32"/>
        <v/>
      </c>
      <c r="AH87" s="469" t="str">
        <f t="shared" si="33"/>
        <v/>
      </c>
      <c r="AI87" s="469" t="str">
        <f>IF($AF87=0,0,IFERROR(($L87+$AF87)/(HLOOKUP($D87,RentsUA!$K$12:$Q$35,19,FALSE)),""))</f>
        <v/>
      </c>
      <c r="AJ87" s="469" t="str">
        <f>IF($AF87=0,0,IFERROR(($AF87+K87+L87)/(HLOOKUP($D87,RentsUA!$K$12:$Q$35,19,FALSE)),""))</f>
        <v/>
      </c>
      <c r="AK87" s="469" t="str">
        <f t="shared" si="37"/>
        <v/>
      </c>
      <c r="AL87" s="469" t="str">
        <f t="shared" si="38"/>
        <v/>
      </c>
      <c r="AM87" s="1106" t="str">
        <f t="shared" si="39"/>
        <v/>
      </c>
      <c r="AN87" s="1106" t="str">
        <f>IFERROR(AM87*(1+'7a.20YrDetails'!$F$9),"")</f>
        <v/>
      </c>
      <c r="AO87" s="1106" t="str">
        <f>IFERROR(AN87*(1+'7a.20YrDetails'!$F$9),"")</f>
        <v/>
      </c>
      <c r="AP87" s="1106" t="str">
        <f>IFERROR(AO87*(1+'7a.20YrDetails'!$F$9),"")</f>
        <v/>
      </c>
      <c r="AQ87" s="1106" t="str">
        <f>IFERROR(AP87*(1+'7a.20YrDetails'!$F$9),"")</f>
        <v/>
      </c>
      <c r="AR87" s="674"/>
      <c r="AS87" s="672"/>
      <c r="AT87" s="1732" t="str">
        <f>IF($AF87=0,0,IFERROR(($AF87+L87)/(HLOOKUP($D87,RentsUA!$B$61:$H$62,2,FALSE)),""))</f>
        <v/>
      </c>
      <c r="AU87" s="1733" t="str">
        <f>IFERROR(G87/HLOOKUP(H87,RentsUA!$B$40:$I$41,2),"")</f>
        <v/>
      </c>
      <c r="BR87" s="404" t="str">
        <f t="shared" si="40"/>
        <v/>
      </c>
      <c r="BS87" s="5" t="str">
        <f t="array" ref="BS87">IFERROR(INDEX($BR$13:$BR$412, MATCH(0, COUNTIF($BS$12:$BS86, $BR$13:$BR$412), 0)),"")</f>
        <v/>
      </c>
      <c r="BT87" s="404" t="str">
        <f t="shared" si="34"/>
        <v/>
      </c>
      <c r="BU87" s="404" t="str">
        <f t="array" ref="BU87">IFERROR(INDEX($BT$13:$BT$412, MATCH(0, COUNTIF($BU$12:$BU86, $BT$13:$BT$412), 0)),"")</f>
        <v/>
      </c>
    </row>
    <row r="88" spans="1:73" s="404" customFormat="1" ht="13.2">
      <c r="A88" s="406">
        <f t="shared" si="35"/>
        <v>76</v>
      </c>
      <c r="B88" s="472"/>
      <c r="C88" s="470"/>
      <c r="D88" s="407"/>
      <c r="E88" s="407"/>
      <c r="F88" s="408"/>
      <c r="G88" s="409"/>
      <c r="H88" s="407"/>
      <c r="I88" s="1029" t="str">
        <f>IFERROR(G88/HLOOKUP(H88,RentsUA!$B$8:$J$9,2),"")</f>
        <v/>
      </c>
      <c r="J88" s="407"/>
      <c r="K88" s="412"/>
      <c r="L88" s="672">
        <f t="shared" si="29"/>
        <v>0</v>
      </c>
      <c r="M88" s="671"/>
      <c r="N88" s="410">
        <f t="shared" si="30"/>
        <v>0</v>
      </c>
      <c r="O88" s="469" t="str">
        <f>IF($M88=0,"",IFERROR(($L88+$M88)/(HLOOKUP($D88,RentsUA!$K$12:$Q$35,19,FALSE)),""))</f>
        <v/>
      </c>
      <c r="P88" s="469" t="str">
        <f>IF($M88=0,"",IFERROR(($M88+K88+L88)/(HLOOKUP($D88,RentsUA!$K$12:$Q$35,19,FALSE)),""))</f>
        <v/>
      </c>
      <c r="Q88" s="411"/>
      <c r="R88" s="673" t="str">
        <f>IF($Q88=0,"",VLOOKUP($Q88,RentsUA!$A$12:$H$35,MATCH($D88,RentsUA!$A$12:$H$12,0),FALSE))</f>
        <v/>
      </c>
      <c r="S88" s="409"/>
      <c r="T88" s="674"/>
      <c r="U88" s="672"/>
      <c r="V88" s="673" t="str">
        <f t="shared" si="36"/>
        <v/>
      </c>
      <c r="W88" s="470"/>
      <c r="X88" s="411"/>
      <c r="Y88" s="410" t="str">
        <f>IF(X88=0,"",VLOOKUP($X88,RentsUA!$A$12:$H$35,MATCH($D88,RentsUA!$A$12:$H$12,0),FALSE))</f>
        <v/>
      </c>
      <c r="Z88" s="410" t="str">
        <f t="shared" si="31"/>
        <v/>
      </c>
      <c r="AA88" s="1297" t="str">
        <f>IF(H88="","",IF(G88/HLOOKUP($H88,RentsUA!$M$8:$T$9,2,FALSE)&gt;1,"&gt; 80%","&lt;= 80%"))</f>
        <v/>
      </c>
      <c r="AB88" s="1106"/>
      <c r="AC88" s="1106"/>
      <c r="AD88" s="622"/>
      <c r="AE88" s="412"/>
      <c r="AF88" s="807" t="str">
        <f>IF(AD88="","",IF(AD88=Lists!$U$3,M88,IF(AD88=Lists!$U$4,V88,IF(AD88=Lists!$U$5,Y88-L88,AE88))))</f>
        <v/>
      </c>
      <c r="AG88" s="410" t="str">
        <f t="shared" si="32"/>
        <v/>
      </c>
      <c r="AH88" s="469" t="str">
        <f t="shared" si="33"/>
        <v/>
      </c>
      <c r="AI88" s="469" t="str">
        <f>IF($AF88=0,0,IFERROR(($L88+$AF88)/(HLOOKUP($D88,RentsUA!$K$12:$Q$35,19,FALSE)),""))</f>
        <v/>
      </c>
      <c r="AJ88" s="469" t="str">
        <f>IF($AF88=0,0,IFERROR(($AF88+K88+L88)/(HLOOKUP($D88,RentsUA!$K$12:$Q$35,19,FALSE)),""))</f>
        <v/>
      </c>
      <c r="AK88" s="469" t="str">
        <f t="shared" si="37"/>
        <v/>
      </c>
      <c r="AL88" s="469" t="str">
        <f t="shared" si="38"/>
        <v/>
      </c>
      <c r="AM88" s="1106" t="str">
        <f t="shared" si="39"/>
        <v/>
      </c>
      <c r="AN88" s="1106" t="str">
        <f>IFERROR(AM88*(1+'7a.20YrDetails'!$F$9),"")</f>
        <v/>
      </c>
      <c r="AO88" s="1106" t="str">
        <f>IFERROR(AN88*(1+'7a.20YrDetails'!$F$9),"")</f>
        <v/>
      </c>
      <c r="AP88" s="1106" t="str">
        <f>IFERROR(AO88*(1+'7a.20YrDetails'!$F$9),"")</f>
        <v/>
      </c>
      <c r="AQ88" s="1106" t="str">
        <f>IFERROR(AP88*(1+'7a.20YrDetails'!$F$9),"")</f>
        <v/>
      </c>
      <c r="AR88" s="674"/>
      <c r="AS88" s="672"/>
      <c r="AT88" s="1732" t="str">
        <f>IF($AF88=0,0,IFERROR(($AF88+L88)/(HLOOKUP($D88,RentsUA!$B$61:$H$62,2,FALSE)),""))</f>
        <v/>
      </c>
      <c r="AU88" s="1733" t="str">
        <f>IFERROR(G88/HLOOKUP(H88,RentsUA!$B$40:$I$41,2),"")</f>
        <v/>
      </c>
      <c r="BR88" s="404" t="str">
        <f t="shared" si="40"/>
        <v/>
      </c>
      <c r="BS88" s="5" t="str">
        <f t="array" ref="BS88">IFERROR(INDEX($BR$13:$BR$412, MATCH(0, COUNTIF($BS$12:$BS87, $BR$13:$BR$412), 0)),"")</f>
        <v/>
      </c>
      <c r="BT88" s="404" t="str">
        <f t="shared" si="34"/>
        <v/>
      </c>
      <c r="BU88" s="404" t="str">
        <f t="array" ref="BU88">IFERROR(INDEX($BT$13:$BT$412, MATCH(0, COUNTIF($BU$12:$BU87, $BT$13:$BT$412), 0)),"")</f>
        <v/>
      </c>
    </row>
    <row r="89" spans="1:73" s="404" customFormat="1" ht="13.2">
      <c r="A89" s="406">
        <f t="shared" si="35"/>
        <v>77</v>
      </c>
      <c r="B89" s="472"/>
      <c r="C89" s="470"/>
      <c r="D89" s="407"/>
      <c r="E89" s="407"/>
      <c r="F89" s="408"/>
      <c r="G89" s="409"/>
      <c r="H89" s="407"/>
      <c r="I89" s="1029" t="str">
        <f>IFERROR(G89/HLOOKUP(H89,RentsUA!$B$8:$J$9,2),"")</f>
        <v/>
      </c>
      <c r="J89" s="407"/>
      <c r="K89" s="412"/>
      <c r="L89" s="672">
        <f t="shared" si="29"/>
        <v>0</v>
      </c>
      <c r="M89" s="671"/>
      <c r="N89" s="410">
        <f t="shared" si="30"/>
        <v>0</v>
      </c>
      <c r="O89" s="469" t="str">
        <f>IF($M89=0,"",IFERROR(($L89+$M89)/(HLOOKUP($D89,RentsUA!$K$12:$Q$35,19,FALSE)),""))</f>
        <v/>
      </c>
      <c r="P89" s="469" t="str">
        <f>IF($M89=0,"",IFERROR(($M89+K89+L89)/(HLOOKUP($D89,RentsUA!$K$12:$Q$35,19,FALSE)),""))</f>
        <v/>
      </c>
      <c r="Q89" s="411"/>
      <c r="R89" s="673" t="str">
        <f>IF($Q89=0,"",VLOOKUP($Q89,RentsUA!$A$12:$H$35,MATCH($D89,RentsUA!$A$12:$H$12,0),FALSE))</f>
        <v/>
      </c>
      <c r="S89" s="409"/>
      <c r="T89" s="674"/>
      <c r="U89" s="672"/>
      <c r="V89" s="673" t="str">
        <f t="shared" si="36"/>
        <v/>
      </c>
      <c r="W89" s="470"/>
      <c r="X89" s="411"/>
      <c r="Y89" s="410" t="str">
        <f>IF(X89=0,"",VLOOKUP($X89,RentsUA!$A$12:$H$35,MATCH($D89,RentsUA!$A$12:$H$12,0),FALSE))</f>
        <v/>
      </c>
      <c r="Z89" s="410" t="str">
        <f t="shared" si="31"/>
        <v/>
      </c>
      <c r="AA89" s="1297" t="str">
        <f>IF(H89="","",IF(G89/HLOOKUP($H89,RentsUA!$M$8:$T$9,2,FALSE)&gt;1,"&gt; 80%","&lt;= 80%"))</f>
        <v/>
      </c>
      <c r="AB89" s="1106"/>
      <c r="AC89" s="1106"/>
      <c r="AD89" s="622"/>
      <c r="AE89" s="412"/>
      <c r="AF89" s="807" t="str">
        <f>IF(AD89="","",IF(AD89=Lists!$U$3,M89,IF(AD89=Lists!$U$4,V89,IF(AD89=Lists!$U$5,Y89-L89,AE89))))</f>
        <v/>
      </c>
      <c r="AG89" s="410" t="str">
        <f t="shared" si="32"/>
        <v/>
      </c>
      <c r="AH89" s="469" t="str">
        <f t="shared" si="33"/>
        <v/>
      </c>
      <c r="AI89" s="469" t="str">
        <f>IF($AF89=0,0,IFERROR(($L89+$AF89)/(HLOOKUP($D89,RentsUA!$K$12:$Q$35,19,FALSE)),""))</f>
        <v/>
      </c>
      <c r="AJ89" s="469" t="str">
        <f>IF($AF89=0,0,IFERROR(($AF89+K89+L89)/(HLOOKUP($D89,RentsUA!$K$12:$Q$35,19,FALSE)),""))</f>
        <v/>
      </c>
      <c r="AK89" s="469" t="str">
        <f t="shared" si="37"/>
        <v/>
      </c>
      <c r="AL89" s="469" t="str">
        <f t="shared" si="38"/>
        <v/>
      </c>
      <c r="AM89" s="1106" t="str">
        <f t="shared" si="39"/>
        <v/>
      </c>
      <c r="AN89" s="1106" t="str">
        <f>IFERROR(AM89*(1+'7a.20YrDetails'!$F$9),"")</f>
        <v/>
      </c>
      <c r="AO89" s="1106" t="str">
        <f>IFERROR(AN89*(1+'7a.20YrDetails'!$F$9),"")</f>
        <v/>
      </c>
      <c r="AP89" s="1106" t="str">
        <f>IFERROR(AO89*(1+'7a.20YrDetails'!$F$9),"")</f>
        <v/>
      </c>
      <c r="AQ89" s="1106" t="str">
        <f>IFERROR(AP89*(1+'7a.20YrDetails'!$F$9),"")</f>
        <v/>
      </c>
      <c r="AR89" s="674"/>
      <c r="AS89" s="672"/>
      <c r="AT89" s="1732" t="str">
        <f>IF($AF89=0,0,IFERROR(($AF89+L89)/(HLOOKUP($D89,RentsUA!$B$61:$H$62,2,FALSE)),""))</f>
        <v/>
      </c>
      <c r="AU89" s="1733" t="str">
        <f>IFERROR(G89/HLOOKUP(H89,RentsUA!$B$40:$I$41,2),"")</f>
        <v/>
      </c>
      <c r="BR89" s="404" t="str">
        <f t="shared" si="40"/>
        <v/>
      </c>
      <c r="BS89" s="5" t="str">
        <f t="array" ref="BS89">IFERROR(INDEX($BR$13:$BR$412, MATCH(0, COUNTIF($BS$12:$BS88, $BR$13:$BR$412), 0)),"")</f>
        <v/>
      </c>
      <c r="BT89" s="404" t="str">
        <f t="shared" si="34"/>
        <v/>
      </c>
      <c r="BU89" s="404" t="str">
        <f t="array" ref="BU89">IFERROR(INDEX($BT$13:$BT$412, MATCH(0, COUNTIF($BU$12:$BU88, $BT$13:$BT$412), 0)),"")</f>
        <v/>
      </c>
    </row>
    <row r="90" spans="1:73" s="404" customFormat="1" ht="13.2">
      <c r="A90" s="406">
        <f t="shared" si="35"/>
        <v>78</v>
      </c>
      <c r="B90" s="472"/>
      <c r="C90" s="470"/>
      <c r="D90" s="407"/>
      <c r="E90" s="407"/>
      <c r="F90" s="408"/>
      <c r="G90" s="409"/>
      <c r="H90" s="407"/>
      <c r="I90" s="1029" t="str">
        <f>IFERROR(G90/HLOOKUP(H90,RentsUA!$B$8:$J$9,2),"")</f>
        <v/>
      </c>
      <c r="J90" s="407"/>
      <c r="K90" s="412"/>
      <c r="L90" s="672">
        <f t="shared" si="29"/>
        <v>0</v>
      </c>
      <c r="M90" s="671"/>
      <c r="N90" s="410">
        <f t="shared" si="30"/>
        <v>0</v>
      </c>
      <c r="O90" s="469" t="str">
        <f>IF($M90=0,"",IFERROR(($L90+$M90)/(HLOOKUP($D90,RentsUA!$K$12:$Q$35,19,FALSE)),""))</f>
        <v/>
      </c>
      <c r="P90" s="469" t="str">
        <f>IF($M90=0,"",IFERROR(($M90+K90+L90)/(HLOOKUP($D90,RentsUA!$K$12:$Q$35,19,FALSE)),""))</f>
        <v/>
      </c>
      <c r="Q90" s="411"/>
      <c r="R90" s="673" t="str">
        <f>IF($Q90=0,"",VLOOKUP($Q90,RentsUA!$A$12:$H$35,MATCH($D90,RentsUA!$A$12:$H$12,0),FALSE))</f>
        <v/>
      </c>
      <c r="S90" s="409"/>
      <c r="T90" s="674"/>
      <c r="U90" s="672"/>
      <c r="V90" s="673" t="str">
        <f t="shared" si="36"/>
        <v/>
      </c>
      <c r="W90" s="470"/>
      <c r="X90" s="411"/>
      <c r="Y90" s="410" t="str">
        <f>IF(X90=0,"",VLOOKUP($X90,RentsUA!$A$12:$H$35,MATCH($D90,RentsUA!$A$12:$H$12,0),FALSE))</f>
        <v/>
      </c>
      <c r="Z90" s="410" t="str">
        <f t="shared" si="31"/>
        <v/>
      </c>
      <c r="AA90" s="1297" t="str">
        <f>IF(H90="","",IF(G90/HLOOKUP($H90,RentsUA!$M$8:$T$9,2,FALSE)&gt;1,"&gt; 80%","&lt;= 80%"))</f>
        <v/>
      </c>
      <c r="AB90" s="1106"/>
      <c r="AC90" s="1106"/>
      <c r="AD90" s="622"/>
      <c r="AE90" s="412"/>
      <c r="AF90" s="807" t="str">
        <f>IF(AD90="","",IF(AD90=Lists!$U$3,M90,IF(AD90=Lists!$U$4,V90,IF(AD90=Lists!$U$5,Y90-L90,AE90))))</f>
        <v/>
      </c>
      <c r="AG90" s="410" t="str">
        <f t="shared" si="32"/>
        <v/>
      </c>
      <c r="AH90" s="469" t="str">
        <f t="shared" si="33"/>
        <v/>
      </c>
      <c r="AI90" s="469" t="str">
        <f>IF($AF90=0,0,IFERROR(($L90+$AF90)/(HLOOKUP($D90,RentsUA!$K$12:$Q$35,19,FALSE)),""))</f>
        <v/>
      </c>
      <c r="AJ90" s="469" t="str">
        <f>IF($AF90=0,0,IFERROR(($AF90+K90+L90)/(HLOOKUP($D90,RentsUA!$K$12:$Q$35,19,FALSE)),""))</f>
        <v/>
      </c>
      <c r="AK90" s="469" t="str">
        <f t="shared" si="37"/>
        <v/>
      </c>
      <c r="AL90" s="469" t="str">
        <f t="shared" si="38"/>
        <v/>
      </c>
      <c r="AM90" s="1106" t="str">
        <f t="shared" si="39"/>
        <v/>
      </c>
      <c r="AN90" s="1106" t="str">
        <f>IFERROR(AM90*(1+'7a.20YrDetails'!$F$9),"")</f>
        <v/>
      </c>
      <c r="AO90" s="1106" t="str">
        <f>IFERROR(AN90*(1+'7a.20YrDetails'!$F$9),"")</f>
        <v/>
      </c>
      <c r="AP90" s="1106" t="str">
        <f>IFERROR(AO90*(1+'7a.20YrDetails'!$F$9),"")</f>
        <v/>
      </c>
      <c r="AQ90" s="1106" t="str">
        <f>IFERROR(AP90*(1+'7a.20YrDetails'!$F$9),"")</f>
        <v/>
      </c>
      <c r="AR90" s="674"/>
      <c r="AS90" s="672"/>
      <c r="AT90" s="1732" t="str">
        <f>IF($AF90=0,0,IFERROR(($AF90+L90)/(HLOOKUP($D90,RentsUA!$B$61:$H$62,2,FALSE)),""))</f>
        <v/>
      </c>
      <c r="AU90" s="1733" t="str">
        <f>IFERROR(G90/HLOOKUP(H90,RentsUA!$B$40:$I$41,2),"")</f>
        <v/>
      </c>
      <c r="BR90" s="404" t="str">
        <f t="shared" si="40"/>
        <v/>
      </c>
      <c r="BS90" s="5" t="str">
        <f t="array" ref="BS90">IFERROR(INDEX($BR$13:$BR$412, MATCH(0, COUNTIF($BS$12:$BS89, $BR$13:$BR$412), 0)),"")</f>
        <v/>
      </c>
      <c r="BT90" s="404" t="str">
        <f t="shared" si="34"/>
        <v/>
      </c>
      <c r="BU90" s="404" t="str">
        <f t="array" ref="BU90">IFERROR(INDEX($BT$13:$BT$412, MATCH(0, COUNTIF($BU$12:$BU89, $BT$13:$BT$412), 0)),"")</f>
        <v/>
      </c>
    </row>
    <row r="91" spans="1:73" s="404" customFormat="1" ht="13.2">
      <c r="A91" s="406">
        <f t="shared" si="35"/>
        <v>79</v>
      </c>
      <c r="B91" s="472"/>
      <c r="C91" s="470"/>
      <c r="D91" s="407"/>
      <c r="E91" s="407"/>
      <c r="F91" s="408"/>
      <c r="G91" s="409"/>
      <c r="H91" s="407"/>
      <c r="I91" s="1029" t="str">
        <f>IFERROR(G91/HLOOKUP(H91,RentsUA!$B$8:$J$9,2),"")</f>
        <v/>
      </c>
      <c r="J91" s="407"/>
      <c r="K91" s="412"/>
      <c r="L91" s="672">
        <f t="shared" si="29"/>
        <v>0</v>
      </c>
      <c r="M91" s="671"/>
      <c r="N91" s="410">
        <f t="shared" si="30"/>
        <v>0</v>
      </c>
      <c r="O91" s="469" t="str">
        <f>IF($M91=0,"",IFERROR(($L91+$M91)/(HLOOKUP($D91,RentsUA!$K$12:$Q$35,19,FALSE)),""))</f>
        <v/>
      </c>
      <c r="P91" s="469" t="str">
        <f>IF($M91=0,"",IFERROR(($M91+K91+L91)/(HLOOKUP($D91,RentsUA!$K$12:$Q$35,19,FALSE)),""))</f>
        <v/>
      </c>
      <c r="Q91" s="411"/>
      <c r="R91" s="673" t="str">
        <f>IF($Q91=0,"",VLOOKUP($Q91,RentsUA!$A$12:$H$35,MATCH($D91,RentsUA!$A$12:$H$12,0),FALSE))</f>
        <v/>
      </c>
      <c r="S91" s="409"/>
      <c r="T91" s="674"/>
      <c r="U91" s="672"/>
      <c r="V91" s="673" t="str">
        <f t="shared" si="36"/>
        <v/>
      </c>
      <c r="W91" s="470"/>
      <c r="X91" s="411"/>
      <c r="Y91" s="410" t="str">
        <f>IF(X91=0,"",VLOOKUP($X91,RentsUA!$A$12:$H$35,MATCH($D91,RentsUA!$A$12:$H$12,0),FALSE))</f>
        <v/>
      </c>
      <c r="Z91" s="410" t="str">
        <f t="shared" si="31"/>
        <v/>
      </c>
      <c r="AA91" s="1297" t="str">
        <f>IF(H91="","",IF(G91/HLOOKUP($H91,RentsUA!$M$8:$T$9,2,FALSE)&gt;1,"&gt; 80%","&lt;= 80%"))</f>
        <v/>
      </c>
      <c r="AB91" s="1106"/>
      <c r="AC91" s="1106"/>
      <c r="AD91" s="622"/>
      <c r="AE91" s="412"/>
      <c r="AF91" s="807" t="str">
        <f>IF(AD91="","",IF(AD91=Lists!$U$3,M91,IF(AD91=Lists!$U$4,V91,IF(AD91=Lists!$U$5,Y91-L91,AE91))))</f>
        <v/>
      </c>
      <c r="AG91" s="410" t="str">
        <f t="shared" si="32"/>
        <v/>
      </c>
      <c r="AH91" s="469" t="str">
        <f t="shared" si="33"/>
        <v/>
      </c>
      <c r="AI91" s="469" t="str">
        <f>IF($AF91=0,0,IFERROR(($L91+$AF91)/(HLOOKUP($D91,RentsUA!$K$12:$Q$35,19,FALSE)),""))</f>
        <v/>
      </c>
      <c r="AJ91" s="469" t="str">
        <f>IF($AF91=0,0,IFERROR(($AF91+K91+L91)/(HLOOKUP($D91,RentsUA!$K$12:$Q$35,19,FALSE)),""))</f>
        <v/>
      </c>
      <c r="AK91" s="469" t="str">
        <f t="shared" si="37"/>
        <v/>
      </c>
      <c r="AL91" s="469" t="str">
        <f t="shared" si="38"/>
        <v/>
      </c>
      <c r="AM91" s="1106" t="str">
        <f t="shared" si="39"/>
        <v/>
      </c>
      <c r="AN91" s="1106" t="str">
        <f>IFERROR(AM91*(1+'7a.20YrDetails'!$F$9),"")</f>
        <v/>
      </c>
      <c r="AO91" s="1106" t="str">
        <f>IFERROR(AN91*(1+'7a.20YrDetails'!$F$9),"")</f>
        <v/>
      </c>
      <c r="AP91" s="1106" t="str">
        <f>IFERROR(AO91*(1+'7a.20YrDetails'!$F$9),"")</f>
        <v/>
      </c>
      <c r="AQ91" s="1106" t="str">
        <f>IFERROR(AP91*(1+'7a.20YrDetails'!$F$9),"")</f>
        <v/>
      </c>
      <c r="AR91" s="674"/>
      <c r="AS91" s="672"/>
      <c r="AT91" s="1732" t="str">
        <f>IF($AF91=0,0,IFERROR(($AF91+L91)/(HLOOKUP($D91,RentsUA!$B$61:$H$62,2,FALSE)),""))</f>
        <v/>
      </c>
      <c r="AU91" s="1733" t="str">
        <f>IFERROR(G91/HLOOKUP(H91,RentsUA!$B$40:$I$41,2),"")</f>
        <v/>
      </c>
      <c r="BR91" s="404" t="str">
        <f t="shared" si="40"/>
        <v/>
      </c>
      <c r="BS91" s="5" t="str">
        <f t="array" ref="BS91">IFERROR(INDEX($BR$13:$BR$412, MATCH(0, COUNTIF($BS$12:$BS90, $BR$13:$BR$412), 0)),"")</f>
        <v/>
      </c>
      <c r="BT91" s="404" t="str">
        <f t="shared" si="34"/>
        <v/>
      </c>
      <c r="BU91" s="404" t="str">
        <f t="array" ref="BU91">IFERROR(INDEX($BT$13:$BT$412, MATCH(0, COUNTIF($BU$12:$BU90, $BT$13:$BT$412), 0)),"")</f>
        <v/>
      </c>
    </row>
    <row r="92" spans="1:73" s="404" customFormat="1" ht="13.2">
      <c r="A92" s="406">
        <f t="shared" si="35"/>
        <v>80</v>
      </c>
      <c r="B92" s="472"/>
      <c r="C92" s="470"/>
      <c r="D92" s="407"/>
      <c r="E92" s="407"/>
      <c r="F92" s="408"/>
      <c r="G92" s="409"/>
      <c r="H92" s="407"/>
      <c r="I92" s="1029" t="str">
        <f>IFERROR(G92/HLOOKUP(H92,RentsUA!$B$8:$J$9,2),"")</f>
        <v/>
      </c>
      <c r="J92" s="407"/>
      <c r="K92" s="412"/>
      <c r="L92" s="672">
        <f t="shared" si="29"/>
        <v>0</v>
      </c>
      <c r="M92" s="671"/>
      <c r="N92" s="410">
        <f t="shared" si="30"/>
        <v>0</v>
      </c>
      <c r="O92" s="469" t="str">
        <f>IF($M92=0,"",IFERROR(($L92+$M92)/(HLOOKUP($D92,RentsUA!$K$12:$Q$35,19,FALSE)),""))</f>
        <v/>
      </c>
      <c r="P92" s="469" t="str">
        <f>IF($M92=0,"",IFERROR(($M92+K92+L92)/(HLOOKUP($D92,RentsUA!$K$12:$Q$35,19,FALSE)),""))</f>
        <v/>
      </c>
      <c r="Q92" s="411"/>
      <c r="R92" s="673" t="str">
        <f>IF($Q92=0,"",VLOOKUP($Q92,RentsUA!$A$12:$H$35,MATCH($D92,RentsUA!$A$12:$H$12,0),FALSE))</f>
        <v/>
      </c>
      <c r="S92" s="409"/>
      <c r="T92" s="674"/>
      <c r="U92" s="672"/>
      <c r="V92" s="673" t="str">
        <f t="shared" si="36"/>
        <v/>
      </c>
      <c r="W92" s="470"/>
      <c r="X92" s="411"/>
      <c r="Y92" s="410" t="str">
        <f>IF(X92=0,"",VLOOKUP($X92,RentsUA!$A$12:$H$35,MATCH($D92,RentsUA!$A$12:$H$12,0),FALSE))</f>
        <v/>
      </c>
      <c r="Z92" s="410" t="str">
        <f t="shared" si="31"/>
        <v/>
      </c>
      <c r="AA92" s="1297" t="str">
        <f>IF(H92="","",IF(G92/HLOOKUP($H92,RentsUA!$M$8:$T$9,2,FALSE)&gt;1,"&gt; 80%","&lt;= 80%"))</f>
        <v/>
      </c>
      <c r="AB92" s="1106"/>
      <c r="AC92" s="1106"/>
      <c r="AD92" s="622"/>
      <c r="AE92" s="412"/>
      <c r="AF92" s="807" t="str">
        <f>IF(AD92="","",IF(AD92=Lists!$U$3,M92,IF(AD92=Lists!$U$4,V92,IF(AD92=Lists!$U$5,Y92-L92,AE92))))</f>
        <v/>
      </c>
      <c r="AG92" s="410" t="str">
        <f t="shared" si="32"/>
        <v/>
      </c>
      <c r="AH92" s="469" t="str">
        <f t="shared" si="33"/>
        <v/>
      </c>
      <c r="AI92" s="469" t="str">
        <f>IF($AF92=0,0,IFERROR(($L92+$AF92)/(HLOOKUP($D92,RentsUA!$K$12:$Q$35,19,FALSE)),""))</f>
        <v/>
      </c>
      <c r="AJ92" s="469" t="str">
        <f>IF($AF92=0,0,IFERROR(($AF92+K92+L92)/(HLOOKUP($D92,RentsUA!$K$12:$Q$35,19,FALSE)),""))</f>
        <v/>
      </c>
      <c r="AK92" s="469" t="str">
        <f t="shared" si="37"/>
        <v/>
      </c>
      <c r="AL92" s="469" t="str">
        <f t="shared" si="38"/>
        <v/>
      </c>
      <c r="AM92" s="1106" t="str">
        <f t="shared" si="39"/>
        <v/>
      </c>
      <c r="AN92" s="1106" t="str">
        <f>IFERROR(AM92*(1+'7a.20YrDetails'!$F$9),"")</f>
        <v/>
      </c>
      <c r="AO92" s="1106" t="str">
        <f>IFERROR(AN92*(1+'7a.20YrDetails'!$F$9),"")</f>
        <v/>
      </c>
      <c r="AP92" s="1106" t="str">
        <f>IFERROR(AO92*(1+'7a.20YrDetails'!$F$9),"")</f>
        <v/>
      </c>
      <c r="AQ92" s="1106" t="str">
        <f>IFERROR(AP92*(1+'7a.20YrDetails'!$F$9),"")</f>
        <v/>
      </c>
      <c r="AR92" s="674"/>
      <c r="AS92" s="672"/>
      <c r="AT92" s="1732" t="str">
        <f>IF($AF92=0,0,IFERROR(($AF92+L92)/(HLOOKUP($D92,RentsUA!$B$61:$H$62,2,FALSE)),""))</f>
        <v/>
      </c>
      <c r="AU92" s="1733" t="str">
        <f>IFERROR(G92/HLOOKUP(H92,RentsUA!$B$40:$I$41,2),"")</f>
        <v/>
      </c>
      <c r="BR92" s="404" t="str">
        <f t="shared" si="40"/>
        <v/>
      </c>
      <c r="BS92" s="5" t="str">
        <f t="array" ref="BS92">IFERROR(INDEX($BR$13:$BR$412, MATCH(0, COUNTIF($BS$12:$BS91, $BR$13:$BR$412), 0)),"")</f>
        <v/>
      </c>
      <c r="BT92" s="404" t="str">
        <f t="shared" si="34"/>
        <v/>
      </c>
      <c r="BU92" s="404" t="str">
        <f t="array" ref="BU92">IFERROR(INDEX($BT$13:$BT$412, MATCH(0, COUNTIF($BU$12:$BU91, $BT$13:$BT$412), 0)),"")</f>
        <v/>
      </c>
    </row>
    <row r="93" spans="1:73" s="404" customFormat="1" ht="13.2">
      <c r="A93" s="406">
        <f t="shared" si="35"/>
        <v>81</v>
      </c>
      <c r="B93" s="472"/>
      <c r="C93" s="470"/>
      <c r="D93" s="407"/>
      <c r="E93" s="407"/>
      <c r="F93" s="408"/>
      <c r="G93" s="409"/>
      <c r="H93" s="407"/>
      <c r="I93" s="1029" t="str">
        <f>IFERROR(G93/HLOOKUP(H93,RentsUA!$B$8:$J$9,2),"")</f>
        <v/>
      </c>
      <c r="J93" s="407"/>
      <c r="K93" s="412"/>
      <c r="L93" s="672">
        <f t="shared" si="29"/>
        <v>0</v>
      </c>
      <c r="M93" s="671"/>
      <c r="N93" s="410">
        <f t="shared" si="30"/>
        <v>0</v>
      </c>
      <c r="O93" s="469" t="str">
        <f>IF($M93=0,"",IFERROR(($L93+$M93)/(HLOOKUP($D93,RentsUA!$K$12:$Q$35,19,FALSE)),""))</f>
        <v/>
      </c>
      <c r="P93" s="469" t="str">
        <f>IF($M93=0,"",IFERROR(($M93+K93+L93)/(HLOOKUP($D93,RentsUA!$K$12:$Q$35,19,FALSE)),""))</f>
        <v/>
      </c>
      <c r="Q93" s="411"/>
      <c r="R93" s="673" t="str">
        <f>IF($Q93=0,"",VLOOKUP($Q93,RentsUA!$A$12:$H$35,MATCH($D93,RentsUA!$A$12:$H$12,0),FALSE))</f>
        <v/>
      </c>
      <c r="S93" s="409"/>
      <c r="T93" s="674"/>
      <c r="U93" s="672"/>
      <c r="V93" s="673" t="str">
        <f t="shared" si="36"/>
        <v/>
      </c>
      <c r="W93" s="470"/>
      <c r="X93" s="411"/>
      <c r="Y93" s="410" t="str">
        <f>IF(X93=0,"",VLOOKUP($X93,RentsUA!$A$12:$H$35,MATCH($D93,RentsUA!$A$12:$H$12,0),FALSE))</f>
        <v/>
      </c>
      <c r="Z93" s="410" t="str">
        <f t="shared" si="31"/>
        <v/>
      </c>
      <c r="AA93" s="1297" t="str">
        <f>IF(H93="","",IF(G93/HLOOKUP($H93,RentsUA!$M$8:$T$9,2,FALSE)&gt;1,"&gt; 80%","&lt;= 80%"))</f>
        <v/>
      </c>
      <c r="AB93" s="1106"/>
      <c r="AC93" s="1106"/>
      <c r="AD93" s="622"/>
      <c r="AE93" s="412"/>
      <c r="AF93" s="807" t="str">
        <f>IF(AD93="","",IF(AD93=Lists!$U$3,M93,IF(AD93=Lists!$U$4,V93,IF(AD93=Lists!$U$5,Y93-L93,AE93))))</f>
        <v/>
      </c>
      <c r="AG93" s="410" t="str">
        <f t="shared" si="32"/>
        <v/>
      </c>
      <c r="AH93" s="469" t="str">
        <f t="shared" si="33"/>
        <v/>
      </c>
      <c r="AI93" s="469" t="str">
        <f>IF($AF93=0,0,IFERROR(($L93+$AF93)/(HLOOKUP($D93,RentsUA!$K$12:$Q$35,19,FALSE)),""))</f>
        <v/>
      </c>
      <c r="AJ93" s="469" t="str">
        <f>IF($AF93=0,0,IFERROR(($AF93+K93+L93)/(HLOOKUP($D93,RentsUA!$K$12:$Q$35,19,FALSE)),""))</f>
        <v/>
      </c>
      <c r="AK93" s="469" t="str">
        <f t="shared" si="37"/>
        <v/>
      </c>
      <c r="AL93" s="469" t="str">
        <f t="shared" si="38"/>
        <v/>
      </c>
      <c r="AM93" s="1106" t="str">
        <f t="shared" si="39"/>
        <v/>
      </c>
      <c r="AN93" s="1106" t="str">
        <f>IFERROR(AM93*(1+'7a.20YrDetails'!$F$9),"")</f>
        <v/>
      </c>
      <c r="AO93" s="1106" t="str">
        <f>IFERROR(AN93*(1+'7a.20YrDetails'!$F$9),"")</f>
        <v/>
      </c>
      <c r="AP93" s="1106" t="str">
        <f>IFERROR(AO93*(1+'7a.20YrDetails'!$F$9),"")</f>
        <v/>
      </c>
      <c r="AQ93" s="1106" t="str">
        <f>IFERROR(AP93*(1+'7a.20YrDetails'!$F$9),"")</f>
        <v/>
      </c>
      <c r="AR93" s="674"/>
      <c r="AS93" s="672"/>
      <c r="AT93" s="1732" t="str">
        <f>IF($AF93=0,0,IFERROR(($AF93+L93)/(HLOOKUP($D93,RentsUA!$B$61:$H$62,2,FALSE)),""))</f>
        <v/>
      </c>
      <c r="AU93" s="1733" t="str">
        <f>IFERROR(G93/HLOOKUP(H93,RentsUA!$B$40:$I$41,2),"")</f>
        <v/>
      </c>
      <c r="BR93" s="404" t="str">
        <f t="shared" si="40"/>
        <v/>
      </c>
      <c r="BS93" s="5" t="str">
        <f t="array" ref="BS93">IFERROR(INDEX($BR$13:$BR$412, MATCH(0, COUNTIF($BS$12:$BS92, $BR$13:$BR$412), 0)),"")</f>
        <v/>
      </c>
      <c r="BT93" s="404" t="str">
        <f t="shared" si="34"/>
        <v/>
      </c>
      <c r="BU93" s="404" t="str">
        <f t="array" ref="BU93">IFERROR(INDEX($BT$13:$BT$412, MATCH(0, COUNTIF($BU$12:$BU92, $BT$13:$BT$412), 0)),"")</f>
        <v/>
      </c>
    </row>
    <row r="94" spans="1:73" s="404" customFormat="1" ht="13.2">
      <c r="A94" s="406">
        <f t="shared" si="35"/>
        <v>82</v>
      </c>
      <c r="B94" s="472"/>
      <c r="C94" s="470"/>
      <c r="D94" s="407"/>
      <c r="E94" s="407"/>
      <c r="F94" s="408"/>
      <c r="G94" s="409"/>
      <c r="H94" s="407"/>
      <c r="I94" s="1029" t="str">
        <f>IFERROR(G94/HLOOKUP(H94,RentsUA!$B$8:$J$9,2),"")</f>
        <v/>
      </c>
      <c r="J94" s="407"/>
      <c r="K94" s="412"/>
      <c r="L94" s="672">
        <f t="shared" si="29"/>
        <v>0</v>
      </c>
      <c r="M94" s="671"/>
      <c r="N94" s="410">
        <f t="shared" si="30"/>
        <v>0</v>
      </c>
      <c r="O94" s="469" t="str">
        <f>IF($M94=0,"",IFERROR(($L94+$M94)/(HLOOKUP($D94,RentsUA!$K$12:$Q$35,19,FALSE)),""))</f>
        <v/>
      </c>
      <c r="P94" s="469" t="str">
        <f>IF($M94=0,"",IFERROR(($M94+K94+L94)/(HLOOKUP($D94,RentsUA!$K$12:$Q$35,19,FALSE)),""))</f>
        <v/>
      </c>
      <c r="Q94" s="411"/>
      <c r="R94" s="673" t="str">
        <f>IF($Q94=0,"",VLOOKUP($Q94,RentsUA!$A$12:$H$35,MATCH($D94,RentsUA!$A$12:$H$12,0),FALSE))</f>
        <v/>
      </c>
      <c r="S94" s="409"/>
      <c r="T94" s="674"/>
      <c r="U94" s="672"/>
      <c r="V94" s="673" t="str">
        <f t="shared" si="36"/>
        <v/>
      </c>
      <c r="W94" s="470"/>
      <c r="X94" s="411"/>
      <c r="Y94" s="410" t="str">
        <f>IF(X94=0,"",VLOOKUP($X94,RentsUA!$A$12:$H$35,MATCH($D94,RentsUA!$A$12:$H$12,0),FALSE))</f>
        <v/>
      </c>
      <c r="Z94" s="410" t="str">
        <f t="shared" si="31"/>
        <v/>
      </c>
      <c r="AA94" s="1297" t="str">
        <f>IF(H94="","",IF(G94/HLOOKUP($H94,RentsUA!$M$8:$T$9,2,FALSE)&gt;1,"&gt; 80%","&lt;= 80%"))</f>
        <v/>
      </c>
      <c r="AB94" s="1106"/>
      <c r="AC94" s="1106"/>
      <c r="AD94" s="622"/>
      <c r="AE94" s="412"/>
      <c r="AF94" s="807" t="str">
        <f>IF(AD94="","",IF(AD94=Lists!$U$3,M94,IF(AD94=Lists!$U$4,V94,IF(AD94=Lists!$U$5,Y94-L94,AE94))))</f>
        <v/>
      </c>
      <c r="AG94" s="410" t="str">
        <f t="shared" si="32"/>
        <v/>
      </c>
      <c r="AH94" s="469" t="str">
        <f t="shared" si="33"/>
        <v/>
      </c>
      <c r="AI94" s="469" t="str">
        <f>IF($AF94=0,0,IFERROR(($L94+$AF94)/(HLOOKUP($D94,RentsUA!$K$12:$Q$35,19,FALSE)),""))</f>
        <v/>
      </c>
      <c r="AJ94" s="469" t="str">
        <f>IF($AF94=0,0,IFERROR(($AF94+K94+L94)/(HLOOKUP($D94,RentsUA!$K$12:$Q$35,19,FALSE)),""))</f>
        <v/>
      </c>
      <c r="AK94" s="469" t="str">
        <f t="shared" si="37"/>
        <v/>
      </c>
      <c r="AL94" s="469" t="str">
        <f t="shared" si="38"/>
        <v/>
      </c>
      <c r="AM94" s="1106" t="str">
        <f t="shared" si="39"/>
        <v/>
      </c>
      <c r="AN94" s="1106" t="str">
        <f>IFERROR(AM94*(1+'7a.20YrDetails'!$F$9),"")</f>
        <v/>
      </c>
      <c r="AO94" s="1106" t="str">
        <f>IFERROR(AN94*(1+'7a.20YrDetails'!$F$9),"")</f>
        <v/>
      </c>
      <c r="AP94" s="1106" t="str">
        <f>IFERROR(AO94*(1+'7a.20YrDetails'!$F$9),"")</f>
        <v/>
      </c>
      <c r="AQ94" s="1106" t="str">
        <f>IFERROR(AP94*(1+'7a.20YrDetails'!$F$9),"")</f>
        <v/>
      </c>
      <c r="AR94" s="674"/>
      <c r="AS94" s="672"/>
      <c r="AT94" s="1732" t="str">
        <f>IF($AF94=0,0,IFERROR(($AF94+L94)/(HLOOKUP($D94,RentsUA!$B$61:$H$62,2,FALSE)),""))</f>
        <v/>
      </c>
      <c r="AU94" s="1733" t="str">
        <f>IFERROR(G94/HLOOKUP(H94,RentsUA!$B$40:$I$41,2),"")</f>
        <v/>
      </c>
      <c r="BR94" s="404" t="str">
        <f t="shared" si="40"/>
        <v/>
      </c>
      <c r="BS94" s="5" t="str">
        <f t="array" ref="BS94">IFERROR(INDEX($BR$13:$BR$412, MATCH(0, COUNTIF($BS$12:$BS93, $BR$13:$BR$412), 0)),"")</f>
        <v/>
      </c>
      <c r="BT94" s="404" t="str">
        <f t="shared" si="34"/>
        <v/>
      </c>
      <c r="BU94" s="404" t="str">
        <f t="array" ref="BU94">IFERROR(INDEX($BT$13:$BT$412, MATCH(0, COUNTIF($BU$12:$BU93, $BT$13:$BT$412), 0)),"")</f>
        <v/>
      </c>
    </row>
    <row r="95" spans="1:73" s="404" customFormat="1" ht="13.2">
      <c r="A95" s="406">
        <f t="shared" si="35"/>
        <v>83</v>
      </c>
      <c r="B95" s="472"/>
      <c r="C95" s="470"/>
      <c r="D95" s="407"/>
      <c r="E95" s="407"/>
      <c r="F95" s="408"/>
      <c r="G95" s="409"/>
      <c r="H95" s="407"/>
      <c r="I95" s="1029" t="str">
        <f>IFERROR(G95/HLOOKUP(H95,RentsUA!$B$8:$J$9,2),"")</f>
        <v/>
      </c>
      <c r="J95" s="407"/>
      <c r="K95" s="412"/>
      <c r="L95" s="672">
        <f t="shared" si="29"/>
        <v>0</v>
      </c>
      <c r="M95" s="671"/>
      <c r="N95" s="410">
        <f t="shared" si="30"/>
        <v>0</v>
      </c>
      <c r="O95" s="469" t="str">
        <f>IF($M95=0,"",IFERROR(($L95+$M95)/(HLOOKUP($D95,RentsUA!$K$12:$Q$35,19,FALSE)),""))</f>
        <v/>
      </c>
      <c r="P95" s="469" t="str">
        <f>IF($M95=0,"",IFERROR(($M95+K95+L95)/(HLOOKUP($D95,RentsUA!$K$12:$Q$35,19,FALSE)),""))</f>
        <v/>
      </c>
      <c r="Q95" s="411"/>
      <c r="R95" s="673" t="str">
        <f>IF($Q95=0,"",VLOOKUP($Q95,RentsUA!$A$12:$H$35,MATCH($D95,RentsUA!$A$12:$H$12,0),FALSE))</f>
        <v/>
      </c>
      <c r="S95" s="409"/>
      <c r="T95" s="674"/>
      <c r="U95" s="672"/>
      <c r="V95" s="673" t="str">
        <f t="shared" si="36"/>
        <v/>
      </c>
      <c r="W95" s="470"/>
      <c r="X95" s="411"/>
      <c r="Y95" s="410" t="str">
        <f>IF(X95=0,"",VLOOKUP($X95,RentsUA!$A$12:$H$35,MATCH($D95,RentsUA!$A$12:$H$12,0),FALSE))</f>
        <v/>
      </c>
      <c r="Z95" s="410" t="str">
        <f t="shared" si="31"/>
        <v/>
      </c>
      <c r="AA95" s="1297" t="str">
        <f>IF(H95="","",IF(G95/HLOOKUP($H95,RentsUA!$M$8:$T$9,2,FALSE)&gt;1,"&gt; 80%","&lt;= 80%"))</f>
        <v/>
      </c>
      <c r="AB95" s="1106"/>
      <c r="AC95" s="1106"/>
      <c r="AD95" s="622"/>
      <c r="AE95" s="412"/>
      <c r="AF95" s="807" t="str">
        <f>IF(AD95="","",IF(AD95=Lists!$U$3,M95,IF(AD95=Lists!$U$4,V95,IF(AD95=Lists!$U$5,Y95-L95,AE95))))</f>
        <v/>
      </c>
      <c r="AG95" s="410" t="str">
        <f t="shared" si="32"/>
        <v/>
      </c>
      <c r="AH95" s="469" t="str">
        <f t="shared" si="33"/>
        <v/>
      </c>
      <c r="AI95" s="469" t="str">
        <f>IF($AF95=0,0,IFERROR(($L95+$AF95)/(HLOOKUP($D95,RentsUA!$K$12:$Q$35,19,FALSE)),""))</f>
        <v/>
      </c>
      <c r="AJ95" s="469" t="str">
        <f>IF($AF95=0,0,IFERROR(($AF95+K95+L95)/(HLOOKUP($D95,RentsUA!$K$12:$Q$35,19,FALSE)),""))</f>
        <v/>
      </c>
      <c r="AK95" s="469" t="str">
        <f t="shared" si="37"/>
        <v/>
      </c>
      <c r="AL95" s="469" t="str">
        <f t="shared" si="38"/>
        <v/>
      </c>
      <c r="AM95" s="1106" t="str">
        <f t="shared" si="39"/>
        <v/>
      </c>
      <c r="AN95" s="1106" t="str">
        <f>IFERROR(AM95*(1+'7a.20YrDetails'!$F$9),"")</f>
        <v/>
      </c>
      <c r="AO95" s="1106" t="str">
        <f>IFERROR(AN95*(1+'7a.20YrDetails'!$F$9),"")</f>
        <v/>
      </c>
      <c r="AP95" s="1106" t="str">
        <f>IFERROR(AO95*(1+'7a.20YrDetails'!$F$9),"")</f>
        <v/>
      </c>
      <c r="AQ95" s="1106" t="str">
        <f>IFERROR(AP95*(1+'7a.20YrDetails'!$F$9),"")</f>
        <v/>
      </c>
      <c r="AR95" s="674"/>
      <c r="AS95" s="672"/>
      <c r="AT95" s="1732" t="str">
        <f>IF($AF95=0,0,IFERROR(($AF95+L95)/(HLOOKUP($D95,RentsUA!$B$61:$H$62,2,FALSE)),""))</f>
        <v/>
      </c>
      <c r="AU95" s="1733" t="str">
        <f>IFERROR(G95/HLOOKUP(H95,RentsUA!$B$40:$I$41,2),"")</f>
        <v/>
      </c>
      <c r="BR95" s="404" t="str">
        <f t="shared" si="40"/>
        <v/>
      </c>
      <c r="BS95" s="5" t="str">
        <f t="array" ref="BS95">IFERROR(INDEX($BR$13:$BR$412, MATCH(0, COUNTIF($BS$12:$BS94, $BR$13:$BR$412), 0)),"")</f>
        <v/>
      </c>
      <c r="BT95" s="404" t="str">
        <f t="shared" si="34"/>
        <v/>
      </c>
      <c r="BU95" s="404" t="str">
        <f t="array" ref="BU95">IFERROR(INDEX($BT$13:$BT$412, MATCH(0, COUNTIF($BU$12:$BU94, $BT$13:$BT$412), 0)),"")</f>
        <v/>
      </c>
    </row>
    <row r="96" spans="1:73" s="404" customFormat="1" ht="13.2">
      <c r="A96" s="406">
        <f t="shared" si="35"/>
        <v>84</v>
      </c>
      <c r="B96" s="472"/>
      <c r="C96" s="470"/>
      <c r="D96" s="407"/>
      <c r="E96" s="407"/>
      <c r="F96" s="408"/>
      <c r="G96" s="409"/>
      <c r="H96" s="407"/>
      <c r="I96" s="1029" t="str">
        <f>IFERROR(G96/HLOOKUP(H96,RentsUA!$B$8:$J$9,2),"")</f>
        <v/>
      </c>
      <c r="J96" s="407"/>
      <c r="K96" s="412"/>
      <c r="L96" s="672">
        <f t="shared" si="29"/>
        <v>0</v>
      </c>
      <c r="M96" s="671"/>
      <c r="N96" s="410">
        <f t="shared" si="30"/>
        <v>0</v>
      </c>
      <c r="O96" s="469" t="str">
        <f>IF($M96=0,"",IFERROR(($L96+$M96)/(HLOOKUP($D96,RentsUA!$K$12:$Q$35,19,FALSE)),""))</f>
        <v/>
      </c>
      <c r="P96" s="469" t="str">
        <f>IF($M96=0,"",IFERROR(($M96+K96+L96)/(HLOOKUP($D96,RentsUA!$K$12:$Q$35,19,FALSE)),""))</f>
        <v/>
      </c>
      <c r="Q96" s="411"/>
      <c r="R96" s="673" t="str">
        <f>IF($Q96=0,"",VLOOKUP($Q96,RentsUA!$A$12:$H$35,MATCH($D96,RentsUA!$A$12:$H$12,0),FALSE))</f>
        <v/>
      </c>
      <c r="S96" s="409"/>
      <c r="T96" s="674"/>
      <c r="U96" s="672"/>
      <c r="V96" s="673" t="str">
        <f t="shared" si="36"/>
        <v/>
      </c>
      <c r="W96" s="470"/>
      <c r="X96" s="411"/>
      <c r="Y96" s="410" t="str">
        <f>IF(X96=0,"",VLOOKUP($X96,RentsUA!$A$12:$H$35,MATCH($D96,RentsUA!$A$12:$H$12,0),FALSE))</f>
        <v/>
      </c>
      <c r="Z96" s="410" t="str">
        <f t="shared" si="31"/>
        <v/>
      </c>
      <c r="AA96" s="1297" t="str">
        <f>IF(H96="","",IF(G96/HLOOKUP($H96,RentsUA!$M$8:$T$9,2,FALSE)&gt;1,"&gt; 80%","&lt;= 80%"))</f>
        <v/>
      </c>
      <c r="AB96" s="1106"/>
      <c r="AC96" s="1106"/>
      <c r="AD96" s="622"/>
      <c r="AE96" s="412"/>
      <c r="AF96" s="807" t="str">
        <f>IF(AD96="","",IF(AD96=Lists!$U$3,M96,IF(AD96=Lists!$U$4,V96,IF(AD96=Lists!$U$5,Y96-L96,AE96))))</f>
        <v/>
      </c>
      <c r="AG96" s="410" t="str">
        <f t="shared" si="32"/>
        <v/>
      </c>
      <c r="AH96" s="469" t="str">
        <f t="shared" si="33"/>
        <v/>
      </c>
      <c r="AI96" s="469" t="str">
        <f>IF($AF96=0,0,IFERROR(($L96+$AF96)/(HLOOKUP($D96,RentsUA!$K$12:$Q$35,19,FALSE)),""))</f>
        <v/>
      </c>
      <c r="AJ96" s="469" t="str">
        <f>IF($AF96=0,0,IFERROR(($AF96+K96+L96)/(HLOOKUP($D96,RentsUA!$K$12:$Q$35,19,FALSE)),""))</f>
        <v/>
      </c>
      <c r="AK96" s="469" t="str">
        <f t="shared" si="37"/>
        <v/>
      </c>
      <c r="AL96" s="469" t="str">
        <f t="shared" si="38"/>
        <v/>
      </c>
      <c r="AM96" s="1106" t="str">
        <f t="shared" si="39"/>
        <v/>
      </c>
      <c r="AN96" s="1106" t="str">
        <f>IFERROR(AM96*(1+'7a.20YrDetails'!$F$9),"")</f>
        <v/>
      </c>
      <c r="AO96" s="1106" t="str">
        <f>IFERROR(AN96*(1+'7a.20YrDetails'!$F$9),"")</f>
        <v/>
      </c>
      <c r="AP96" s="1106" t="str">
        <f>IFERROR(AO96*(1+'7a.20YrDetails'!$F$9),"")</f>
        <v/>
      </c>
      <c r="AQ96" s="1106" t="str">
        <f>IFERROR(AP96*(1+'7a.20YrDetails'!$F$9),"")</f>
        <v/>
      </c>
      <c r="AR96" s="674"/>
      <c r="AS96" s="672"/>
      <c r="AT96" s="1732" t="str">
        <f>IF($AF96=0,0,IFERROR(($AF96+L96)/(HLOOKUP($D96,RentsUA!$B$61:$H$62,2,FALSE)),""))</f>
        <v/>
      </c>
      <c r="AU96" s="1733" t="str">
        <f>IFERROR(G96/HLOOKUP(H96,RentsUA!$B$40:$I$41,2),"")</f>
        <v/>
      </c>
      <c r="BR96" s="404" t="str">
        <f t="shared" si="40"/>
        <v/>
      </c>
      <c r="BS96" s="5" t="str">
        <f t="array" ref="BS96">IFERROR(INDEX($BR$13:$BR$412, MATCH(0, COUNTIF($BS$12:$BS95, $BR$13:$BR$412), 0)),"")</f>
        <v/>
      </c>
      <c r="BT96" s="404" t="str">
        <f t="shared" si="34"/>
        <v/>
      </c>
      <c r="BU96" s="404" t="str">
        <f t="array" ref="BU96">IFERROR(INDEX($BT$13:$BT$412, MATCH(0, COUNTIF($BU$12:$BU95, $BT$13:$BT$412), 0)),"")</f>
        <v/>
      </c>
    </row>
    <row r="97" spans="1:73" s="404" customFormat="1" ht="13.2">
      <c r="A97" s="406">
        <f t="shared" si="35"/>
        <v>85</v>
      </c>
      <c r="B97" s="472"/>
      <c r="C97" s="470"/>
      <c r="D97" s="407"/>
      <c r="E97" s="407"/>
      <c r="F97" s="408"/>
      <c r="G97" s="409"/>
      <c r="H97" s="407"/>
      <c r="I97" s="1029" t="str">
        <f>IFERROR(G97/HLOOKUP(H97,RentsUA!$B$8:$J$9,2),"")</f>
        <v/>
      </c>
      <c r="J97" s="407"/>
      <c r="K97" s="412"/>
      <c r="L97" s="672">
        <f t="shared" si="29"/>
        <v>0</v>
      </c>
      <c r="M97" s="671"/>
      <c r="N97" s="410">
        <f t="shared" si="30"/>
        <v>0</v>
      </c>
      <c r="O97" s="469" t="str">
        <f>IF($M97=0,"",IFERROR(($L97+$M97)/(HLOOKUP($D97,RentsUA!$K$12:$Q$35,19,FALSE)),""))</f>
        <v/>
      </c>
      <c r="P97" s="469" t="str">
        <f>IF($M97=0,"",IFERROR(($M97+K97+L97)/(HLOOKUP($D97,RentsUA!$K$12:$Q$35,19,FALSE)),""))</f>
        <v/>
      </c>
      <c r="Q97" s="411"/>
      <c r="R97" s="673" t="str">
        <f>IF($Q97=0,"",VLOOKUP($Q97,RentsUA!$A$12:$H$35,MATCH($D97,RentsUA!$A$12:$H$12,0),FALSE))</f>
        <v/>
      </c>
      <c r="S97" s="409"/>
      <c r="T97" s="674"/>
      <c r="U97" s="672"/>
      <c r="V97" s="673" t="str">
        <f t="shared" si="36"/>
        <v/>
      </c>
      <c r="W97" s="470"/>
      <c r="X97" s="411"/>
      <c r="Y97" s="410" t="str">
        <f>IF(X97=0,"",VLOOKUP($X97,RentsUA!$A$12:$H$35,MATCH($D97,RentsUA!$A$12:$H$12,0),FALSE))</f>
        <v/>
      </c>
      <c r="Z97" s="410" t="str">
        <f t="shared" si="31"/>
        <v/>
      </c>
      <c r="AA97" s="1297" t="str">
        <f>IF(H97="","",IF(G97/HLOOKUP($H97,RentsUA!$M$8:$T$9,2,FALSE)&gt;1,"&gt; 80%","&lt;= 80%"))</f>
        <v/>
      </c>
      <c r="AB97" s="1106"/>
      <c r="AC97" s="1106"/>
      <c r="AD97" s="622"/>
      <c r="AE97" s="412"/>
      <c r="AF97" s="807" t="str">
        <f>IF(AD97="","",IF(AD97=Lists!$U$3,M97,IF(AD97=Lists!$U$4,V97,IF(AD97=Lists!$U$5,Y97-L97,AE97))))</f>
        <v/>
      </c>
      <c r="AG97" s="410" t="str">
        <f t="shared" si="32"/>
        <v/>
      </c>
      <c r="AH97" s="469" t="str">
        <f t="shared" si="33"/>
        <v/>
      </c>
      <c r="AI97" s="469" t="str">
        <f>IF($AF97=0,0,IFERROR(($L97+$AF97)/(HLOOKUP($D97,RentsUA!$K$12:$Q$35,19,FALSE)),""))</f>
        <v/>
      </c>
      <c r="AJ97" s="469" t="str">
        <f>IF($AF97=0,0,IFERROR(($AF97+K97+L97)/(HLOOKUP($D97,RentsUA!$K$12:$Q$35,19,FALSE)),""))</f>
        <v/>
      </c>
      <c r="AK97" s="469" t="str">
        <f t="shared" si="37"/>
        <v/>
      </c>
      <c r="AL97" s="469" t="str">
        <f t="shared" si="38"/>
        <v/>
      </c>
      <c r="AM97" s="1106" t="str">
        <f t="shared" si="39"/>
        <v/>
      </c>
      <c r="AN97" s="1106" t="str">
        <f>IFERROR(AM97*(1+'7a.20YrDetails'!$F$9),"")</f>
        <v/>
      </c>
      <c r="AO97" s="1106" t="str">
        <f>IFERROR(AN97*(1+'7a.20YrDetails'!$F$9),"")</f>
        <v/>
      </c>
      <c r="AP97" s="1106" t="str">
        <f>IFERROR(AO97*(1+'7a.20YrDetails'!$F$9),"")</f>
        <v/>
      </c>
      <c r="AQ97" s="1106" t="str">
        <f>IFERROR(AP97*(1+'7a.20YrDetails'!$F$9),"")</f>
        <v/>
      </c>
      <c r="AR97" s="674"/>
      <c r="AS97" s="672"/>
      <c r="AT97" s="1732" t="str">
        <f>IF($AF97=0,0,IFERROR(($AF97+L97)/(HLOOKUP($D97,RentsUA!$B$61:$H$62,2,FALSE)),""))</f>
        <v/>
      </c>
      <c r="AU97" s="1733" t="str">
        <f>IFERROR(G97/HLOOKUP(H97,RentsUA!$B$40:$I$41,2),"")</f>
        <v/>
      </c>
      <c r="BR97" s="404" t="str">
        <f t="shared" si="40"/>
        <v/>
      </c>
      <c r="BS97" s="5" t="str">
        <f t="array" ref="BS97">IFERROR(INDEX($BR$13:$BR$412, MATCH(0, COUNTIF($BS$12:$BS96, $BR$13:$BR$412), 0)),"")</f>
        <v/>
      </c>
      <c r="BT97" s="404" t="str">
        <f t="shared" si="34"/>
        <v/>
      </c>
      <c r="BU97" s="404" t="str">
        <f t="array" ref="BU97">IFERROR(INDEX($BT$13:$BT$412, MATCH(0, COUNTIF($BU$12:$BU96, $BT$13:$BT$412), 0)),"")</f>
        <v/>
      </c>
    </row>
    <row r="98" spans="1:73" s="404" customFormat="1" ht="13.2">
      <c r="A98" s="406">
        <f t="shared" si="35"/>
        <v>86</v>
      </c>
      <c r="B98" s="472"/>
      <c r="C98" s="470"/>
      <c r="D98" s="407"/>
      <c r="E98" s="407"/>
      <c r="F98" s="408"/>
      <c r="G98" s="409"/>
      <c r="H98" s="407"/>
      <c r="I98" s="1029" t="str">
        <f>IFERROR(G98/HLOOKUP(H98,RentsUA!$B$8:$J$9,2),"")</f>
        <v/>
      </c>
      <c r="J98" s="407"/>
      <c r="K98" s="412"/>
      <c r="L98" s="672">
        <f t="shared" si="29"/>
        <v>0</v>
      </c>
      <c r="M98" s="671"/>
      <c r="N98" s="410">
        <f t="shared" si="30"/>
        <v>0</v>
      </c>
      <c r="O98" s="469" t="str">
        <f>IF($M98=0,"",IFERROR(($L98+$M98)/(HLOOKUP($D98,RentsUA!$K$12:$Q$35,19,FALSE)),""))</f>
        <v/>
      </c>
      <c r="P98" s="469" t="str">
        <f>IF($M98=0,"",IFERROR(($M98+K98+L98)/(HLOOKUP($D98,RentsUA!$K$12:$Q$35,19,FALSE)),""))</f>
        <v/>
      </c>
      <c r="Q98" s="411"/>
      <c r="R98" s="673" t="str">
        <f>IF($Q98=0,"",VLOOKUP($Q98,RentsUA!$A$12:$H$35,MATCH($D98,RentsUA!$A$12:$H$12,0),FALSE))</f>
        <v/>
      </c>
      <c r="S98" s="409"/>
      <c r="T98" s="674"/>
      <c r="U98" s="672"/>
      <c r="V98" s="673" t="str">
        <f t="shared" si="36"/>
        <v/>
      </c>
      <c r="W98" s="470"/>
      <c r="X98" s="411"/>
      <c r="Y98" s="410" t="str">
        <f>IF(X98=0,"",VLOOKUP($X98,RentsUA!$A$12:$H$35,MATCH($D98,RentsUA!$A$12:$H$12,0),FALSE))</f>
        <v/>
      </c>
      <c r="Z98" s="410" t="str">
        <f t="shared" si="31"/>
        <v/>
      </c>
      <c r="AA98" s="1297" t="str">
        <f>IF(H98="","",IF(G98/HLOOKUP($H98,RentsUA!$M$8:$T$9,2,FALSE)&gt;1,"&gt; 80%","&lt;= 80%"))</f>
        <v/>
      </c>
      <c r="AB98" s="1106"/>
      <c r="AC98" s="1106"/>
      <c r="AD98" s="622"/>
      <c r="AE98" s="412"/>
      <c r="AF98" s="807" t="str">
        <f>IF(AD98="","",IF(AD98=Lists!$U$3,M98,IF(AD98=Lists!$U$4,V98,IF(AD98=Lists!$U$5,Y98-L98,AE98))))</f>
        <v/>
      </c>
      <c r="AG98" s="410" t="str">
        <f t="shared" si="32"/>
        <v/>
      </c>
      <c r="AH98" s="469" t="str">
        <f t="shared" si="33"/>
        <v/>
      </c>
      <c r="AI98" s="469" t="str">
        <f>IF($AF98=0,0,IFERROR(($L98+$AF98)/(HLOOKUP($D98,RentsUA!$K$12:$Q$35,19,FALSE)),""))</f>
        <v/>
      </c>
      <c r="AJ98" s="469" t="str">
        <f>IF($AF98=0,0,IFERROR(($AF98+K98+L98)/(HLOOKUP($D98,RentsUA!$K$12:$Q$35,19,FALSE)),""))</f>
        <v/>
      </c>
      <c r="AK98" s="469" t="str">
        <f t="shared" si="37"/>
        <v/>
      </c>
      <c r="AL98" s="469" t="str">
        <f t="shared" si="38"/>
        <v/>
      </c>
      <c r="AM98" s="1106" t="str">
        <f t="shared" si="39"/>
        <v/>
      </c>
      <c r="AN98" s="1106" t="str">
        <f>IFERROR(AM98*(1+'7a.20YrDetails'!$F$9),"")</f>
        <v/>
      </c>
      <c r="AO98" s="1106" t="str">
        <f>IFERROR(AN98*(1+'7a.20YrDetails'!$F$9),"")</f>
        <v/>
      </c>
      <c r="AP98" s="1106" t="str">
        <f>IFERROR(AO98*(1+'7a.20YrDetails'!$F$9),"")</f>
        <v/>
      </c>
      <c r="AQ98" s="1106" t="str">
        <f>IFERROR(AP98*(1+'7a.20YrDetails'!$F$9),"")</f>
        <v/>
      </c>
      <c r="AR98" s="674"/>
      <c r="AS98" s="672"/>
      <c r="AT98" s="1732" t="str">
        <f>IF($AF98=0,0,IFERROR(($AF98+L98)/(HLOOKUP($D98,RentsUA!$B$61:$H$62,2,FALSE)),""))</f>
        <v/>
      </c>
      <c r="AU98" s="1733" t="str">
        <f>IFERROR(G98/HLOOKUP(H98,RentsUA!$B$40:$I$41,2),"")</f>
        <v/>
      </c>
      <c r="BR98" s="404" t="str">
        <f t="shared" si="40"/>
        <v/>
      </c>
      <c r="BS98" s="5" t="str">
        <f t="array" ref="BS98">IFERROR(INDEX($BR$13:$BR$412, MATCH(0, COUNTIF($BS$12:$BS97, $BR$13:$BR$412), 0)),"")</f>
        <v/>
      </c>
      <c r="BT98" s="404" t="str">
        <f t="shared" si="34"/>
        <v/>
      </c>
      <c r="BU98" s="404" t="str">
        <f t="array" ref="BU98">IFERROR(INDEX($BT$13:$BT$412, MATCH(0, COUNTIF($BU$12:$BU97, $BT$13:$BT$412), 0)),"")</f>
        <v/>
      </c>
    </row>
    <row r="99" spans="1:73" s="404" customFormat="1" ht="13.2">
      <c r="A99" s="406">
        <f t="shared" si="35"/>
        <v>87</v>
      </c>
      <c r="B99" s="472"/>
      <c r="C99" s="470"/>
      <c r="D99" s="407"/>
      <c r="E99" s="407"/>
      <c r="F99" s="408"/>
      <c r="G99" s="409"/>
      <c r="H99" s="407"/>
      <c r="I99" s="1029" t="str">
        <f>IFERROR(G99/HLOOKUP(H99,RentsUA!$B$8:$J$9,2),"")</f>
        <v/>
      </c>
      <c r="J99" s="407"/>
      <c r="K99" s="412"/>
      <c r="L99" s="672">
        <f t="shared" si="29"/>
        <v>0</v>
      </c>
      <c r="M99" s="671"/>
      <c r="N99" s="410">
        <f t="shared" si="30"/>
        <v>0</v>
      </c>
      <c r="O99" s="469" t="str">
        <f>IF($M99=0,"",IFERROR(($L99+$M99)/(HLOOKUP($D99,RentsUA!$K$12:$Q$35,19,FALSE)),""))</f>
        <v/>
      </c>
      <c r="P99" s="469" t="str">
        <f>IF($M99=0,"",IFERROR(($M99+K99+L99)/(HLOOKUP($D99,RentsUA!$K$12:$Q$35,19,FALSE)),""))</f>
        <v/>
      </c>
      <c r="Q99" s="411"/>
      <c r="R99" s="673" t="str">
        <f>IF($Q99=0,"",VLOOKUP($Q99,RentsUA!$A$12:$H$35,MATCH($D99,RentsUA!$A$12:$H$12,0),FALSE))</f>
        <v/>
      </c>
      <c r="S99" s="409"/>
      <c r="T99" s="674"/>
      <c r="U99" s="672"/>
      <c r="V99" s="673" t="str">
        <f t="shared" si="36"/>
        <v/>
      </c>
      <c r="W99" s="470"/>
      <c r="X99" s="411"/>
      <c r="Y99" s="410" t="str">
        <f>IF(X99=0,"",VLOOKUP($X99,RentsUA!$A$12:$H$35,MATCH($D99,RentsUA!$A$12:$H$12,0),FALSE))</f>
        <v/>
      </c>
      <c r="Z99" s="410" t="str">
        <f t="shared" si="31"/>
        <v/>
      </c>
      <c r="AA99" s="1297" t="str">
        <f>IF(H99="","",IF(G99/HLOOKUP($H99,RentsUA!$M$8:$T$9,2,FALSE)&gt;1,"&gt; 80%","&lt;= 80%"))</f>
        <v/>
      </c>
      <c r="AB99" s="1106"/>
      <c r="AC99" s="1106"/>
      <c r="AD99" s="622"/>
      <c r="AE99" s="412"/>
      <c r="AF99" s="807" t="str">
        <f>IF(AD99="","",IF(AD99=Lists!$U$3,M99,IF(AD99=Lists!$U$4,V99,IF(AD99=Lists!$U$5,Y99-L99,AE99))))</f>
        <v/>
      </c>
      <c r="AG99" s="410" t="str">
        <f t="shared" si="32"/>
        <v/>
      </c>
      <c r="AH99" s="469" t="str">
        <f t="shared" si="33"/>
        <v/>
      </c>
      <c r="AI99" s="469" t="str">
        <f>IF($AF99=0,0,IFERROR(($L99+$AF99)/(HLOOKUP($D99,RentsUA!$K$12:$Q$35,19,FALSE)),""))</f>
        <v/>
      </c>
      <c r="AJ99" s="469" t="str">
        <f>IF($AF99=0,0,IFERROR(($AF99+K99+L99)/(HLOOKUP($D99,RentsUA!$K$12:$Q$35,19,FALSE)),""))</f>
        <v/>
      </c>
      <c r="AK99" s="469" t="str">
        <f t="shared" si="37"/>
        <v/>
      </c>
      <c r="AL99" s="469" t="str">
        <f t="shared" si="38"/>
        <v/>
      </c>
      <c r="AM99" s="1106" t="str">
        <f t="shared" si="39"/>
        <v/>
      </c>
      <c r="AN99" s="1106" t="str">
        <f>IFERROR(AM99*(1+'7a.20YrDetails'!$F$9),"")</f>
        <v/>
      </c>
      <c r="AO99" s="1106" t="str">
        <f>IFERROR(AN99*(1+'7a.20YrDetails'!$F$9),"")</f>
        <v/>
      </c>
      <c r="AP99" s="1106" t="str">
        <f>IFERROR(AO99*(1+'7a.20YrDetails'!$F$9),"")</f>
        <v/>
      </c>
      <c r="AQ99" s="1106" t="str">
        <f>IFERROR(AP99*(1+'7a.20YrDetails'!$F$9),"")</f>
        <v/>
      </c>
      <c r="AR99" s="674"/>
      <c r="AS99" s="672"/>
      <c r="AT99" s="1732" t="str">
        <f>IF($AF99=0,0,IFERROR(($AF99+L99)/(HLOOKUP($D99,RentsUA!$B$61:$H$62,2,FALSE)),""))</f>
        <v/>
      </c>
      <c r="AU99" s="1733" t="str">
        <f>IFERROR(G99/HLOOKUP(H99,RentsUA!$B$40:$I$41,2),"")</f>
        <v/>
      </c>
      <c r="BR99" s="404" t="str">
        <f t="shared" si="40"/>
        <v/>
      </c>
      <c r="BS99" s="5" t="str">
        <f t="array" ref="BS99">IFERROR(INDEX($BR$13:$BR$412, MATCH(0, COUNTIF($BS$12:$BS98, $BR$13:$BR$412), 0)),"")</f>
        <v/>
      </c>
      <c r="BT99" s="404" t="str">
        <f t="shared" si="34"/>
        <v/>
      </c>
      <c r="BU99" s="404" t="str">
        <f t="array" ref="BU99">IFERROR(INDEX($BT$13:$BT$412, MATCH(0, COUNTIF($BU$12:$BU98, $BT$13:$BT$412), 0)),"")</f>
        <v/>
      </c>
    </row>
    <row r="100" spans="1:73" s="404" customFormat="1" ht="13.2">
      <c r="A100" s="406">
        <f t="shared" si="35"/>
        <v>88</v>
      </c>
      <c r="B100" s="472"/>
      <c r="C100" s="470"/>
      <c r="D100" s="407"/>
      <c r="E100" s="407"/>
      <c r="F100" s="408"/>
      <c r="G100" s="409"/>
      <c r="H100" s="407"/>
      <c r="I100" s="1029" t="str">
        <f>IFERROR(G100/HLOOKUP(H100,RentsUA!$B$8:$J$9,2),"")</f>
        <v/>
      </c>
      <c r="J100" s="407"/>
      <c r="K100" s="412"/>
      <c r="L100" s="672">
        <f t="shared" si="29"/>
        <v>0</v>
      </c>
      <c r="M100" s="671"/>
      <c r="N100" s="410">
        <f t="shared" si="30"/>
        <v>0</v>
      </c>
      <c r="O100" s="469" t="str">
        <f>IF($M100=0,"",IFERROR(($L100+$M100)/(HLOOKUP($D100,RentsUA!$K$12:$Q$35,19,FALSE)),""))</f>
        <v/>
      </c>
      <c r="P100" s="469" t="str">
        <f>IF($M100=0,"",IFERROR(($M100+K100+L100)/(HLOOKUP($D100,RentsUA!$K$12:$Q$35,19,FALSE)),""))</f>
        <v/>
      </c>
      <c r="Q100" s="411"/>
      <c r="R100" s="673" t="str">
        <f>IF($Q100=0,"",VLOOKUP($Q100,RentsUA!$A$12:$H$35,MATCH($D100,RentsUA!$A$12:$H$12,0),FALSE))</f>
        <v/>
      </c>
      <c r="S100" s="409"/>
      <c r="T100" s="674"/>
      <c r="U100" s="672"/>
      <c r="V100" s="673" t="str">
        <f t="shared" si="36"/>
        <v/>
      </c>
      <c r="W100" s="470"/>
      <c r="X100" s="411"/>
      <c r="Y100" s="410" t="str">
        <f>IF(X100=0,"",VLOOKUP($X100,RentsUA!$A$12:$H$35,MATCH($D100,RentsUA!$A$12:$H$12,0),FALSE))</f>
        <v/>
      </c>
      <c r="Z100" s="410" t="str">
        <f t="shared" si="31"/>
        <v/>
      </c>
      <c r="AA100" s="1297" t="str">
        <f>IF(H100="","",IF(G100/HLOOKUP($H100,RentsUA!$M$8:$T$9,2,FALSE)&gt;1,"&gt; 80%","&lt;= 80%"))</f>
        <v/>
      </c>
      <c r="AB100" s="1106"/>
      <c r="AC100" s="1106"/>
      <c r="AD100" s="622"/>
      <c r="AE100" s="412"/>
      <c r="AF100" s="807" t="str">
        <f>IF(AD100="","",IF(AD100=Lists!$U$3,M100,IF(AD100=Lists!$U$4,V100,IF(AD100=Lists!$U$5,Y100-L100,AE100))))</f>
        <v/>
      </c>
      <c r="AG100" s="410" t="str">
        <f t="shared" si="32"/>
        <v/>
      </c>
      <c r="AH100" s="469" t="str">
        <f t="shared" si="33"/>
        <v/>
      </c>
      <c r="AI100" s="469" t="str">
        <f>IF($AF100=0,0,IFERROR(($L100+$AF100)/(HLOOKUP($D100,RentsUA!$K$12:$Q$35,19,FALSE)),""))</f>
        <v/>
      </c>
      <c r="AJ100" s="469" t="str">
        <f>IF($AF100=0,0,IFERROR(($AF100+K100+L100)/(HLOOKUP($D100,RentsUA!$K$12:$Q$35,19,FALSE)),""))</f>
        <v/>
      </c>
      <c r="AK100" s="469" t="str">
        <f t="shared" si="37"/>
        <v/>
      </c>
      <c r="AL100" s="469" t="str">
        <f t="shared" si="38"/>
        <v/>
      </c>
      <c r="AM100" s="1106" t="str">
        <f t="shared" si="39"/>
        <v/>
      </c>
      <c r="AN100" s="1106" t="str">
        <f>IFERROR(AM100*(1+'7a.20YrDetails'!$F$9),"")</f>
        <v/>
      </c>
      <c r="AO100" s="1106" t="str">
        <f>IFERROR(AN100*(1+'7a.20YrDetails'!$F$9),"")</f>
        <v/>
      </c>
      <c r="AP100" s="1106" t="str">
        <f>IFERROR(AO100*(1+'7a.20YrDetails'!$F$9),"")</f>
        <v/>
      </c>
      <c r="AQ100" s="1106" t="str">
        <f>IFERROR(AP100*(1+'7a.20YrDetails'!$F$9),"")</f>
        <v/>
      </c>
      <c r="AR100" s="674"/>
      <c r="AS100" s="672"/>
      <c r="AT100" s="1732" t="str">
        <f>IF($AF100=0,0,IFERROR(($AF100+L100)/(HLOOKUP($D100,RentsUA!$B$61:$H$62,2,FALSE)),""))</f>
        <v/>
      </c>
      <c r="AU100" s="1733" t="str">
        <f>IFERROR(G100/HLOOKUP(H100,RentsUA!$B$40:$I$41,2),"")</f>
        <v/>
      </c>
      <c r="BR100" s="404" t="str">
        <f t="shared" si="40"/>
        <v/>
      </c>
      <c r="BS100" s="5" t="str">
        <f t="array" ref="BS100">IFERROR(INDEX($BR$13:$BR$412, MATCH(0, COUNTIF($BS$12:$BS99, $BR$13:$BR$412), 0)),"")</f>
        <v/>
      </c>
      <c r="BT100" s="404" t="str">
        <f t="shared" si="34"/>
        <v/>
      </c>
      <c r="BU100" s="404" t="str">
        <f t="array" ref="BU100">IFERROR(INDEX($BT$13:$BT$412, MATCH(0, COUNTIF($BU$12:$BU99, $BT$13:$BT$412), 0)),"")</f>
        <v/>
      </c>
    </row>
    <row r="101" spans="1:73" s="404" customFormat="1" ht="13.2">
      <c r="A101" s="406">
        <f t="shared" si="35"/>
        <v>89</v>
      </c>
      <c r="B101" s="472"/>
      <c r="C101" s="470"/>
      <c r="D101" s="407"/>
      <c r="E101" s="407"/>
      <c r="F101" s="408"/>
      <c r="G101" s="409"/>
      <c r="H101" s="407"/>
      <c r="I101" s="1029" t="str">
        <f>IFERROR(G101/HLOOKUP(H101,RentsUA!$B$8:$J$9,2),"")</f>
        <v/>
      </c>
      <c r="J101" s="407"/>
      <c r="K101" s="412"/>
      <c r="L101" s="672">
        <f t="shared" si="29"/>
        <v>0</v>
      </c>
      <c r="M101" s="671"/>
      <c r="N101" s="410">
        <f t="shared" si="30"/>
        <v>0</v>
      </c>
      <c r="O101" s="469" t="str">
        <f>IF($M101=0,"",IFERROR(($L101+$M101)/(HLOOKUP($D101,RentsUA!$K$12:$Q$35,19,FALSE)),""))</f>
        <v/>
      </c>
      <c r="P101" s="469" t="str">
        <f>IF($M101=0,"",IFERROR(($M101+K101+L101)/(HLOOKUP($D101,RentsUA!$K$12:$Q$35,19,FALSE)),""))</f>
        <v/>
      </c>
      <c r="Q101" s="411"/>
      <c r="R101" s="673" t="str">
        <f>IF($Q101=0,"",VLOOKUP($Q101,RentsUA!$A$12:$H$35,MATCH($D101,RentsUA!$A$12:$H$12,0),FALSE))</f>
        <v/>
      </c>
      <c r="S101" s="409"/>
      <c r="T101" s="674"/>
      <c r="U101" s="672"/>
      <c r="V101" s="673" t="str">
        <f t="shared" si="36"/>
        <v/>
      </c>
      <c r="W101" s="470"/>
      <c r="X101" s="411"/>
      <c r="Y101" s="410" t="str">
        <f>IF(X101=0,"",VLOOKUP($X101,RentsUA!$A$12:$H$35,MATCH($D101,RentsUA!$A$12:$H$12,0),FALSE))</f>
        <v/>
      </c>
      <c r="Z101" s="410" t="str">
        <f t="shared" si="31"/>
        <v/>
      </c>
      <c r="AA101" s="1297" t="str">
        <f>IF(H101="","",IF(G101/HLOOKUP($H101,RentsUA!$M$8:$T$9,2,FALSE)&gt;1,"&gt; 80%","&lt;= 80%"))</f>
        <v/>
      </c>
      <c r="AB101" s="1106"/>
      <c r="AC101" s="1106"/>
      <c r="AD101" s="622"/>
      <c r="AE101" s="412"/>
      <c r="AF101" s="807" t="str">
        <f>IF(AD101="","",IF(AD101=Lists!$U$3,M101,IF(AD101=Lists!$U$4,V101,IF(AD101=Lists!$U$5,Y101-L101,AE101))))</f>
        <v/>
      </c>
      <c r="AG101" s="410" t="str">
        <f t="shared" si="32"/>
        <v/>
      </c>
      <c r="AH101" s="469" t="str">
        <f t="shared" si="33"/>
        <v/>
      </c>
      <c r="AI101" s="469" t="str">
        <f>IF($AF101=0,0,IFERROR(($L101+$AF101)/(HLOOKUP($D101,RentsUA!$K$12:$Q$35,19,FALSE)),""))</f>
        <v/>
      </c>
      <c r="AJ101" s="469" t="str">
        <f>IF($AF101=0,0,IFERROR(($AF101+K101+L101)/(HLOOKUP($D101,RentsUA!$K$12:$Q$35,19,FALSE)),""))</f>
        <v/>
      </c>
      <c r="AK101" s="469" t="str">
        <f t="shared" si="37"/>
        <v/>
      </c>
      <c r="AL101" s="469" t="str">
        <f t="shared" si="38"/>
        <v/>
      </c>
      <c r="AM101" s="1106" t="str">
        <f t="shared" si="39"/>
        <v/>
      </c>
      <c r="AN101" s="1106" t="str">
        <f>IFERROR(AM101*(1+'7a.20YrDetails'!$F$9),"")</f>
        <v/>
      </c>
      <c r="AO101" s="1106" t="str">
        <f>IFERROR(AN101*(1+'7a.20YrDetails'!$F$9),"")</f>
        <v/>
      </c>
      <c r="AP101" s="1106" t="str">
        <f>IFERROR(AO101*(1+'7a.20YrDetails'!$F$9),"")</f>
        <v/>
      </c>
      <c r="AQ101" s="1106" t="str">
        <f>IFERROR(AP101*(1+'7a.20YrDetails'!$F$9),"")</f>
        <v/>
      </c>
      <c r="AR101" s="674"/>
      <c r="AS101" s="672"/>
      <c r="AT101" s="1732" t="str">
        <f>IF($AF101=0,0,IFERROR(($AF101+L101)/(HLOOKUP($D101,RentsUA!$B$61:$H$62,2,FALSE)),""))</f>
        <v/>
      </c>
      <c r="AU101" s="1733" t="str">
        <f>IFERROR(G101/HLOOKUP(H101,RentsUA!$B$40:$I$41,2),"")</f>
        <v/>
      </c>
      <c r="BR101" s="404" t="str">
        <f t="shared" si="40"/>
        <v/>
      </c>
      <c r="BS101" s="5" t="str">
        <f t="array" ref="BS101">IFERROR(INDEX($BR$13:$BR$412, MATCH(0, COUNTIF($BS$12:$BS100, $BR$13:$BR$412), 0)),"")</f>
        <v/>
      </c>
      <c r="BT101" s="404" t="str">
        <f t="shared" si="34"/>
        <v/>
      </c>
      <c r="BU101" s="404" t="str">
        <f t="array" ref="BU101">IFERROR(INDEX($BT$13:$BT$412, MATCH(0, COUNTIF($BU$12:$BU100, $BT$13:$BT$412), 0)),"")</f>
        <v/>
      </c>
    </row>
    <row r="102" spans="1:73" s="404" customFormat="1" ht="13.2">
      <c r="A102" s="406">
        <f t="shared" si="35"/>
        <v>90</v>
      </c>
      <c r="B102" s="472"/>
      <c r="C102" s="470"/>
      <c r="D102" s="407"/>
      <c r="E102" s="407"/>
      <c r="F102" s="408"/>
      <c r="G102" s="409"/>
      <c r="H102" s="407"/>
      <c r="I102" s="1029" t="str">
        <f>IFERROR(G102/HLOOKUP(H102,RentsUA!$B$8:$J$9,2),"")</f>
        <v/>
      </c>
      <c r="J102" s="407"/>
      <c r="K102" s="412"/>
      <c r="L102" s="672">
        <f t="shared" si="29"/>
        <v>0</v>
      </c>
      <c r="M102" s="671"/>
      <c r="N102" s="410">
        <f t="shared" si="30"/>
        <v>0</v>
      </c>
      <c r="O102" s="469" t="str">
        <f>IF($M102=0,"",IFERROR(($L102+$M102)/(HLOOKUP($D102,RentsUA!$K$12:$Q$35,19,FALSE)),""))</f>
        <v/>
      </c>
      <c r="P102" s="469" t="str">
        <f>IF($M102=0,"",IFERROR(($M102+K102+L102)/(HLOOKUP($D102,RentsUA!$K$12:$Q$35,19,FALSE)),""))</f>
        <v/>
      </c>
      <c r="Q102" s="411"/>
      <c r="R102" s="673" t="str">
        <f>IF($Q102=0,"",VLOOKUP($Q102,RentsUA!$A$12:$H$35,MATCH($D102,RentsUA!$A$12:$H$12,0),FALSE))</f>
        <v/>
      </c>
      <c r="S102" s="409"/>
      <c r="T102" s="674"/>
      <c r="U102" s="672"/>
      <c r="V102" s="673" t="str">
        <f t="shared" si="36"/>
        <v/>
      </c>
      <c r="W102" s="470"/>
      <c r="X102" s="411"/>
      <c r="Y102" s="410" t="str">
        <f>IF(X102=0,"",VLOOKUP($X102,RentsUA!$A$12:$H$35,MATCH($D102,RentsUA!$A$12:$H$12,0),FALSE))</f>
        <v/>
      </c>
      <c r="Z102" s="410" t="str">
        <f t="shared" si="31"/>
        <v/>
      </c>
      <c r="AA102" s="1297" t="str">
        <f>IF(H102="","",IF(G102/HLOOKUP($H102,RentsUA!$M$8:$T$9,2,FALSE)&gt;1,"&gt; 80%","&lt;= 80%"))</f>
        <v/>
      </c>
      <c r="AB102" s="1106"/>
      <c r="AC102" s="1106"/>
      <c r="AD102" s="622"/>
      <c r="AE102" s="412"/>
      <c r="AF102" s="807" t="str">
        <f>IF(AD102="","",IF(AD102=Lists!$U$3,M102,IF(AD102=Lists!$U$4,V102,IF(AD102=Lists!$U$5,Y102-L102,AE102))))</f>
        <v/>
      </c>
      <c r="AG102" s="410" t="str">
        <f t="shared" si="32"/>
        <v/>
      </c>
      <c r="AH102" s="469" t="str">
        <f t="shared" si="33"/>
        <v/>
      </c>
      <c r="AI102" s="469" t="str">
        <f>IF($AF102=0,0,IFERROR(($L102+$AF102)/(HLOOKUP($D102,RentsUA!$K$12:$Q$35,19,FALSE)),""))</f>
        <v/>
      </c>
      <c r="AJ102" s="469" t="str">
        <f>IF($AF102=0,0,IFERROR(($AF102+K102+L102)/(HLOOKUP($D102,RentsUA!$K$12:$Q$35,19,FALSE)),""))</f>
        <v/>
      </c>
      <c r="AK102" s="469" t="str">
        <f t="shared" si="37"/>
        <v/>
      </c>
      <c r="AL102" s="469" t="str">
        <f t="shared" si="38"/>
        <v/>
      </c>
      <c r="AM102" s="1106" t="str">
        <f t="shared" si="39"/>
        <v/>
      </c>
      <c r="AN102" s="1106" t="str">
        <f>IFERROR(AM102*(1+'7a.20YrDetails'!$F$9),"")</f>
        <v/>
      </c>
      <c r="AO102" s="1106" t="str">
        <f>IFERROR(AN102*(1+'7a.20YrDetails'!$F$9),"")</f>
        <v/>
      </c>
      <c r="AP102" s="1106" t="str">
        <f>IFERROR(AO102*(1+'7a.20YrDetails'!$F$9),"")</f>
        <v/>
      </c>
      <c r="AQ102" s="1106" t="str">
        <f>IFERROR(AP102*(1+'7a.20YrDetails'!$F$9),"")</f>
        <v/>
      </c>
      <c r="AR102" s="674"/>
      <c r="AS102" s="672"/>
      <c r="AT102" s="1732" t="str">
        <f>IF($AF102=0,0,IFERROR(($AF102+L102)/(HLOOKUP($D102,RentsUA!$B$61:$H$62,2,FALSE)),""))</f>
        <v/>
      </c>
      <c r="AU102" s="1733" t="str">
        <f>IFERROR(G102/HLOOKUP(H102,RentsUA!$B$40:$I$41,2),"")</f>
        <v/>
      </c>
      <c r="BR102" s="404" t="str">
        <f t="shared" si="40"/>
        <v/>
      </c>
      <c r="BS102" s="5" t="str">
        <f t="array" ref="BS102">IFERROR(INDEX($BR$13:$BR$412, MATCH(0, COUNTIF($BS$12:$BS101, $BR$13:$BR$412), 0)),"")</f>
        <v/>
      </c>
      <c r="BT102" s="404" t="str">
        <f t="shared" si="34"/>
        <v/>
      </c>
      <c r="BU102" s="404" t="str">
        <f t="array" ref="BU102">IFERROR(INDEX($BT$13:$BT$412, MATCH(0, COUNTIF($BU$12:$BU101, $BT$13:$BT$412), 0)),"")</f>
        <v/>
      </c>
    </row>
    <row r="103" spans="1:73" s="404" customFormat="1" ht="13.2">
      <c r="A103" s="406">
        <f t="shared" si="35"/>
        <v>91</v>
      </c>
      <c r="B103" s="472"/>
      <c r="C103" s="470"/>
      <c r="D103" s="407"/>
      <c r="E103" s="407"/>
      <c r="F103" s="408"/>
      <c r="G103" s="409"/>
      <c r="H103" s="407"/>
      <c r="I103" s="1029" t="str">
        <f>IFERROR(G103/HLOOKUP(H103,RentsUA!$B$8:$J$9,2),"")</f>
        <v/>
      </c>
      <c r="J103" s="407"/>
      <c r="K103" s="412"/>
      <c r="L103" s="672">
        <f t="shared" si="29"/>
        <v>0</v>
      </c>
      <c r="M103" s="671"/>
      <c r="N103" s="410">
        <f t="shared" si="30"/>
        <v>0</v>
      </c>
      <c r="O103" s="469" t="str">
        <f>IF($M103=0,"",IFERROR(($L103+$M103)/(HLOOKUP($D103,RentsUA!$K$12:$Q$35,19,FALSE)),""))</f>
        <v/>
      </c>
      <c r="P103" s="469" t="str">
        <f>IF($M103=0,"",IFERROR(($M103+K103+L103)/(HLOOKUP($D103,RentsUA!$K$12:$Q$35,19,FALSE)),""))</f>
        <v/>
      </c>
      <c r="Q103" s="411"/>
      <c r="R103" s="673" t="str">
        <f>IF($Q103=0,"",VLOOKUP($Q103,RentsUA!$A$12:$H$35,MATCH($D103,RentsUA!$A$12:$H$12,0),FALSE))</f>
        <v/>
      </c>
      <c r="S103" s="409"/>
      <c r="T103" s="674"/>
      <c r="U103" s="672"/>
      <c r="V103" s="673" t="str">
        <f t="shared" si="36"/>
        <v/>
      </c>
      <c r="W103" s="470"/>
      <c r="X103" s="411"/>
      <c r="Y103" s="410" t="str">
        <f>IF(X103=0,"",VLOOKUP($X103,RentsUA!$A$12:$H$35,MATCH($D103,RentsUA!$A$12:$H$12,0),FALSE))</f>
        <v/>
      </c>
      <c r="Z103" s="410" t="str">
        <f t="shared" si="31"/>
        <v/>
      </c>
      <c r="AA103" s="1297" t="str">
        <f>IF(H103="","",IF(G103/HLOOKUP($H103,RentsUA!$M$8:$T$9,2,FALSE)&gt;1,"&gt; 80%","&lt;= 80%"))</f>
        <v/>
      </c>
      <c r="AB103" s="1106"/>
      <c r="AC103" s="1106"/>
      <c r="AD103" s="622"/>
      <c r="AE103" s="412"/>
      <c r="AF103" s="807" t="str">
        <f>IF(AD103="","",IF(AD103=Lists!$U$3,M103,IF(AD103=Lists!$U$4,V103,IF(AD103=Lists!$U$5,Y103-L103,AE103))))</f>
        <v/>
      </c>
      <c r="AG103" s="410" t="str">
        <f t="shared" si="32"/>
        <v/>
      </c>
      <c r="AH103" s="469" t="str">
        <f t="shared" si="33"/>
        <v/>
      </c>
      <c r="AI103" s="469" t="str">
        <f>IF($AF103=0,0,IFERROR(($L103+$AF103)/(HLOOKUP($D103,RentsUA!$K$12:$Q$35,19,FALSE)),""))</f>
        <v/>
      </c>
      <c r="AJ103" s="469" t="str">
        <f>IF($AF103=0,0,IFERROR(($AF103+K103+L103)/(HLOOKUP($D103,RentsUA!$K$12:$Q$35,19,FALSE)),""))</f>
        <v/>
      </c>
      <c r="AK103" s="469" t="str">
        <f t="shared" si="37"/>
        <v/>
      </c>
      <c r="AL103" s="469" t="str">
        <f t="shared" si="38"/>
        <v/>
      </c>
      <c r="AM103" s="1106" t="str">
        <f t="shared" si="39"/>
        <v/>
      </c>
      <c r="AN103" s="1106" t="str">
        <f>IFERROR(AM103*(1+'7a.20YrDetails'!$F$9),"")</f>
        <v/>
      </c>
      <c r="AO103" s="1106" t="str">
        <f>IFERROR(AN103*(1+'7a.20YrDetails'!$F$9),"")</f>
        <v/>
      </c>
      <c r="AP103" s="1106" t="str">
        <f>IFERROR(AO103*(1+'7a.20YrDetails'!$F$9),"")</f>
        <v/>
      </c>
      <c r="AQ103" s="1106" t="str">
        <f>IFERROR(AP103*(1+'7a.20YrDetails'!$F$9),"")</f>
        <v/>
      </c>
      <c r="AR103" s="674"/>
      <c r="AS103" s="672"/>
      <c r="AT103" s="1732" t="str">
        <f>IF($AF103=0,0,IFERROR(($AF103+L103)/(HLOOKUP($D103,RentsUA!$B$61:$H$62,2,FALSE)),""))</f>
        <v/>
      </c>
      <c r="AU103" s="1733" t="str">
        <f>IFERROR(G103/HLOOKUP(H103,RentsUA!$B$40:$I$41,2),"")</f>
        <v/>
      </c>
      <c r="BR103" s="404" t="str">
        <f t="shared" si="40"/>
        <v/>
      </c>
      <c r="BS103" s="5" t="str">
        <f t="array" ref="BS103">IFERROR(INDEX($BR$13:$BR$412, MATCH(0, COUNTIF($BS$12:$BS102, $BR$13:$BR$412), 0)),"")</f>
        <v/>
      </c>
      <c r="BT103" s="404" t="str">
        <f t="shared" si="34"/>
        <v/>
      </c>
      <c r="BU103" s="404" t="str">
        <f t="array" ref="BU103">IFERROR(INDEX($BT$13:$BT$412, MATCH(0, COUNTIF($BU$12:$BU102, $BT$13:$BT$412), 0)),"")</f>
        <v/>
      </c>
    </row>
    <row r="104" spans="1:73" s="404" customFormat="1" ht="13.2">
      <c r="A104" s="406">
        <f t="shared" si="35"/>
        <v>92</v>
      </c>
      <c r="B104" s="472"/>
      <c r="C104" s="470"/>
      <c r="D104" s="407"/>
      <c r="E104" s="407"/>
      <c r="F104" s="408"/>
      <c r="G104" s="409"/>
      <c r="H104" s="407"/>
      <c r="I104" s="1029" t="str">
        <f>IFERROR(G104/HLOOKUP(H104,RentsUA!$B$8:$J$9,2),"")</f>
        <v/>
      </c>
      <c r="J104" s="407"/>
      <c r="K104" s="412"/>
      <c r="L104" s="672">
        <f t="shared" si="29"/>
        <v>0</v>
      </c>
      <c r="M104" s="671"/>
      <c r="N104" s="410">
        <f t="shared" si="30"/>
        <v>0</v>
      </c>
      <c r="O104" s="469" t="str">
        <f>IF($M104=0,"",IFERROR(($L104+$M104)/(HLOOKUP($D104,RentsUA!$K$12:$Q$35,19,FALSE)),""))</f>
        <v/>
      </c>
      <c r="P104" s="469" t="str">
        <f>IF($M104=0,"",IFERROR(($M104+K104+L104)/(HLOOKUP($D104,RentsUA!$K$12:$Q$35,19,FALSE)),""))</f>
        <v/>
      </c>
      <c r="Q104" s="411"/>
      <c r="R104" s="673" t="str">
        <f>IF($Q104=0,"",VLOOKUP($Q104,RentsUA!$A$12:$H$35,MATCH($D104,RentsUA!$A$12:$H$12,0),FALSE))</f>
        <v/>
      </c>
      <c r="S104" s="409"/>
      <c r="T104" s="674"/>
      <c r="U104" s="672"/>
      <c r="V104" s="673" t="str">
        <f t="shared" si="36"/>
        <v/>
      </c>
      <c r="W104" s="470"/>
      <c r="X104" s="411"/>
      <c r="Y104" s="410" t="str">
        <f>IF(X104=0,"",VLOOKUP($X104,RentsUA!$A$12:$H$35,MATCH($D104,RentsUA!$A$12:$H$12,0),FALSE))</f>
        <v/>
      </c>
      <c r="Z104" s="410" t="str">
        <f t="shared" si="31"/>
        <v/>
      </c>
      <c r="AA104" s="1297" t="str">
        <f>IF(H104="","",IF(G104/HLOOKUP($H104,RentsUA!$M$8:$T$9,2,FALSE)&gt;1,"&gt; 80%","&lt;= 80%"))</f>
        <v/>
      </c>
      <c r="AB104" s="1106"/>
      <c r="AC104" s="1106"/>
      <c r="AD104" s="622"/>
      <c r="AE104" s="412"/>
      <c r="AF104" s="807" t="str">
        <f>IF(AD104="","",IF(AD104=Lists!$U$3,M104,IF(AD104=Lists!$U$4,V104,IF(AD104=Lists!$U$5,Y104-L104,AE104))))</f>
        <v/>
      </c>
      <c r="AG104" s="410" t="str">
        <f t="shared" si="32"/>
        <v/>
      </c>
      <c r="AH104" s="469" t="str">
        <f t="shared" si="33"/>
        <v/>
      </c>
      <c r="AI104" s="469" t="str">
        <f>IF($AF104=0,0,IFERROR(($L104+$AF104)/(HLOOKUP($D104,RentsUA!$K$12:$Q$35,19,FALSE)),""))</f>
        <v/>
      </c>
      <c r="AJ104" s="469" t="str">
        <f>IF($AF104=0,0,IFERROR(($AF104+K104+L104)/(HLOOKUP($D104,RentsUA!$K$12:$Q$35,19,FALSE)),""))</f>
        <v/>
      </c>
      <c r="AK104" s="469" t="str">
        <f t="shared" si="37"/>
        <v/>
      </c>
      <c r="AL104" s="469" t="str">
        <f t="shared" si="38"/>
        <v/>
      </c>
      <c r="AM104" s="1106" t="str">
        <f t="shared" si="39"/>
        <v/>
      </c>
      <c r="AN104" s="1106" t="str">
        <f>IFERROR(AM104*(1+'7a.20YrDetails'!$F$9),"")</f>
        <v/>
      </c>
      <c r="AO104" s="1106" t="str">
        <f>IFERROR(AN104*(1+'7a.20YrDetails'!$F$9),"")</f>
        <v/>
      </c>
      <c r="AP104" s="1106" t="str">
        <f>IFERROR(AO104*(1+'7a.20YrDetails'!$F$9),"")</f>
        <v/>
      </c>
      <c r="AQ104" s="1106" t="str">
        <f>IFERROR(AP104*(1+'7a.20YrDetails'!$F$9),"")</f>
        <v/>
      </c>
      <c r="AR104" s="674"/>
      <c r="AS104" s="672"/>
      <c r="AT104" s="1732" t="str">
        <f>IF($AF104=0,0,IFERROR(($AF104+L104)/(HLOOKUP($D104,RentsUA!$B$61:$H$62,2,FALSE)),""))</f>
        <v/>
      </c>
      <c r="AU104" s="1733" t="str">
        <f>IFERROR(G104/HLOOKUP(H104,RentsUA!$B$40:$I$41,2),"")</f>
        <v/>
      </c>
      <c r="BR104" s="404" t="str">
        <f t="shared" si="40"/>
        <v/>
      </c>
      <c r="BS104" s="5" t="str">
        <f t="array" ref="BS104">IFERROR(INDEX($BR$13:$BR$412, MATCH(0, COUNTIF($BS$12:$BS103, $BR$13:$BR$412), 0)),"")</f>
        <v/>
      </c>
      <c r="BT104" s="404" t="str">
        <f t="shared" si="34"/>
        <v/>
      </c>
      <c r="BU104" s="404" t="str">
        <f t="array" ref="BU104">IFERROR(INDEX($BT$13:$BT$412, MATCH(0, COUNTIF($BU$12:$BU103, $BT$13:$BT$412), 0)),"")</f>
        <v/>
      </c>
    </row>
    <row r="105" spans="1:73" s="404" customFormat="1" ht="13.2">
      <c r="A105" s="406">
        <f t="shared" si="35"/>
        <v>93</v>
      </c>
      <c r="B105" s="472"/>
      <c r="C105" s="470"/>
      <c r="D105" s="407"/>
      <c r="E105" s="407"/>
      <c r="F105" s="408"/>
      <c r="G105" s="409"/>
      <c r="H105" s="407"/>
      <c r="I105" s="1029" t="str">
        <f>IFERROR(G105/HLOOKUP(H105,RentsUA!$B$8:$J$9,2),"")</f>
        <v/>
      </c>
      <c r="J105" s="407"/>
      <c r="K105" s="412"/>
      <c r="L105" s="672">
        <f t="shared" si="29"/>
        <v>0</v>
      </c>
      <c r="M105" s="671"/>
      <c r="N105" s="410">
        <f t="shared" si="30"/>
        <v>0</v>
      </c>
      <c r="O105" s="469" t="str">
        <f>IF($M105=0,"",IFERROR(($L105+$M105)/(HLOOKUP($D105,RentsUA!$K$12:$Q$35,19,FALSE)),""))</f>
        <v/>
      </c>
      <c r="P105" s="469" t="str">
        <f>IF($M105=0,"",IFERROR(($M105+K105+L105)/(HLOOKUP($D105,RentsUA!$K$12:$Q$35,19,FALSE)),""))</f>
        <v/>
      </c>
      <c r="Q105" s="411"/>
      <c r="R105" s="673" t="str">
        <f>IF($Q105=0,"",VLOOKUP($Q105,RentsUA!$A$12:$H$35,MATCH($D105,RentsUA!$A$12:$H$12,0),FALSE))</f>
        <v/>
      </c>
      <c r="S105" s="409"/>
      <c r="T105" s="674"/>
      <c r="U105" s="672"/>
      <c r="V105" s="673" t="str">
        <f t="shared" si="36"/>
        <v/>
      </c>
      <c r="W105" s="470"/>
      <c r="X105" s="411"/>
      <c r="Y105" s="410" t="str">
        <f>IF(X105=0,"",VLOOKUP($X105,RentsUA!$A$12:$H$35,MATCH($D105,RentsUA!$A$12:$H$12,0),FALSE))</f>
        <v/>
      </c>
      <c r="Z105" s="410" t="str">
        <f t="shared" si="31"/>
        <v/>
      </c>
      <c r="AA105" s="1297" t="str">
        <f>IF(H105="","",IF(G105/HLOOKUP($H105,RentsUA!$M$8:$T$9,2,FALSE)&gt;1,"&gt; 80%","&lt;= 80%"))</f>
        <v/>
      </c>
      <c r="AB105" s="1106"/>
      <c r="AC105" s="1106"/>
      <c r="AD105" s="622"/>
      <c r="AE105" s="412"/>
      <c r="AF105" s="807" t="str">
        <f>IF(AD105="","",IF(AD105=Lists!$U$3,M105,IF(AD105=Lists!$U$4,V105,IF(AD105=Lists!$U$5,Y105-L105,AE105))))</f>
        <v/>
      </c>
      <c r="AG105" s="410" t="str">
        <f t="shared" si="32"/>
        <v/>
      </c>
      <c r="AH105" s="469" t="str">
        <f t="shared" si="33"/>
        <v/>
      </c>
      <c r="AI105" s="469" t="str">
        <f>IF($AF105=0,0,IFERROR(($L105+$AF105)/(HLOOKUP($D105,RentsUA!$K$12:$Q$35,19,FALSE)),""))</f>
        <v/>
      </c>
      <c r="AJ105" s="469" t="str">
        <f>IF($AF105=0,0,IFERROR(($AF105+K105+L105)/(HLOOKUP($D105,RentsUA!$K$12:$Q$35,19,FALSE)),""))</f>
        <v/>
      </c>
      <c r="AK105" s="469" t="str">
        <f t="shared" si="37"/>
        <v/>
      </c>
      <c r="AL105" s="469" t="str">
        <f t="shared" si="38"/>
        <v/>
      </c>
      <c r="AM105" s="1106" t="str">
        <f t="shared" si="39"/>
        <v/>
      </c>
      <c r="AN105" s="1106" t="str">
        <f>IFERROR(AM105*(1+'7a.20YrDetails'!$F$9),"")</f>
        <v/>
      </c>
      <c r="AO105" s="1106" t="str">
        <f>IFERROR(AN105*(1+'7a.20YrDetails'!$F$9),"")</f>
        <v/>
      </c>
      <c r="AP105" s="1106" t="str">
        <f>IFERROR(AO105*(1+'7a.20YrDetails'!$F$9),"")</f>
        <v/>
      </c>
      <c r="AQ105" s="1106" t="str">
        <f>IFERROR(AP105*(1+'7a.20YrDetails'!$F$9),"")</f>
        <v/>
      </c>
      <c r="AR105" s="674"/>
      <c r="AS105" s="672"/>
      <c r="AT105" s="1732" t="str">
        <f>IF($AF105=0,0,IFERROR(($AF105+L105)/(HLOOKUP($D105,RentsUA!$B$61:$H$62,2,FALSE)),""))</f>
        <v/>
      </c>
      <c r="AU105" s="1733" t="str">
        <f>IFERROR(G105/HLOOKUP(H105,RentsUA!$B$40:$I$41,2),"")</f>
        <v/>
      </c>
      <c r="BR105" s="404" t="str">
        <f t="shared" si="40"/>
        <v/>
      </c>
      <c r="BS105" s="5" t="str">
        <f t="array" ref="BS105">IFERROR(INDEX($BR$13:$BR$412, MATCH(0, COUNTIF($BS$12:$BS104, $BR$13:$BR$412), 0)),"")</f>
        <v/>
      </c>
      <c r="BT105" s="404" t="str">
        <f t="shared" si="34"/>
        <v/>
      </c>
      <c r="BU105" s="404" t="str">
        <f t="array" ref="BU105">IFERROR(INDEX($BT$13:$BT$412, MATCH(0, COUNTIF($BU$12:$BU104, $BT$13:$BT$412), 0)),"")</f>
        <v/>
      </c>
    </row>
    <row r="106" spans="1:73" s="404" customFormat="1" ht="13.2">
      <c r="A106" s="406">
        <f t="shared" si="35"/>
        <v>94</v>
      </c>
      <c r="B106" s="472"/>
      <c r="C106" s="470"/>
      <c r="D106" s="407"/>
      <c r="E106" s="407"/>
      <c r="F106" s="408"/>
      <c r="G106" s="409"/>
      <c r="H106" s="407"/>
      <c r="I106" s="1029" t="str">
        <f>IFERROR(G106/HLOOKUP(H106,RentsUA!$B$8:$J$9,2),"")</f>
        <v/>
      </c>
      <c r="J106" s="407"/>
      <c r="K106" s="412"/>
      <c r="L106" s="672">
        <f t="shared" si="29"/>
        <v>0</v>
      </c>
      <c r="M106" s="671"/>
      <c r="N106" s="410">
        <f t="shared" si="30"/>
        <v>0</v>
      </c>
      <c r="O106" s="469" t="str">
        <f>IF($M106=0,"",IFERROR(($L106+$M106)/(HLOOKUP($D106,RentsUA!$K$12:$Q$35,19,FALSE)),""))</f>
        <v/>
      </c>
      <c r="P106" s="469" t="str">
        <f>IF($M106=0,"",IFERROR(($M106+K106+L106)/(HLOOKUP($D106,RentsUA!$K$12:$Q$35,19,FALSE)),""))</f>
        <v/>
      </c>
      <c r="Q106" s="411"/>
      <c r="R106" s="673" t="str">
        <f>IF($Q106=0,"",VLOOKUP($Q106,RentsUA!$A$12:$H$35,MATCH($D106,RentsUA!$A$12:$H$12,0),FALSE))</f>
        <v/>
      </c>
      <c r="S106" s="409"/>
      <c r="T106" s="674"/>
      <c r="U106" s="672"/>
      <c r="V106" s="673" t="str">
        <f t="shared" si="36"/>
        <v/>
      </c>
      <c r="W106" s="470"/>
      <c r="X106" s="411"/>
      <c r="Y106" s="410" t="str">
        <f>IF(X106=0,"",VLOOKUP($X106,RentsUA!$A$12:$H$35,MATCH($D106,RentsUA!$A$12:$H$12,0),FALSE))</f>
        <v/>
      </c>
      <c r="Z106" s="410" t="str">
        <f t="shared" si="31"/>
        <v/>
      </c>
      <c r="AA106" s="1297" t="str">
        <f>IF(H106="","",IF(G106/HLOOKUP($H106,RentsUA!$M$8:$T$9,2,FALSE)&gt;1,"&gt; 80%","&lt;= 80%"))</f>
        <v/>
      </c>
      <c r="AB106" s="1106"/>
      <c r="AC106" s="1106"/>
      <c r="AD106" s="622"/>
      <c r="AE106" s="412"/>
      <c r="AF106" s="807" t="str">
        <f>IF(AD106="","",IF(AD106=Lists!$U$3,M106,IF(AD106=Lists!$U$4,V106,IF(AD106=Lists!$U$5,Y106-L106,AE106))))</f>
        <v/>
      </c>
      <c r="AG106" s="410" t="str">
        <f t="shared" si="32"/>
        <v/>
      </c>
      <c r="AH106" s="469" t="str">
        <f t="shared" si="33"/>
        <v/>
      </c>
      <c r="AI106" s="469" t="str">
        <f>IF($AF106=0,0,IFERROR(($L106+$AF106)/(HLOOKUP($D106,RentsUA!$K$12:$Q$35,19,FALSE)),""))</f>
        <v/>
      </c>
      <c r="AJ106" s="469" t="str">
        <f>IF($AF106=0,0,IFERROR(($AF106+K106+L106)/(HLOOKUP($D106,RentsUA!$K$12:$Q$35,19,FALSE)),""))</f>
        <v/>
      </c>
      <c r="AK106" s="469" t="str">
        <f t="shared" si="37"/>
        <v/>
      </c>
      <c r="AL106" s="469" t="str">
        <f t="shared" si="38"/>
        <v/>
      </c>
      <c r="AM106" s="1106" t="str">
        <f t="shared" si="39"/>
        <v/>
      </c>
      <c r="AN106" s="1106" t="str">
        <f>IFERROR(AM106*(1+'7a.20YrDetails'!$F$9),"")</f>
        <v/>
      </c>
      <c r="AO106" s="1106" t="str">
        <f>IFERROR(AN106*(1+'7a.20YrDetails'!$F$9),"")</f>
        <v/>
      </c>
      <c r="AP106" s="1106" t="str">
        <f>IFERROR(AO106*(1+'7a.20YrDetails'!$F$9),"")</f>
        <v/>
      </c>
      <c r="AQ106" s="1106" t="str">
        <f>IFERROR(AP106*(1+'7a.20YrDetails'!$F$9),"")</f>
        <v/>
      </c>
      <c r="AR106" s="674"/>
      <c r="AS106" s="672"/>
      <c r="AT106" s="1732" t="str">
        <f>IF($AF106=0,0,IFERROR(($AF106+L106)/(HLOOKUP($D106,RentsUA!$B$61:$H$62,2,FALSE)),""))</f>
        <v/>
      </c>
      <c r="AU106" s="1733" t="str">
        <f>IFERROR(G106/HLOOKUP(H106,RentsUA!$B$40:$I$41,2),"")</f>
        <v/>
      </c>
      <c r="BR106" s="404" t="str">
        <f t="shared" si="40"/>
        <v/>
      </c>
      <c r="BS106" s="5" t="str">
        <f t="array" ref="BS106">IFERROR(INDEX($BR$13:$BR$412, MATCH(0, COUNTIF($BS$12:$BS105, $BR$13:$BR$412), 0)),"")</f>
        <v/>
      </c>
      <c r="BT106" s="404" t="str">
        <f t="shared" si="34"/>
        <v/>
      </c>
      <c r="BU106" s="404" t="str">
        <f t="array" ref="BU106">IFERROR(INDEX($BT$13:$BT$412, MATCH(0, COUNTIF($BU$12:$BU105, $BT$13:$BT$412), 0)),"")</f>
        <v/>
      </c>
    </row>
    <row r="107" spans="1:73" s="404" customFormat="1" ht="13.2">
      <c r="A107" s="406">
        <f t="shared" si="35"/>
        <v>95</v>
      </c>
      <c r="B107" s="472"/>
      <c r="C107" s="470"/>
      <c r="D107" s="407"/>
      <c r="E107" s="407"/>
      <c r="F107" s="408"/>
      <c r="G107" s="409"/>
      <c r="H107" s="407"/>
      <c r="I107" s="1029" t="str">
        <f>IFERROR(G107/HLOOKUP(H107,RentsUA!$B$8:$J$9,2),"")</f>
        <v/>
      </c>
      <c r="J107" s="407"/>
      <c r="K107" s="412"/>
      <c r="L107" s="672">
        <f t="shared" si="29"/>
        <v>0</v>
      </c>
      <c r="M107" s="671"/>
      <c r="N107" s="410">
        <f t="shared" si="30"/>
        <v>0</v>
      </c>
      <c r="O107" s="469" t="str">
        <f>IF($M107=0,"",IFERROR(($L107+$M107)/(HLOOKUP($D107,RentsUA!$K$12:$Q$35,19,FALSE)),""))</f>
        <v/>
      </c>
      <c r="P107" s="469" t="str">
        <f>IF($M107=0,"",IFERROR(($M107+K107+L107)/(HLOOKUP($D107,RentsUA!$K$12:$Q$35,19,FALSE)),""))</f>
        <v/>
      </c>
      <c r="Q107" s="411"/>
      <c r="R107" s="673" t="str">
        <f>IF($Q107=0,"",VLOOKUP($Q107,RentsUA!$A$12:$H$35,MATCH($D107,RentsUA!$A$12:$H$12,0),FALSE))</f>
        <v/>
      </c>
      <c r="S107" s="409"/>
      <c r="T107" s="674"/>
      <c r="U107" s="672"/>
      <c r="V107" s="673" t="str">
        <f t="shared" si="36"/>
        <v/>
      </c>
      <c r="W107" s="470"/>
      <c r="X107" s="411"/>
      <c r="Y107" s="410" t="str">
        <f>IF(X107=0,"",VLOOKUP($X107,RentsUA!$A$12:$H$35,MATCH($D107,RentsUA!$A$12:$H$12,0),FALSE))</f>
        <v/>
      </c>
      <c r="Z107" s="410" t="str">
        <f t="shared" si="31"/>
        <v/>
      </c>
      <c r="AA107" s="1297" t="str">
        <f>IF(H107="","",IF(G107/HLOOKUP($H107,RentsUA!$M$8:$T$9,2,FALSE)&gt;1,"&gt; 80%","&lt;= 80%"))</f>
        <v/>
      </c>
      <c r="AB107" s="1106"/>
      <c r="AC107" s="1106"/>
      <c r="AD107" s="622"/>
      <c r="AE107" s="412"/>
      <c r="AF107" s="807" t="str">
        <f>IF(AD107="","",IF(AD107=Lists!$U$3,M107,IF(AD107=Lists!$U$4,V107,IF(AD107=Lists!$U$5,Y107-L107,AE107))))</f>
        <v/>
      </c>
      <c r="AG107" s="410" t="str">
        <f t="shared" si="32"/>
        <v/>
      </c>
      <c r="AH107" s="469" t="str">
        <f t="shared" si="33"/>
        <v/>
      </c>
      <c r="AI107" s="469" t="str">
        <f>IF($AF107=0,0,IFERROR(($L107+$AF107)/(HLOOKUP($D107,RentsUA!$K$12:$Q$35,19,FALSE)),""))</f>
        <v/>
      </c>
      <c r="AJ107" s="469" t="str">
        <f>IF($AF107=0,0,IFERROR(($AF107+K107+L107)/(HLOOKUP($D107,RentsUA!$K$12:$Q$35,19,FALSE)),""))</f>
        <v/>
      </c>
      <c r="AK107" s="469" t="str">
        <f t="shared" si="37"/>
        <v/>
      </c>
      <c r="AL107" s="469" t="str">
        <f t="shared" si="38"/>
        <v/>
      </c>
      <c r="AM107" s="1106" t="str">
        <f t="shared" si="39"/>
        <v/>
      </c>
      <c r="AN107" s="1106" t="str">
        <f>IFERROR(AM107*(1+'7a.20YrDetails'!$F$9),"")</f>
        <v/>
      </c>
      <c r="AO107" s="1106" t="str">
        <f>IFERROR(AN107*(1+'7a.20YrDetails'!$F$9),"")</f>
        <v/>
      </c>
      <c r="AP107" s="1106" t="str">
        <f>IFERROR(AO107*(1+'7a.20YrDetails'!$F$9),"")</f>
        <v/>
      </c>
      <c r="AQ107" s="1106" t="str">
        <f>IFERROR(AP107*(1+'7a.20YrDetails'!$F$9),"")</f>
        <v/>
      </c>
      <c r="AR107" s="674"/>
      <c r="AS107" s="672"/>
      <c r="AT107" s="1732" t="str">
        <f>IF($AF107=0,0,IFERROR(($AF107+L107)/(HLOOKUP($D107,RentsUA!$B$61:$H$62,2,FALSE)),""))</f>
        <v/>
      </c>
      <c r="AU107" s="1733" t="str">
        <f>IFERROR(G107/HLOOKUP(H107,RentsUA!$B$40:$I$41,2),"")</f>
        <v/>
      </c>
      <c r="BR107" s="404" t="str">
        <f t="shared" si="40"/>
        <v/>
      </c>
      <c r="BS107" s="5" t="str">
        <f t="array" ref="BS107">IFERROR(INDEX($BR$13:$BR$412, MATCH(0, COUNTIF($BS$12:$BS106, $BR$13:$BR$412), 0)),"")</f>
        <v/>
      </c>
      <c r="BT107" s="404" t="str">
        <f t="shared" si="34"/>
        <v/>
      </c>
      <c r="BU107" s="404" t="str">
        <f t="array" ref="BU107">IFERROR(INDEX($BT$13:$BT$412, MATCH(0, COUNTIF($BU$12:$BU106, $BT$13:$BT$412), 0)),"")</f>
        <v/>
      </c>
    </row>
    <row r="108" spans="1:73" s="404" customFormat="1" ht="13.2">
      <c r="A108" s="406">
        <f t="shared" si="35"/>
        <v>96</v>
      </c>
      <c r="B108" s="472"/>
      <c r="C108" s="470"/>
      <c r="D108" s="407"/>
      <c r="E108" s="407"/>
      <c r="F108" s="408"/>
      <c r="G108" s="409"/>
      <c r="H108" s="407"/>
      <c r="I108" s="1029" t="str">
        <f>IFERROR(G108/HLOOKUP(H108,RentsUA!$B$8:$J$9,2),"")</f>
        <v/>
      </c>
      <c r="J108" s="407"/>
      <c r="K108" s="412"/>
      <c r="L108" s="672">
        <f t="shared" si="29"/>
        <v>0</v>
      </c>
      <c r="M108" s="671"/>
      <c r="N108" s="410">
        <f t="shared" si="30"/>
        <v>0</v>
      </c>
      <c r="O108" s="469" t="str">
        <f>IF($M108=0,"",IFERROR(($L108+$M108)/(HLOOKUP($D108,RentsUA!$K$12:$Q$35,19,FALSE)),""))</f>
        <v/>
      </c>
      <c r="P108" s="469" t="str">
        <f>IF($M108=0,"",IFERROR(($M108+K108+L108)/(HLOOKUP($D108,RentsUA!$K$12:$Q$35,19,FALSE)),""))</f>
        <v/>
      </c>
      <c r="Q108" s="411"/>
      <c r="R108" s="673" t="str">
        <f>IF($Q108=0,"",VLOOKUP($Q108,RentsUA!$A$12:$H$35,MATCH($D108,RentsUA!$A$12:$H$12,0),FALSE))</f>
        <v/>
      </c>
      <c r="S108" s="409"/>
      <c r="T108" s="674"/>
      <c r="U108" s="672"/>
      <c r="V108" s="673" t="str">
        <f t="shared" si="36"/>
        <v/>
      </c>
      <c r="W108" s="470"/>
      <c r="X108" s="411"/>
      <c r="Y108" s="410" t="str">
        <f>IF(X108=0,"",VLOOKUP($X108,RentsUA!$A$12:$H$35,MATCH($D108,RentsUA!$A$12:$H$12,0),FALSE))</f>
        <v/>
      </c>
      <c r="Z108" s="410" t="str">
        <f t="shared" si="31"/>
        <v/>
      </c>
      <c r="AA108" s="1297" t="str">
        <f>IF(H108="","",IF(G108/HLOOKUP($H108,RentsUA!$M$8:$T$9,2,FALSE)&gt;1,"&gt; 80%","&lt;= 80%"))</f>
        <v/>
      </c>
      <c r="AB108" s="1106"/>
      <c r="AC108" s="1106"/>
      <c r="AD108" s="622"/>
      <c r="AE108" s="412"/>
      <c r="AF108" s="807" t="str">
        <f>IF(AD108="","",IF(AD108=Lists!$U$3,M108,IF(AD108=Lists!$U$4,V108,IF(AD108=Lists!$U$5,Y108-L108,AE108))))</f>
        <v/>
      </c>
      <c r="AG108" s="410" t="str">
        <f t="shared" si="32"/>
        <v/>
      </c>
      <c r="AH108" s="469" t="str">
        <f t="shared" si="33"/>
        <v/>
      </c>
      <c r="AI108" s="469" t="str">
        <f>IF($AF108=0,0,IFERROR(($L108+$AF108)/(HLOOKUP($D108,RentsUA!$K$12:$Q$35,19,FALSE)),""))</f>
        <v/>
      </c>
      <c r="AJ108" s="469" t="str">
        <f>IF($AF108=0,0,IFERROR(($AF108+K108+L108)/(HLOOKUP($D108,RentsUA!$K$12:$Q$35,19,FALSE)),""))</f>
        <v/>
      </c>
      <c r="AK108" s="469" t="str">
        <f t="shared" si="37"/>
        <v/>
      </c>
      <c r="AL108" s="469" t="str">
        <f t="shared" si="38"/>
        <v/>
      </c>
      <c r="AM108" s="1106" t="str">
        <f t="shared" si="39"/>
        <v/>
      </c>
      <c r="AN108" s="1106" t="str">
        <f>IFERROR(AM108*(1+'7a.20YrDetails'!$F$9),"")</f>
        <v/>
      </c>
      <c r="AO108" s="1106" t="str">
        <f>IFERROR(AN108*(1+'7a.20YrDetails'!$F$9),"")</f>
        <v/>
      </c>
      <c r="AP108" s="1106" t="str">
        <f>IFERROR(AO108*(1+'7a.20YrDetails'!$F$9),"")</f>
        <v/>
      </c>
      <c r="AQ108" s="1106" t="str">
        <f>IFERROR(AP108*(1+'7a.20YrDetails'!$F$9),"")</f>
        <v/>
      </c>
      <c r="AR108" s="674"/>
      <c r="AS108" s="672"/>
      <c r="AT108" s="1732" t="str">
        <f>IF($AF108=0,0,IFERROR(($AF108+L108)/(HLOOKUP($D108,RentsUA!$B$61:$H$62,2,FALSE)),""))</f>
        <v/>
      </c>
      <c r="AU108" s="1733" t="str">
        <f>IFERROR(G108/HLOOKUP(H108,RentsUA!$B$40:$I$41,2),"")</f>
        <v/>
      </c>
      <c r="BR108" s="404" t="str">
        <f t="shared" si="40"/>
        <v/>
      </c>
      <c r="BS108" s="5" t="str">
        <f t="array" ref="BS108">IFERROR(INDEX($BR$13:$BR$412, MATCH(0, COUNTIF($BS$12:$BS107, $BR$13:$BR$412), 0)),"")</f>
        <v/>
      </c>
      <c r="BT108" s="404" t="str">
        <f t="shared" si="34"/>
        <v/>
      </c>
      <c r="BU108" s="404" t="str">
        <f t="array" ref="BU108">IFERROR(INDEX($BT$13:$BT$412, MATCH(0, COUNTIF($BU$12:$BU107, $BT$13:$BT$412), 0)),"")</f>
        <v/>
      </c>
    </row>
    <row r="109" spans="1:73" s="404" customFormat="1" ht="13.2">
      <c r="A109" s="406">
        <f t="shared" si="35"/>
        <v>97</v>
      </c>
      <c r="B109" s="472"/>
      <c r="C109" s="470"/>
      <c r="D109" s="407"/>
      <c r="E109" s="407"/>
      <c r="F109" s="408"/>
      <c r="G109" s="409"/>
      <c r="H109" s="407"/>
      <c r="I109" s="1029" t="str">
        <f>IFERROR(G109/HLOOKUP(H109,RentsUA!$B$8:$J$9,2),"")</f>
        <v/>
      </c>
      <c r="J109" s="407"/>
      <c r="K109" s="412"/>
      <c r="L109" s="672">
        <f t="shared" si="29"/>
        <v>0</v>
      </c>
      <c r="M109" s="671"/>
      <c r="N109" s="410">
        <f t="shared" si="30"/>
        <v>0</v>
      </c>
      <c r="O109" s="469" t="str">
        <f>IF($M109=0,"",IFERROR(($L109+$M109)/(HLOOKUP($D109,RentsUA!$K$12:$Q$35,19,FALSE)),""))</f>
        <v/>
      </c>
      <c r="P109" s="469" t="str">
        <f>IF($M109=0,"",IFERROR(($M109+K109+L109)/(HLOOKUP($D109,RentsUA!$K$12:$Q$35,19,FALSE)),""))</f>
        <v/>
      </c>
      <c r="Q109" s="411"/>
      <c r="R109" s="673" t="str">
        <f>IF($Q109=0,"",VLOOKUP($Q109,RentsUA!$A$12:$H$35,MATCH($D109,RentsUA!$A$12:$H$12,0),FALSE))</f>
        <v/>
      </c>
      <c r="S109" s="409"/>
      <c r="T109" s="674"/>
      <c r="U109" s="672"/>
      <c r="V109" s="673" t="str">
        <f t="shared" si="36"/>
        <v/>
      </c>
      <c r="W109" s="470"/>
      <c r="X109" s="411"/>
      <c r="Y109" s="410" t="str">
        <f>IF(X109=0,"",VLOOKUP($X109,RentsUA!$A$12:$H$35,MATCH($D109,RentsUA!$A$12:$H$12,0),FALSE))</f>
        <v/>
      </c>
      <c r="Z109" s="410" t="str">
        <f t="shared" si="31"/>
        <v/>
      </c>
      <c r="AA109" s="1297" t="str">
        <f>IF(H109="","",IF(G109/HLOOKUP($H109,RentsUA!$M$8:$T$9,2,FALSE)&gt;1,"&gt; 80%","&lt;= 80%"))</f>
        <v/>
      </c>
      <c r="AB109" s="1106"/>
      <c r="AC109" s="1106"/>
      <c r="AD109" s="622"/>
      <c r="AE109" s="412"/>
      <c r="AF109" s="807" t="str">
        <f>IF(AD109="","",IF(AD109=Lists!$U$3,M109,IF(AD109=Lists!$U$4,V109,IF(AD109=Lists!$U$5,Y109-L109,AE109))))</f>
        <v/>
      </c>
      <c r="AG109" s="410" t="str">
        <f t="shared" si="32"/>
        <v/>
      </c>
      <c r="AH109" s="469" t="str">
        <f t="shared" si="33"/>
        <v/>
      </c>
      <c r="AI109" s="469" t="str">
        <f>IF($AF109=0,0,IFERROR(($L109+$AF109)/(HLOOKUP($D109,RentsUA!$K$12:$Q$35,19,FALSE)),""))</f>
        <v/>
      </c>
      <c r="AJ109" s="469" t="str">
        <f>IF($AF109=0,0,IFERROR(($AF109+K109+L109)/(HLOOKUP($D109,RentsUA!$K$12:$Q$35,19,FALSE)),""))</f>
        <v/>
      </c>
      <c r="AK109" s="469" t="str">
        <f t="shared" si="37"/>
        <v/>
      </c>
      <c r="AL109" s="469" t="str">
        <f t="shared" si="38"/>
        <v/>
      </c>
      <c r="AM109" s="1106" t="str">
        <f t="shared" si="39"/>
        <v/>
      </c>
      <c r="AN109" s="1106" t="str">
        <f>IFERROR(AM109*(1+'7a.20YrDetails'!$F$9),"")</f>
        <v/>
      </c>
      <c r="AO109" s="1106" t="str">
        <f>IFERROR(AN109*(1+'7a.20YrDetails'!$F$9),"")</f>
        <v/>
      </c>
      <c r="AP109" s="1106" t="str">
        <f>IFERROR(AO109*(1+'7a.20YrDetails'!$F$9),"")</f>
        <v/>
      </c>
      <c r="AQ109" s="1106" t="str">
        <f>IFERROR(AP109*(1+'7a.20YrDetails'!$F$9),"")</f>
        <v/>
      </c>
      <c r="AR109" s="674"/>
      <c r="AS109" s="672"/>
      <c r="AT109" s="1732" t="str">
        <f>IF($AF109=0,0,IFERROR(($AF109+L109)/(HLOOKUP($D109,RentsUA!$B$61:$H$62,2,FALSE)),""))</f>
        <v/>
      </c>
      <c r="AU109" s="1733" t="str">
        <f>IFERROR(G109/HLOOKUP(H109,RentsUA!$B$40:$I$41,2),"")</f>
        <v/>
      </c>
      <c r="BR109" s="404" t="str">
        <f t="shared" si="40"/>
        <v/>
      </c>
      <c r="BS109" s="5" t="str">
        <f t="array" ref="BS109">IFERROR(INDEX($BR$13:$BR$412, MATCH(0, COUNTIF($BS$12:$BS108, $BR$13:$BR$412), 0)),"")</f>
        <v/>
      </c>
      <c r="BT109" s="404" t="str">
        <f t="shared" si="34"/>
        <v/>
      </c>
      <c r="BU109" s="404" t="str">
        <f t="array" ref="BU109">IFERROR(INDEX($BT$13:$BT$412, MATCH(0, COUNTIF($BU$12:$BU108, $BT$13:$BT$412), 0)),"")</f>
        <v/>
      </c>
    </row>
    <row r="110" spans="1:73" s="404" customFormat="1" ht="13.2">
      <c r="A110" s="406">
        <f t="shared" si="35"/>
        <v>98</v>
      </c>
      <c r="B110" s="472"/>
      <c r="C110" s="470"/>
      <c r="D110" s="407"/>
      <c r="E110" s="407"/>
      <c r="F110" s="408"/>
      <c r="G110" s="409"/>
      <c r="H110" s="407"/>
      <c r="I110" s="1029" t="str">
        <f>IFERROR(G110/HLOOKUP(H110,RentsUA!$B$8:$J$9,2),"")</f>
        <v/>
      </c>
      <c r="J110" s="407"/>
      <c r="K110" s="412"/>
      <c r="L110" s="672">
        <f t="shared" si="29"/>
        <v>0</v>
      </c>
      <c r="M110" s="671"/>
      <c r="N110" s="410">
        <f t="shared" si="30"/>
        <v>0</v>
      </c>
      <c r="O110" s="469" t="str">
        <f>IF($M110=0,"",IFERROR(($L110+$M110)/(HLOOKUP($D110,RentsUA!$K$12:$Q$35,19,FALSE)),""))</f>
        <v/>
      </c>
      <c r="P110" s="469" t="str">
        <f>IF($M110=0,"",IFERROR(($M110+K110+L110)/(HLOOKUP($D110,RentsUA!$K$12:$Q$35,19,FALSE)),""))</f>
        <v/>
      </c>
      <c r="Q110" s="411"/>
      <c r="R110" s="673" t="str">
        <f>IF($Q110=0,"",VLOOKUP($Q110,RentsUA!$A$12:$H$35,MATCH($D110,RentsUA!$A$12:$H$12,0),FALSE))</f>
        <v/>
      </c>
      <c r="S110" s="409"/>
      <c r="T110" s="674"/>
      <c r="U110" s="672"/>
      <c r="V110" s="673" t="str">
        <f t="shared" si="36"/>
        <v/>
      </c>
      <c r="W110" s="470"/>
      <c r="X110" s="411"/>
      <c r="Y110" s="410" t="str">
        <f>IF(X110=0,"",VLOOKUP($X110,RentsUA!$A$12:$H$35,MATCH($D110,RentsUA!$A$12:$H$12,0),FALSE))</f>
        <v/>
      </c>
      <c r="Z110" s="410" t="str">
        <f t="shared" si="31"/>
        <v/>
      </c>
      <c r="AA110" s="1297" t="str">
        <f>IF(H110="","",IF(G110/HLOOKUP($H110,RentsUA!$M$8:$T$9,2,FALSE)&gt;1,"&gt; 80%","&lt;= 80%"))</f>
        <v/>
      </c>
      <c r="AB110" s="1106"/>
      <c r="AC110" s="1106"/>
      <c r="AD110" s="622"/>
      <c r="AE110" s="412"/>
      <c r="AF110" s="807" t="str">
        <f>IF(AD110="","",IF(AD110=Lists!$U$3,M110,IF(AD110=Lists!$U$4,V110,IF(AD110=Lists!$U$5,Y110-L110,AE110))))</f>
        <v/>
      </c>
      <c r="AG110" s="410" t="str">
        <f t="shared" si="32"/>
        <v/>
      </c>
      <c r="AH110" s="469" t="str">
        <f t="shared" si="33"/>
        <v/>
      </c>
      <c r="AI110" s="469" t="str">
        <f>IF($AF110=0,0,IFERROR(($L110+$AF110)/(HLOOKUP($D110,RentsUA!$K$12:$Q$35,19,FALSE)),""))</f>
        <v/>
      </c>
      <c r="AJ110" s="469" t="str">
        <f>IF($AF110=0,0,IFERROR(($AF110+K110+L110)/(HLOOKUP($D110,RentsUA!$K$12:$Q$35,19,FALSE)),""))</f>
        <v/>
      </c>
      <c r="AK110" s="469" t="str">
        <f t="shared" si="37"/>
        <v/>
      </c>
      <c r="AL110" s="469" t="str">
        <f t="shared" si="38"/>
        <v/>
      </c>
      <c r="AM110" s="1106" t="str">
        <f t="shared" si="39"/>
        <v/>
      </c>
      <c r="AN110" s="1106" t="str">
        <f>IFERROR(AM110*(1+'7a.20YrDetails'!$F$9),"")</f>
        <v/>
      </c>
      <c r="AO110" s="1106" t="str">
        <f>IFERROR(AN110*(1+'7a.20YrDetails'!$F$9),"")</f>
        <v/>
      </c>
      <c r="AP110" s="1106" t="str">
        <f>IFERROR(AO110*(1+'7a.20YrDetails'!$F$9),"")</f>
        <v/>
      </c>
      <c r="AQ110" s="1106" t="str">
        <f>IFERROR(AP110*(1+'7a.20YrDetails'!$F$9),"")</f>
        <v/>
      </c>
      <c r="AR110" s="674"/>
      <c r="AS110" s="672"/>
      <c r="AT110" s="1732" t="str">
        <f>IF($AF110=0,0,IFERROR(($AF110+L110)/(HLOOKUP($D110,RentsUA!$B$61:$H$62,2,FALSE)),""))</f>
        <v/>
      </c>
      <c r="AU110" s="1733" t="str">
        <f>IFERROR(G110/HLOOKUP(H110,RentsUA!$B$40:$I$41,2),"")</f>
        <v/>
      </c>
      <c r="BR110" s="404" t="str">
        <f t="shared" si="40"/>
        <v/>
      </c>
      <c r="BS110" s="5" t="str">
        <f t="array" ref="BS110">IFERROR(INDEX($BR$13:$BR$412, MATCH(0, COUNTIF($BS$12:$BS109, $BR$13:$BR$412), 0)),"")</f>
        <v/>
      </c>
      <c r="BT110" s="404" t="str">
        <f t="shared" si="34"/>
        <v/>
      </c>
      <c r="BU110" s="404" t="str">
        <f t="array" ref="BU110">IFERROR(INDEX($BT$13:$BT$412, MATCH(0, COUNTIF($BU$12:$BU109, $BT$13:$BT$412), 0)),"")</f>
        <v/>
      </c>
    </row>
    <row r="111" spans="1:73" s="404" customFormat="1" ht="13.2">
      <c r="A111" s="406">
        <f t="shared" si="35"/>
        <v>99</v>
      </c>
      <c r="B111" s="472"/>
      <c r="C111" s="470"/>
      <c r="D111" s="407"/>
      <c r="E111" s="407"/>
      <c r="F111" s="408"/>
      <c r="G111" s="409"/>
      <c r="H111" s="407"/>
      <c r="I111" s="1029" t="str">
        <f>IFERROR(G111/HLOOKUP(H111,RentsUA!$B$8:$J$9,2),"")</f>
        <v/>
      </c>
      <c r="J111" s="407"/>
      <c r="K111" s="412"/>
      <c r="L111" s="672">
        <f t="shared" si="29"/>
        <v>0</v>
      </c>
      <c r="M111" s="671"/>
      <c r="N111" s="410">
        <f t="shared" si="30"/>
        <v>0</v>
      </c>
      <c r="O111" s="469" t="str">
        <f>IF($M111=0,"",IFERROR(($L111+$M111)/(HLOOKUP($D111,RentsUA!$K$12:$Q$35,19,FALSE)),""))</f>
        <v/>
      </c>
      <c r="P111" s="469" t="str">
        <f>IF($M111=0,"",IFERROR(($M111+K111+L111)/(HLOOKUP($D111,RentsUA!$K$12:$Q$35,19,FALSE)),""))</f>
        <v/>
      </c>
      <c r="Q111" s="411"/>
      <c r="R111" s="673" t="str">
        <f>IF($Q111=0,"",VLOOKUP($Q111,RentsUA!$A$12:$H$35,MATCH($D111,RentsUA!$A$12:$H$12,0),FALSE))</f>
        <v/>
      </c>
      <c r="S111" s="409"/>
      <c r="T111" s="674"/>
      <c r="U111" s="672"/>
      <c r="V111" s="673" t="str">
        <f t="shared" si="36"/>
        <v/>
      </c>
      <c r="W111" s="470"/>
      <c r="X111" s="411"/>
      <c r="Y111" s="410" t="str">
        <f>IF(X111=0,"",VLOOKUP($X111,RentsUA!$A$12:$H$35,MATCH($D111,RentsUA!$A$12:$H$12,0),FALSE))</f>
        <v/>
      </c>
      <c r="Z111" s="410" t="str">
        <f t="shared" si="31"/>
        <v/>
      </c>
      <c r="AA111" s="1297" t="str">
        <f>IF(H111="","",IF(G111/HLOOKUP($H111,RentsUA!$M$8:$T$9,2,FALSE)&gt;1,"&gt; 80%","&lt;= 80%"))</f>
        <v/>
      </c>
      <c r="AB111" s="1106"/>
      <c r="AC111" s="1106"/>
      <c r="AD111" s="622"/>
      <c r="AE111" s="412"/>
      <c r="AF111" s="807" t="str">
        <f>IF(AD111="","",IF(AD111=Lists!$U$3,M111,IF(AD111=Lists!$U$4,V111,IF(AD111=Lists!$U$5,Y111-L111,AE111))))</f>
        <v/>
      </c>
      <c r="AG111" s="410" t="str">
        <f t="shared" si="32"/>
        <v/>
      </c>
      <c r="AH111" s="469" t="str">
        <f t="shared" si="33"/>
        <v/>
      </c>
      <c r="AI111" s="469" t="str">
        <f>IF($AF111=0,0,IFERROR(($L111+$AF111)/(HLOOKUP($D111,RentsUA!$K$12:$Q$35,19,FALSE)),""))</f>
        <v/>
      </c>
      <c r="AJ111" s="469" t="str">
        <f>IF($AF111=0,0,IFERROR(($AF111+K111+L111)/(HLOOKUP($D111,RentsUA!$K$12:$Q$35,19,FALSE)),""))</f>
        <v/>
      </c>
      <c r="AK111" s="469" t="str">
        <f t="shared" si="37"/>
        <v/>
      </c>
      <c r="AL111" s="469" t="str">
        <f t="shared" si="38"/>
        <v/>
      </c>
      <c r="AM111" s="1106" t="str">
        <f t="shared" si="39"/>
        <v/>
      </c>
      <c r="AN111" s="1106" t="str">
        <f>IFERROR(AM111*(1+'7a.20YrDetails'!$F$9),"")</f>
        <v/>
      </c>
      <c r="AO111" s="1106" t="str">
        <f>IFERROR(AN111*(1+'7a.20YrDetails'!$F$9),"")</f>
        <v/>
      </c>
      <c r="AP111" s="1106" t="str">
        <f>IFERROR(AO111*(1+'7a.20YrDetails'!$F$9),"")</f>
        <v/>
      </c>
      <c r="AQ111" s="1106" t="str">
        <f>IFERROR(AP111*(1+'7a.20YrDetails'!$F$9),"")</f>
        <v/>
      </c>
      <c r="AR111" s="674"/>
      <c r="AS111" s="672"/>
      <c r="AT111" s="1732" t="str">
        <f>IF($AF111=0,0,IFERROR(($AF111+L111)/(HLOOKUP($D111,RentsUA!$B$61:$H$62,2,FALSE)),""))</f>
        <v/>
      </c>
      <c r="AU111" s="1733" t="str">
        <f>IFERROR(G111/HLOOKUP(H111,RentsUA!$B$40:$I$41,2),"")</f>
        <v/>
      </c>
      <c r="BR111" s="404" t="str">
        <f t="shared" si="40"/>
        <v/>
      </c>
      <c r="BS111" s="5" t="str">
        <f t="array" ref="BS111">IFERROR(INDEX($BR$13:$BR$412, MATCH(0, COUNTIF($BS$12:$BS110, $BR$13:$BR$412), 0)),"")</f>
        <v/>
      </c>
      <c r="BT111" s="404" t="str">
        <f t="shared" si="34"/>
        <v/>
      </c>
      <c r="BU111" s="404" t="str">
        <f t="array" ref="BU111">IFERROR(INDEX($BT$13:$BT$412, MATCH(0, COUNTIF($BU$12:$BU110, $BT$13:$BT$412), 0)),"")</f>
        <v/>
      </c>
    </row>
    <row r="112" spans="1:73" s="404" customFormat="1" ht="13.2">
      <c r="A112" s="406">
        <f t="shared" si="35"/>
        <v>100</v>
      </c>
      <c r="B112" s="472"/>
      <c r="C112" s="470"/>
      <c r="D112" s="407"/>
      <c r="E112" s="407"/>
      <c r="F112" s="408"/>
      <c r="G112" s="409"/>
      <c r="H112" s="407"/>
      <c r="I112" s="1029" t="str">
        <f>IFERROR(G112/HLOOKUP(H112,RentsUA!$B$8:$J$9,2),"")</f>
        <v/>
      </c>
      <c r="J112" s="407"/>
      <c r="K112" s="412"/>
      <c r="L112" s="672">
        <f t="shared" si="29"/>
        <v>0</v>
      </c>
      <c r="M112" s="671"/>
      <c r="N112" s="410">
        <f t="shared" si="30"/>
        <v>0</v>
      </c>
      <c r="O112" s="469" t="str">
        <f>IF($M112=0,"",IFERROR(($L112+$M112)/(HLOOKUP($D112,RentsUA!$K$12:$Q$35,19,FALSE)),""))</f>
        <v/>
      </c>
      <c r="P112" s="469" t="str">
        <f>IF($M112=0,"",IFERROR(($M112+K112+L112)/(HLOOKUP($D112,RentsUA!$K$12:$Q$35,19,FALSE)),""))</f>
        <v/>
      </c>
      <c r="Q112" s="411"/>
      <c r="R112" s="673" t="str">
        <f>IF($Q112=0,"",VLOOKUP($Q112,RentsUA!$A$12:$H$35,MATCH($D112,RentsUA!$A$12:$H$12,0),FALSE))</f>
        <v/>
      </c>
      <c r="S112" s="409"/>
      <c r="T112" s="674"/>
      <c r="U112" s="672"/>
      <c r="V112" s="673" t="str">
        <f t="shared" si="36"/>
        <v/>
      </c>
      <c r="W112" s="470"/>
      <c r="X112" s="411"/>
      <c r="Y112" s="410" t="str">
        <f>IF(X112=0,"",VLOOKUP($X112,RentsUA!$A$12:$H$35,MATCH($D112,RentsUA!$A$12:$H$12,0),FALSE))</f>
        <v/>
      </c>
      <c r="Z112" s="410" t="str">
        <f t="shared" si="31"/>
        <v/>
      </c>
      <c r="AA112" s="1297" t="str">
        <f>IF(H112="","",IF(G112/HLOOKUP($H112,RentsUA!$M$8:$T$9,2,FALSE)&gt;1,"&gt; 80%","&lt;= 80%"))</f>
        <v/>
      </c>
      <c r="AB112" s="1106"/>
      <c r="AC112" s="1106"/>
      <c r="AD112" s="622"/>
      <c r="AE112" s="412"/>
      <c r="AF112" s="807" t="str">
        <f>IF(AD112="","",IF(AD112=Lists!$U$3,M112,IF(AD112=Lists!$U$4,V112,IF(AD112=Lists!$U$5,Y112-L112,AE112))))</f>
        <v/>
      </c>
      <c r="AG112" s="410" t="str">
        <f t="shared" si="32"/>
        <v/>
      </c>
      <c r="AH112" s="469" t="str">
        <f t="shared" si="33"/>
        <v/>
      </c>
      <c r="AI112" s="469" t="str">
        <f>IF($AF112=0,0,IFERROR(($L112+$AF112)/(HLOOKUP($D112,RentsUA!$K$12:$Q$35,19,FALSE)),""))</f>
        <v/>
      </c>
      <c r="AJ112" s="469" t="str">
        <f>IF($AF112=0,0,IFERROR(($AF112+K112+L112)/(HLOOKUP($D112,RentsUA!$K$12:$Q$35,19,FALSE)),""))</f>
        <v/>
      </c>
      <c r="AK112" s="469" t="str">
        <f t="shared" si="37"/>
        <v/>
      </c>
      <c r="AL112" s="469" t="str">
        <f t="shared" si="38"/>
        <v/>
      </c>
      <c r="AM112" s="1106" t="str">
        <f t="shared" si="39"/>
        <v/>
      </c>
      <c r="AN112" s="1106" t="str">
        <f>IFERROR(AM112*(1+'7a.20YrDetails'!$F$9),"")</f>
        <v/>
      </c>
      <c r="AO112" s="1106" t="str">
        <f>IFERROR(AN112*(1+'7a.20YrDetails'!$F$9),"")</f>
        <v/>
      </c>
      <c r="AP112" s="1106" t="str">
        <f>IFERROR(AO112*(1+'7a.20YrDetails'!$F$9),"")</f>
        <v/>
      </c>
      <c r="AQ112" s="1106" t="str">
        <f>IFERROR(AP112*(1+'7a.20YrDetails'!$F$9),"")</f>
        <v/>
      </c>
      <c r="AR112" s="674"/>
      <c r="AS112" s="672"/>
      <c r="AT112" s="1732" t="str">
        <f>IF($AF112=0,0,IFERROR(($AF112+L112)/(HLOOKUP($D112,RentsUA!$B$61:$H$62,2,FALSE)),""))</f>
        <v/>
      </c>
      <c r="AU112" s="1733" t="str">
        <f>IFERROR(G112/HLOOKUP(H112,RentsUA!$B$40:$I$41,2),"")</f>
        <v/>
      </c>
      <c r="BR112" s="404" t="str">
        <f t="shared" si="40"/>
        <v/>
      </c>
      <c r="BS112" s="5" t="str">
        <f t="array" ref="BS112">IFERROR(INDEX($BR$13:$BR$412, MATCH(0, COUNTIF($BS$12:$BS111, $BR$13:$BR$412), 0)),"")</f>
        <v/>
      </c>
      <c r="BT112" s="404" t="str">
        <f t="shared" si="34"/>
        <v/>
      </c>
      <c r="BU112" s="404" t="str">
        <f t="array" ref="BU112">IFERROR(INDEX($BT$13:$BT$412, MATCH(0, COUNTIF($BU$12:$BU111, $BT$13:$BT$412), 0)),"")</f>
        <v/>
      </c>
    </row>
    <row r="113" spans="1:73" s="404" customFormat="1" ht="13.2">
      <c r="A113" s="406">
        <f t="shared" si="35"/>
        <v>101</v>
      </c>
      <c r="B113" s="472"/>
      <c r="C113" s="470"/>
      <c r="D113" s="407"/>
      <c r="E113" s="407"/>
      <c r="F113" s="408"/>
      <c r="G113" s="409"/>
      <c r="H113" s="407"/>
      <c r="I113" s="1029" t="str">
        <f>IFERROR(G113/HLOOKUP(H113,RentsUA!$B$8:$J$9,2),"")</f>
        <v/>
      </c>
      <c r="J113" s="407"/>
      <c r="K113" s="412"/>
      <c r="L113" s="672">
        <f t="shared" si="29"/>
        <v>0</v>
      </c>
      <c r="M113" s="671"/>
      <c r="N113" s="410">
        <f t="shared" si="30"/>
        <v>0</v>
      </c>
      <c r="O113" s="469" t="str">
        <f>IF($M113=0,"",IFERROR(($L113+$M113)/(HLOOKUP($D113,RentsUA!$K$12:$Q$35,19,FALSE)),""))</f>
        <v/>
      </c>
      <c r="P113" s="469" t="str">
        <f>IF($M113=0,"",IFERROR(($M113+K113+L113)/(HLOOKUP($D113,RentsUA!$K$12:$Q$35,19,FALSE)),""))</f>
        <v/>
      </c>
      <c r="Q113" s="411"/>
      <c r="R113" s="673" t="str">
        <f>IF($Q113=0,"",VLOOKUP($Q113,RentsUA!$A$12:$H$35,MATCH($D113,RentsUA!$A$12:$H$12,0),FALSE))</f>
        <v/>
      </c>
      <c r="S113" s="409"/>
      <c r="T113" s="674"/>
      <c r="U113" s="672"/>
      <c r="V113" s="673" t="str">
        <f t="shared" si="36"/>
        <v/>
      </c>
      <c r="W113" s="470"/>
      <c r="X113" s="411"/>
      <c r="Y113" s="410" t="str">
        <f>IF(X113=0,"",VLOOKUP($X113,RentsUA!$A$12:$H$35,MATCH($D113,RentsUA!$A$12:$H$12,0),FALSE))</f>
        <v/>
      </c>
      <c r="Z113" s="410" t="str">
        <f t="shared" si="31"/>
        <v/>
      </c>
      <c r="AA113" s="1297" t="str">
        <f>IF(H113="","",IF(G113/HLOOKUP($H113,RentsUA!$M$8:$T$9,2,FALSE)&gt;1,"&gt; 80%","&lt;= 80%"))</f>
        <v/>
      </c>
      <c r="AB113" s="1106"/>
      <c r="AC113" s="1106"/>
      <c r="AD113" s="622"/>
      <c r="AE113" s="412"/>
      <c r="AF113" s="807" t="str">
        <f>IF(AD113="","",IF(AD113=Lists!$U$3,M113,IF(AD113=Lists!$U$4,V113,IF(AD113=Lists!$U$5,Y113-L113,AE113))))</f>
        <v/>
      </c>
      <c r="AG113" s="410" t="str">
        <f t="shared" si="32"/>
        <v/>
      </c>
      <c r="AH113" s="469" t="str">
        <f t="shared" si="33"/>
        <v/>
      </c>
      <c r="AI113" s="469" t="str">
        <f>IF($AF113=0,0,IFERROR(($L113+$AF113)/(HLOOKUP($D113,RentsUA!$K$12:$Q$35,19,FALSE)),""))</f>
        <v/>
      </c>
      <c r="AJ113" s="469" t="str">
        <f>IF($AF113=0,0,IFERROR(($AF113+K113+L113)/(HLOOKUP($D113,RentsUA!$K$12:$Q$35,19,FALSE)),""))</f>
        <v/>
      </c>
      <c r="AK113" s="469" t="str">
        <f t="shared" si="37"/>
        <v/>
      </c>
      <c r="AL113" s="469" t="str">
        <f t="shared" si="38"/>
        <v/>
      </c>
      <c r="AM113" s="1106" t="str">
        <f t="shared" si="39"/>
        <v/>
      </c>
      <c r="AN113" s="1106" t="str">
        <f>IFERROR(AM113*(1+'7a.20YrDetails'!$F$9),"")</f>
        <v/>
      </c>
      <c r="AO113" s="1106" t="str">
        <f>IFERROR(AN113*(1+'7a.20YrDetails'!$F$9),"")</f>
        <v/>
      </c>
      <c r="AP113" s="1106" t="str">
        <f>IFERROR(AO113*(1+'7a.20YrDetails'!$F$9),"")</f>
        <v/>
      </c>
      <c r="AQ113" s="1106" t="str">
        <f>IFERROR(AP113*(1+'7a.20YrDetails'!$F$9),"")</f>
        <v/>
      </c>
      <c r="AR113" s="674"/>
      <c r="AS113" s="672"/>
      <c r="AT113" s="1732" t="str">
        <f>IF($AF113=0,0,IFERROR(($AF113+L113)/(HLOOKUP($D113,RentsUA!$B$61:$H$62,2,FALSE)),""))</f>
        <v/>
      </c>
      <c r="AU113" s="1733" t="str">
        <f>IFERROR(G113/HLOOKUP(H113,RentsUA!$B$40:$I$41,2),"")</f>
        <v/>
      </c>
      <c r="BR113" s="404" t="str">
        <f t="shared" si="40"/>
        <v/>
      </c>
      <c r="BS113" s="5" t="str">
        <f t="array" ref="BS113">IFERROR(INDEX($BR$13:$BR$412, MATCH(0, COUNTIF($BS$12:$BS112, $BR$13:$BR$412), 0)),"")</f>
        <v/>
      </c>
      <c r="BT113" s="404" t="str">
        <f t="shared" si="34"/>
        <v/>
      </c>
      <c r="BU113" s="404" t="str">
        <f t="array" ref="BU113">IFERROR(INDEX($BT$13:$BT$412, MATCH(0, COUNTIF($BU$12:$BU112, $BT$13:$BT$412), 0)),"")</f>
        <v/>
      </c>
    </row>
    <row r="114" spans="1:73" s="404" customFormat="1" ht="13.2">
      <c r="A114" s="406">
        <f t="shared" si="35"/>
        <v>102</v>
      </c>
      <c r="B114" s="472"/>
      <c r="C114" s="470"/>
      <c r="D114" s="407"/>
      <c r="E114" s="407"/>
      <c r="F114" s="408"/>
      <c r="G114" s="409"/>
      <c r="H114" s="407"/>
      <c r="I114" s="1029" t="str">
        <f>IFERROR(G114/HLOOKUP(H114,RentsUA!$B$8:$J$9,2),"")</f>
        <v/>
      </c>
      <c r="J114" s="407"/>
      <c r="K114" s="412"/>
      <c r="L114" s="672">
        <f t="shared" si="29"/>
        <v>0</v>
      </c>
      <c r="M114" s="671"/>
      <c r="N114" s="410">
        <f t="shared" si="30"/>
        <v>0</v>
      </c>
      <c r="O114" s="469" t="str">
        <f>IF($M114=0,"",IFERROR(($L114+$M114)/(HLOOKUP($D114,RentsUA!$K$12:$Q$35,19,FALSE)),""))</f>
        <v/>
      </c>
      <c r="P114" s="469" t="str">
        <f>IF($M114=0,"",IFERROR(($M114+K114+L114)/(HLOOKUP($D114,RentsUA!$K$12:$Q$35,19,FALSE)),""))</f>
        <v/>
      </c>
      <c r="Q114" s="411"/>
      <c r="R114" s="673" t="str">
        <f>IF($Q114=0,"",VLOOKUP($Q114,RentsUA!$A$12:$H$35,MATCH($D114,RentsUA!$A$12:$H$12,0),FALSE))</f>
        <v/>
      </c>
      <c r="S114" s="409"/>
      <c r="T114" s="674"/>
      <c r="U114" s="672"/>
      <c r="V114" s="673" t="str">
        <f t="shared" si="36"/>
        <v/>
      </c>
      <c r="W114" s="470"/>
      <c r="X114" s="411"/>
      <c r="Y114" s="410" t="str">
        <f>IF(X114=0,"",VLOOKUP($X114,RentsUA!$A$12:$H$35,MATCH($D114,RentsUA!$A$12:$H$12,0),FALSE))</f>
        <v/>
      </c>
      <c r="Z114" s="410" t="str">
        <f t="shared" si="31"/>
        <v/>
      </c>
      <c r="AA114" s="1297" t="str">
        <f>IF(H114="","",IF(G114/HLOOKUP($H114,RentsUA!$M$8:$T$9,2,FALSE)&gt;1,"&gt; 80%","&lt;= 80%"))</f>
        <v/>
      </c>
      <c r="AB114" s="1106"/>
      <c r="AC114" s="1106"/>
      <c r="AD114" s="622"/>
      <c r="AE114" s="412"/>
      <c r="AF114" s="807" t="str">
        <f>IF(AD114="","",IF(AD114=Lists!$U$3,M114,IF(AD114=Lists!$U$4,V114,IF(AD114=Lists!$U$5,Y114-L114,AE114))))</f>
        <v/>
      </c>
      <c r="AG114" s="410" t="str">
        <f t="shared" si="32"/>
        <v/>
      </c>
      <c r="AH114" s="469" t="str">
        <f t="shared" si="33"/>
        <v/>
      </c>
      <c r="AI114" s="469" t="str">
        <f>IF($AF114=0,0,IFERROR(($L114+$AF114)/(HLOOKUP($D114,RentsUA!$K$12:$Q$35,19,FALSE)),""))</f>
        <v/>
      </c>
      <c r="AJ114" s="469" t="str">
        <f>IF($AF114=0,0,IFERROR(($AF114+K114+L114)/(HLOOKUP($D114,RentsUA!$K$12:$Q$35,19,FALSE)),""))</f>
        <v/>
      </c>
      <c r="AK114" s="469" t="str">
        <f t="shared" si="37"/>
        <v/>
      </c>
      <c r="AL114" s="469" t="str">
        <f t="shared" si="38"/>
        <v/>
      </c>
      <c r="AM114" s="1106" t="str">
        <f t="shared" si="39"/>
        <v/>
      </c>
      <c r="AN114" s="1106" t="str">
        <f>IFERROR(AM114*(1+'7a.20YrDetails'!$F$9),"")</f>
        <v/>
      </c>
      <c r="AO114" s="1106" t="str">
        <f>IFERROR(AN114*(1+'7a.20YrDetails'!$F$9),"")</f>
        <v/>
      </c>
      <c r="AP114" s="1106" t="str">
        <f>IFERROR(AO114*(1+'7a.20YrDetails'!$F$9),"")</f>
        <v/>
      </c>
      <c r="AQ114" s="1106" t="str">
        <f>IFERROR(AP114*(1+'7a.20YrDetails'!$F$9),"")</f>
        <v/>
      </c>
      <c r="AR114" s="674"/>
      <c r="AS114" s="672"/>
      <c r="AT114" s="1732" t="str">
        <f>IF($AF114=0,0,IFERROR(($AF114+L114)/(HLOOKUP($D114,RentsUA!$B$61:$H$62,2,FALSE)),""))</f>
        <v/>
      </c>
      <c r="AU114" s="1733" t="str">
        <f>IFERROR(G114/HLOOKUP(H114,RentsUA!$B$40:$I$41,2),"")</f>
        <v/>
      </c>
      <c r="BR114" s="404" t="str">
        <f t="shared" si="40"/>
        <v/>
      </c>
      <c r="BS114" s="5" t="str">
        <f t="array" ref="BS114">IFERROR(INDEX($BR$13:$BR$412, MATCH(0, COUNTIF($BS$12:$BS113, $BR$13:$BR$412), 0)),"")</f>
        <v/>
      </c>
      <c r="BT114" s="404" t="str">
        <f t="shared" si="34"/>
        <v/>
      </c>
      <c r="BU114" s="404" t="str">
        <f t="array" ref="BU114">IFERROR(INDEX($BT$13:$BT$412, MATCH(0, COUNTIF($BU$12:$BU113, $BT$13:$BT$412), 0)),"")</f>
        <v/>
      </c>
    </row>
    <row r="115" spans="1:73" s="404" customFormat="1" ht="13.2">
      <c r="A115" s="406">
        <f t="shared" si="35"/>
        <v>103</v>
      </c>
      <c r="B115" s="472"/>
      <c r="C115" s="470"/>
      <c r="D115" s="407"/>
      <c r="E115" s="407"/>
      <c r="F115" s="408"/>
      <c r="G115" s="409"/>
      <c r="H115" s="407"/>
      <c r="I115" s="1029" t="str">
        <f>IFERROR(G115/HLOOKUP(H115,RentsUA!$B$8:$J$9,2),"")</f>
        <v/>
      </c>
      <c r="J115" s="407"/>
      <c r="K115" s="412"/>
      <c r="L115" s="672">
        <f t="shared" si="29"/>
        <v>0</v>
      </c>
      <c r="M115" s="671"/>
      <c r="N115" s="410">
        <f t="shared" si="30"/>
        <v>0</v>
      </c>
      <c r="O115" s="469" t="str">
        <f>IF($M115=0,"",IFERROR(($L115+$M115)/(HLOOKUP($D115,RentsUA!$K$12:$Q$35,19,FALSE)),""))</f>
        <v/>
      </c>
      <c r="P115" s="469" t="str">
        <f>IF($M115=0,"",IFERROR(($M115+K115+L115)/(HLOOKUP($D115,RentsUA!$K$12:$Q$35,19,FALSE)),""))</f>
        <v/>
      </c>
      <c r="Q115" s="411"/>
      <c r="R115" s="673" t="str">
        <f>IF($Q115=0,"",VLOOKUP($Q115,RentsUA!$A$12:$H$35,MATCH($D115,RentsUA!$A$12:$H$12,0),FALSE))</f>
        <v/>
      </c>
      <c r="S115" s="409"/>
      <c r="T115" s="674"/>
      <c r="U115" s="672"/>
      <c r="V115" s="673" t="str">
        <f t="shared" si="36"/>
        <v/>
      </c>
      <c r="W115" s="470"/>
      <c r="X115" s="411"/>
      <c r="Y115" s="410" t="str">
        <f>IF(X115=0,"",VLOOKUP($X115,RentsUA!$A$12:$H$35,MATCH($D115,RentsUA!$A$12:$H$12,0),FALSE))</f>
        <v/>
      </c>
      <c r="Z115" s="410" t="str">
        <f t="shared" si="31"/>
        <v/>
      </c>
      <c r="AA115" s="1297" t="str">
        <f>IF(H115="","",IF(G115/HLOOKUP($H115,RentsUA!$M$8:$T$9,2,FALSE)&gt;1,"&gt; 80%","&lt;= 80%"))</f>
        <v/>
      </c>
      <c r="AB115" s="1106"/>
      <c r="AC115" s="1106"/>
      <c r="AD115" s="622"/>
      <c r="AE115" s="412"/>
      <c r="AF115" s="807" t="str">
        <f>IF(AD115="","",IF(AD115=Lists!$U$3,M115,IF(AD115=Lists!$U$4,V115,IF(AD115=Lists!$U$5,Y115-L115,AE115))))</f>
        <v/>
      </c>
      <c r="AG115" s="410" t="str">
        <f t="shared" si="32"/>
        <v/>
      </c>
      <c r="AH115" s="469" t="str">
        <f t="shared" si="33"/>
        <v/>
      </c>
      <c r="AI115" s="469" t="str">
        <f>IF($AF115=0,0,IFERROR(($L115+$AF115)/(HLOOKUP($D115,RentsUA!$K$12:$Q$35,19,FALSE)),""))</f>
        <v/>
      </c>
      <c r="AJ115" s="469" t="str">
        <f>IF($AF115=0,0,IFERROR(($AF115+K115+L115)/(HLOOKUP($D115,RentsUA!$K$12:$Q$35,19,FALSE)),""))</f>
        <v/>
      </c>
      <c r="AK115" s="469" t="str">
        <f t="shared" si="37"/>
        <v/>
      </c>
      <c r="AL115" s="469" t="str">
        <f t="shared" si="38"/>
        <v/>
      </c>
      <c r="AM115" s="1106" t="str">
        <f t="shared" si="39"/>
        <v/>
      </c>
      <c r="AN115" s="1106" t="str">
        <f>IFERROR(AM115*(1+'7a.20YrDetails'!$F$9),"")</f>
        <v/>
      </c>
      <c r="AO115" s="1106" t="str">
        <f>IFERROR(AN115*(1+'7a.20YrDetails'!$F$9),"")</f>
        <v/>
      </c>
      <c r="AP115" s="1106" t="str">
        <f>IFERROR(AO115*(1+'7a.20YrDetails'!$F$9),"")</f>
        <v/>
      </c>
      <c r="AQ115" s="1106" t="str">
        <f>IFERROR(AP115*(1+'7a.20YrDetails'!$F$9),"")</f>
        <v/>
      </c>
      <c r="AR115" s="674"/>
      <c r="AS115" s="672"/>
      <c r="AT115" s="1732" t="str">
        <f>IF($AF115=0,0,IFERROR(($AF115+L115)/(HLOOKUP($D115,RentsUA!$B$61:$H$62,2,FALSE)),""))</f>
        <v/>
      </c>
      <c r="AU115" s="1733" t="str">
        <f>IFERROR(G115/HLOOKUP(H115,RentsUA!$B$40:$I$41,2),"")</f>
        <v/>
      </c>
      <c r="BR115" s="404" t="str">
        <f t="shared" si="40"/>
        <v/>
      </c>
      <c r="BS115" s="5" t="str">
        <f t="array" ref="BS115">IFERROR(INDEX($BR$13:$BR$412, MATCH(0, COUNTIF($BS$12:$BS114, $BR$13:$BR$412), 0)),"")</f>
        <v/>
      </c>
      <c r="BT115" s="404" t="str">
        <f t="shared" si="34"/>
        <v/>
      </c>
      <c r="BU115" s="404" t="str">
        <f t="array" ref="BU115">IFERROR(INDEX($BT$13:$BT$412, MATCH(0, COUNTIF($BU$12:$BU114, $BT$13:$BT$412), 0)),"")</f>
        <v/>
      </c>
    </row>
    <row r="116" spans="1:73" s="404" customFormat="1" ht="13.2">
      <c r="A116" s="406">
        <f t="shared" si="35"/>
        <v>104</v>
      </c>
      <c r="B116" s="472"/>
      <c r="C116" s="470"/>
      <c r="D116" s="407"/>
      <c r="E116" s="407"/>
      <c r="F116" s="408"/>
      <c r="G116" s="409"/>
      <c r="H116" s="407"/>
      <c r="I116" s="1029" t="str">
        <f>IFERROR(G116/HLOOKUP(H116,RentsUA!$B$8:$J$9,2),"")</f>
        <v/>
      </c>
      <c r="J116" s="407"/>
      <c r="K116" s="412"/>
      <c r="L116" s="672">
        <f t="shared" si="29"/>
        <v>0</v>
      </c>
      <c r="M116" s="671"/>
      <c r="N116" s="410">
        <f t="shared" si="30"/>
        <v>0</v>
      </c>
      <c r="O116" s="469" t="str">
        <f>IF($M116=0,"",IFERROR(($L116+$M116)/(HLOOKUP($D116,RentsUA!$K$12:$Q$35,19,FALSE)),""))</f>
        <v/>
      </c>
      <c r="P116" s="469" t="str">
        <f>IF($M116=0,"",IFERROR(($M116+K116+L116)/(HLOOKUP($D116,RentsUA!$K$12:$Q$35,19,FALSE)),""))</f>
        <v/>
      </c>
      <c r="Q116" s="411"/>
      <c r="R116" s="673" t="str">
        <f>IF($Q116=0,"",VLOOKUP($Q116,RentsUA!$A$12:$H$35,MATCH($D116,RentsUA!$A$12:$H$12,0),FALSE))</f>
        <v/>
      </c>
      <c r="S116" s="409"/>
      <c r="T116" s="674"/>
      <c r="U116" s="672"/>
      <c r="V116" s="673" t="str">
        <f t="shared" si="36"/>
        <v/>
      </c>
      <c r="W116" s="470"/>
      <c r="X116" s="411"/>
      <c r="Y116" s="410" t="str">
        <f>IF(X116=0,"",VLOOKUP($X116,RentsUA!$A$12:$H$35,MATCH($D116,RentsUA!$A$12:$H$12,0),FALSE))</f>
        <v/>
      </c>
      <c r="Z116" s="410" t="str">
        <f t="shared" si="31"/>
        <v/>
      </c>
      <c r="AA116" s="1297" t="str">
        <f>IF(H116="","",IF(G116/HLOOKUP($H116,RentsUA!$M$8:$T$9,2,FALSE)&gt;1,"&gt; 80%","&lt;= 80%"))</f>
        <v/>
      </c>
      <c r="AB116" s="1106"/>
      <c r="AC116" s="1106"/>
      <c r="AD116" s="622"/>
      <c r="AE116" s="412"/>
      <c r="AF116" s="807" t="str">
        <f>IF(AD116="","",IF(AD116=Lists!$U$3,M116,IF(AD116=Lists!$U$4,V116,IF(AD116=Lists!$U$5,Y116-L116,AE116))))</f>
        <v/>
      </c>
      <c r="AG116" s="410" t="str">
        <f t="shared" si="32"/>
        <v/>
      </c>
      <c r="AH116" s="469" t="str">
        <f t="shared" si="33"/>
        <v/>
      </c>
      <c r="AI116" s="469" t="str">
        <f>IF($AF116=0,0,IFERROR(($L116+$AF116)/(HLOOKUP($D116,RentsUA!$K$12:$Q$35,19,FALSE)),""))</f>
        <v/>
      </c>
      <c r="AJ116" s="469" t="str">
        <f>IF($AF116=0,0,IFERROR(($AF116+K116+L116)/(HLOOKUP($D116,RentsUA!$K$12:$Q$35,19,FALSE)),""))</f>
        <v/>
      </c>
      <c r="AK116" s="469" t="str">
        <f t="shared" si="37"/>
        <v/>
      </c>
      <c r="AL116" s="469" t="str">
        <f t="shared" si="38"/>
        <v/>
      </c>
      <c r="AM116" s="1106" t="str">
        <f t="shared" si="39"/>
        <v/>
      </c>
      <c r="AN116" s="1106" t="str">
        <f>IFERROR(AM116*(1+'7a.20YrDetails'!$F$9),"")</f>
        <v/>
      </c>
      <c r="AO116" s="1106" t="str">
        <f>IFERROR(AN116*(1+'7a.20YrDetails'!$F$9),"")</f>
        <v/>
      </c>
      <c r="AP116" s="1106" t="str">
        <f>IFERROR(AO116*(1+'7a.20YrDetails'!$F$9),"")</f>
        <v/>
      </c>
      <c r="AQ116" s="1106" t="str">
        <f>IFERROR(AP116*(1+'7a.20YrDetails'!$F$9),"")</f>
        <v/>
      </c>
      <c r="AR116" s="674"/>
      <c r="AS116" s="672"/>
      <c r="AT116" s="1732" t="str">
        <f>IF($AF116=0,0,IFERROR(($AF116+L116)/(HLOOKUP($D116,RentsUA!$B$61:$H$62,2,FALSE)),""))</f>
        <v/>
      </c>
      <c r="AU116" s="1733" t="str">
        <f>IFERROR(G116/HLOOKUP(H116,RentsUA!$B$40:$I$41,2),"")</f>
        <v/>
      </c>
      <c r="BR116" s="404" t="str">
        <f t="shared" si="40"/>
        <v/>
      </c>
      <c r="BS116" s="5" t="str">
        <f t="array" ref="BS116">IFERROR(INDEX($BR$13:$BR$412, MATCH(0, COUNTIF($BS$12:$BS115, $BR$13:$BR$412), 0)),"")</f>
        <v/>
      </c>
      <c r="BT116" s="404" t="str">
        <f t="shared" si="34"/>
        <v/>
      </c>
      <c r="BU116" s="404" t="str">
        <f t="array" ref="BU116">IFERROR(INDEX($BT$13:$BT$412, MATCH(0, COUNTIF($BU$12:$BU115, $BT$13:$BT$412), 0)),"")</f>
        <v/>
      </c>
    </row>
    <row r="117" spans="1:73" s="404" customFormat="1" ht="13.2">
      <c r="A117" s="406">
        <f t="shared" si="35"/>
        <v>105</v>
      </c>
      <c r="B117" s="472"/>
      <c r="C117" s="470"/>
      <c r="D117" s="407"/>
      <c r="E117" s="407"/>
      <c r="F117" s="408"/>
      <c r="G117" s="409"/>
      <c r="H117" s="407"/>
      <c r="I117" s="1029" t="str">
        <f>IFERROR(G117/HLOOKUP(H117,RentsUA!$B$8:$J$9,2),"")</f>
        <v/>
      </c>
      <c r="J117" s="407"/>
      <c r="K117" s="412"/>
      <c r="L117" s="672">
        <f t="shared" si="29"/>
        <v>0</v>
      </c>
      <c r="M117" s="671"/>
      <c r="N117" s="410">
        <f t="shared" si="30"/>
        <v>0</v>
      </c>
      <c r="O117" s="469" t="str">
        <f>IF($M117=0,"",IFERROR(($L117+$M117)/(HLOOKUP($D117,RentsUA!$K$12:$Q$35,19,FALSE)),""))</f>
        <v/>
      </c>
      <c r="P117" s="469" t="str">
        <f>IF($M117=0,"",IFERROR(($M117+K117+L117)/(HLOOKUP($D117,RentsUA!$K$12:$Q$35,19,FALSE)),""))</f>
        <v/>
      </c>
      <c r="Q117" s="411"/>
      <c r="R117" s="673" t="str">
        <f>IF($Q117=0,"",VLOOKUP($Q117,RentsUA!$A$12:$H$35,MATCH($D117,RentsUA!$A$12:$H$12,0),FALSE))</f>
        <v/>
      </c>
      <c r="S117" s="409"/>
      <c r="T117" s="674"/>
      <c r="U117" s="672"/>
      <c r="V117" s="673" t="str">
        <f t="shared" si="36"/>
        <v/>
      </c>
      <c r="W117" s="470"/>
      <c r="X117" s="411"/>
      <c r="Y117" s="410" t="str">
        <f>IF(X117=0,"",VLOOKUP($X117,RentsUA!$A$12:$H$35,MATCH($D117,RentsUA!$A$12:$H$12,0),FALSE))</f>
        <v/>
      </c>
      <c r="Z117" s="410" t="str">
        <f t="shared" si="31"/>
        <v/>
      </c>
      <c r="AA117" s="1297" t="str">
        <f>IF(H117="","",IF(G117/HLOOKUP($H117,RentsUA!$M$8:$T$9,2,FALSE)&gt;1,"&gt; 80%","&lt;= 80%"))</f>
        <v/>
      </c>
      <c r="AB117" s="1106"/>
      <c r="AC117" s="1106"/>
      <c r="AD117" s="622"/>
      <c r="AE117" s="412"/>
      <c r="AF117" s="807" t="str">
        <f>IF(AD117="","",IF(AD117=Lists!$U$3,M117,IF(AD117=Lists!$U$4,V117,IF(AD117=Lists!$U$5,Y117-L117,AE117))))</f>
        <v/>
      </c>
      <c r="AG117" s="410" t="str">
        <f t="shared" si="32"/>
        <v/>
      </c>
      <c r="AH117" s="469" t="str">
        <f t="shared" si="33"/>
        <v/>
      </c>
      <c r="AI117" s="469" t="str">
        <f>IF($AF117=0,0,IFERROR(($L117+$AF117)/(HLOOKUP($D117,RentsUA!$K$12:$Q$35,19,FALSE)),""))</f>
        <v/>
      </c>
      <c r="AJ117" s="469" t="str">
        <f>IF($AF117=0,0,IFERROR(($AF117+K117+L117)/(HLOOKUP($D117,RentsUA!$K$12:$Q$35,19,FALSE)),""))</f>
        <v/>
      </c>
      <c r="AK117" s="469" t="str">
        <f t="shared" si="37"/>
        <v/>
      </c>
      <c r="AL117" s="469" t="str">
        <f t="shared" si="38"/>
        <v/>
      </c>
      <c r="AM117" s="1106" t="str">
        <f t="shared" si="39"/>
        <v/>
      </c>
      <c r="AN117" s="1106" t="str">
        <f>IFERROR(AM117*(1+'7a.20YrDetails'!$F$9),"")</f>
        <v/>
      </c>
      <c r="AO117" s="1106" t="str">
        <f>IFERROR(AN117*(1+'7a.20YrDetails'!$F$9),"")</f>
        <v/>
      </c>
      <c r="AP117" s="1106" t="str">
        <f>IFERROR(AO117*(1+'7a.20YrDetails'!$F$9),"")</f>
        <v/>
      </c>
      <c r="AQ117" s="1106" t="str">
        <f>IFERROR(AP117*(1+'7a.20YrDetails'!$F$9),"")</f>
        <v/>
      </c>
      <c r="AR117" s="674"/>
      <c r="AS117" s="672"/>
      <c r="AT117" s="1732" t="str">
        <f>IF($AF117=0,0,IFERROR(($AF117+L117)/(HLOOKUP($D117,RentsUA!$B$61:$H$62,2,FALSE)),""))</f>
        <v/>
      </c>
      <c r="AU117" s="1733" t="str">
        <f>IFERROR(G117/HLOOKUP(H117,RentsUA!$B$40:$I$41,2),"")</f>
        <v/>
      </c>
      <c r="BR117" s="404" t="str">
        <f t="shared" si="40"/>
        <v/>
      </c>
      <c r="BS117" s="5" t="str">
        <f t="array" ref="BS117">IFERROR(INDEX($BR$13:$BR$412, MATCH(0, COUNTIF($BS$12:$BS116, $BR$13:$BR$412), 0)),"")</f>
        <v/>
      </c>
      <c r="BT117" s="404" t="str">
        <f t="shared" si="34"/>
        <v/>
      </c>
      <c r="BU117" s="404" t="str">
        <f t="array" ref="BU117">IFERROR(INDEX($BT$13:$BT$412, MATCH(0, COUNTIF($BU$12:$BU116, $BT$13:$BT$412), 0)),"")</f>
        <v/>
      </c>
    </row>
    <row r="118" spans="1:73" s="404" customFormat="1" ht="13.2">
      <c r="A118" s="406">
        <f t="shared" si="35"/>
        <v>106</v>
      </c>
      <c r="B118" s="472"/>
      <c r="C118" s="470"/>
      <c r="D118" s="407"/>
      <c r="E118" s="407"/>
      <c r="F118" s="408"/>
      <c r="G118" s="409"/>
      <c r="H118" s="407"/>
      <c r="I118" s="1029" t="str">
        <f>IFERROR(G118/HLOOKUP(H118,RentsUA!$B$8:$J$9,2),"")</f>
        <v/>
      </c>
      <c r="J118" s="407"/>
      <c r="K118" s="412"/>
      <c r="L118" s="672">
        <f t="shared" si="29"/>
        <v>0</v>
      </c>
      <c r="M118" s="671"/>
      <c r="N118" s="410">
        <f t="shared" si="30"/>
        <v>0</v>
      </c>
      <c r="O118" s="469" t="str">
        <f>IF($M118=0,"",IFERROR(($L118+$M118)/(HLOOKUP($D118,RentsUA!$K$12:$Q$35,19,FALSE)),""))</f>
        <v/>
      </c>
      <c r="P118" s="469" t="str">
        <f>IF($M118=0,"",IFERROR(($M118+K118+L118)/(HLOOKUP($D118,RentsUA!$K$12:$Q$35,19,FALSE)),""))</f>
        <v/>
      </c>
      <c r="Q118" s="411"/>
      <c r="R118" s="673" t="str">
        <f>IF($Q118=0,"",VLOOKUP($Q118,RentsUA!$A$12:$H$35,MATCH($D118,RentsUA!$A$12:$H$12,0),FALSE))</f>
        <v/>
      </c>
      <c r="S118" s="409"/>
      <c r="T118" s="674"/>
      <c r="U118" s="672"/>
      <c r="V118" s="673" t="str">
        <f t="shared" si="36"/>
        <v/>
      </c>
      <c r="W118" s="470"/>
      <c r="X118" s="411"/>
      <c r="Y118" s="410" t="str">
        <f>IF(X118=0,"",VLOOKUP($X118,RentsUA!$A$12:$H$35,MATCH($D118,RentsUA!$A$12:$H$12,0),FALSE))</f>
        <v/>
      </c>
      <c r="Z118" s="410" t="str">
        <f t="shared" si="31"/>
        <v/>
      </c>
      <c r="AA118" s="1297" t="str">
        <f>IF(H118="","",IF(G118/HLOOKUP($H118,RentsUA!$M$8:$T$9,2,FALSE)&gt;1,"&gt; 80%","&lt;= 80%"))</f>
        <v/>
      </c>
      <c r="AB118" s="1106"/>
      <c r="AC118" s="1106"/>
      <c r="AD118" s="622"/>
      <c r="AE118" s="412"/>
      <c r="AF118" s="807" t="str">
        <f>IF(AD118="","",IF(AD118=Lists!$U$3,M118,IF(AD118=Lists!$U$4,V118,IF(AD118=Lists!$U$5,Y118-L118,AE118))))</f>
        <v/>
      </c>
      <c r="AG118" s="410" t="str">
        <f t="shared" si="32"/>
        <v/>
      </c>
      <c r="AH118" s="469" t="str">
        <f t="shared" si="33"/>
        <v/>
      </c>
      <c r="AI118" s="469" t="str">
        <f>IF($AF118=0,0,IFERROR(($L118+$AF118)/(HLOOKUP($D118,RentsUA!$K$12:$Q$35,19,FALSE)),""))</f>
        <v/>
      </c>
      <c r="AJ118" s="469" t="str">
        <f>IF($AF118=0,0,IFERROR(($AF118+K118+L118)/(HLOOKUP($D118,RentsUA!$K$12:$Q$35,19,FALSE)),""))</f>
        <v/>
      </c>
      <c r="AK118" s="469" t="str">
        <f t="shared" si="37"/>
        <v/>
      </c>
      <c r="AL118" s="469" t="str">
        <f t="shared" si="38"/>
        <v/>
      </c>
      <c r="AM118" s="1106" t="str">
        <f t="shared" si="39"/>
        <v/>
      </c>
      <c r="AN118" s="1106" t="str">
        <f>IFERROR(AM118*(1+'7a.20YrDetails'!$F$9),"")</f>
        <v/>
      </c>
      <c r="AO118" s="1106" t="str">
        <f>IFERROR(AN118*(1+'7a.20YrDetails'!$F$9),"")</f>
        <v/>
      </c>
      <c r="AP118" s="1106" t="str">
        <f>IFERROR(AO118*(1+'7a.20YrDetails'!$F$9),"")</f>
        <v/>
      </c>
      <c r="AQ118" s="1106" t="str">
        <f>IFERROR(AP118*(1+'7a.20YrDetails'!$F$9),"")</f>
        <v/>
      </c>
      <c r="AR118" s="674"/>
      <c r="AS118" s="672"/>
      <c r="AT118" s="1732" t="str">
        <f>IF($AF118=0,0,IFERROR(($AF118+L118)/(HLOOKUP($D118,RentsUA!$B$61:$H$62,2,FALSE)),""))</f>
        <v/>
      </c>
      <c r="AU118" s="1733" t="str">
        <f>IFERROR(G118/HLOOKUP(H118,RentsUA!$B$40:$I$41,2),"")</f>
        <v/>
      </c>
      <c r="BR118" s="404" t="str">
        <f t="shared" si="40"/>
        <v/>
      </c>
      <c r="BS118" s="5" t="str">
        <f t="array" ref="BS118">IFERROR(INDEX($BR$13:$BR$412, MATCH(0, COUNTIF($BS$12:$BS117, $BR$13:$BR$412), 0)),"")</f>
        <v/>
      </c>
      <c r="BT118" s="404" t="str">
        <f t="shared" si="34"/>
        <v/>
      </c>
      <c r="BU118" s="404" t="str">
        <f t="array" ref="BU118">IFERROR(INDEX($BT$13:$BT$412, MATCH(0, COUNTIF($BU$12:$BU117, $BT$13:$BT$412), 0)),"")</f>
        <v/>
      </c>
    </row>
    <row r="119" spans="1:73" s="404" customFormat="1" ht="13.2">
      <c r="A119" s="406">
        <f t="shared" si="35"/>
        <v>107</v>
      </c>
      <c r="B119" s="472"/>
      <c r="C119" s="470"/>
      <c r="D119" s="407"/>
      <c r="E119" s="407"/>
      <c r="F119" s="408"/>
      <c r="G119" s="409"/>
      <c r="H119" s="407"/>
      <c r="I119" s="1029" t="str">
        <f>IFERROR(G119/HLOOKUP(H119,RentsUA!$B$8:$J$9,2),"")</f>
        <v/>
      </c>
      <c r="J119" s="407"/>
      <c r="K119" s="412"/>
      <c r="L119" s="672">
        <f t="shared" si="29"/>
        <v>0</v>
      </c>
      <c r="M119" s="671"/>
      <c r="N119" s="410">
        <f t="shared" si="30"/>
        <v>0</v>
      </c>
      <c r="O119" s="469" t="str">
        <f>IF($M119=0,"",IFERROR(($L119+$M119)/(HLOOKUP($D119,RentsUA!$K$12:$Q$35,19,FALSE)),""))</f>
        <v/>
      </c>
      <c r="P119" s="469" t="str">
        <f>IF($M119=0,"",IFERROR(($M119+K119+L119)/(HLOOKUP($D119,RentsUA!$K$12:$Q$35,19,FALSE)),""))</f>
        <v/>
      </c>
      <c r="Q119" s="411"/>
      <c r="R119" s="673" t="str">
        <f>IF($Q119=0,"",VLOOKUP($Q119,RentsUA!$A$12:$H$35,MATCH($D119,RentsUA!$A$12:$H$12,0),FALSE))</f>
        <v/>
      </c>
      <c r="S119" s="409"/>
      <c r="T119" s="674"/>
      <c r="U119" s="672"/>
      <c r="V119" s="673" t="str">
        <f t="shared" si="36"/>
        <v/>
      </c>
      <c r="W119" s="470"/>
      <c r="X119" s="411"/>
      <c r="Y119" s="410" t="str">
        <f>IF(X119=0,"",VLOOKUP($X119,RentsUA!$A$12:$H$35,MATCH($D119,RentsUA!$A$12:$H$12,0),FALSE))</f>
        <v/>
      </c>
      <c r="Z119" s="410" t="str">
        <f t="shared" si="31"/>
        <v/>
      </c>
      <c r="AA119" s="1297" t="str">
        <f>IF(H119="","",IF(G119/HLOOKUP($H119,RentsUA!$M$8:$T$9,2,FALSE)&gt;1,"&gt; 80%","&lt;= 80%"))</f>
        <v/>
      </c>
      <c r="AB119" s="1106"/>
      <c r="AC119" s="1106"/>
      <c r="AD119" s="622"/>
      <c r="AE119" s="412"/>
      <c r="AF119" s="807" t="str">
        <f>IF(AD119="","",IF(AD119=Lists!$U$3,M119,IF(AD119=Lists!$U$4,V119,IF(AD119=Lists!$U$5,Y119-L119,AE119))))</f>
        <v/>
      </c>
      <c r="AG119" s="410" t="str">
        <f t="shared" si="32"/>
        <v/>
      </c>
      <c r="AH119" s="469" t="str">
        <f t="shared" si="33"/>
        <v/>
      </c>
      <c r="AI119" s="469" t="str">
        <f>IF($AF119=0,0,IFERROR(($L119+$AF119)/(HLOOKUP($D119,RentsUA!$K$12:$Q$35,19,FALSE)),""))</f>
        <v/>
      </c>
      <c r="AJ119" s="469" t="str">
        <f>IF($AF119=0,0,IFERROR(($AF119+K119+L119)/(HLOOKUP($D119,RentsUA!$K$12:$Q$35,19,FALSE)),""))</f>
        <v/>
      </c>
      <c r="AK119" s="469" t="str">
        <f t="shared" si="37"/>
        <v/>
      </c>
      <c r="AL119" s="469" t="str">
        <f t="shared" si="38"/>
        <v/>
      </c>
      <c r="AM119" s="1106" t="str">
        <f t="shared" si="39"/>
        <v/>
      </c>
      <c r="AN119" s="1106" t="str">
        <f>IFERROR(AM119*(1+'7a.20YrDetails'!$F$9),"")</f>
        <v/>
      </c>
      <c r="AO119" s="1106" t="str">
        <f>IFERROR(AN119*(1+'7a.20YrDetails'!$F$9),"")</f>
        <v/>
      </c>
      <c r="AP119" s="1106" t="str">
        <f>IFERROR(AO119*(1+'7a.20YrDetails'!$F$9),"")</f>
        <v/>
      </c>
      <c r="AQ119" s="1106" t="str">
        <f>IFERROR(AP119*(1+'7a.20YrDetails'!$F$9),"")</f>
        <v/>
      </c>
      <c r="AR119" s="674"/>
      <c r="AS119" s="672"/>
      <c r="AT119" s="1732" t="str">
        <f>IF($AF119=0,0,IFERROR(($AF119+L119)/(HLOOKUP($D119,RentsUA!$B$61:$H$62,2,FALSE)),""))</f>
        <v/>
      </c>
      <c r="AU119" s="1733" t="str">
        <f>IFERROR(G119/HLOOKUP(H119,RentsUA!$B$40:$I$41,2),"")</f>
        <v/>
      </c>
      <c r="BR119" s="404" t="str">
        <f t="shared" si="40"/>
        <v/>
      </c>
      <c r="BS119" s="5" t="str">
        <f t="array" ref="BS119">IFERROR(INDEX($BR$13:$BR$412, MATCH(0, COUNTIF($BS$12:$BS118, $BR$13:$BR$412), 0)),"")</f>
        <v/>
      </c>
      <c r="BT119" s="404" t="str">
        <f t="shared" si="34"/>
        <v/>
      </c>
      <c r="BU119" s="404" t="str">
        <f t="array" ref="BU119">IFERROR(INDEX($BT$13:$BT$412, MATCH(0, COUNTIF($BU$12:$BU118, $BT$13:$BT$412), 0)),"")</f>
        <v/>
      </c>
    </row>
    <row r="120" spans="1:73" s="404" customFormat="1" ht="13.2">
      <c r="A120" s="406">
        <f t="shared" si="35"/>
        <v>108</v>
      </c>
      <c r="B120" s="472"/>
      <c r="C120" s="470"/>
      <c r="D120" s="407"/>
      <c r="E120" s="407"/>
      <c r="F120" s="408"/>
      <c r="G120" s="409"/>
      <c r="H120" s="407"/>
      <c r="I120" s="1029" t="str">
        <f>IFERROR(G120/HLOOKUP(H120,RentsUA!$B$8:$J$9,2),"")</f>
        <v/>
      </c>
      <c r="J120" s="407"/>
      <c r="K120" s="412"/>
      <c r="L120" s="672">
        <f t="shared" si="29"/>
        <v>0</v>
      </c>
      <c r="M120" s="671"/>
      <c r="N120" s="410">
        <f t="shared" si="30"/>
        <v>0</v>
      </c>
      <c r="O120" s="469" t="str">
        <f>IF($M120=0,"",IFERROR(($L120+$M120)/(HLOOKUP($D120,RentsUA!$K$12:$Q$35,19,FALSE)),""))</f>
        <v/>
      </c>
      <c r="P120" s="469" t="str">
        <f>IF($M120=0,"",IFERROR(($M120+K120+L120)/(HLOOKUP($D120,RentsUA!$K$12:$Q$35,19,FALSE)),""))</f>
        <v/>
      </c>
      <c r="Q120" s="411"/>
      <c r="R120" s="673" t="str">
        <f>IF($Q120=0,"",VLOOKUP($Q120,RentsUA!$A$12:$H$35,MATCH($D120,RentsUA!$A$12:$H$12,0),FALSE))</f>
        <v/>
      </c>
      <c r="S120" s="409"/>
      <c r="T120" s="674"/>
      <c r="U120" s="672"/>
      <c r="V120" s="673" t="str">
        <f t="shared" si="36"/>
        <v/>
      </c>
      <c r="W120" s="470"/>
      <c r="X120" s="411"/>
      <c r="Y120" s="410" t="str">
        <f>IF(X120=0,"",VLOOKUP($X120,RentsUA!$A$12:$H$35,MATCH($D120,RentsUA!$A$12:$H$12,0),FALSE))</f>
        <v/>
      </c>
      <c r="Z120" s="410" t="str">
        <f t="shared" si="31"/>
        <v/>
      </c>
      <c r="AA120" s="1297" t="str">
        <f>IF(H120="","",IF(G120/HLOOKUP($H120,RentsUA!$M$8:$T$9,2,FALSE)&gt;1,"&gt; 80%","&lt;= 80%"))</f>
        <v/>
      </c>
      <c r="AB120" s="1106"/>
      <c r="AC120" s="1106"/>
      <c r="AD120" s="622"/>
      <c r="AE120" s="412"/>
      <c r="AF120" s="807" t="str">
        <f>IF(AD120="","",IF(AD120=Lists!$U$3,M120,IF(AD120=Lists!$U$4,V120,IF(AD120=Lists!$U$5,Y120-L120,AE120))))</f>
        <v/>
      </c>
      <c r="AG120" s="410" t="str">
        <f t="shared" si="32"/>
        <v/>
      </c>
      <c r="AH120" s="469" t="str">
        <f t="shared" si="33"/>
        <v/>
      </c>
      <c r="AI120" s="469" t="str">
        <f>IF($AF120=0,0,IFERROR(($L120+$AF120)/(HLOOKUP($D120,RentsUA!$K$12:$Q$35,19,FALSE)),""))</f>
        <v/>
      </c>
      <c r="AJ120" s="469" t="str">
        <f>IF($AF120=0,0,IFERROR(($AF120+K120+L120)/(HLOOKUP($D120,RentsUA!$K$12:$Q$35,19,FALSE)),""))</f>
        <v/>
      </c>
      <c r="AK120" s="469" t="str">
        <f t="shared" si="37"/>
        <v/>
      </c>
      <c r="AL120" s="469" t="str">
        <f t="shared" si="38"/>
        <v/>
      </c>
      <c r="AM120" s="1106" t="str">
        <f t="shared" si="39"/>
        <v/>
      </c>
      <c r="AN120" s="1106" t="str">
        <f>IFERROR(AM120*(1+'7a.20YrDetails'!$F$9),"")</f>
        <v/>
      </c>
      <c r="AO120" s="1106" t="str">
        <f>IFERROR(AN120*(1+'7a.20YrDetails'!$F$9),"")</f>
        <v/>
      </c>
      <c r="AP120" s="1106" t="str">
        <f>IFERROR(AO120*(1+'7a.20YrDetails'!$F$9),"")</f>
        <v/>
      </c>
      <c r="AQ120" s="1106" t="str">
        <f>IFERROR(AP120*(1+'7a.20YrDetails'!$F$9),"")</f>
        <v/>
      </c>
      <c r="AR120" s="674"/>
      <c r="AS120" s="672"/>
      <c r="AT120" s="1732" t="str">
        <f>IF($AF120=0,0,IFERROR(($AF120+L120)/(HLOOKUP($D120,RentsUA!$B$61:$H$62,2,FALSE)),""))</f>
        <v/>
      </c>
      <c r="AU120" s="1733" t="str">
        <f>IFERROR(G120/HLOOKUP(H120,RentsUA!$B$40:$I$41,2),"")</f>
        <v/>
      </c>
      <c r="BR120" s="404" t="str">
        <f t="shared" si="40"/>
        <v/>
      </c>
      <c r="BS120" s="5" t="str">
        <f t="array" ref="BS120">IFERROR(INDEX($BR$13:$BR$412, MATCH(0, COUNTIF($BS$12:$BS119, $BR$13:$BR$412), 0)),"")</f>
        <v/>
      </c>
      <c r="BT120" s="404" t="str">
        <f t="shared" si="34"/>
        <v/>
      </c>
      <c r="BU120" s="404" t="str">
        <f t="array" ref="BU120">IFERROR(INDEX($BT$13:$BT$412, MATCH(0, COUNTIF($BU$12:$BU119, $BT$13:$BT$412), 0)),"")</f>
        <v/>
      </c>
    </row>
    <row r="121" spans="1:73" s="404" customFormat="1" ht="13.2">
      <c r="A121" s="406">
        <f t="shared" si="35"/>
        <v>109</v>
      </c>
      <c r="B121" s="472"/>
      <c r="C121" s="470"/>
      <c r="D121" s="407"/>
      <c r="E121" s="407"/>
      <c r="F121" s="408"/>
      <c r="G121" s="409"/>
      <c r="H121" s="407"/>
      <c r="I121" s="1029" t="str">
        <f>IFERROR(G121/HLOOKUP(H121,RentsUA!$B$8:$J$9,2),"")</f>
        <v/>
      </c>
      <c r="J121" s="407"/>
      <c r="K121" s="412"/>
      <c r="L121" s="672">
        <f t="shared" si="29"/>
        <v>0</v>
      </c>
      <c r="M121" s="671"/>
      <c r="N121" s="410">
        <f t="shared" si="30"/>
        <v>0</v>
      </c>
      <c r="O121" s="469" t="str">
        <f>IF($M121=0,"",IFERROR(($L121+$M121)/(HLOOKUP($D121,RentsUA!$K$12:$Q$35,19,FALSE)),""))</f>
        <v/>
      </c>
      <c r="P121" s="469" t="str">
        <f>IF($M121=0,"",IFERROR(($M121+K121+L121)/(HLOOKUP($D121,RentsUA!$K$12:$Q$35,19,FALSE)),""))</f>
        <v/>
      </c>
      <c r="Q121" s="411"/>
      <c r="R121" s="673" t="str">
        <f>IF($Q121=0,"",VLOOKUP($Q121,RentsUA!$A$12:$H$35,MATCH($D121,RentsUA!$A$12:$H$12,0),FALSE))</f>
        <v/>
      </c>
      <c r="S121" s="409"/>
      <c r="T121" s="674"/>
      <c r="U121" s="672"/>
      <c r="V121" s="673" t="str">
        <f t="shared" si="36"/>
        <v/>
      </c>
      <c r="W121" s="470"/>
      <c r="X121" s="411"/>
      <c r="Y121" s="410" t="str">
        <f>IF(X121=0,"",VLOOKUP($X121,RentsUA!$A$12:$H$35,MATCH($D121,RentsUA!$A$12:$H$12,0),FALSE))</f>
        <v/>
      </c>
      <c r="Z121" s="410" t="str">
        <f t="shared" si="31"/>
        <v/>
      </c>
      <c r="AA121" s="1297" t="str">
        <f>IF(H121="","",IF(G121/HLOOKUP($H121,RentsUA!$M$8:$T$9,2,FALSE)&gt;1,"&gt; 80%","&lt;= 80%"))</f>
        <v/>
      </c>
      <c r="AB121" s="1106"/>
      <c r="AC121" s="1106"/>
      <c r="AD121" s="622"/>
      <c r="AE121" s="412"/>
      <c r="AF121" s="807" t="str">
        <f>IF(AD121="","",IF(AD121=Lists!$U$3,M121,IF(AD121=Lists!$U$4,V121,IF(AD121=Lists!$U$5,Y121-L121,AE121))))</f>
        <v/>
      </c>
      <c r="AG121" s="410" t="str">
        <f t="shared" si="32"/>
        <v/>
      </c>
      <c r="AH121" s="469" t="str">
        <f t="shared" si="33"/>
        <v/>
      </c>
      <c r="AI121" s="469" t="str">
        <f>IF($AF121=0,0,IFERROR(($L121+$AF121)/(HLOOKUP($D121,RentsUA!$K$12:$Q$35,19,FALSE)),""))</f>
        <v/>
      </c>
      <c r="AJ121" s="469" t="str">
        <f>IF($AF121=0,0,IFERROR(($AF121+K121+L121)/(HLOOKUP($D121,RentsUA!$K$12:$Q$35,19,FALSE)),""))</f>
        <v/>
      </c>
      <c r="AK121" s="469" t="str">
        <f t="shared" si="37"/>
        <v/>
      </c>
      <c r="AL121" s="469" t="str">
        <f t="shared" si="38"/>
        <v/>
      </c>
      <c r="AM121" s="1106" t="str">
        <f t="shared" si="39"/>
        <v/>
      </c>
      <c r="AN121" s="1106" t="str">
        <f>IFERROR(AM121*(1+'7a.20YrDetails'!$F$9),"")</f>
        <v/>
      </c>
      <c r="AO121" s="1106" t="str">
        <f>IFERROR(AN121*(1+'7a.20YrDetails'!$F$9),"")</f>
        <v/>
      </c>
      <c r="AP121" s="1106" t="str">
        <f>IFERROR(AO121*(1+'7a.20YrDetails'!$F$9),"")</f>
        <v/>
      </c>
      <c r="AQ121" s="1106" t="str">
        <f>IFERROR(AP121*(1+'7a.20YrDetails'!$F$9),"")</f>
        <v/>
      </c>
      <c r="AR121" s="674"/>
      <c r="AS121" s="672"/>
      <c r="AT121" s="1732" t="str">
        <f>IF($AF121=0,0,IFERROR(($AF121+L121)/(HLOOKUP($D121,RentsUA!$B$61:$H$62,2,FALSE)),""))</f>
        <v/>
      </c>
      <c r="AU121" s="1733" t="str">
        <f>IFERROR(G121/HLOOKUP(H121,RentsUA!$B$40:$I$41,2),"")</f>
        <v/>
      </c>
      <c r="BR121" s="404" t="str">
        <f t="shared" si="40"/>
        <v/>
      </c>
      <c r="BS121" s="5" t="str">
        <f t="array" ref="BS121">IFERROR(INDEX($BR$13:$BR$412, MATCH(0, COUNTIF($BS$12:$BS120, $BR$13:$BR$412), 0)),"")</f>
        <v/>
      </c>
      <c r="BT121" s="404" t="str">
        <f t="shared" si="34"/>
        <v/>
      </c>
      <c r="BU121" s="404" t="str">
        <f t="array" ref="BU121">IFERROR(INDEX($BT$13:$BT$412, MATCH(0, COUNTIF($BU$12:$BU120, $BT$13:$BT$412), 0)),"")</f>
        <v/>
      </c>
    </row>
    <row r="122" spans="1:73" s="404" customFormat="1" ht="13.2">
      <c r="A122" s="406">
        <f t="shared" si="35"/>
        <v>110</v>
      </c>
      <c r="B122" s="472"/>
      <c r="C122" s="470"/>
      <c r="D122" s="407"/>
      <c r="E122" s="407"/>
      <c r="F122" s="408"/>
      <c r="G122" s="409"/>
      <c r="H122" s="407"/>
      <c r="I122" s="1029" t="str">
        <f>IFERROR(G122/HLOOKUP(H122,RentsUA!$B$8:$J$9,2),"")</f>
        <v/>
      </c>
      <c r="J122" s="407"/>
      <c r="K122" s="412"/>
      <c r="L122" s="672">
        <f t="shared" si="29"/>
        <v>0</v>
      </c>
      <c r="M122" s="671"/>
      <c r="N122" s="410">
        <f t="shared" si="30"/>
        <v>0</v>
      </c>
      <c r="O122" s="469" t="str">
        <f>IF($M122=0,"",IFERROR(($L122+$M122)/(HLOOKUP($D122,RentsUA!$K$12:$Q$35,19,FALSE)),""))</f>
        <v/>
      </c>
      <c r="P122" s="469" t="str">
        <f>IF($M122=0,"",IFERROR(($M122+K122+L122)/(HLOOKUP($D122,RentsUA!$K$12:$Q$35,19,FALSE)),""))</f>
        <v/>
      </c>
      <c r="Q122" s="411"/>
      <c r="R122" s="673" t="str">
        <f>IF($Q122=0,"",VLOOKUP($Q122,RentsUA!$A$12:$H$35,MATCH($D122,RentsUA!$A$12:$H$12,0),FALSE))</f>
        <v/>
      </c>
      <c r="S122" s="409"/>
      <c r="T122" s="674"/>
      <c r="U122" s="672"/>
      <c r="V122" s="673" t="str">
        <f t="shared" si="36"/>
        <v/>
      </c>
      <c r="W122" s="470"/>
      <c r="X122" s="411"/>
      <c r="Y122" s="410" t="str">
        <f>IF(X122=0,"",VLOOKUP($X122,RentsUA!$A$12:$H$35,MATCH($D122,RentsUA!$A$12:$H$12,0),FALSE))</f>
        <v/>
      </c>
      <c r="Z122" s="410" t="str">
        <f t="shared" si="31"/>
        <v/>
      </c>
      <c r="AA122" s="1297" t="str">
        <f>IF(H122="","",IF(G122/HLOOKUP($H122,RentsUA!$M$8:$T$9,2,FALSE)&gt;1,"&gt; 80%","&lt;= 80%"))</f>
        <v/>
      </c>
      <c r="AB122" s="1106"/>
      <c r="AC122" s="1106"/>
      <c r="AD122" s="622"/>
      <c r="AE122" s="412"/>
      <c r="AF122" s="807" t="str">
        <f>IF(AD122="","",IF(AD122=Lists!$U$3,M122,IF(AD122=Lists!$U$4,V122,IF(AD122=Lists!$U$5,Y122-L122,AE122))))</f>
        <v/>
      </c>
      <c r="AG122" s="410" t="str">
        <f t="shared" si="32"/>
        <v/>
      </c>
      <c r="AH122" s="469" t="str">
        <f t="shared" si="33"/>
        <v/>
      </c>
      <c r="AI122" s="469" t="str">
        <f>IF($AF122=0,0,IFERROR(($L122+$AF122)/(HLOOKUP($D122,RentsUA!$K$12:$Q$35,19,FALSE)),""))</f>
        <v/>
      </c>
      <c r="AJ122" s="469" t="str">
        <f>IF($AF122=0,0,IFERROR(($AF122+K122+L122)/(HLOOKUP($D122,RentsUA!$K$12:$Q$35,19,FALSE)),""))</f>
        <v/>
      </c>
      <c r="AK122" s="469" t="str">
        <f t="shared" si="37"/>
        <v/>
      </c>
      <c r="AL122" s="469" t="str">
        <f t="shared" si="38"/>
        <v/>
      </c>
      <c r="AM122" s="1106" t="str">
        <f t="shared" si="39"/>
        <v/>
      </c>
      <c r="AN122" s="1106" t="str">
        <f>IFERROR(AM122*(1+'7a.20YrDetails'!$F$9),"")</f>
        <v/>
      </c>
      <c r="AO122" s="1106" t="str">
        <f>IFERROR(AN122*(1+'7a.20YrDetails'!$F$9),"")</f>
        <v/>
      </c>
      <c r="AP122" s="1106" t="str">
        <f>IFERROR(AO122*(1+'7a.20YrDetails'!$F$9),"")</f>
        <v/>
      </c>
      <c r="AQ122" s="1106" t="str">
        <f>IFERROR(AP122*(1+'7a.20YrDetails'!$F$9),"")</f>
        <v/>
      </c>
      <c r="AR122" s="674"/>
      <c r="AS122" s="672"/>
      <c r="AT122" s="1732" t="str">
        <f>IF($AF122=0,0,IFERROR(($AF122+L122)/(HLOOKUP($D122,RentsUA!$B$61:$H$62,2,FALSE)),""))</f>
        <v/>
      </c>
      <c r="AU122" s="1733" t="str">
        <f>IFERROR(G122/HLOOKUP(H122,RentsUA!$B$40:$I$41,2),"")</f>
        <v/>
      </c>
      <c r="BR122" s="404" t="str">
        <f t="shared" si="40"/>
        <v/>
      </c>
      <c r="BS122" s="5" t="str">
        <f t="array" ref="BS122">IFERROR(INDEX($BR$13:$BR$412, MATCH(0, COUNTIF($BS$12:$BS121, $BR$13:$BR$412), 0)),"")</f>
        <v/>
      </c>
      <c r="BT122" s="404" t="str">
        <f t="shared" si="34"/>
        <v/>
      </c>
      <c r="BU122" s="404" t="str">
        <f t="array" ref="BU122">IFERROR(INDEX($BT$13:$BT$412, MATCH(0, COUNTIF($BU$12:$BU121, $BT$13:$BT$412), 0)),"")</f>
        <v/>
      </c>
    </row>
    <row r="123" spans="1:73" s="404" customFormat="1" ht="13.2">
      <c r="A123" s="406">
        <f t="shared" si="35"/>
        <v>111</v>
      </c>
      <c r="B123" s="472"/>
      <c r="C123" s="470"/>
      <c r="D123" s="407"/>
      <c r="E123" s="407"/>
      <c r="F123" s="408"/>
      <c r="G123" s="409"/>
      <c r="H123" s="407"/>
      <c r="I123" s="1029" t="str">
        <f>IFERROR(G123/HLOOKUP(H123,RentsUA!$B$8:$J$9,2),"")</f>
        <v/>
      </c>
      <c r="J123" s="407"/>
      <c r="K123" s="412"/>
      <c r="L123" s="672">
        <f t="shared" si="29"/>
        <v>0</v>
      </c>
      <c r="M123" s="671"/>
      <c r="N123" s="410">
        <f t="shared" si="30"/>
        <v>0</v>
      </c>
      <c r="O123" s="469" t="str">
        <f>IF($M123=0,"",IFERROR(($L123+$M123)/(HLOOKUP($D123,RentsUA!$K$12:$Q$35,19,FALSE)),""))</f>
        <v/>
      </c>
      <c r="P123" s="469" t="str">
        <f>IF($M123=0,"",IFERROR(($M123+K123+L123)/(HLOOKUP($D123,RentsUA!$K$12:$Q$35,19,FALSE)),""))</f>
        <v/>
      </c>
      <c r="Q123" s="411"/>
      <c r="R123" s="673" t="str">
        <f>IF($Q123=0,"",VLOOKUP($Q123,RentsUA!$A$12:$H$35,MATCH($D123,RentsUA!$A$12:$H$12,0),FALSE))</f>
        <v/>
      </c>
      <c r="S123" s="409"/>
      <c r="T123" s="674"/>
      <c r="U123" s="672"/>
      <c r="V123" s="673" t="str">
        <f t="shared" si="36"/>
        <v/>
      </c>
      <c r="W123" s="470"/>
      <c r="X123" s="411"/>
      <c r="Y123" s="410" t="str">
        <f>IF(X123=0,"",VLOOKUP($X123,RentsUA!$A$12:$H$35,MATCH($D123,RentsUA!$A$12:$H$12,0),FALSE))</f>
        <v/>
      </c>
      <c r="Z123" s="410" t="str">
        <f t="shared" si="31"/>
        <v/>
      </c>
      <c r="AA123" s="1297" t="str">
        <f>IF(H123="","",IF(G123/HLOOKUP($H123,RentsUA!$M$8:$T$9,2,FALSE)&gt;1,"&gt; 80%","&lt;= 80%"))</f>
        <v/>
      </c>
      <c r="AB123" s="1106"/>
      <c r="AC123" s="1106"/>
      <c r="AD123" s="622"/>
      <c r="AE123" s="412"/>
      <c r="AF123" s="807" t="str">
        <f>IF(AD123="","",IF(AD123=Lists!$U$3,M123,IF(AD123=Lists!$U$4,V123,IF(AD123=Lists!$U$5,Y123-L123,AE123))))</f>
        <v/>
      </c>
      <c r="AG123" s="410" t="str">
        <f t="shared" si="32"/>
        <v/>
      </c>
      <c r="AH123" s="469" t="str">
        <f t="shared" si="33"/>
        <v/>
      </c>
      <c r="AI123" s="469" t="str">
        <f>IF($AF123=0,0,IFERROR(($L123+$AF123)/(HLOOKUP($D123,RentsUA!$K$12:$Q$35,19,FALSE)),""))</f>
        <v/>
      </c>
      <c r="AJ123" s="469" t="str">
        <f>IF($AF123=0,0,IFERROR(($AF123+K123+L123)/(HLOOKUP($D123,RentsUA!$K$12:$Q$35,19,FALSE)),""))</f>
        <v/>
      </c>
      <c r="AK123" s="469" t="str">
        <f t="shared" si="37"/>
        <v/>
      </c>
      <c r="AL123" s="469" t="str">
        <f t="shared" si="38"/>
        <v/>
      </c>
      <c r="AM123" s="1106" t="str">
        <f t="shared" si="39"/>
        <v/>
      </c>
      <c r="AN123" s="1106" t="str">
        <f>IFERROR(AM123*(1+'7a.20YrDetails'!$F$9),"")</f>
        <v/>
      </c>
      <c r="AO123" s="1106" t="str">
        <f>IFERROR(AN123*(1+'7a.20YrDetails'!$F$9),"")</f>
        <v/>
      </c>
      <c r="AP123" s="1106" t="str">
        <f>IFERROR(AO123*(1+'7a.20YrDetails'!$F$9),"")</f>
        <v/>
      </c>
      <c r="AQ123" s="1106" t="str">
        <f>IFERROR(AP123*(1+'7a.20YrDetails'!$F$9),"")</f>
        <v/>
      </c>
      <c r="AR123" s="674"/>
      <c r="AS123" s="672"/>
      <c r="AT123" s="1732" t="str">
        <f>IF($AF123=0,0,IFERROR(($AF123+L123)/(HLOOKUP($D123,RentsUA!$B$61:$H$62,2,FALSE)),""))</f>
        <v/>
      </c>
      <c r="AU123" s="1733" t="str">
        <f>IFERROR(G123/HLOOKUP(H123,RentsUA!$B$40:$I$41,2),"")</f>
        <v/>
      </c>
      <c r="BR123" s="404" t="str">
        <f t="shared" si="40"/>
        <v/>
      </c>
      <c r="BS123" s="5" t="str">
        <f t="array" ref="BS123">IFERROR(INDEX($BR$13:$BR$412, MATCH(0, COUNTIF($BS$12:$BS122, $BR$13:$BR$412), 0)),"")</f>
        <v/>
      </c>
      <c r="BT123" s="404" t="str">
        <f t="shared" si="34"/>
        <v/>
      </c>
      <c r="BU123" s="404" t="str">
        <f t="array" ref="BU123">IFERROR(INDEX($BT$13:$BT$412, MATCH(0, COUNTIF($BU$12:$BU122, $BT$13:$BT$412), 0)),"")</f>
        <v/>
      </c>
    </row>
    <row r="124" spans="1:73" s="404" customFormat="1" ht="13.2">
      <c r="A124" s="406">
        <f t="shared" si="35"/>
        <v>112</v>
      </c>
      <c r="B124" s="472"/>
      <c r="C124" s="470"/>
      <c r="D124" s="407"/>
      <c r="E124" s="407"/>
      <c r="F124" s="408"/>
      <c r="G124" s="409"/>
      <c r="H124" s="407"/>
      <c r="I124" s="1029" t="str">
        <f>IFERROR(G124/HLOOKUP(H124,RentsUA!$B$8:$J$9,2),"")</f>
        <v/>
      </c>
      <c r="J124" s="407"/>
      <c r="K124" s="412"/>
      <c r="L124" s="672">
        <f t="shared" si="29"/>
        <v>0</v>
      </c>
      <c r="M124" s="671"/>
      <c r="N124" s="410">
        <f t="shared" si="30"/>
        <v>0</v>
      </c>
      <c r="O124" s="469" t="str">
        <f>IF($M124=0,"",IFERROR(($L124+$M124)/(HLOOKUP($D124,RentsUA!$K$12:$Q$35,19,FALSE)),""))</f>
        <v/>
      </c>
      <c r="P124" s="469" t="str">
        <f>IF($M124=0,"",IFERROR(($M124+K124+L124)/(HLOOKUP($D124,RentsUA!$K$12:$Q$35,19,FALSE)),""))</f>
        <v/>
      </c>
      <c r="Q124" s="411"/>
      <c r="R124" s="673" t="str">
        <f>IF($Q124=0,"",VLOOKUP($Q124,RentsUA!$A$12:$H$35,MATCH($D124,RentsUA!$A$12:$H$12,0),FALSE))</f>
        <v/>
      </c>
      <c r="S124" s="409"/>
      <c r="T124" s="674"/>
      <c r="U124" s="672"/>
      <c r="V124" s="673" t="str">
        <f t="shared" si="36"/>
        <v/>
      </c>
      <c r="W124" s="470"/>
      <c r="X124" s="411"/>
      <c r="Y124" s="410" t="str">
        <f>IF(X124=0,"",VLOOKUP($X124,RentsUA!$A$12:$H$35,MATCH($D124,RentsUA!$A$12:$H$12,0),FALSE))</f>
        <v/>
      </c>
      <c r="Z124" s="410" t="str">
        <f t="shared" si="31"/>
        <v/>
      </c>
      <c r="AA124" s="1297" t="str">
        <f>IF(H124="","",IF(G124/HLOOKUP($H124,RentsUA!$M$8:$T$9,2,FALSE)&gt;1,"&gt; 80%","&lt;= 80%"))</f>
        <v/>
      </c>
      <c r="AB124" s="1106"/>
      <c r="AC124" s="1106"/>
      <c r="AD124" s="622"/>
      <c r="AE124" s="412"/>
      <c r="AF124" s="807" t="str">
        <f>IF(AD124="","",IF(AD124=Lists!$U$3,M124,IF(AD124=Lists!$U$4,V124,IF(AD124=Lists!$U$5,Y124-L124,AE124))))</f>
        <v/>
      </c>
      <c r="AG124" s="410" t="str">
        <f t="shared" si="32"/>
        <v/>
      </c>
      <c r="AH124" s="469" t="str">
        <f t="shared" si="33"/>
        <v/>
      </c>
      <c r="AI124" s="469" t="str">
        <f>IF($AF124=0,0,IFERROR(($L124+$AF124)/(HLOOKUP($D124,RentsUA!$K$12:$Q$35,19,FALSE)),""))</f>
        <v/>
      </c>
      <c r="AJ124" s="469" t="str">
        <f>IF($AF124=0,0,IFERROR(($AF124+K124+L124)/(HLOOKUP($D124,RentsUA!$K$12:$Q$35,19,FALSE)),""))</f>
        <v/>
      </c>
      <c r="AK124" s="469" t="str">
        <f t="shared" si="37"/>
        <v/>
      </c>
      <c r="AL124" s="469" t="str">
        <f t="shared" si="38"/>
        <v/>
      </c>
      <c r="AM124" s="1106" t="str">
        <f t="shared" si="39"/>
        <v/>
      </c>
      <c r="AN124" s="1106" t="str">
        <f>IFERROR(AM124*(1+'7a.20YrDetails'!$F$9),"")</f>
        <v/>
      </c>
      <c r="AO124" s="1106" t="str">
        <f>IFERROR(AN124*(1+'7a.20YrDetails'!$F$9),"")</f>
        <v/>
      </c>
      <c r="AP124" s="1106" t="str">
        <f>IFERROR(AO124*(1+'7a.20YrDetails'!$F$9),"")</f>
        <v/>
      </c>
      <c r="AQ124" s="1106" t="str">
        <f>IFERROR(AP124*(1+'7a.20YrDetails'!$F$9),"")</f>
        <v/>
      </c>
      <c r="AR124" s="674"/>
      <c r="AS124" s="672"/>
      <c r="AT124" s="1732" t="str">
        <f>IF($AF124=0,0,IFERROR(($AF124+L124)/(HLOOKUP($D124,RentsUA!$B$61:$H$62,2,FALSE)),""))</f>
        <v/>
      </c>
      <c r="AU124" s="1733" t="str">
        <f>IFERROR(G124/HLOOKUP(H124,RentsUA!$B$40:$I$41,2),"")</f>
        <v/>
      </c>
      <c r="BR124" s="404" t="str">
        <f t="shared" si="40"/>
        <v/>
      </c>
      <c r="BS124" s="5" t="str">
        <f t="array" ref="BS124">IFERROR(INDEX($BR$13:$BR$412, MATCH(0, COUNTIF($BS$12:$BS123, $BR$13:$BR$412), 0)),"")</f>
        <v/>
      </c>
      <c r="BT124" s="404" t="str">
        <f t="shared" si="34"/>
        <v/>
      </c>
      <c r="BU124" s="404" t="str">
        <f t="array" ref="BU124">IFERROR(INDEX($BT$13:$BT$412, MATCH(0, COUNTIF($BU$12:$BU123, $BT$13:$BT$412), 0)),"")</f>
        <v/>
      </c>
    </row>
    <row r="125" spans="1:73" s="404" customFormat="1" ht="13.2">
      <c r="A125" s="406">
        <f t="shared" si="35"/>
        <v>113</v>
      </c>
      <c r="B125" s="472"/>
      <c r="C125" s="470"/>
      <c r="D125" s="407"/>
      <c r="E125" s="407"/>
      <c r="F125" s="408"/>
      <c r="G125" s="409"/>
      <c r="H125" s="407"/>
      <c r="I125" s="1029" t="str">
        <f>IFERROR(G125/HLOOKUP(H125,RentsUA!$B$8:$J$9,2),"")</f>
        <v/>
      </c>
      <c r="J125" s="407"/>
      <c r="K125" s="412"/>
      <c r="L125" s="672">
        <f t="shared" si="29"/>
        <v>0</v>
      </c>
      <c r="M125" s="671"/>
      <c r="N125" s="410">
        <f t="shared" si="30"/>
        <v>0</v>
      </c>
      <c r="O125" s="469" t="str">
        <f>IF($M125=0,"",IFERROR(($L125+$M125)/(HLOOKUP($D125,RentsUA!$K$12:$Q$35,19,FALSE)),""))</f>
        <v/>
      </c>
      <c r="P125" s="469" t="str">
        <f>IF($M125=0,"",IFERROR(($M125+K125+L125)/(HLOOKUP($D125,RentsUA!$K$12:$Q$35,19,FALSE)),""))</f>
        <v/>
      </c>
      <c r="Q125" s="411"/>
      <c r="R125" s="673" t="str">
        <f>IF($Q125=0,"",VLOOKUP($Q125,RentsUA!$A$12:$H$35,MATCH($D125,RentsUA!$A$12:$H$12,0),FALSE))</f>
        <v/>
      </c>
      <c r="S125" s="409"/>
      <c r="T125" s="674"/>
      <c r="U125" s="672"/>
      <c r="V125" s="673" t="str">
        <f t="shared" si="36"/>
        <v/>
      </c>
      <c r="W125" s="470"/>
      <c r="X125" s="411"/>
      <c r="Y125" s="410" t="str">
        <f>IF(X125=0,"",VLOOKUP($X125,RentsUA!$A$12:$H$35,MATCH($D125,RentsUA!$A$12:$H$12,0),FALSE))</f>
        <v/>
      </c>
      <c r="Z125" s="410" t="str">
        <f t="shared" si="31"/>
        <v/>
      </c>
      <c r="AA125" s="1297" t="str">
        <f>IF(H125="","",IF(G125/HLOOKUP($H125,RentsUA!$M$8:$T$9,2,FALSE)&gt;1,"&gt; 80%","&lt;= 80%"))</f>
        <v/>
      </c>
      <c r="AB125" s="1106"/>
      <c r="AC125" s="1106"/>
      <c r="AD125" s="622"/>
      <c r="AE125" s="412"/>
      <c r="AF125" s="807" t="str">
        <f>IF(AD125="","",IF(AD125=Lists!$U$3,M125,IF(AD125=Lists!$U$4,V125,IF(AD125=Lists!$U$5,Y125-L125,AE125))))</f>
        <v/>
      </c>
      <c r="AG125" s="410" t="str">
        <f t="shared" si="32"/>
        <v/>
      </c>
      <c r="AH125" s="469" t="str">
        <f t="shared" si="33"/>
        <v/>
      </c>
      <c r="AI125" s="469" t="str">
        <f>IF($AF125=0,0,IFERROR(($L125+$AF125)/(HLOOKUP($D125,RentsUA!$K$12:$Q$35,19,FALSE)),""))</f>
        <v/>
      </c>
      <c r="AJ125" s="469" t="str">
        <f>IF($AF125=0,0,IFERROR(($AF125+K125+L125)/(HLOOKUP($D125,RentsUA!$K$12:$Q$35,19,FALSE)),""))</f>
        <v/>
      </c>
      <c r="AK125" s="469" t="str">
        <f t="shared" si="37"/>
        <v/>
      </c>
      <c r="AL125" s="469" t="str">
        <f t="shared" si="38"/>
        <v/>
      </c>
      <c r="AM125" s="1106" t="str">
        <f t="shared" si="39"/>
        <v/>
      </c>
      <c r="AN125" s="1106" t="str">
        <f>IFERROR(AM125*(1+'7a.20YrDetails'!$F$9),"")</f>
        <v/>
      </c>
      <c r="AO125" s="1106" t="str">
        <f>IFERROR(AN125*(1+'7a.20YrDetails'!$F$9),"")</f>
        <v/>
      </c>
      <c r="AP125" s="1106" t="str">
        <f>IFERROR(AO125*(1+'7a.20YrDetails'!$F$9),"")</f>
        <v/>
      </c>
      <c r="AQ125" s="1106" t="str">
        <f>IFERROR(AP125*(1+'7a.20YrDetails'!$F$9),"")</f>
        <v/>
      </c>
      <c r="AR125" s="674"/>
      <c r="AS125" s="672"/>
      <c r="AT125" s="1732" t="str">
        <f>IF($AF125=0,0,IFERROR(($AF125+L125)/(HLOOKUP($D125,RentsUA!$B$61:$H$62,2,FALSE)),""))</f>
        <v/>
      </c>
      <c r="AU125" s="1733" t="str">
        <f>IFERROR(G125/HLOOKUP(H125,RentsUA!$B$40:$I$41,2),"")</f>
        <v/>
      </c>
      <c r="BR125" s="404" t="str">
        <f t="shared" si="40"/>
        <v/>
      </c>
      <c r="BS125" s="5" t="str">
        <f t="array" ref="BS125">IFERROR(INDEX($BR$13:$BR$412, MATCH(0, COUNTIF($BS$12:$BS124, $BR$13:$BR$412), 0)),"")</f>
        <v/>
      </c>
      <c r="BT125" s="404" t="str">
        <f t="shared" si="34"/>
        <v/>
      </c>
      <c r="BU125" s="404" t="str">
        <f t="array" ref="BU125">IFERROR(INDEX($BT$13:$BT$412, MATCH(0, COUNTIF($BU$12:$BU124, $BT$13:$BT$412), 0)),"")</f>
        <v/>
      </c>
    </row>
    <row r="126" spans="1:73" s="404" customFormat="1" ht="13.2">
      <c r="A126" s="406">
        <f t="shared" si="35"/>
        <v>114</v>
      </c>
      <c r="B126" s="472"/>
      <c r="C126" s="470"/>
      <c r="D126" s="407"/>
      <c r="E126" s="407"/>
      <c r="F126" s="408"/>
      <c r="G126" s="409"/>
      <c r="H126" s="407"/>
      <c r="I126" s="1029" t="str">
        <f>IFERROR(G126/HLOOKUP(H126,RentsUA!$B$8:$J$9,2),"")</f>
        <v/>
      </c>
      <c r="J126" s="407"/>
      <c r="K126" s="412"/>
      <c r="L126" s="672">
        <f t="shared" si="29"/>
        <v>0</v>
      </c>
      <c r="M126" s="671"/>
      <c r="N126" s="410">
        <f t="shared" si="30"/>
        <v>0</v>
      </c>
      <c r="O126" s="469" t="str">
        <f>IF($M126=0,"",IFERROR(($L126+$M126)/(HLOOKUP($D126,RentsUA!$K$12:$Q$35,19,FALSE)),""))</f>
        <v/>
      </c>
      <c r="P126" s="469" t="str">
        <f>IF($M126=0,"",IFERROR(($M126+K126+L126)/(HLOOKUP($D126,RentsUA!$K$12:$Q$35,19,FALSE)),""))</f>
        <v/>
      </c>
      <c r="Q126" s="411"/>
      <c r="R126" s="673" t="str">
        <f>IF($Q126=0,"",VLOOKUP($Q126,RentsUA!$A$12:$H$35,MATCH($D126,RentsUA!$A$12:$H$12,0),FALSE))</f>
        <v/>
      </c>
      <c r="S126" s="409"/>
      <c r="T126" s="674"/>
      <c r="U126" s="672"/>
      <c r="V126" s="673" t="str">
        <f t="shared" si="36"/>
        <v/>
      </c>
      <c r="W126" s="470"/>
      <c r="X126" s="411"/>
      <c r="Y126" s="410" t="str">
        <f>IF(X126=0,"",VLOOKUP($X126,RentsUA!$A$12:$H$35,MATCH($D126,RentsUA!$A$12:$H$12,0),FALSE))</f>
        <v/>
      </c>
      <c r="Z126" s="410" t="str">
        <f t="shared" si="31"/>
        <v/>
      </c>
      <c r="AA126" s="1297" t="str">
        <f>IF(H126="","",IF(G126/HLOOKUP($H126,RentsUA!$M$8:$T$9,2,FALSE)&gt;1,"&gt; 80%","&lt;= 80%"))</f>
        <v/>
      </c>
      <c r="AB126" s="1106"/>
      <c r="AC126" s="1106"/>
      <c r="AD126" s="622"/>
      <c r="AE126" s="412"/>
      <c r="AF126" s="807" t="str">
        <f>IF(AD126="","",IF(AD126=Lists!$U$3,M126,IF(AD126=Lists!$U$4,V126,IF(AD126=Lists!$U$5,Y126-L126,AE126))))</f>
        <v/>
      </c>
      <c r="AG126" s="410" t="str">
        <f t="shared" si="32"/>
        <v/>
      </c>
      <c r="AH126" s="469" t="str">
        <f t="shared" si="33"/>
        <v/>
      </c>
      <c r="AI126" s="469" t="str">
        <f>IF($AF126=0,0,IFERROR(($L126+$AF126)/(HLOOKUP($D126,RentsUA!$K$12:$Q$35,19,FALSE)),""))</f>
        <v/>
      </c>
      <c r="AJ126" s="469" t="str">
        <f>IF($AF126=0,0,IFERROR(($AF126+K126+L126)/(HLOOKUP($D126,RentsUA!$K$12:$Q$35,19,FALSE)),""))</f>
        <v/>
      </c>
      <c r="AK126" s="469" t="str">
        <f t="shared" si="37"/>
        <v/>
      </c>
      <c r="AL126" s="469" t="str">
        <f t="shared" si="38"/>
        <v/>
      </c>
      <c r="AM126" s="1106" t="str">
        <f t="shared" si="39"/>
        <v/>
      </c>
      <c r="AN126" s="1106" t="str">
        <f>IFERROR(AM126*(1+'7a.20YrDetails'!$F$9),"")</f>
        <v/>
      </c>
      <c r="AO126" s="1106" t="str">
        <f>IFERROR(AN126*(1+'7a.20YrDetails'!$F$9),"")</f>
        <v/>
      </c>
      <c r="AP126" s="1106" t="str">
        <f>IFERROR(AO126*(1+'7a.20YrDetails'!$F$9),"")</f>
        <v/>
      </c>
      <c r="AQ126" s="1106" t="str">
        <f>IFERROR(AP126*(1+'7a.20YrDetails'!$F$9),"")</f>
        <v/>
      </c>
      <c r="AR126" s="674"/>
      <c r="AS126" s="672"/>
      <c r="AT126" s="1732" t="str">
        <f>IF($AF126=0,0,IFERROR(($AF126+L126)/(HLOOKUP($D126,RentsUA!$B$61:$H$62,2,FALSE)),""))</f>
        <v/>
      </c>
      <c r="AU126" s="1733" t="str">
        <f>IFERROR(G126/HLOOKUP(H126,RentsUA!$B$40:$I$41,2),"")</f>
        <v/>
      </c>
      <c r="BR126" s="404" t="str">
        <f t="shared" si="40"/>
        <v/>
      </c>
      <c r="BS126" s="5" t="str">
        <f t="array" ref="BS126">IFERROR(INDEX($BR$13:$BR$412, MATCH(0, COUNTIF($BS$12:$BS125, $BR$13:$BR$412), 0)),"")</f>
        <v/>
      </c>
      <c r="BT126" s="404" t="str">
        <f t="shared" si="34"/>
        <v/>
      </c>
      <c r="BU126" s="404" t="str">
        <f t="array" ref="BU126">IFERROR(INDEX($BT$13:$BT$412, MATCH(0, COUNTIF($BU$12:$BU125, $BT$13:$BT$412), 0)),"")</f>
        <v/>
      </c>
    </row>
    <row r="127" spans="1:73" s="404" customFormat="1" ht="13.2">
      <c r="A127" s="406">
        <f t="shared" si="35"/>
        <v>115</v>
      </c>
      <c r="B127" s="472"/>
      <c r="C127" s="470"/>
      <c r="D127" s="407"/>
      <c r="E127" s="407"/>
      <c r="F127" s="408"/>
      <c r="G127" s="409"/>
      <c r="H127" s="407"/>
      <c r="I127" s="1029" t="str">
        <f>IFERROR(G127/HLOOKUP(H127,RentsUA!$B$8:$J$9,2),"")</f>
        <v/>
      </c>
      <c r="J127" s="407"/>
      <c r="K127" s="412"/>
      <c r="L127" s="672">
        <f t="shared" si="29"/>
        <v>0</v>
      </c>
      <c r="M127" s="671"/>
      <c r="N127" s="410">
        <f t="shared" si="30"/>
        <v>0</v>
      </c>
      <c r="O127" s="469" t="str">
        <f>IF($M127=0,"",IFERROR(($L127+$M127)/(HLOOKUP($D127,RentsUA!$K$12:$Q$35,19,FALSE)),""))</f>
        <v/>
      </c>
      <c r="P127" s="469" t="str">
        <f>IF($M127=0,"",IFERROR(($M127+K127+L127)/(HLOOKUP($D127,RentsUA!$K$12:$Q$35,19,FALSE)),""))</f>
        <v/>
      </c>
      <c r="Q127" s="411"/>
      <c r="R127" s="673" t="str">
        <f>IF($Q127=0,"",VLOOKUP($Q127,RentsUA!$A$12:$H$35,MATCH($D127,RentsUA!$A$12:$H$12,0),FALSE))</f>
        <v/>
      </c>
      <c r="S127" s="409"/>
      <c r="T127" s="674"/>
      <c r="U127" s="672"/>
      <c r="V127" s="673" t="str">
        <f t="shared" si="36"/>
        <v/>
      </c>
      <c r="W127" s="470"/>
      <c r="X127" s="411"/>
      <c r="Y127" s="410" t="str">
        <f>IF(X127=0,"",VLOOKUP($X127,RentsUA!$A$12:$H$35,MATCH($D127,RentsUA!$A$12:$H$12,0),FALSE))</f>
        <v/>
      </c>
      <c r="Z127" s="410" t="str">
        <f t="shared" si="31"/>
        <v/>
      </c>
      <c r="AA127" s="1297" t="str">
        <f>IF(H127="","",IF(G127/HLOOKUP($H127,RentsUA!$M$8:$T$9,2,FALSE)&gt;1,"&gt; 80%","&lt;= 80%"))</f>
        <v/>
      </c>
      <c r="AB127" s="1106"/>
      <c r="AC127" s="1106"/>
      <c r="AD127" s="622"/>
      <c r="AE127" s="412"/>
      <c r="AF127" s="807" t="str">
        <f>IF(AD127="","",IF(AD127=Lists!$U$3,M127,IF(AD127=Lists!$U$4,V127,IF(AD127=Lists!$U$5,Y127-L127,AE127))))</f>
        <v/>
      </c>
      <c r="AG127" s="410" t="str">
        <f t="shared" si="32"/>
        <v/>
      </c>
      <c r="AH127" s="469" t="str">
        <f t="shared" si="33"/>
        <v/>
      </c>
      <c r="AI127" s="469" t="str">
        <f>IF($AF127=0,0,IFERROR(($L127+$AF127)/(HLOOKUP($D127,RentsUA!$K$12:$Q$35,19,FALSE)),""))</f>
        <v/>
      </c>
      <c r="AJ127" s="469" t="str">
        <f>IF($AF127=0,0,IFERROR(($AF127+K127+L127)/(HLOOKUP($D127,RentsUA!$K$12:$Q$35,19,FALSE)),""))</f>
        <v/>
      </c>
      <c r="AK127" s="469" t="str">
        <f t="shared" si="37"/>
        <v/>
      </c>
      <c r="AL127" s="469" t="str">
        <f t="shared" si="38"/>
        <v/>
      </c>
      <c r="AM127" s="1106" t="str">
        <f t="shared" si="39"/>
        <v/>
      </c>
      <c r="AN127" s="1106" t="str">
        <f>IFERROR(AM127*(1+'7a.20YrDetails'!$F$9),"")</f>
        <v/>
      </c>
      <c r="AO127" s="1106" t="str">
        <f>IFERROR(AN127*(1+'7a.20YrDetails'!$F$9),"")</f>
        <v/>
      </c>
      <c r="AP127" s="1106" t="str">
        <f>IFERROR(AO127*(1+'7a.20YrDetails'!$F$9),"")</f>
        <v/>
      </c>
      <c r="AQ127" s="1106" t="str">
        <f>IFERROR(AP127*(1+'7a.20YrDetails'!$F$9),"")</f>
        <v/>
      </c>
      <c r="AR127" s="674"/>
      <c r="AS127" s="672"/>
      <c r="AT127" s="1732" t="str">
        <f>IF($AF127=0,0,IFERROR(($AF127+L127)/(HLOOKUP($D127,RentsUA!$B$61:$H$62,2,FALSE)),""))</f>
        <v/>
      </c>
      <c r="AU127" s="1733" t="str">
        <f>IFERROR(G127/HLOOKUP(H127,RentsUA!$B$40:$I$41,2),"")</f>
        <v/>
      </c>
      <c r="BR127" s="404" t="str">
        <f t="shared" si="40"/>
        <v/>
      </c>
      <c r="BS127" s="5" t="str">
        <f t="array" ref="BS127">IFERROR(INDEX($BR$13:$BR$412, MATCH(0, COUNTIF($BS$12:$BS126, $BR$13:$BR$412), 0)),"")</f>
        <v/>
      </c>
      <c r="BT127" s="404" t="str">
        <f t="shared" si="34"/>
        <v/>
      </c>
      <c r="BU127" s="404" t="str">
        <f t="array" ref="BU127">IFERROR(INDEX($BT$13:$BT$412, MATCH(0, COUNTIF($BU$12:$BU126, $BT$13:$BT$412), 0)),"")</f>
        <v/>
      </c>
    </row>
    <row r="128" spans="1:73" s="404" customFormat="1" ht="13.2">
      <c r="A128" s="406">
        <f t="shared" si="35"/>
        <v>116</v>
      </c>
      <c r="B128" s="472"/>
      <c r="C128" s="470"/>
      <c r="D128" s="407"/>
      <c r="E128" s="407"/>
      <c r="F128" s="408"/>
      <c r="G128" s="409"/>
      <c r="H128" s="407"/>
      <c r="I128" s="1029" t="str">
        <f>IFERROR(G128/HLOOKUP(H128,RentsUA!$B$8:$J$9,2),"")</f>
        <v/>
      </c>
      <c r="J128" s="407"/>
      <c r="K128" s="412"/>
      <c r="L128" s="672">
        <f t="shared" si="29"/>
        <v>0</v>
      </c>
      <c r="M128" s="671"/>
      <c r="N128" s="410">
        <f t="shared" si="30"/>
        <v>0</v>
      </c>
      <c r="O128" s="469" t="str">
        <f>IF($M128=0,"",IFERROR(($L128+$M128)/(HLOOKUP($D128,RentsUA!$K$12:$Q$35,19,FALSE)),""))</f>
        <v/>
      </c>
      <c r="P128" s="469" t="str">
        <f>IF($M128=0,"",IFERROR(($M128+K128+L128)/(HLOOKUP($D128,RentsUA!$K$12:$Q$35,19,FALSE)),""))</f>
        <v/>
      </c>
      <c r="Q128" s="411"/>
      <c r="R128" s="673" t="str">
        <f>IF($Q128=0,"",VLOOKUP($Q128,RentsUA!$A$12:$H$35,MATCH($D128,RentsUA!$A$12:$H$12,0),FALSE))</f>
        <v/>
      </c>
      <c r="S128" s="409"/>
      <c r="T128" s="674"/>
      <c r="U128" s="672"/>
      <c r="V128" s="673" t="str">
        <f t="shared" si="36"/>
        <v/>
      </c>
      <c r="W128" s="470"/>
      <c r="X128" s="411"/>
      <c r="Y128" s="410" t="str">
        <f>IF(X128=0,"",VLOOKUP($X128,RentsUA!$A$12:$H$35,MATCH($D128,RentsUA!$A$12:$H$12,0),FALSE))</f>
        <v/>
      </c>
      <c r="Z128" s="410" t="str">
        <f t="shared" si="31"/>
        <v/>
      </c>
      <c r="AA128" s="1297" t="str">
        <f>IF(H128="","",IF(G128/HLOOKUP($H128,RentsUA!$M$8:$T$9,2,FALSE)&gt;1,"&gt; 80%","&lt;= 80%"))</f>
        <v/>
      </c>
      <c r="AB128" s="1106"/>
      <c r="AC128" s="1106"/>
      <c r="AD128" s="622"/>
      <c r="AE128" s="412"/>
      <c r="AF128" s="807" t="str">
        <f>IF(AD128="","",IF(AD128=Lists!$U$3,M128,IF(AD128=Lists!$U$4,V128,IF(AD128=Lists!$U$5,Y128-L128,AE128))))</f>
        <v/>
      </c>
      <c r="AG128" s="410" t="str">
        <f t="shared" si="32"/>
        <v/>
      </c>
      <c r="AH128" s="469" t="str">
        <f t="shared" si="33"/>
        <v/>
      </c>
      <c r="AI128" s="469" t="str">
        <f>IF($AF128=0,0,IFERROR(($L128+$AF128)/(HLOOKUP($D128,RentsUA!$K$12:$Q$35,19,FALSE)),""))</f>
        <v/>
      </c>
      <c r="AJ128" s="469" t="str">
        <f>IF($AF128=0,0,IFERROR(($AF128+K128+L128)/(HLOOKUP($D128,RentsUA!$K$12:$Q$35,19,FALSE)),""))</f>
        <v/>
      </c>
      <c r="AK128" s="469" t="str">
        <f t="shared" si="37"/>
        <v/>
      </c>
      <c r="AL128" s="469" t="str">
        <f t="shared" si="38"/>
        <v/>
      </c>
      <c r="AM128" s="1106" t="str">
        <f t="shared" si="39"/>
        <v/>
      </c>
      <c r="AN128" s="1106" t="str">
        <f>IFERROR(AM128*(1+'7a.20YrDetails'!$F$9),"")</f>
        <v/>
      </c>
      <c r="AO128" s="1106" t="str">
        <f>IFERROR(AN128*(1+'7a.20YrDetails'!$F$9),"")</f>
        <v/>
      </c>
      <c r="AP128" s="1106" t="str">
        <f>IFERROR(AO128*(1+'7a.20YrDetails'!$F$9),"")</f>
        <v/>
      </c>
      <c r="AQ128" s="1106" t="str">
        <f>IFERROR(AP128*(1+'7a.20YrDetails'!$F$9),"")</f>
        <v/>
      </c>
      <c r="AR128" s="674"/>
      <c r="AS128" s="672"/>
      <c r="AT128" s="1732" t="str">
        <f>IF($AF128=0,0,IFERROR(($AF128+L128)/(HLOOKUP($D128,RentsUA!$B$61:$H$62,2,FALSE)),""))</f>
        <v/>
      </c>
      <c r="AU128" s="1733" t="str">
        <f>IFERROR(G128/HLOOKUP(H128,RentsUA!$B$40:$I$41,2),"")</f>
        <v/>
      </c>
      <c r="BR128" s="404" t="str">
        <f t="shared" si="40"/>
        <v/>
      </c>
      <c r="BS128" s="5" t="str">
        <f t="array" ref="BS128">IFERROR(INDEX($BR$13:$BR$412, MATCH(0, COUNTIF($BS$12:$BS127, $BR$13:$BR$412), 0)),"")</f>
        <v/>
      </c>
      <c r="BT128" s="404" t="str">
        <f t="shared" si="34"/>
        <v/>
      </c>
      <c r="BU128" s="404" t="str">
        <f t="array" ref="BU128">IFERROR(INDEX($BT$13:$BT$412, MATCH(0, COUNTIF($BU$12:$BU127, $BT$13:$BT$412), 0)),"")</f>
        <v/>
      </c>
    </row>
    <row r="129" spans="1:73" s="404" customFormat="1" ht="13.2">
      <c r="A129" s="406">
        <f t="shared" si="35"/>
        <v>117</v>
      </c>
      <c r="B129" s="472"/>
      <c r="C129" s="470"/>
      <c r="D129" s="407"/>
      <c r="E129" s="407"/>
      <c r="F129" s="408"/>
      <c r="G129" s="409"/>
      <c r="H129" s="407"/>
      <c r="I129" s="1029" t="str">
        <f>IFERROR(G129/HLOOKUP(H129,RentsUA!$B$8:$J$9,2),"")</f>
        <v/>
      </c>
      <c r="J129" s="407"/>
      <c r="K129" s="412"/>
      <c r="L129" s="672">
        <f t="shared" si="29"/>
        <v>0</v>
      </c>
      <c r="M129" s="671"/>
      <c r="N129" s="410">
        <f t="shared" si="30"/>
        <v>0</v>
      </c>
      <c r="O129" s="469" t="str">
        <f>IF($M129=0,"",IFERROR(($L129+$M129)/(HLOOKUP($D129,RentsUA!$K$12:$Q$35,19,FALSE)),""))</f>
        <v/>
      </c>
      <c r="P129" s="469" t="str">
        <f>IF($M129=0,"",IFERROR(($M129+K129+L129)/(HLOOKUP($D129,RentsUA!$K$12:$Q$35,19,FALSE)),""))</f>
        <v/>
      </c>
      <c r="Q129" s="411"/>
      <c r="R129" s="673" t="str">
        <f>IF($Q129=0,"",VLOOKUP($Q129,RentsUA!$A$12:$H$35,MATCH($D129,RentsUA!$A$12:$H$12,0),FALSE))</f>
        <v/>
      </c>
      <c r="S129" s="409"/>
      <c r="T129" s="674"/>
      <c r="U129" s="672"/>
      <c r="V129" s="673" t="str">
        <f t="shared" si="36"/>
        <v/>
      </c>
      <c r="W129" s="470"/>
      <c r="X129" s="411"/>
      <c r="Y129" s="410" t="str">
        <f>IF(X129=0,"",VLOOKUP($X129,RentsUA!$A$12:$H$35,MATCH($D129,RentsUA!$A$12:$H$12,0),FALSE))</f>
        <v/>
      </c>
      <c r="Z129" s="410" t="str">
        <f t="shared" si="31"/>
        <v/>
      </c>
      <c r="AA129" s="1297" t="str">
        <f>IF(H129="","",IF(G129/HLOOKUP($H129,RentsUA!$M$8:$T$9,2,FALSE)&gt;1,"&gt; 80%","&lt;= 80%"))</f>
        <v/>
      </c>
      <c r="AB129" s="1106"/>
      <c r="AC129" s="1106"/>
      <c r="AD129" s="622"/>
      <c r="AE129" s="412"/>
      <c r="AF129" s="807" t="str">
        <f>IF(AD129="","",IF(AD129=Lists!$U$3,M129,IF(AD129=Lists!$U$4,V129,IF(AD129=Lists!$U$5,Y129-L129,AE129))))</f>
        <v/>
      </c>
      <c r="AG129" s="410" t="str">
        <f t="shared" si="32"/>
        <v/>
      </c>
      <c r="AH129" s="469" t="str">
        <f t="shared" si="33"/>
        <v/>
      </c>
      <c r="AI129" s="469" t="str">
        <f>IF($AF129=0,0,IFERROR(($L129+$AF129)/(HLOOKUP($D129,RentsUA!$K$12:$Q$35,19,FALSE)),""))</f>
        <v/>
      </c>
      <c r="AJ129" s="469" t="str">
        <f>IF($AF129=0,0,IFERROR(($AF129+K129+L129)/(HLOOKUP($D129,RentsUA!$K$12:$Q$35,19,FALSE)),""))</f>
        <v/>
      </c>
      <c r="AK129" s="469" t="str">
        <f t="shared" si="37"/>
        <v/>
      </c>
      <c r="AL129" s="469" t="str">
        <f t="shared" si="38"/>
        <v/>
      </c>
      <c r="AM129" s="1106" t="str">
        <f t="shared" si="39"/>
        <v/>
      </c>
      <c r="AN129" s="1106" t="str">
        <f>IFERROR(AM129*(1+'7a.20YrDetails'!$F$9),"")</f>
        <v/>
      </c>
      <c r="AO129" s="1106" t="str">
        <f>IFERROR(AN129*(1+'7a.20YrDetails'!$F$9),"")</f>
        <v/>
      </c>
      <c r="AP129" s="1106" t="str">
        <f>IFERROR(AO129*(1+'7a.20YrDetails'!$F$9),"")</f>
        <v/>
      </c>
      <c r="AQ129" s="1106" t="str">
        <f>IFERROR(AP129*(1+'7a.20YrDetails'!$F$9),"")</f>
        <v/>
      </c>
      <c r="AR129" s="674"/>
      <c r="AS129" s="672"/>
      <c r="AT129" s="1732" t="str">
        <f>IF($AF129=0,0,IFERROR(($AF129+L129)/(HLOOKUP($D129,RentsUA!$B$61:$H$62,2,FALSE)),""))</f>
        <v/>
      </c>
      <c r="AU129" s="1733" t="str">
        <f>IFERROR(G129/HLOOKUP(H129,RentsUA!$B$40:$I$41,2),"")</f>
        <v/>
      </c>
      <c r="BR129" s="404" t="str">
        <f t="shared" si="40"/>
        <v/>
      </c>
      <c r="BS129" s="5" t="str">
        <f t="array" ref="BS129">IFERROR(INDEX($BR$13:$BR$412, MATCH(0, COUNTIF($BS$12:$BS128, $BR$13:$BR$412), 0)),"")</f>
        <v/>
      </c>
      <c r="BT129" s="404" t="str">
        <f t="shared" si="34"/>
        <v/>
      </c>
      <c r="BU129" s="404" t="str">
        <f t="array" ref="BU129">IFERROR(INDEX($BT$13:$BT$412, MATCH(0, COUNTIF($BU$12:$BU128, $BT$13:$BT$412), 0)),"")</f>
        <v/>
      </c>
    </row>
    <row r="130" spans="1:73" s="404" customFormat="1" ht="13.2">
      <c r="A130" s="406">
        <f t="shared" si="35"/>
        <v>118</v>
      </c>
      <c r="B130" s="472"/>
      <c r="C130" s="470"/>
      <c r="D130" s="407"/>
      <c r="E130" s="407"/>
      <c r="F130" s="408"/>
      <c r="G130" s="409"/>
      <c r="H130" s="407"/>
      <c r="I130" s="1029" t="str">
        <f>IFERROR(G130/HLOOKUP(H130,RentsUA!$B$8:$J$9,2),"")</f>
        <v/>
      </c>
      <c r="J130" s="407"/>
      <c r="K130" s="412"/>
      <c r="L130" s="672">
        <f t="shared" si="29"/>
        <v>0</v>
      </c>
      <c r="M130" s="671"/>
      <c r="N130" s="410">
        <f t="shared" si="30"/>
        <v>0</v>
      </c>
      <c r="O130" s="469" t="str">
        <f>IF($M130=0,"",IFERROR(($L130+$M130)/(HLOOKUP($D130,RentsUA!$K$12:$Q$35,19,FALSE)),""))</f>
        <v/>
      </c>
      <c r="P130" s="469" t="str">
        <f>IF($M130=0,"",IFERROR(($M130+K130+L130)/(HLOOKUP($D130,RentsUA!$K$12:$Q$35,19,FALSE)),""))</f>
        <v/>
      </c>
      <c r="Q130" s="411"/>
      <c r="R130" s="673" t="str">
        <f>IF($Q130=0,"",VLOOKUP($Q130,RentsUA!$A$12:$H$35,MATCH($D130,RentsUA!$A$12:$H$12,0),FALSE))</f>
        <v/>
      </c>
      <c r="S130" s="409"/>
      <c r="T130" s="674"/>
      <c r="U130" s="672"/>
      <c r="V130" s="673" t="str">
        <f t="shared" si="36"/>
        <v/>
      </c>
      <c r="W130" s="470"/>
      <c r="X130" s="411"/>
      <c r="Y130" s="410" t="str">
        <f>IF(X130=0,"",VLOOKUP($X130,RentsUA!$A$12:$H$35,MATCH($D130,RentsUA!$A$12:$H$12,0),FALSE))</f>
        <v/>
      </c>
      <c r="Z130" s="410" t="str">
        <f t="shared" si="31"/>
        <v/>
      </c>
      <c r="AA130" s="1297" t="str">
        <f>IF(H130="","",IF(G130/HLOOKUP($H130,RentsUA!$M$8:$T$9,2,FALSE)&gt;1,"&gt; 80%","&lt;= 80%"))</f>
        <v/>
      </c>
      <c r="AB130" s="1106"/>
      <c r="AC130" s="1106"/>
      <c r="AD130" s="622"/>
      <c r="AE130" s="412"/>
      <c r="AF130" s="807" t="str">
        <f>IF(AD130="","",IF(AD130=Lists!$U$3,M130,IF(AD130=Lists!$U$4,V130,IF(AD130=Lists!$U$5,Y130-L130,AE130))))</f>
        <v/>
      </c>
      <c r="AG130" s="410" t="str">
        <f t="shared" si="32"/>
        <v/>
      </c>
      <c r="AH130" s="469" t="str">
        <f t="shared" si="33"/>
        <v/>
      </c>
      <c r="AI130" s="469" t="str">
        <f>IF($AF130=0,0,IFERROR(($L130+$AF130)/(HLOOKUP($D130,RentsUA!$K$12:$Q$35,19,FALSE)),""))</f>
        <v/>
      </c>
      <c r="AJ130" s="469" t="str">
        <f>IF($AF130=0,0,IFERROR(($AF130+K130+L130)/(HLOOKUP($D130,RentsUA!$K$12:$Q$35,19,FALSE)),""))</f>
        <v/>
      </c>
      <c r="AK130" s="469" t="str">
        <f t="shared" si="37"/>
        <v/>
      </c>
      <c r="AL130" s="469" t="str">
        <f t="shared" si="38"/>
        <v/>
      </c>
      <c r="AM130" s="1106" t="str">
        <f t="shared" si="39"/>
        <v/>
      </c>
      <c r="AN130" s="1106" t="str">
        <f>IFERROR(AM130*(1+'7a.20YrDetails'!$F$9),"")</f>
        <v/>
      </c>
      <c r="AO130" s="1106" t="str">
        <f>IFERROR(AN130*(1+'7a.20YrDetails'!$F$9),"")</f>
        <v/>
      </c>
      <c r="AP130" s="1106" t="str">
        <f>IFERROR(AO130*(1+'7a.20YrDetails'!$F$9),"")</f>
        <v/>
      </c>
      <c r="AQ130" s="1106" t="str">
        <f>IFERROR(AP130*(1+'7a.20YrDetails'!$F$9),"")</f>
        <v/>
      </c>
      <c r="AR130" s="674"/>
      <c r="AS130" s="672"/>
      <c r="AT130" s="1732" t="str">
        <f>IF($AF130=0,0,IFERROR(($AF130+L130)/(HLOOKUP($D130,RentsUA!$B$61:$H$62,2,FALSE)),""))</f>
        <v/>
      </c>
      <c r="AU130" s="1733" t="str">
        <f>IFERROR(G130/HLOOKUP(H130,RentsUA!$B$40:$I$41,2),"")</f>
        <v/>
      </c>
      <c r="BR130" s="404" t="str">
        <f t="shared" si="40"/>
        <v/>
      </c>
      <c r="BS130" s="5" t="str">
        <f t="array" ref="BS130">IFERROR(INDEX($BR$13:$BR$412, MATCH(0, COUNTIF($BS$12:$BS129, $BR$13:$BR$412), 0)),"")</f>
        <v/>
      </c>
      <c r="BT130" s="404" t="str">
        <f t="shared" si="34"/>
        <v/>
      </c>
      <c r="BU130" s="404" t="str">
        <f t="array" ref="BU130">IFERROR(INDEX($BT$13:$BT$412, MATCH(0, COUNTIF($BU$12:$BU129, $BT$13:$BT$412), 0)),"")</f>
        <v/>
      </c>
    </row>
    <row r="131" spans="1:73" s="404" customFormat="1" ht="13.2">
      <c r="A131" s="406">
        <f t="shared" si="35"/>
        <v>119</v>
      </c>
      <c r="B131" s="472"/>
      <c r="C131" s="470"/>
      <c r="D131" s="407"/>
      <c r="E131" s="407"/>
      <c r="F131" s="408"/>
      <c r="G131" s="409"/>
      <c r="H131" s="407"/>
      <c r="I131" s="1029" t="str">
        <f>IFERROR(G131/HLOOKUP(H131,RentsUA!$B$8:$J$9,2),"")</f>
        <v/>
      </c>
      <c r="J131" s="407"/>
      <c r="K131" s="412"/>
      <c r="L131" s="672">
        <f t="shared" si="29"/>
        <v>0</v>
      </c>
      <c r="M131" s="671"/>
      <c r="N131" s="410">
        <f t="shared" si="30"/>
        <v>0</v>
      </c>
      <c r="O131" s="469" t="str">
        <f>IF($M131=0,"",IFERROR(($L131+$M131)/(HLOOKUP($D131,RentsUA!$K$12:$Q$35,19,FALSE)),""))</f>
        <v/>
      </c>
      <c r="P131" s="469" t="str">
        <f>IF($M131=0,"",IFERROR(($M131+K131+L131)/(HLOOKUP($D131,RentsUA!$K$12:$Q$35,19,FALSE)),""))</f>
        <v/>
      </c>
      <c r="Q131" s="411"/>
      <c r="R131" s="673" t="str">
        <f>IF($Q131=0,"",VLOOKUP($Q131,RentsUA!$A$12:$H$35,MATCH($D131,RentsUA!$A$12:$H$12,0),FALSE))</f>
        <v/>
      </c>
      <c r="S131" s="409"/>
      <c r="T131" s="674"/>
      <c r="U131" s="672"/>
      <c r="V131" s="673" t="str">
        <f t="shared" si="36"/>
        <v/>
      </c>
      <c r="W131" s="470"/>
      <c r="X131" s="411"/>
      <c r="Y131" s="410" t="str">
        <f>IF(X131=0,"",VLOOKUP($X131,RentsUA!$A$12:$H$35,MATCH($D131,RentsUA!$A$12:$H$12,0),FALSE))</f>
        <v/>
      </c>
      <c r="Z131" s="410" t="str">
        <f t="shared" si="31"/>
        <v/>
      </c>
      <c r="AA131" s="1297" t="str">
        <f>IF(H131="","",IF(G131/HLOOKUP($H131,RentsUA!$M$8:$T$9,2,FALSE)&gt;1,"&gt; 80%","&lt;= 80%"))</f>
        <v/>
      </c>
      <c r="AB131" s="1106"/>
      <c r="AC131" s="1106"/>
      <c r="AD131" s="622"/>
      <c r="AE131" s="412"/>
      <c r="AF131" s="807" t="str">
        <f>IF(AD131="","",IF(AD131=Lists!$U$3,M131,IF(AD131=Lists!$U$4,V131,IF(AD131=Lists!$U$5,Y131-L131,AE131))))</f>
        <v/>
      </c>
      <c r="AG131" s="410" t="str">
        <f t="shared" si="32"/>
        <v/>
      </c>
      <c r="AH131" s="469" t="str">
        <f t="shared" si="33"/>
        <v/>
      </c>
      <c r="AI131" s="469" t="str">
        <f>IF($AF131=0,0,IFERROR(($L131+$AF131)/(HLOOKUP($D131,RentsUA!$K$12:$Q$35,19,FALSE)),""))</f>
        <v/>
      </c>
      <c r="AJ131" s="469" t="str">
        <f>IF($AF131=0,0,IFERROR(($AF131+K131+L131)/(HLOOKUP($D131,RentsUA!$K$12:$Q$35,19,FALSE)),""))</f>
        <v/>
      </c>
      <c r="AK131" s="469" t="str">
        <f t="shared" si="37"/>
        <v/>
      </c>
      <c r="AL131" s="469" t="str">
        <f t="shared" si="38"/>
        <v/>
      </c>
      <c r="AM131" s="1106" t="str">
        <f t="shared" si="39"/>
        <v/>
      </c>
      <c r="AN131" s="1106" t="str">
        <f>IFERROR(AM131*(1+'7a.20YrDetails'!$F$9),"")</f>
        <v/>
      </c>
      <c r="AO131" s="1106" t="str">
        <f>IFERROR(AN131*(1+'7a.20YrDetails'!$F$9),"")</f>
        <v/>
      </c>
      <c r="AP131" s="1106" t="str">
        <f>IFERROR(AO131*(1+'7a.20YrDetails'!$F$9),"")</f>
        <v/>
      </c>
      <c r="AQ131" s="1106" t="str">
        <f>IFERROR(AP131*(1+'7a.20YrDetails'!$F$9),"")</f>
        <v/>
      </c>
      <c r="AR131" s="674"/>
      <c r="AS131" s="672"/>
      <c r="AT131" s="1732" t="str">
        <f>IF($AF131=0,0,IFERROR(($AF131+L131)/(HLOOKUP($D131,RentsUA!$B$61:$H$62,2,FALSE)),""))</f>
        <v/>
      </c>
      <c r="AU131" s="1733" t="str">
        <f>IFERROR(G131/HLOOKUP(H131,RentsUA!$B$40:$I$41,2),"")</f>
        <v/>
      </c>
      <c r="BR131" s="404" t="str">
        <f t="shared" si="40"/>
        <v/>
      </c>
      <c r="BS131" s="5" t="str">
        <f t="array" ref="BS131">IFERROR(INDEX($BR$13:$BR$412, MATCH(0, COUNTIF($BS$12:$BS130, $BR$13:$BR$412), 0)),"")</f>
        <v/>
      </c>
      <c r="BT131" s="404" t="str">
        <f t="shared" si="34"/>
        <v/>
      </c>
      <c r="BU131" s="404" t="str">
        <f t="array" ref="BU131">IFERROR(INDEX($BT$13:$BT$412, MATCH(0, COUNTIF($BU$12:$BU130, $BT$13:$BT$412), 0)),"")</f>
        <v/>
      </c>
    </row>
    <row r="132" spans="1:73" s="404" customFormat="1" ht="13.2">
      <c r="A132" s="406">
        <f t="shared" si="35"/>
        <v>120</v>
      </c>
      <c r="B132" s="472"/>
      <c r="C132" s="470"/>
      <c r="D132" s="407"/>
      <c r="E132" s="407"/>
      <c r="F132" s="408"/>
      <c r="G132" s="409"/>
      <c r="H132" s="407"/>
      <c r="I132" s="1029" t="str">
        <f>IFERROR(G132/HLOOKUP(H132,RentsUA!$B$8:$J$9,2),"")</f>
        <v/>
      </c>
      <c r="J132" s="407"/>
      <c r="K132" s="412"/>
      <c r="L132" s="672">
        <f t="shared" si="29"/>
        <v>0</v>
      </c>
      <c r="M132" s="671"/>
      <c r="N132" s="410">
        <f t="shared" si="30"/>
        <v>0</v>
      </c>
      <c r="O132" s="469" t="str">
        <f>IF($M132=0,"",IFERROR(($L132+$M132)/(HLOOKUP($D132,RentsUA!$K$12:$Q$35,19,FALSE)),""))</f>
        <v/>
      </c>
      <c r="P132" s="469" t="str">
        <f>IF($M132=0,"",IFERROR(($M132+K132+L132)/(HLOOKUP($D132,RentsUA!$K$12:$Q$35,19,FALSE)),""))</f>
        <v/>
      </c>
      <c r="Q132" s="411"/>
      <c r="R132" s="673" t="str">
        <f>IF($Q132=0,"",VLOOKUP($Q132,RentsUA!$A$12:$H$35,MATCH($D132,RentsUA!$A$12:$H$12,0),FALSE))</f>
        <v/>
      </c>
      <c r="S132" s="409"/>
      <c r="T132" s="674"/>
      <c r="U132" s="672"/>
      <c r="V132" s="673" t="str">
        <f t="shared" si="36"/>
        <v/>
      </c>
      <c r="W132" s="470"/>
      <c r="X132" s="411"/>
      <c r="Y132" s="410" t="str">
        <f>IF(X132=0,"",VLOOKUP($X132,RentsUA!$A$12:$H$35,MATCH($D132,RentsUA!$A$12:$H$12,0),FALSE))</f>
        <v/>
      </c>
      <c r="Z132" s="410" t="str">
        <f t="shared" si="31"/>
        <v/>
      </c>
      <c r="AA132" s="1297" t="str">
        <f>IF(H132="","",IF(G132/HLOOKUP($H132,RentsUA!$M$8:$T$9,2,FALSE)&gt;1,"&gt; 80%","&lt;= 80%"))</f>
        <v/>
      </c>
      <c r="AB132" s="1106"/>
      <c r="AC132" s="1106"/>
      <c r="AD132" s="622"/>
      <c r="AE132" s="412"/>
      <c r="AF132" s="807" t="str">
        <f>IF(AD132="","",IF(AD132=Lists!$U$3,M132,IF(AD132=Lists!$U$4,V132,IF(AD132=Lists!$U$5,Y132-L132,AE132))))</f>
        <v/>
      </c>
      <c r="AG132" s="410" t="str">
        <f t="shared" si="32"/>
        <v/>
      </c>
      <c r="AH132" s="469" t="str">
        <f t="shared" si="33"/>
        <v/>
      </c>
      <c r="AI132" s="469" t="str">
        <f>IF($AF132=0,0,IFERROR(($L132+$AF132)/(HLOOKUP($D132,RentsUA!$K$12:$Q$35,19,FALSE)),""))</f>
        <v/>
      </c>
      <c r="AJ132" s="469" t="str">
        <f>IF($AF132=0,0,IFERROR(($AF132+K132+L132)/(HLOOKUP($D132,RentsUA!$K$12:$Q$35,19,FALSE)),""))</f>
        <v/>
      </c>
      <c r="AK132" s="469" t="str">
        <f t="shared" si="37"/>
        <v/>
      </c>
      <c r="AL132" s="469" t="str">
        <f t="shared" si="38"/>
        <v/>
      </c>
      <c r="AM132" s="1106" t="str">
        <f t="shared" si="39"/>
        <v/>
      </c>
      <c r="AN132" s="1106" t="str">
        <f>IFERROR(AM132*(1+'7a.20YrDetails'!$F$9),"")</f>
        <v/>
      </c>
      <c r="AO132" s="1106" t="str">
        <f>IFERROR(AN132*(1+'7a.20YrDetails'!$F$9),"")</f>
        <v/>
      </c>
      <c r="AP132" s="1106" t="str">
        <f>IFERROR(AO132*(1+'7a.20YrDetails'!$F$9),"")</f>
        <v/>
      </c>
      <c r="AQ132" s="1106" t="str">
        <f>IFERROR(AP132*(1+'7a.20YrDetails'!$F$9),"")</f>
        <v/>
      </c>
      <c r="AR132" s="674"/>
      <c r="AS132" s="672"/>
      <c r="AT132" s="1732" t="str">
        <f>IF($AF132=0,0,IFERROR(($AF132+L132)/(HLOOKUP($D132,RentsUA!$B$61:$H$62,2,FALSE)),""))</f>
        <v/>
      </c>
      <c r="AU132" s="1733" t="str">
        <f>IFERROR(G132/HLOOKUP(H132,RentsUA!$B$40:$I$41,2),"")</f>
        <v/>
      </c>
      <c r="BR132" s="404" t="str">
        <f t="shared" si="40"/>
        <v/>
      </c>
      <c r="BS132" s="5" t="str">
        <f t="array" ref="BS132">IFERROR(INDEX($BR$13:$BR$412, MATCH(0, COUNTIF($BS$12:$BS131, $BR$13:$BR$412), 0)),"")</f>
        <v/>
      </c>
      <c r="BT132" s="404" t="str">
        <f t="shared" si="34"/>
        <v/>
      </c>
      <c r="BU132" s="404" t="str">
        <f t="array" ref="BU132">IFERROR(INDEX($BT$13:$BT$412, MATCH(0, COUNTIF($BU$12:$BU131, $BT$13:$BT$412), 0)),"")</f>
        <v/>
      </c>
    </row>
    <row r="133" spans="1:73" s="404" customFormat="1" ht="13.2">
      <c r="A133" s="406">
        <f t="shared" si="35"/>
        <v>121</v>
      </c>
      <c r="B133" s="472"/>
      <c r="C133" s="470"/>
      <c r="D133" s="407"/>
      <c r="E133" s="407"/>
      <c r="F133" s="408"/>
      <c r="G133" s="409"/>
      <c r="H133" s="407"/>
      <c r="I133" s="1029" t="str">
        <f>IFERROR(G133/HLOOKUP(H133,RentsUA!$B$8:$J$9,2),"")</f>
        <v/>
      </c>
      <c r="J133" s="407"/>
      <c r="K133" s="412"/>
      <c r="L133" s="672">
        <f t="shared" si="29"/>
        <v>0</v>
      </c>
      <c r="M133" s="671"/>
      <c r="N133" s="410">
        <f t="shared" si="30"/>
        <v>0</v>
      </c>
      <c r="O133" s="469" t="str">
        <f>IF($M133=0,"",IFERROR(($L133+$M133)/(HLOOKUP($D133,RentsUA!$K$12:$Q$35,19,FALSE)),""))</f>
        <v/>
      </c>
      <c r="P133" s="469" t="str">
        <f>IF($M133=0,"",IFERROR(($M133+K133+L133)/(HLOOKUP($D133,RentsUA!$K$12:$Q$35,19,FALSE)),""))</f>
        <v/>
      </c>
      <c r="Q133" s="411"/>
      <c r="R133" s="673" t="str">
        <f>IF($Q133=0,"",VLOOKUP($Q133,RentsUA!$A$12:$H$35,MATCH($D133,RentsUA!$A$12:$H$12,0),FALSE))</f>
        <v/>
      </c>
      <c r="S133" s="409"/>
      <c r="T133" s="674"/>
      <c r="U133" s="672"/>
      <c r="V133" s="673" t="str">
        <f t="shared" si="36"/>
        <v/>
      </c>
      <c r="W133" s="470"/>
      <c r="X133" s="411"/>
      <c r="Y133" s="410" t="str">
        <f>IF(X133=0,"",VLOOKUP($X133,RentsUA!$A$12:$H$35,MATCH($D133,RentsUA!$A$12:$H$12,0),FALSE))</f>
        <v/>
      </c>
      <c r="Z133" s="410" t="str">
        <f t="shared" si="31"/>
        <v/>
      </c>
      <c r="AA133" s="1297" t="str">
        <f>IF(H133="","",IF(G133/HLOOKUP($H133,RentsUA!$M$8:$T$9,2,FALSE)&gt;1,"&gt; 80%","&lt;= 80%"))</f>
        <v/>
      </c>
      <c r="AB133" s="1106"/>
      <c r="AC133" s="1106"/>
      <c r="AD133" s="622"/>
      <c r="AE133" s="412"/>
      <c r="AF133" s="807" t="str">
        <f>IF(AD133="","",IF(AD133=Lists!$U$3,M133,IF(AD133=Lists!$U$4,V133,IF(AD133=Lists!$U$5,Y133-L133,AE133))))</f>
        <v/>
      </c>
      <c r="AG133" s="410" t="str">
        <f t="shared" si="32"/>
        <v/>
      </c>
      <c r="AH133" s="469" t="str">
        <f t="shared" si="33"/>
        <v/>
      </c>
      <c r="AI133" s="469" t="str">
        <f>IF($AF133=0,0,IFERROR(($L133+$AF133)/(HLOOKUP($D133,RentsUA!$K$12:$Q$35,19,FALSE)),""))</f>
        <v/>
      </c>
      <c r="AJ133" s="469" t="str">
        <f>IF($AF133=0,0,IFERROR(($AF133+K133+L133)/(HLOOKUP($D133,RentsUA!$K$12:$Q$35,19,FALSE)),""))</f>
        <v/>
      </c>
      <c r="AK133" s="469" t="str">
        <f t="shared" si="37"/>
        <v/>
      </c>
      <c r="AL133" s="469" t="str">
        <f t="shared" si="38"/>
        <v/>
      </c>
      <c r="AM133" s="1106" t="str">
        <f t="shared" si="39"/>
        <v/>
      </c>
      <c r="AN133" s="1106" t="str">
        <f>IFERROR(AM133*(1+'7a.20YrDetails'!$F$9),"")</f>
        <v/>
      </c>
      <c r="AO133" s="1106" t="str">
        <f>IFERROR(AN133*(1+'7a.20YrDetails'!$F$9),"")</f>
        <v/>
      </c>
      <c r="AP133" s="1106" t="str">
        <f>IFERROR(AO133*(1+'7a.20YrDetails'!$F$9),"")</f>
        <v/>
      </c>
      <c r="AQ133" s="1106" t="str">
        <f>IFERROR(AP133*(1+'7a.20YrDetails'!$F$9),"")</f>
        <v/>
      </c>
      <c r="AR133" s="674"/>
      <c r="AS133" s="672"/>
      <c r="AT133" s="1732" t="str">
        <f>IF($AF133=0,0,IFERROR(($AF133+L133)/(HLOOKUP($D133,RentsUA!$B$61:$H$62,2,FALSE)),""))</f>
        <v/>
      </c>
      <c r="AU133" s="1733" t="str">
        <f>IFERROR(G133/HLOOKUP(H133,RentsUA!$B$40:$I$41,2),"")</f>
        <v/>
      </c>
      <c r="BR133" s="404" t="str">
        <f t="shared" si="40"/>
        <v/>
      </c>
      <c r="BS133" s="5" t="str">
        <f t="array" ref="BS133">IFERROR(INDEX($BR$13:$BR$412, MATCH(0, COUNTIF($BS$12:$BS132, $BR$13:$BR$412), 0)),"")</f>
        <v/>
      </c>
      <c r="BT133" s="404" t="str">
        <f t="shared" si="34"/>
        <v/>
      </c>
      <c r="BU133" s="404" t="str">
        <f t="array" ref="BU133">IFERROR(INDEX($BT$13:$BT$412, MATCH(0, COUNTIF($BU$12:$BU132, $BT$13:$BT$412), 0)),"")</f>
        <v/>
      </c>
    </row>
    <row r="134" spans="1:73" s="404" customFormat="1" ht="13.2">
      <c r="A134" s="406">
        <f t="shared" si="35"/>
        <v>122</v>
      </c>
      <c r="B134" s="472"/>
      <c r="C134" s="470"/>
      <c r="D134" s="407"/>
      <c r="E134" s="407"/>
      <c r="F134" s="408"/>
      <c r="G134" s="409"/>
      <c r="H134" s="407"/>
      <c r="I134" s="1029" t="str">
        <f>IFERROR(G134/HLOOKUP(H134,RentsUA!$B$8:$J$9,2),"")</f>
        <v/>
      </c>
      <c r="J134" s="407"/>
      <c r="K134" s="412"/>
      <c r="L134" s="672">
        <f t="shared" si="29"/>
        <v>0</v>
      </c>
      <c r="M134" s="671"/>
      <c r="N134" s="410">
        <f t="shared" si="30"/>
        <v>0</v>
      </c>
      <c r="O134" s="469" t="str">
        <f>IF($M134=0,"",IFERROR(($L134+$M134)/(HLOOKUP($D134,RentsUA!$K$12:$Q$35,19,FALSE)),""))</f>
        <v/>
      </c>
      <c r="P134" s="469" t="str">
        <f>IF($M134=0,"",IFERROR(($M134+K134+L134)/(HLOOKUP($D134,RentsUA!$K$12:$Q$35,19,FALSE)),""))</f>
        <v/>
      </c>
      <c r="Q134" s="411"/>
      <c r="R134" s="673" t="str">
        <f>IF($Q134=0,"",VLOOKUP($Q134,RentsUA!$A$12:$H$35,MATCH($D134,RentsUA!$A$12:$H$12,0),FALSE))</f>
        <v/>
      </c>
      <c r="S134" s="409"/>
      <c r="T134" s="674"/>
      <c r="U134" s="672"/>
      <c r="V134" s="673" t="str">
        <f t="shared" si="36"/>
        <v/>
      </c>
      <c r="W134" s="470"/>
      <c r="X134" s="411"/>
      <c r="Y134" s="410" t="str">
        <f>IF(X134=0,"",VLOOKUP($X134,RentsUA!$A$12:$H$35,MATCH($D134,RentsUA!$A$12:$H$12,0),FALSE))</f>
        <v/>
      </c>
      <c r="Z134" s="410" t="str">
        <f t="shared" si="31"/>
        <v/>
      </c>
      <c r="AA134" s="1297" t="str">
        <f>IF(H134="","",IF(G134/HLOOKUP($H134,RentsUA!$M$8:$T$9,2,FALSE)&gt;1,"&gt; 80%","&lt;= 80%"))</f>
        <v/>
      </c>
      <c r="AB134" s="1106"/>
      <c r="AC134" s="1106"/>
      <c r="AD134" s="622"/>
      <c r="AE134" s="412"/>
      <c r="AF134" s="807" t="str">
        <f>IF(AD134="","",IF(AD134=Lists!$U$3,M134,IF(AD134=Lists!$U$4,V134,IF(AD134=Lists!$U$5,Y134-L134,AE134))))</f>
        <v/>
      </c>
      <c r="AG134" s="410" t="str">
        <f t="shared" si="32"/>
        <v/>
      </c>
      <c r="AH134" s="469" t="str">
        <f t="shared" si="33"/>
        <v/>
      </c>
      <c r="AI134" s="469" t="str">
        <f>IF($AF134=0,0,IFERROR(($L134+$AF134)/(HLOOKUP($D134,RentsUA!$K$12:$Q$35,19,FALSE)),""))</f>
        <v/>
      </c>
      <c r="AJ134" s="469" t="str">
        <f>IF($AF134=0,0,IFERROR(($AF134+K134+L134)/(HLOOKUP($D134,RentsUA!$K$12:$Q$35,19,FALSE)),""))</f>
        <v/>
      </c>
      <c r="AK134" s="469" t="str">
        <f t="shared" si="37"/>
        <v/>
      </c>
      <c r="AL134" s="469" t="str">
        <f t="shared" si="38"/>
        <v/>
      </c>
      <c r="AM134" s="1106" t="str">
        <f t="shared" si="39"/>
        <v/>
      </c>
      <c r="AN134" s="1106" t="str">
        <f>IFERROR(AM134*(1+'7a.20YrDetails'!$F$9),"")</f>
        <v/>
      </c>
      <c r="AO134" s="1106" t="str">
        <f>IFERROR(AN134*(1+'7a.20YrDetails'!$F$9),"")</f>
        <v/>
      </c>
      <c r="AP134" s="1106" t="str">
        <f>IFERROR(AO134*(1+'7a.20YrDetails'!$F$9),"")</f>
        <v/>
      </c>
      <c r="AQ134" s="1106" t="str">
        <f>IFERROR(AP134*(1+'7a.20YrDetails'!$F$9),"")</f>
        <v/>
      </c>
      <c r="AR134" s="674"/>
      <c r="AS134" s="672"/>
      <c r="AT134" s="1732" t="str">
        <f>IF($AF134=0,0,IFERROR(($AF134+L134)/(HLOOKUP($D134,RentsUA!$B$61:$H$62,2,FALSE)),""))</f>
        <v/>
      </c>
      <c r="AU134" s="1733" t="str">
        <f>IFERROR(G134/HLOOKUP(H134,RentsUA!$B$40:$I$41,2),"")</f>
        <v/>
      </c>
      <c r="BR134" s="404" t="str">
        <f t="shared" si="40"/>
        <v/>
      </c>
      <c r="BS134" s="5" t="str">
        <f t="array" ref="BS134">IFERROR(INDEX($BR$13:$BR$412, MATCH(0, COUNTIF($BS$12:$BS133, $BR$13:$BR$412), 0)),"")</f>
        <v/>
      </c>
      <c r="BT134" s="404" t="str">
        <f t="shared" si="34"/>
        <v/>
      </c>
      <c r="BU134" s="404" t="str">
        <f t="array" ref="BU134">IFERROR(INDEX($BT$13:$BT$412, MATCH(0, COUNTIF($BU$12:$BU133, $BT$13:$BT$412), 0)),"")</f>
        <v/>
      </c>
    </row>
    <row r="135" spans="1:73" s="404" customFormat="1" ht="13.2">
      <c r="A135" s="406">
        <f t="shared" si="35"/>
        <v>123</v>
      </c>
      <c r="B135" s="472"/>
      <c r="C135" s="470"/>
      <c r="D135" s="407"/>
      <c r="E135" s="407"/>
      <c r="F135" s="408"/>
      <c r="G135" s="409"/>
      <c r="H135" s="407"/>
      <c r="I135" s="1029" t="str">
        <f>IFERROR(G135/HLOOKUP(H135,RentsUA!$B$8:$J$9,2),"")</f>
        <v/>
      </c>
      <c r="J135" s="407"/>
      <c r="K135" s="412"/>
      <c r="L135" s="672">
        <f t="shared" si="29"/>
        <v>0</v>
      </c>
      <c r="M135" s="671"/>
      <c r="N135" s="410">
        <f t="shared" si="30"/>
        <v>0</v>
      </c>
      <c r="O135" s="469" t="str">
        <f>IF($M135=0,"",IFERROR(($L135+$M135)/(HLOOKUP($D135,RentsUA!$K$12:$Q$35,19,FALSE)),""))</f>
        <v/>
      </c>
      <c r="P135" s="469" t="str">
        <f>IF($M135=0,"",IFERROR(($M135+K135+L135)/(HLOOKUP($D135,RentsUA!$K$12:$Q$35,19,FALSE)),""))</f>
        <v/>
      </c>
      <c r="Q135" s="411"/>
      <c r="R135" s="673" t="str">
        <f>IF($Q135=0,"",VLOOKUP($Q135,RentsUA!$A$12:$H$35,MATCH($D135,RentsUA!$A$12:$H$12,0),FALSE))</f>
        <v/>
      </c>
      <c r="S135" s="409"/>
      <c r="T135" s="674"/>
      <c r="U135" s="672"/>
      <c r="V135" s="673" t="str">
        <f t="shared" si="36"/>
        <v/>
      </c>
      <c r="W135" s="470"/>
      <c r="X135" s="411"/>
      <c r="Y135" s="410" t="str">
        <f>IF(X135=0,"",VLOOKUP($X135,RentsUA!$A$12:$H$35,MATCH($D135,RentsUA!$A$12:$H$12,0),FALSE))</f>
        <v/>
      </c>
      <c r="Z135" s="410" t="str">
        <f t="shared" si="31"/>
        <v/>
      </c>
      <c r="AA135" s="1297" t="str">
        <f>IF(H135="","",IF(G135/HLOOKUP($H135,RentsUA!$M$8:$T$9,2,FALSE)&gt;1,"&gt; 80%","&lt;= 80%"))</f>
        <v/>
      </c>
      <c r="AB135" s="1106"/>
      <c r="AC135" s="1106"/>
      <c r="AD135" s="622"/>
      <c r="AE135" s="412"/>
      <c r="AF135" s="807" t="str">
        <f>IF(AD135="","",IF(AD135=Lists!$U$3,M135,IF(AD135=Lists!$U$4,V135,IF(AD135=Lists!$U$5,Y135-L135,AE135))))</f>
        <v/>
      </c>
      <c r="AG135" s="410" t="str">
        <f t="shared" si="32"/>
        <v/>
      </c>
      <c r="AH135" s="469" t="str">
        <f t="shared" si="33"/>
        <v/>
      </c>
      <c r="AI135" s="469" t="str">
        <f>IF($AF135=0,0,IFERROR(($L135+$AF135)/(HLOOKUP($D135,RentsUA!$K$12:$Q$35,19,FALSE)),""))</f>
        <v/>
      </c>
      <c r="AJ135" s="469" t="str">
        <f>IF($AF135=0,0,IFERROR(($AF135+K135+L135)/(HLOOKUP($D135,RentsUA!$K$12:$Q$35,19,FALSE)),""))</f>
        <v/>
      </c>
      <c r="AK135" s="469" t="str">
        <f t="shared" si="37"/>
        <v/>
      </c>
      <c r="AL135" s="469" t="str">
        <f t="shared" si="38"/>
        <v/>
      </c>
      <c r="AM135" s="1106" t="str">
        <f t="shared" si="39"/>
        <v/>
      </c>
      <c r="AN135" s="1106" t="str">
        <f>IFERROR(AM135*(1+'7a.20YrDetails'!$F$9),"")</f>
        <v/>
      </c>
      <c r="AO135" s="1106" t="str">
        <f>IFERROR(AN135*(1+'7a.20YrDetails'!$F$9),"")</f>
        <v/>
      </c>
      <c r="AP135" s="1106" t="str">
        <f>IFERROR(AO135*(1+'7a.20YrDetails'!$F$9),"")</f>
        <v/>
      </c>
      <c r="AQ135" s="1106" t="str">
        <f>IFERROR(AP135*(1+'7a.20YrDetails'!$F$9),"")</f>
        <v/>
      </c>
      <c r="AR135" s="674"/>
      <c r="AS135" s="672"/>
      <c r="AT135" s="1732" t="str">
        <f>IF($AF135=0,0,IFERROR(($AF135+L135)/(HLOOKUP($D135,RentsUA!$B$61:$H$62,2,FALSE)),""))</f>
        <v/>
      </c>
      <c r="AU135" s="1733" t="str">
        <f>IFERROR(G135/HLOOKUP(H135,RentsUA!$B$40:$I$41,2),"")</f>
        <v/>
      </c>
      <c r="BR135" s="404" t="str">
        <f t="shared" si="40"/>
        <v/>
      </c>
      <c r="BS135" s="5" t="str">
        <f t="array" ref="BS135">IFERROR(INDEX($BR$13:$BR$412, MATCH(0, COUNTIF($BS$12:$BS134, $BR$13:$BR$412), 0)),"")</f>
        <v/>
      </c>
      <c r="BT135" s="404" t="str">
        <f t="shared" si="34"/>
        <v/>
      </c>
      <c r="BU135" s="404" t="str">
        <f t="array" ref="BU135">IFERROR(INDEX($BT$13:$BT$412, MATCH(0, COUNTIF($BU$12:$BU134, $BT$13:$BT$412), 0)),"")</f>
        <v/>
      </c>
    </row>
    <row r="136" spans="1:73" s="404" customFormat="1" ht="13.2">
      <c r="A136" s="406">
        <f t="shared" si="35"/>
        <v>124</v>
      </c>
      <c r="B136" s="472"/>
      <c r="C136" s="470"/>
      <c r="D136" s="407"/>
      <c r="E136" s="407"/>
      <c r="F136" s="408"/>
      <c r="G136" s="409"/>
      <c r="H136" s="407"/>
      <c r="I136" s="1029" t="str">
        <f>IFERROR(G136/HLOOKUP(H136,RentsUA!$B$8:$J$9,2),"")</f>
        <v/>
      </c>
      <c r="J136" s="407"/>
      <c r="K136" s="412"/>
      <c r="L136" s="672">
        <f t="shared" si="29"/>
        <v>0</v>
      </c>
      <c r="M136" s="671"/>
      <c r="N136" s="410">
        <f t="shared" si="30"/>
        <v>0</v>
      </c>
      <c r="O136" s="469" t="str">
        <f>IF($M136=0,"",IFERROR(($L136+$M136)/(HLOOKUP($D136,RentsUA!$K$12:$Q$35,19,FALSE)),""))</f>
        <v/>
      </c>
      <c r="P136" s="469" t="str">
        <f>IF($M136=0,"",IFERROR(($M136+K136+L136)/(HLOOKUP($D136,RentsUA!$K$12:$Q$35,19,FALSE)),""))</f>
        <v/>
      </c>
      <c r="Q136" s="411"/>
      <c r="R136" s="673" t="str">
        <f>IF($Q136=0,"",VLOOKUP($Q136,RentsUA!$A$12:$H$35,MATCH($D136,RentsUA!$A$12:$H$12,0),FALSE))</f>
        <v/>
      </c>
      <c r="S136" s="409"/>
      <c r="T136" s="674"/>
      <c r="U136" s="672"/>
      <c r="V136" s="673" t="str">
        <f t="shared" si="36"/>
        <v/>
      </c>
      <c r="W136" s="470"/>
      <c r="X136" s="411"/>
      <c r="Y136" s="410" t="str">
        <f>IF(X136=0,"",VLOOKUP($X136,RentsUA!$A$12:$H$35,MATCH($D136,RentsUA!$A$12:$H$12,0),FALSE))</f>
        <v/>
      </c>
      <c r="Z136" s="410" t="str">
        <f t="shared" si="31"/>
        <v/>
      </c>
      <c r="AA136" s="1297" t="str">
        <f>IF(H136="","",IF(G136/HLOOKUP($H136,RentsUA!$M$8:$T$9,2,FALSE)&gt;1,"&gt; 80%","&lt;= 80%"))</f>
        <v/>
      </c>
      <c r="AB136" s="1106"/>
      <c r="AC136" s="1106"/>
      <c r="AD136" s="622"/>
      <c r="AE136" s="412"/>
      <c r="AF136" s="807" t="str">
        <f>IF(AD136="","",IF(AD136=Lists!$U$3,M136,IF(AD136=Lists!$U$4,V136,IF(AD136=Lists!$U$5,Y136-L136,AE136))))</f>
        <v/>
      </c>
      <c r="AG136" s="410" t="str">
        <f t="shared" si="32"/>
        <v/>
      </c>
      <c r="AH136" s="469" t="str">
        <f t="shared" si="33"/>
        <v/>
      </c>
      <c r="AI136" s="469" t="str">
        <f>IF($AF136=0,0,IFERROR(($L136+$AF136)/(HLOOKUP($D136,RentsUA!$K$12:$Q$35,19,FALSE)),""))</f>
        <v/>
      </c>
      <c r="AJ136" s="469" t="str">
        <f>IF($AF136=0,0,IFERROR(($AF136+K136+L136)/(HLOOKUP($D136,RentsUA!$K$12:$Q$35,19,FALSE)),""))</f>
        <v/>
      </c>
      <c r="AK136" s="469" t="str">
        <f t="shared" si="37"/>
        <v/>
      </c>
      <c r="AL136" s="469" t="str">
        <f t="shared" si="38"/>
        <v/>
      </c>
      <c r="AM136" s="1106" t="str">
        <f t="shared" si="39"/>
        <v/>
      </c>
      <c r="AN136" s="1106" t="str">
        <f>IFERROR(AM136*(1+'7a.20YrDetails'!$F$9),"")</f>
        <v/>
      </c>
      <c r="AO136" s="1106" t="str">
        <f>IFERROR(AN136*(1+'7a.20YrDetails'!$F$9),"")</f>
        <v/>
      </c>
      <c r="AP136" s="1106" t="str">
        <f>IFERROR(AO136*(1+'7a.20YrDetails'!$F$9),"")</f>
        <v/>
      </c>
      <c r="AQ136" s="1106" t="str">
        <f>IFERROR(AP136*(1+'7a.20YrDetails'!$F$9),"")</f>
        <v/>
      </c>
      <c r="AR136" s="674"/>
      <c r="AS136" s="672"/>
      <c r="AT136" s="1732" t="str">
        <f>IF($AF136=0,0,IFERROR(($AF136+L136)/(HLOOKUP($D136,RentsUA!$B$61:$H$62,2,FALSE)),""))</f>
        <v/>
      </c>
      <c r="AU136" s="1733" t="str">
        <f>IFERROR(G136/HLOOKUP(H136,RentsUA!$B$40:$I$41,2),"")</f>
        <v/>
      </c>
      <c r="BR136" s="404" t="str">
        <f t="shared" si="40"/>
        <v/>
      </c>
      <c r="BS136" s="5" t="str">
        <f t="array" ref="BS136">IFERROR(INDEX($BR$13:$BR$412, MATCH(0, COUNTIF($BS$12:$BS135, $BR$13:$BR$412), 0)),"")</f>
        <v/>
      </c>
      <c r="BT136" s="404" t="str">
        <f t="shared" si="34"/>
        <v/>
      </c>
      <c r="BU136" s="404" t="str">
        <f t="array" ref="BU136">IFERROR(INDEX($BT$13:$BT$412, MATCH(0, COUNTIF($BU$12:$BU135, $BT$13:$BT$412), 0)),"")</f>
        <v/>
      </c>
    </row>
    <row r="137" spans="1:73" s="404" customFormat="1" ht="13.2">
      <c r="A137" s="406">
        <f t="shared" si="35"/>
        <v>125</v>
      </c>
      <c r="B137" s="472"/>
      <c r="C137" s="470"/>
      <c r="D137" s="407"/>
      <c r="E137" s="407"/>
      <c r="F137" s="408"/>
      <c r="G137" s="409"/>
      <c r="H137" s="407"/>
      <c r="I137" s="1029" t="str">
        <f>IFERROR(G137/HLOOKUP(H137,RentsUA!$B$8:$J$9,2),"")</f>
        <v/>
      </c>
      <c r="J137" s="407"/>
      <c r="K137" s="412"/>
      <c r="L137" s="672">
        <f t="shared" si="29"/>
        <v>0</v>
      </c>
      <c r="M137" s="671"/>
      <c r="N137" s="410">
        <f t="shared" si="30"/>
        <v>0</v>
      </c>
      <c r="O137" s="469" t="str">
        <f>IF($M137=0,"",IFERROR(($L137+$M137)/(HLOOKUP($D137,RentsUA!$K$12:$Q$35,19,FALSE)),""))</f>
        <v/>
      </c>
      <c r="P137" s="469" t="str">
        <f>IF($M137=0,"",IFERROR(($M137+K137+L137)/(HLOOKUP($D137,RentsUA!$K$12:$Q$35,19,FALSE)),""))</f>
        <v/>
      </c>
      <c r="Q137" s="411"/>
      <c r="R137" s="673" t="str">
        <f>IF($Q137=0,"",VLOOKUP($Q137,RentsUA!$A$12:$H$35,MATCH($D137,RentsUA!$A$12:$H$12,0),FALSE))</f>
        <v/>
      </c>
      <c r="S137" s="409"/>
      <c r="T137" s="674"/>
      <c r="U137" s="672"/>
      <c r="V137" s="673" t="str">
        <f t="shared" si="36"/>
        <v/>
      </c>
      <c r="W137" s="470"/>
      <c r="X137" s="411"/>
      <c r="Y137" s="410" t="str">
        <f>IF(X137=0,"",VLOOKUP($X137,RentsUA!$A$12:$H$35,MATCH($D137,RentsUA!$A$12:$H$12,0),FALSE))</f>
        <v/>
      </c>
      <c r="Z137" s="410" t="str">
        <f t="shared" si="31"/>
        <v/>
      </c>
      <c r="AA137" s="1297" t="str">
        <f>IF(H137="","",IF(G137/HLOOKUP($H137,RentsUA!$M$8:$T$9,2,FALSE)&gt;1,"&gt; 80%","&lt;= 80%"))</f>
        <v/>
      </c>
      <c r="AB137" s="1106"/>
      <c r="AC137" s="1106"/>
      <c r="AD137" s="622"/>
      <c r="AE137" s="412"/>
      <c r="AF137" s="807" t="str">
        <f>IF(AD137="","",IF(AD137=Lists!$U$3,M137,IF(AD137=Lists!$U$4,V137,IF(AD137=Lists!$U$5,Y137-L137,AE137))))</f>
        <v/>
      </c>
      <c r="AG137" s="410" t="str">
        <f t="shared" si="32"/>
        <v/>
      </c>
      <c r="AH137" s="469" t="str">
        <f t="shared" si="33"/>
        <v/>
      </c>
      <c r="AI137" s="469" t="str">
        <f>IF($AF137=0,0,IFERROR(($L137+$AF137)/(HLOOKUP($D137,RentsUA!$K$12:$Q$35,19,FALSE)),""))</f>
        <v/>
      </c>
      <c r="AJ137" s="469" t="str">
        <f>IF($AF137=0,0,IFERROR(($AF137+K137+L137)/(HLOOKUP($D137,RentsUA!$K$12:$Q$35,19,FALSE)),""))</f>
        <v/>
      </c>
      <c r="AK137" s="469" t="str">
        <f t="shared" si="37"/>
        <v/>
      </c>
      <c r="AL137" s="469" t="str">
        <f t="shared" si="38"/>
        <v/>
      </c>
      <c r="AM137" s="1106" t="str">
        <f t="shared" si="39"/>
        <v/>
      </c>
      <c r="AN137" s="1106" t="str">
        <f>IFERROR(AM137*(1+'7a.20YrDetails'!$F$9),"")</f>
        <v/>
      </c>
      <c r="AO137" s="1106" t="str">
        <f>IFERROR(AN137*(1+'7a.20YrDetails'!$F$9),"")</f>
        <v/>
      </c>
      <c r="AP137" s="1106" t="str">
        <f>IFERROR(AO137*(1+'7a.20YrDetails'!$F$9),"")</f>
        <v/>
      </c>
      <c r="AQ137" s="1106" t="str">
        <f>IFERROR(AP137*(1+'7a.20YrDetails'!$F$9),"")</f>
        <v/>
      </c>
      <c r="AR137" s="674"/>
      <c r="AS137" s="672"/>
      <c r="AT137" s="1732" t="str">
        <f>IF($AF137=0,0,IFERROR(($AF137+L137)/(HLOOKUP($D137,RentsUA!$B$61:$H$62,2,FALSE)),""))</f>
        <v/>
      </c>
      <c r="AU137" s="1733" t="str">
        <f>IFERROR(G137/HLOOKUP(H137,RentsUA!$B$40:$I$41,2),"")</f>
        <v/>
      </c>
      <c r="BR137" s="404" t="str">
        <f t="shared" si="40"/>
        <v/>
      </c>
      <c r="BS137" s="5" t="str">
        <f t="array" ref="BS137">IFERROR(INDEX($BR$13:$BR$412, MATCH(0, COUNTIF($BS$12:$BS136, $BR$13:$BR$412), 0)),"")</f>
        <v/>
      </c>
      <c r="BT137" s="404" t="str">
        <f t="shared" si="34"/>
        <v/>
      </c>
      <c r="BU137" s="404" t="str">
        <f t="array" ref="BU137">IFERROR(INDEX($BT$13:$BT$412, MATCH(0, COUNTIF($BU$12:$BU136, $BT$13:$BT$412), 0)),"")</f>
        <v/>
      </c>
    </row>
    <row r="138" spans="1:73" s="404" customFormat="1" ht="13.2">
      <c r="A138" s="406">
        <f t="shared" si="35"/>
        <v>126</v>
      </c>
      <c r="B138" s="472"/>
      <c r="C138" s="470"/>
      <c r="D138" s="407"/>
      <c r="E138" s="407"/>
      <c r="F138" s="408"/>
      <c r="G138" s="409"/>
      <c r="H138" s="407"/>
      <c r="I138" s="1029" t="str">
        <f>IFERROR(G138/HLOOKUP(H138,RentsUA!$B$8:$J$9,2),"")</f>
        <v/>
      </c>
      <c r="J138" s="407"/>
      <c r="K138" s="412"/>
      <c r="L138" s="672">
        <f t="shared" si="29"/>
        <v>0</v>
      </c>
      <c r="M138" s="671"/>
      <c r="N138" s="410">
        <f t="shared" si="30"/>
        <v>0</v>
      </c>
      <c r="O138" s="469" t="str">
        <f>IF($M138=0,"",IFERROR(($L138+$M138)/(HLOOKUP($D138,RentsUA!$K$12:$Q$35,19,FALSE)),""))</f>
        <v/>
      </c>
      <c r="P138" s="469" t="str">
        <f>IF($M138=0,"",IFERROR(($M138+K138+L138)/(HLOOKUP($D138,RentsUA!$K$12:$Q$35,19,FALSE)),""))</f>
        <v/>
      </c>
      <c r="Q138" s="411"/>
      <c r="R138" s="673" t="str">
        <f>IF($Q138=0,"",VLOOKUP($Q138,RentsUA!$A$12:$H$35,MATCH($D138,RentsUA!$A$12:$H$12,0),FALSE))</f>
        <v/>
      </c>
      <c r="S138" s="409"/>
      <c r="T138" s="674"/>
      <c r="U138" s="672"/>
      <c r="V138" s="673" t="str">
        <f t="shared" si="36"/>
        <v/>
      </c>
      <c r="W138" s="470"/>
      <c r="X138" s="411"/>
      <c r="Y138" s="410" t="str">
        <f>IF(X138=0,"",VLOOKUP($X138,RentsUA!$A$12:$H$35,MATCH($D138,RentsUA!$A$12:$H$12,0),FALSE))</f>
        <v/>
      </c>
      <c r="Z138" s="410" t="str">
        <f t="shared" si="31"/>
        <v/>
      </c>
      <c r="AA138" s="1297" t="str">
        <f>IF(H138="","",IF(G138/HLOOKUP($H138,RentsUA!$M$8:$T$9,2,FALSE)&gt;1,"&gt; 80%","&lt;= 80%"))</f>
        <v/>
      </c>
      <c r="AB138" s="1106"/>
      <c r="AC138" s="1106"/>
      <c r="AD138" s="622"/>
      <c r="AE138" s="412"/>
      <c r="AF138" s="807" t="str">
        <f>IF(AD138="","",IF(AD138=Lists!$U$3,M138,IF(AD138=Lists!$U$4,V138,IF(AD138=Lists!$U$5,Y138-L138,AE138))))</f>
        <v/>
      </c>
      <c r="AG138" s="410" t="str">
        <f t="shared" si="32"/>
        <v/>
      </c>
      <c r="AH138" s="469" t="str">
        <f t="shared" si="33"/>
        <v/>
      </c>
      <c r="AI138" s="469" t="str">
        <f>IF($AF138=0,0,IFERROR(($L138+$AF138)/(HLOOKUP($D138,RentsUA!$K$12:$Q$35,19,FALSE)),""))</f>
        <v/>
      </c>
      <c r="AJ138" s="469" t="str">
        <f>IF($AF138=0,0,IFERROR(($AF138+K138+L138)/(HLOOKUP($D138,RentsUA!$K$12:$Q$35,19,FALSE)),""))</f>
        <v/>
      </c>
      <c r="AK138" s="469" t="str">
        <f t="shared" si="37"/>
        <v/>
      </c>
      <c r="AL138" s="469" t="str">
        <f t="shared" si="38"/>
        <v/>
      </c>
      <c r="AM138" s="1106" t="str">
        <f t="shared" si="39"/>
        <v/>
      </c>
      <c r="AN138" s="1106" t="str">
        <f>IFERROR(AM138*(1+'7a.20YrDetails'!$F$9),"")</f>
        <v/>
      </c>
      <c r="AO138" s="1106" t="str">
        <f>IFERROR(AN138*(1+'7a.20YrDetails'!$F$9),"")</f>
        <v/>
      </c>
      <c r="AP138" s="1106" t="str">
        <f>IFERROR(AO138*(1+'7a.20YrDetails'!$F$9),"")</f>
        <v/>
      </c>
      <c r="AQ138" s="1106" t="str">
        <f>IFERROR(AP138*(1+'7a.20YrDetails'!$F$9),"")</f>
        <v/>
      </c>
      <c r="AR138" s="674"/>
      <c r="AS138" s="672"/>
      <c r="AT138" s="1732" t="str">
        <f>IF($AF138=0,0,IFERROR(($AF138+L138)/(HLOOKUP($D138,RentsUA!$B$61:$H$62,2,FALSE)),""))</f>
        <v/>
      </c>
      <c r="AU138" s="1733" t="str">
        <f>IFERROR(G138/HLOOKUP(H138,RentsUA!$B$40:$I$41,2),"")</f>
        <v/>
      </c>
      <c r="BR138" s="404" t="str">
        <f t="shared" si="40"/>
        <v/>
      </c>
      <c r="BS138" s="5" t="str">
        <f t="array" ref="BS138">IFERROR(INDEX($BR$13:$BR$412, MATCH(0, COUNTIF($BS$12:$BS137, $BR$13:$BR$412), 0)),"")</f>
        <v/>
      </c>
      <c r="BT138" s="404" t="str">
        <f t="shared" si="34"/>
        <v/>
      </c>
      <c r="BU138" s="404" t="str">
        <f t="array" ref="BU138">IFERROR(INDEX($BT$13:$BT$412, MATCH(0, COUNTIF($BU$12:$BU137, $BT$13:$BT$412), 0)),"")</f>
        <v/>
      </c>
    </row>
    <row r="139" spans="1:73" s="404" customFormat="1" ht="13.2">
      <c r="A139" s="406">
        <f t="shared" si="35"/>
        <v>127</v>
      </c>
      <c r="B139" s="472"/>
      <c r="C139" s="470"/>
      <c r="D139" s="407"/>
      <c r="E139" s="407"/>
      <c r="F139" s="408"/>
      <c r="G139" s="409"/>
      <c r="H139" s="407"/>
      <c r="I139" s="1029" t="str">
        <f>IFERROR(G139/HLOOKUP(H139,RentsUA!$B$8:$J$9,2),"")</f>
        <v/>
      </c>
      <c r="J139" s="407"/>
      <c r="K139" s="412"/>
      <c r="L139" s="672">
        <f t="shared" si="29"/>
        <v>0</v>
      </c>
      <c r="M139" s="671"/>
      <c r="N139" s="410">
        <f t="shared" si="30"/>
        <v>0</v>
      </c>
      <c r="O139" s="469" t="str">
        <f>IF($M139=0,"",IFERROR(($L139+$M139)/(HLOOKUP($D139,RentsUA!$K$12:$Q$35,19,FALSE)),""))</f>
        <v/>
      </c>
      <c r="P139" s="469" t="str">
        <f>IF($M139=0,"",IFERROR(($M139+K139+L139)/(HLOOKUP($D139,RentsUA!$K$12:$Q$35,19,FALSE)),""))</f>
        <v/>
      </c>
      <c r="Q139" s="411"/>
      <c r="R139" s="673" t="str">
        <f>IF($Q139=0,"",VLOOKUP($Q139,RentsUA!$A$12:$H$35,MATCH($D139,RentsUA!$A$12:$H$12,0),FALSE))</f>
        <v/>
      </c>
      <c r="S139" s="409"/>
      <c r="T139" s="674"/>
      <c r="U139" s="672"/>
      <c r="V139" s="673" t="str">
        <f t="shared" si="36"/>
        <v/>
      </c>
      <c r="W139" s="470"/>
      <c r="X139" s="411"/>
      <c r="Y139" s="410" t="str">
        <f>IF(X139=0,"",VLOOKUP($X139,RentsUA!$A$12:$H$35,MATCH($D139,RentsUA!$A$12:$H$12,0),FALSE))</f>
        <v/>
      </c>
      <c r="Z139" s="410" t="str">
        <f t="shared" si="31"/>
        <v/>
      </c>
      <c r="AA139" s="1297" t="str">
        <f>IF(H139="","",IF(G139/HLOOKUP($H139,RentsUA!$M$8:$T$9,2,FALSE)&gt;1,"&gt; 80%","&lt;= 80%"))</f>
        <v/>
      </c>
      <c r="AB139" s="1106"/>
      <c r="AC139" s="1106"/>
      <c r="AD139" s="622"/>
      <c r="AE139" s="412"/>
      <c r="AF139" s="807" t="str">
        <f>IF(AD139="","",IF(AD139=Lists!$U$3,M139,IF(AD139=Lists!$U$4,V139,IF(AD139=Lists!$U$5,Y139-L139,AE139))))</f>
        <v/>
      </c>
      <c r="AG139" s="410" t="str">
        <f t="shared" si="32"/>
        <v/>
      </c>
      <c r="AH139" s="469" t="str">
        <f t="shared" si="33"/>
        <v/>
      </c>
      <c r="AI139" s="469" t="str">
        <f>IF($AF139=0,0,IFERROR(($L139+$AF139)/(HLOOKUP($D139,RentsUA!$K$12:$Q$35,19,FALSE)),""))</f>
        <v/>
      </c>
      <c r="AJ139" s="469" t="str">
        <f>IF($AF139=0,0,IFERROR(($AF139+K139+L139)/(HLOOKUP($D139,RentsUA!$K$12:$Q$35,19,FALSE)),""))</f>
        <v/>
      </c>
      <c r="AK139" s="469" t="str">
        <f t="shared" si="37"/>
        <v/>
      </c>
      <c r="AL139" s="469" t="str">
        <f t="shared" si="38"/>
        <v/>
      </c>
      <c r="AM139" s="1106" t="str">
        <f t="shared" si="39"/>
        <v/>
      </c>
      <c r="AN139" s="1106" t="str">
        <f>IFERROR(AM139*(1+'7a.20YrDetails'!$F$9),"")</f>
        <v/>
      </c>
      <c r="AO139" s="1106" t="str">
        <f>IFERROR(AN139*(1+'7a.20YrDetails'!$F$9),"")</f>
        <v/>
      </c>
      <c r="AP139" s="1106" t="str">
        <f>IFERROR(AO139*(1+'7a.20YrDetails'!$F$9),"")</f>
        <v/>
      </c>
      <c r="AQ139" s="1106" t="str">
        <f>IFERROR(AP139*(1+'7a.20YrDetails'!$F$9),"")</f>
        <v/>
      </c>
      <c r="AR139" s="674"/>
      <c r="AS139" s="672"/>
      <c r="AT139" s="1732" t="str">
        <f>IF($AF139=0,0,IFERROR(($AF139+L139)/(HLOOKUP($D139,RentsUA!$B$61:$H$62,2,FALSE)),""))</f>
        <v/>
      </c>
      <c r="AU139" s="1733" t="str">
        <f>IFERROR(G139/HLOOKUP(H139,RentsUA!$B$40:$I$41,2),"")</f>
        <v/>
      </c>
      <c r="BR139" s="404" t="str">
        <f t="shared" si="40"/>
        <v/>
      </c>
      <c r="BS139" s="5" t="str">
        <f t="array" ref="BS139">IFERROR(INDEX($BR$13:$BR$412, MATCH(0, COUNTIF($BS$12:$BS138, $BR$13:$BR$412), 0)),"")</f>
        <v/>
      </c>
      <c r="BT139" s="404" t="str">
        <f t="shared" si="34"/>
        <v/>
      </c>
      <c r="BU139" s="404" t="str">
        <f t="array" ref="BU139">IFERROR(INDEX($BT$13:$BT$412, MATCH(0, COUNTIF($BU$12:$BU138, $BT$13:$BT$412), 0)),"")</f>
        <v/>
      </c>
    </row>
    <row r="140" spans="1:73" s="404" customFormat="1" ht="13.2">
      <c r="A140" s="406">
        <f t="shared" si="35"/>
        <v>128</v>
      </c>
      <c r="B140" s="472"/>
      <c r="C140" s="470"/>
      <c r="D140" s="407"/>
      <c r="E140" s="407"/>
      <c r="F140" s="408"/>
      <c r="G140" s="409"/>
      <c r="H140" s="407"/>
      <c r="I140" s="1029" t="str">
        <f>IFERROR(G140/HLOOKUP(H140,RentsUA!$B$8:$J$9,2),"")</f>
        <v/>
      </c>
      <c r="J140" s="407"/>
      <c r="K140" s="412"/>
      <c r="L140" s="672">
        <f t="shared" si="29"/>
        <v>0</v>
      </c>
      <c r="M140" s="671"/>
      <c r="N140" s="410">
        <f t="shared" si="30"/>
        <v>0</v>
      </c>
      <c r="O140" s="469" t="str">
        <f>IF($M140=0,"",IFERROR(($L140+$M140)/(HLOOKUP($D140,RentsUA!$K$12:$Q$35,19,FALSE)),""))</f>
        <v/>
      </c>
      <c r="P140" s="469" t="str">
        <f>IF($M140=0,"",IFERROR(($M140+K140+L140)/(HLOOKUP($D140,RentsUA!$K$12:$Q$35,19,FALSE)),""))</f>
        <v/>
      </c>
      <c r="Q140" s="411"/>
      <c r="R140" s="673" t="str">
        <f>IF($Q140=0,"",VLOOKUP($Q140,RentsUA!$A$12:$H$35,MATCH($D140,RentsUA!$A$12:$H$12,0),FALSE))</f>
        <v/>
      </c>
      <c r="S140" s="409"/>
      <c r="T140" s="674"/>
      <c r="U140" s="672"/>
      <c r="V140" s="673" t="str">
        <f t="shared" si="36"/>
        <v/>
      </c>
      <c r="W140" s="470"/>
      <c r="X140" s="411"/>
      <c r="Y140" s="410" t="str">
        <f>IF(X140=0,"",VLOOKUP($X140,RentsUA!$A$12:$H$35,MATCH($D140,RentsUA!$A$12:$H$12,0),FALSE))</f>
        <v/>
      </c>
      <c r="Z140" s="410" t="str">
        <f t="shared" si="31"/>
        <v/>
      </c>
      <c r="AA140" s="1297" t="str">
        <f>IF(H140="","",IF(G140/HLOOKUP($H140,RentsUA!$M$8:$T$9,2,FALSE)&gt;1,"&gt; 80%","&lt;= 80%"))</f>
        <v/>
      </c>
      <c r="AB140" s="1106"/>
      <c r="AC140" s="1106"/>
      <c r="AD140" s="622"/>
      <c r="AE140" s="412"/>
      <c r="AF140" s="807" t="str">
        <f>IF(AD140="","",IF(AD140=Lists!$U$3,M140,IF(AD140=Lists!$U$4,V140,IF(AD140=Lists!$U$5,Y140-L140,AE140))))</f>
        <v/>
      </c>
      <c r="AG140" s="410" t="str">
        <f t="shared" si="32"/>
        <v/>
      </c>
      <c r="AH140" s="469" t="str">
        <f t="shared" si="33"/>
        <v/>
      </c>
      <c r="AI140" s="469" t="str">
        <f>IF($AF140=0,0,IFERROR(($L140+$AF140)/(HLOOKUP($D140,RentsUA!$K$12:$Q$35,19,FALSE)),""))</f>
        <v/>
      </c>
      <c r="AJ140" s="469" t="str">
        <f>IF($AF140=0,0,IFERROR(($AF140+K140+L140)/(HLOOKUP($D140,RentsUA!$K$12:$Q$35,19,FALSE)),""))</f>
        <v/>
      </c>
      <c r="AK140" s="469" t="str">
        <f t="shared" si="37"/>
        <v/>
      </c>
      <c r="AL140" s="469" t="str">
        <f t="shared" si="38"/>
        <v/>
      </c>
      <c r="AM140" s="1106" t="str">
        <f t="shared" si="39"/>
        <v/>
      </c>
      <c r="AN140" s="1106" t="str">
        <f>IFERROR(AM140*(1+'7a.20YrDetails'!$F$9),"")</f>
        <v/>
      </c>
      <c r="AO140" s="1106" t="str">
        <f>IFERROR(AN140*(1+'7a.20YrDetails'!$F$9),"")</f>
        <v/>
      </c>
      <c r="AP140" s="1106" t="str">
        <f>IFERROR(AO140*(1+'7a.20YrDetails'!$F$9),"")</f>
        <v/>
      </c>
      <c r="AQ140" s="1106" t="str">
        <f>IFERROR(AP140*(1+'7a.20YrDetails'!$F$9),"")</f>
        <v/>
      </c>
      <c r="AR140" s="674"/>
      <c r="AS140" s="672"/>
      <c r="AT140" s="1732" t="str">
        <f>IF($AF140=0,0,IFERROR(($AF140+L140)/(HLOOKUP($D140,RentsUA!$B$61:$H$62,2,FALSE)),""))</f>
        <v/>
      </c>
      <c r="AU140" s="1733" t="str">
        <f>IFERROR(G140/HLOOKUP(H140,RentsUA!$B$40:$I$41,2),"")</f>
        <v/>
      </c>
      <c r="BR140" s="404" t="str">
        <f t="shared" si="40"/>
        <v/>
      </c>
      <c r="BS140" s="5" t="str">
        <f t="array" ref="BS140">IFERROR(INDEX($BR$13:$BR$412, MATCH(0, COUNTIF($BS$12:$BS139, $BR$13:$BR$412), 0)),"")</f>
        <v/>
      </c>
      <c r="BT140" s="404" t="str">
        <f t="shared" si="34"/>
        <v/>
      </c>
      <c r="BU140" s="404" t="str">
        <f t="array" ref="BU140">IFERROR(INDEX($BT$13:$BT$412, MATCH(0, COUNTIF($BU$12:$BU139, $BT$13:$BT$412), 0)),"")</f>
        <v/>
      </c>
    </row>
    <row r="141" spans="1:73" s="404" customFormat="1" ht="13.2">
      <c r="A141" s="406">
        <f t="shared" si="35"/>
        <v>129</v>
      </c>
      <c r="B141" s="472"/>
      <c r="C141" s="470"/>
      <c r="D141" s="407"/>
      <c r="E141" s="407"/>
      <c r="F141" s="408"/>
      <c r="G141" s="409"/>
      <c r="H141" s="407"/>
      <c r="I141" s="1029" t="str">
        <f>IFERROR(G141/HLOOKUP(H141,RentsUA!$B$8:$J$9,2),"")</f>
        <v/>
      </c>
      <c r="J141" s="407"/>
      <c r="K141" s="412"/>
      <c r="L141" s="672">
        <f t="shared" ref="L141:L204" si="41">IF(D141="",0,HLOOKUP($D141,UA,7,FALSE))</f>
        <v>0</v>
      </c>
      <c r="M141" s="671"/>
      <c r="N141" s="410">
        <f t="shared" ref="N141:N204" si="42">M141+L141</f>
        <v>0</v>
      </c>
      <c r="O141" s="469" t="str">
        <f>IF($M141=0,"",IFERROR(($L141+$M141)/(HLOOKUP($D141,RentsUA!$K$12:$Q$35,19,FALSE)),""))</f>
        <v/>
      </c>
      <c r="P141" s="469" t="str">
        <f>IF($M141=0,"",IFERROR(($M141+K141+L141)/(HLOOKUP($D141,RentsUA!$K$12:$Q$35,19,FALSE)),""))</f>
        <v/>
      </c>
      <c r="Q141" s="411"/>
      <c r="R141" s="673" t="str">
        <f>IF($Q141=0,"",VLOOKUP($Q141,RentsUA!$A$12:$H$35,MATCH($D141,RentsUA!$A$12:$H$12,0),FALSE))</f>
        <v/>
      </c>
      <c r="S141" s="409"/>
      <c r="T141" s="674"/>
      <c r="U141" s="672"/>
      <c r="V141" s="673" t="str">
        <f t="shared" si="36"/>
        <v/>
      </c>
      <c r="W141" s="470"/>
      <c r="X141" s="411"/>
      <c r="Y141" s="410" t="str">
        <f>IF(X141=0,"",VLOOKUP($X141,RentsUA!$A$12:$H$35,MATCH($D141,RentsUA!$A$12:$H$12,0),FALSE))</f>
        <v/>
      </c>
      <c r="Z141" s="410" t="str">
        <f t="shared" ref="Z141:Z204" si="43">IF(Y141&lt;&gt;"",Y141-L141,"")</f>
        <v/>
      </c>
      <c r="AA141" s="1297" t="str">
        <f>IF(H141="","",IF(G141/HLOOKUP($H141,RentsUA!$M$8:$T$9,2,FALSE)&gt;1,"&gt; 80%","&lt;= 80%"))</f>
        <v/>
      </c>
      <c r="AB141" s="1106"/>
      <c r="AC141" s="1106"/>
      <c r="AD141" s="622"/>
      <c r="AE141" s="412"/>
      <c r="AF141" s="807" t="str">
        <f>IF(AD141="","",IF(AD141=Lists!$U$3,M141,IF(AD141=Lists!$U$4,V141,IF(AD141=Lists!$U$5,Y141-L141,AE141))))</f>
        <v/>
      </c>
      <c r="AG141" s="410" t="str">
        <f t="shared" ref="AG141:AG204" si="44">IFERROR(AF141+L141,"")</f>
        <v/>
      </c>
      <c r="AH141" s="469" t="str">
        <f t="shared" ref="AH141:AH204" si="45">IFERROR(($AF141-$M141)/$M141,"")</f>
        <v/>
      </c>
      <c r="AI141" s="469" t="str">
        <f>IF($AF141=0,0,IFERROR(($L141+$AF141)/(HLOOKUP($D141,RentsUA!$K$12:$Q$35,19,FALSE)),""))</f>
        <v/>
      </c>
      <c r="AJ141" s="469" t="str">
        <f>IF($AF141=0,0,IFERROR(($AF141+K141+L141)/(HLOOKUP($D141,RentsUA!$K$12:$Q$35,19,FALSE)),""))</f>
        <v/>
      </c>
      <c r="AK141" s="469" t="str">
        <f t="shared" si="37"/>
        <v/>
      </c>
      <c r="AL141" s="469" t="str">
        <f t="shared" si="38"/>
        <v/>
      </c>
      <c r="AM141" s="1106" t="str">
        <f t="shared" si="39"/>
        <v/>
      </c>
      <c r="AN141" s="1106" t="str">
        <f>IFERROR(AM141*(1+'7a.20YrDetails'!$F$9),"")</f>
        <v/>
      </c>
      <c r="AO141" s="1106" t="str">
        <f>IFERROR(AN141*(1+'7a.20YrDetails'!$F$9),"")</f>
        <v/>
      </c>
      <c r="AP141" s="1106" t="str">
        <f>IFERROR(AO141*(1+'7a.20YrDetails'!$F$9),"")</f>
        <v/>
      </c>
      <c r="AQ141" s="1106" t="str">
        <f>IFERROR(AP141*(1+'7a.20YrDetails'!$F$9),"")</f>
        <v/>
      </c>
      <c r="AR141" s="674"/>
      <c r="AS141" s="672"/>
      <c r="AT141" s="1732" t="str">
        <f>IF($AF141=0,0,IFERROR(($AF141+L141)/(HLOOKUP($D141,RentsUA!$B$61:$H$62,2,FALSE)),""))</f>
        <v/>
      </c>
      <c r="AU141" s="1733" t="str">
        <f>IFERROR(G141/HLOOKUP(H141,RentsUA!$B$40:$I$41,2),"")</f>
        <v/>
      </c>
      <c r="BR141" s="404" t="str">
        <f t="shared" si="40"/>
        <v/>
      </c>
      <c r="BS141" s="5" t="str">
        <f t="array" ref="BS141">IFERROR(INDEX($BR$13:$BR$412, MATCH(0, COUNTIF($BS$12:$BS140, $BR$13:$BR$412), 0)),"")</f>
        <v/>
      </c>
      <c r="BT141" s="404" t="str">
        <f t="shared" ref="BT141:BT204" si="46">IF(X141="","",CONCATENATE("MOHCD ",X141*100,"%"))</f>
        <v/>
      </c>
      <c r="BU141" s="404" t="str">
        <f t="array" ref="BU141">IFERROR(INDEX($BT$13:$BT$412, MATCH(0, COUNTIF($BU$12:$BU140, $BT$13:$BT$412), 0)),"")</f>
        <v/>
      </c>
    </row>
    <row r="142" spans="1:73" s="404" customFormat="1" ht="13.2">
      <c r="A142" s="406">
        <f t="shared" si="35"/>
        <v>130</v>
      </c>
      <c r="B142" s="472"/>
      <c r="C142" s="470"/>
      <c r="D142" s="407"/>
      <c r="E142" s="407"/>
      <c r="F142" s="408"/>
      <c r="G142" s="409"/>
      <c r="H142" s="407"/>
      <c r="I142" s="1029" t="str">
        <f>IFERROR(G142/HLOOKUP(H142,RentsUA!$B$8:$J$9,2),"")</f>
        <v/>
      </c>
      <c r="J142" s="407"/>
      <c r="K142" s="412"/>
      <c r="L142" s="672">
        <f t="shared" si="41"/>
        <v>0</v>
      </c>
      <c r="M142" s="671"/>
      <c r="N142" s="410">
        <f t="shared" si="42"/>
        <v>0</v>
      </c>
      <c r="O142" s="469" t="str">
        <f>IF($M142=0,"",IFERROR(($L142+$M142)/(HLOOKUP($D142,RentsUA!$K$12:$Q$35,19,FALSE)),""))</f>
        <v/>
      </c>
      <c r="P142" s="469" t="str">
        <f>IF($M142=0,"",IFERROR(($M142+K142+L142)/(HLOOKUP($D142,RentsUA!$K$12:$Q$35,19,FALSE)),""))</f>
        <v/>
      </c>
      <c r="Q142" s="411"/>
      <c r="R142" s="673" t="str">
        <f>IF($Q142=0,"",VLOOKUP($Q142,RentsUA!$A$12:$H$35,MATCH($D142,RentsUA!$A$12:$H$12,0),FALSE))</f>
        <v/>
      </c>
      <c r="S142" s="409"/>
      <c r="T142" s="674"/>
      <c r="U142" s="672"/>
      <c r="V142" s="673" t="str">
        <f t="shared" ref="V142:V205" si="47">IF(Q142&lt;&gt;"",R142-L142,IF(U142&lt;&gt;0,U142-L142,""))</f>
        <v/>
      </c>
      <c r="W142" s="470"/>
      <c r="X142" s="411"/>
      <c r="Y142" s="410" t="str">
        <f>IF(X142=0,"",VLOOKUP($X142,RentsUA!$A$12:$H$35,MATCH($D142,RentsUA!$A$12:$H$12,0),FALSE))</f>
        <v/>
      </c>
      <c r="Z142" s="410" t="str">
        <f t="shared" si="43"/>
        <v/>
      </c>
      <c r="AA142" s="1297" t="str">
        <f>IF(H142="","",IF(G142/HLOOKUP($H142,RentsUA!$M$8:$T$9,2,FALSE)&gt;1,"&gt; 80%","&lt;= 80%"))</f>
        <v/>
      </c>
      <c r="AB142" s="1106"/>
      <c r="AC142" s="1106"/>
      <c r="AD142" s="622"/>
      <c r="AE142" s="412"/>
      <c r="AF142" s="807" t="str">
        <f>IF(AD142="","",IF(AD142=Lists!$U$3,M142,IF(AD142=Lists!$U$4,V142,IF(AD142=Lists!$U$5,Y142-L142,AE142))))</f>
        <v/>
      </c>
      <c r="AG142" s="410" t="str">
        <f t="shared" si="44"/>
        <v/>
      </c>
      <c r="AH142" s="469" t="str">
        <f t="shared" si="45"/>
        <v/>
      </c>
      <c r="AI142" s="469" t="str">
        <f>IF($AF142=0,0,IFERROR(($L142+$AF142)/(HLOOKUP($D142,RentsUA!$K$12:$Q$35,19,FALSE)),""))</f>
        <v/>
      </c>
      <c r="AJ142" s="469" t="str">
        <f>IF($AF142=0,0,IFERROR(($AF142+K142+L142)/(HLOOKUP($D142,RentsUA!$K$12:$Q$35,19,FALSE)),""))</f>
        <v/>
      </c>
      <c r="AK142" s="469" t="str">
        <f t="shared" ref="AK142:AK205" si="48">IFERROR(AG142*12/G142,"")</f>
        <v/>
      </c>
      <c r="AL142" s="469" t="str">
        <f t="shared" ref="AL142:AL205" si="49">IFERROR(AF142*12/$G142,"")</f>
        <v/>
      </c>
      <c r="AM142" s="1106" t="str">
        <f t="shared" ref="AM142:AM205" si="50">AF142</f>
        <v/>
      </c>
      <c r="AN142" s="1106" t="str">
        <f>IFERROR(AM142*(1+'7a.20YrDetails'!$F$9),"")</f>
        <v/>
      </c>
      <c r="AO142" s="1106" t="str">
        <f>IFERROR(AN142*(1+'7a.20YrDetails'!$F$9),"")</f>
        <v/>
      </c>
      <c r="AP142" s="1106" t="str">
        <f>IFERROR(AO142*(1+'7a.20YrDetails'!$F$9),"")</f>
        <v/>
      </c>
      <c r="AQ142" s="1106" t="str">
        <f>IFERROR(AP142*(1+'7a.20YrDetails'!$F$9),"")</f>
        <v/>
      </c>
      <c r="AR142" s="674"/>
      <c r="AS142" s="672"/>
      <c r="AT142" s="1732" t="str">
        <f>IF($AF142=0,0,IFERROR(($AF142+L142)/(HLOOKUP($D142,RentsUA!$B$61:$H$62,2,FALSE)),""))</f>
        <v/>
      </c>
      <c r="AU142" s="1733" t="str">
        <f>IFERROR(G142/HLOOKUP(H142,RentsUA!$B$40:$I$41,2),"")</f>
        <v/>
      </c>
      <c r="BR142" s="404" t="str">
        <f t="shared" ref="BR142:BR205" si="51">IF(Q142&lt;&gt;"","MOHCD "&amp;Q142*100&amp;"%",IF(AND(Q142="",S142&lt;&gt;""),CONCATENATE(S142, " ",T142*100,"%"),""))</f>
        <v/>
      </c>
      <c r="BS142" s="5" t="str">
        <f t="array" ref="BS142">IFERROR(INDEX($BR$13:$BR$412, MATCH(0, COUNTIF($BS$12:$BS141, $BR$13:$BR$412), 0)),"")</f>
        <v/>
      </c>
      <c r="BT142" s="404" t="str">
        <f t="shared" si="46"/>
        <v/>
      </c>
      <c r="BU142" s="404" t="str">
        <f t="array" ref="BU142">IFERROR(INDEX($BT$13:$BT$412, MATCH(0, COUNTIF($BU$12:$BU141, $BT$13:$BT$412), 0)),"")</f>
        <v/>
      </c>
    </row>
    <row r="143" spans="1:73" s="404" customFormat="1" ht="13.2">
      <c r="A143" s="406">
        <f t="shared" ref="A143:A206" si="52">A142+1</f>
        <v>131</v>
      </c>
      <c r="B143" s="472"/>
      <c r="C143" s="470"/>
      <c r="D143" s="407"/>
      <c r="E143" s="407"/>
      <c r="F143" s="408"/>
      <c r="G143" s="409"/>
      <c r="H143" s="407"/>
      <c r="I143" s="1029" t="str">
        <f>IFERROR(G143/HLOOKUP(H143,RentsUA!$B$8:$J$9,2),"")</f>
        <v/>
      </c>
      <c r="J143" s="407"/>
      <c r="K143" s="412"/>
      <c r="L143" s="672">
        <f t="shared" si="41"/>
        <v>0</v>
      </c>
      <c r="M143" s="671"/>
      <c r="N143" s="410">
        <f t="shared" si="42"/>
        <v>0</v>
      </c>
      <c r="O143" s="469" t="str">
        <f>IF($M143=0,"",IFERROR(($L143+$M143)/(HLOOKUP($D143,RentsUA!$K$12:$Q$35,19,FALSE)),""))</f>
        <v/>
      </c>
      <c r="P143" s="469" t="str">
        <f>IF($M143=0,"",IFERROR(($M143+K143+L143)/(HLOOKUP($D143,RentsUA!$K$12:$Q$35,19,FALSE)),""))</f>
        <v/>
      </c>
      <c r="Q143" s="411"/>
      <c r="R143" s="673" t="str">
        <f>IF($Q143=0,"",VLOOKUP($Q143,RentsUA!$A$12:$H$35,MATCH($D143,RentsUA!$A$12:$H$12,0),FALSE))</f>
        <v/>
      </c>
      <c r="S143" s="409"/>
      <c r="T143" s="674"/>
      <c r="U143" s="672"/>
      <c r="V143" s="673" t="str">
        <f t="shared" si="47"/>
        <v/>
      </c>
      <c r="W143" s="470"/>
      <c r="X143" s="411"/>
      <c r="Y143" s="410" t="str">
        <f>IF(X143=0,"",VLOOKUP($X143,RentsUA!$A$12:$H$35,MATCH($D143,RentsUA!$A$12:$H$12,0),FALSE))</f>
        <v/>
      </c>
      <c r="Z143" s="410" t="str">
        <f t="shared" si="43"/>
        <v/>
      </c>
      <c r="AA143" s="1297" t="str">
        <f>IF(H143="","",IF(G143/HLOOKUP($H143,RentsUA!$M$8:$T$9,2,FALSE)&gt;1,"&gt; 80%","&lt;= 80%"))</f>
        <v/>
      </c>
      <c r="AB143" s="1106"/>
      <c r="AC143" s="1106"/>
      <c r="AD143" s="622"/>
      <c r="AE143" s="412"/>
      <c r="AF143" s="807" t="str">
        <f>IF(AD143="","",IF(AD143=Lists!$U$3,M143,IF(AD143=Lists!$U$4,V143,IF(AD143=Lists!$U$5,Y143-L143,AE143))))</f>
        <v/>
      </c>
      <c r="AG143" s="410" t="str">
        <f t="shared" si="44"/>
        <v/>
      </c>
      <c r="AH143" s="469" t="str">
        <f t="shared" si="45"/>
        <v/>
      </c>
      <c r="AI143" s="469" t="str">
        <f>IF($AF143=0,0,IFERROR(($L143+$AF143)/(HLOOKUP($D143,RentsUA!$K$12:$Q$35,19,FALSE)),""))</f>
        <v/>
      </c>
      <c r="AJ143" s="469" t="str">
        <f>IF($AF143=0,0,IFERROR(($AF143+K143+L143)/(HLOOKUP($D143,RentsUA!$K$12:$Q$35,19,FALSE)),""))</f>
        <v/>
      </c>
      <c r="AK143" s="469" t="str">
        <f t="shared" si="48"/>
        <v/>
      </c>
      <c r="AL143" s="469" t="str">
        <f t="shared" si="49"/>
        <v/>
      </c>
      <c r="AM143" s="1106" t="str">
        <f t="shared" si="50"/>
        <v/>
      </c>
      <c r="AN143" s="1106" t="str">
        <f>IFERROR(AM143*(1+'7a.20YrDetails'!$F$9),"")</f>
        <v/>
      </c>
      <c r="AO143" s="1106" t="str">
        <f>IFERROR(AN143*(1+'7a.20YrDetails'!$F$9),"")</f>
        <v/>
      </c>
      <c r="AP143" s="1106" t="str">
        <f>IFERROR(AO143*(1+'7a.20YrDetails'!$F$9),"")</f>
        <v/>
      </c>
      <c r="AQ143" s="1106" t="str">
        <f>IFERROR(AP143*(1+'7a.20YrDetails'!$F$9),"")</f>
        <v/>
      </c>
      <c r="AR143" s="674"/>
      <c r="AS143" s="672"/>
      <c r="AT143" s="1732" t="str">
        <f>IF($AF143=0,0,IFERROR(($AF143+L143)/(HLOOKUP($D143,RentsUA!$B$61:$H$62,2,FALSE)),""))</f>
        <v/>
      </c>
      <c r="AU143" s="1733" t="str">
        <f>IFERROR(G143/HLOOKUP(H143,RentsUA!$B$40:$I$41,2),"")</f>
        <v/>
      </c>
      <c r="BR143" s="404" t="str">
        <f t="shared" si="51"/>
        <v/>
      </c>
      <c r="BS143" s="5" t="str">
        <f t="array" ref="BS143">IFERROR(INDEX($BR$13:$BR$412, MATCH(0, COUNTIF($BS$12:$BS142, $BR$13:$BR$412), 0)),"")</f>
        <v/>
      </c>
      <c r="BT143" s="404" t="str">
        <f t="shared" si="46"/>
        <v/>
      </c>
      <c r="BU143" s="404" t="str">
        <f t="array" ref="BU143">IFERROR(INDEX($BT$13:$BT$412, MATCH(0, COUNTIF($BU$12:$BU142, $BT$13:$BT$412), 0)),"")</f>
        <v/>
      </c>
    </row>
    <row r="144" spans="1:73" s="404" customFormat="1" ht="13.2">
      <c r="A144" s="406">
        <f t="shared" si="52"/>
        <v>132</v>
      </c>
      <c r="B144" s="472"/>
      <c r="C144" s="470"/>
      <c r="D144" s="407"/>
      <c r="E144" s="407"/>
      <c r="F144" s="408"/>
      <c r="G144" s="409"/>
      <c r="H144" s="407"/>
      <c r="I144" s="1029" t="str">
        <f>IFERROR(G144/HLOOKUP(H144,RentsUA!$B$8:$J$9,2),"")</f>
        <v/>
      </c>
      <c r="J144" s="407"/>
      <c r="K144" s="412"/>
      <c r="L144" s="672">
        <f t="shared" si="41"/>
        <v>0</v>
      </c>
      <c r="M144" s="671"/>
      <c r="N144" s="410">
        <f t="shared" si="42"/>
        <v>0</v>
      </c>
      <c r="O144" s="469" t="str">
        <f>IF($M144=0,"",IFERROR(($L144+$M144)/(HLOOKUP($D144,RentsUA!$K$12:$Q$35,19,FALSE)),""))</f>
        <v/>
      </c>
      <c r="P144" s="469" t="str">
        <f>IF($M144=0,"",IFERROR(($M144+K144+L144)/(HLOOKUP($D144,RentsUA!$K$12:$Q$35,19,FALSE)),""))</f>
        <v/>
      </c>
      <c r="Q144" s="411"/>
      <c r="R144" s="673" t="str">
        <f>IF($Q144=0,"",VLOOKUP($Q144,RentsUA!$A$12:$H$35,MATCH($D144,RentsUA!$A$12:$H$12,0),FALSE))</f>
        <v/>
      </c>
      <c r="S144" s="409"/>
      <c r="T144" s="674"/>
      <c r="U144" s="672"/>
      <c r="V144" s="673" t="str">
        <f t="shared" si="47"/>
        <v/>
      </c>
      <c r="W144" s="470"/>
      <c r="X144" s="411"/>
      <c r="Y144" s="410" t="str">
        <f>IF(X144=0,"",VLOOKUP($X144,RentsUA!$A$12:$H$35,MATCH($D144,RentsUA!$A$12:$H$12,0),FALSE))</f>
        <v/>
      </c>
      <c r="Z144" s="410" t="str">
        <f t="shared" si="43"/>
        <v/>
      </c>
      <c r="AA144" s="1297" t="str">
        <f>IF(H144="","",IF(G144/HLOOKUP($H144,RentsUA!$M$8:$T$9,2,FALSE)&gt;1,"&gt; 80%","&lt;= 80%"))</f>
        <v/>
      </c>
      <c r="AB144" s="1106"/>
      <c r="AC144" s="1106"/>
      <c r="AD144" s="622"/>
      <c r="AE144" s="412"/>
      <c r="AF144" s="807" t="str">
        <f>IF(AD144="","",IF(AD144=Lists!$U$3,M144,IF(AD144=Lists!$U$4,V144,IF(AD144=Lists!$U$5,Y144-L144,AE144))))</f>
        <v/>
      </c>
      <c r="AG144" s="410" t="str">
        <f t="shared" si="44"/>
        <v/>
      </c>
      <c r="AH144" s="469" t="str">
        <f t="shared" si="45"/>
        <v/>
      </c>
      <c r="AI144" s="469" t="str">
        <f>IF($AF144=0,0,IFERROR(($L144+$AF144)/(HLOOKUP($D144,RentsUA!$K$12:$Q$35,19,FALSE)),""))</f>
        <v/>
      </c>
      <c r="AJ144" s="469" t="str">
        <f>IF($AF144=0,0,IFERROR(($AF144+K144+L144)/(HLOOKUP($D144,RentsUA!$K$12:$Q$35,19,FALSE)),""))</f>
        <v/>
      </c>
      <c r="AK144" s="469" t="str">
        <f t="shared" si="48"/>
        <v/>
      </c>
      <c r="AL144" s="469" t="str">
        <f t="shared" si="49"/>
        <v/>
      </c>
      <c r="AM144" s="1106" t="str">
        <f t="shared" si="50"/>
        <v/>
      </c>
      <c r="AN144" s="1106" t="str">
        <f>IFERROR(AM144*(1+'7a.20YrDetails'!$F$9),"")</f>
        <v/>
      </c>
      <c r="AO144" s="1106" t="str">
        <f>IFERROR(AN144*(1+'7a.20YrDetails'!$F$9),"")</f>
        <v/>
      </c>
      <c r="AP144" s="1106" t="str">
        <f>IFERROR(AO144*(1+'7a.20YrDetails'!$F$9),"")</f>
        <v/>
      </c>
      <c r="AQ144" s="1106" t="str">
        <f>IFERROR(AP144*(1+'7a.20YrDetails'!$F$9),"")</f>
        <v/>
      </c>
      <c r="AR144" s="674"/>
      <c r="AS144" s="672"/>
      <c r="AT144" s="1732" t="str">
        <f>IF($AF144=0,0,IFERROR(($AF144+L144)/(HLOOKUP($D144,RentsUA!$B$61:$H$62,2,FALSE)),""))</f>
        <v/>
      </c>
      <c r="AU144" s="1733" t="str">
        <f>IFERROR(G144/HLOOKUP(H144,RentsUA!$B$40:$I$41,2),"")</f>
        <v/>
      </c>
      <c r="BR144" s="404" t="str">
        <f t="shared" si="51"/>
        <v/>
      </c>
      <c r="BS144" s="5" t="str">
        <f t="array" ref="BS144">IFERROR(INDEX($BR$13:$BR$412, MATCH(0, COUNTIF($BS$12:$BS143, $BR$13:$BR$412), 0)),"")</f>
        <v/>
      </c>
      <c r="BT144" s="404" t="str">
        <f t="shared" si="46"/>
        <v/>
      </c>
      <c r="BU144" s="404" t="str">
        <f t="array" ref="BU144">IFERROR(INDEX($BT$13:$BT$412, MATCH(0, COUNTIF($BU$12:$BU143, $BT$13:$BT$412), 0)),"")</f>
        <v/>
      </c>
    </row>
    <row r="145" spans="1:73" s="404" customFormat="1" ht="13.2">
      <c r="A145" s="406">
        <f t="shared" si="52"/>
        <v>133</v>
      </c>
      <c r="B145" s="472"/>
      <c r="C145" s="470"/>
      <c r="D145" s="407"/>
      <c r="E145" s="407"/>
      <c r="F145" s="408"/>
      <c r="G145" s="409"/>
      <c r="H145" s="407"/>
      <c r="I145" s="1029" t="str">
        <f>IFERROR(G145/HLOOKUP(H145,RentsUA!$B$8:$J$9,2),"")</f>
        <v/>
      </c>
      <c r="J145" s="407"/>
      <c r="K145" s="412"/>
      <c r="L145" s="672">
        <f t="shared" si="41"/>
        <v>0</v>
      </c>
      <c r="M145" s="671"/>
      <c r="N145" s="410">
        <f t="shared" si="42"/>
        <v>0</v>
      </c>
      <c r="O145" s="469" t="str">
        <f>IF($M145=0,"",IFERROR(($L145+$M145)/(HLOOKUP($D145,RentsUA!$K$12:$Q$35,19,FALSE)),""))</f>
        <v/>
      </c>
      <c r="P145" s="469" t="str">
        <f>IF($M145=0,"",IFERROR(($M145+K145+L145)/(HLOOKUP($D145,RentsUA!$K$12:$Q$35,19,FALSE)),""))</f>
        <v/>
      </c>
      <c r="Q145" s="411"/>
      <c r="R145" s="673" t="str">
        <f>IF($Q145=0,"",VLOOKUP($Q145,RentsUA!$A$12:$H$35,MATCH($D145,RentsUA!$A$12:$H$12,0),FALSE))</f>
        <v/>
      </c>
      <c r="S145" s="409"/>
      <c r="T145" s="674"/>
      <c r="U145" s="672"/>
      <c r="V145" s="673" t="str">
        <f t="shared" si="47"/>
        <v/>
      </c>
      <c r="W145" s="470"/>
      <c r="X145" s="411"/>
      <c r="Y145" s="410" t="str">
        <f>IF(X145=0,"",VLOOKUP($X145,RentsUA!$A$12:$H$35,MATCH($D145,RentsUA!$A$12:$H$12,0),FALSE))</f>
        <v/>
      </c>
      <c r="Z145" s="410" t="str">
        <f t="shared" si="43"/>
        <v/>
      </c>
      <c r="AA145" s="1297" t="str">
        <f>IF(H145="","",IF(G145/HLOOKUP($H145,RentsUA!$M$8:$T$9,2,FALSE)&gt;1,"&gt; 80%","&lt;= 80%"))</f>
        <v/>
      </c>
      <c r="AB145" s="1106"/>
      <c r="AC145" s="1106"/>
      <c r="AD145" s="622"/>
      <c r="AE145" s="412"/>
      <c r="AF145" s="807" t="str">
        <f>IF(AD145="","",IF(AD145=Lists!$U$3,M145,IF(AD145=Lists!$U$4,V145,IF(AD145=Lists!$U$5,Y145-L145,AE145))))</f>
        <v/>
      </c>
      <c r="AG145" s="410" t="str">
        <f t="shared" si="44"/>
        <v/>
      </c>
      <c r="AH145" s="469" t="str">
        <f t="shared" si="45"/>
        <v/>
      </c>
      <c r="AI145" s="469" t="str">
        <f>IF($AF145=0,0,IFERROR(($L145+$AF145)/(HLOOKUP($D145,RentsUA!$K$12:$Q$35,19,FALSE)),""))</f>
        <v/>
      </c>
      <c r="AJ145" s="469" t="str">
        <f>IF($AF145=0,0,IFERROR(($AF145+K145+L145)/(HLOOKUP($D145,RentsUA!$K$12:$Q$35,19,FALSE)),""))</f>
        <v/>
      </c>
      <c r="AK145" s="469" t="str">
        <f t="shared" si="48"/>
        <v/>
      </c>
      <c r="AL145" s="469" t="str">
        <f t="shared" si="49"/>
        <v/>
      </c>
      <c r="AM145" s="1106" t="str">
        <f t="shared" si="50"/>
        <v/>
      </c>
      <c r="AN145" s="1106" t="str">
        <f>IFERROR(AM145*(1+'7a.20YrDetails'!$F$9),"")</f>
        <v/>
      </c>
      <c r="AO145" s="1106" t="str">
        <f>IFERROR(AN145*(1+'7a.20YrDetails'!$F$9),"")</f>
        <v/>
      </c>
      <c r="AP145" s="1106" t="str">
        <f>IFERROR(AO145*(1+'7a.20YrDetails'!$F$9),"")</f>
        <v/>
      </c>
      <c r="AQ145" s="1106" t="str">
        <f>IFERROR(AP145*(1+'7a.20YrDetails'!$F$9),"")</f>
        <v/>
      </c>
      <c r="AR145" s="674"/>
      <c r="AS145" s="672"/>
      <c r="AT145" s="1732" t="str">
        <f>IF($AF145=0,0,IFERROR(($AF145+L145)/(HLOOKUP($D145,RentsUA!$B$61:$H$62,2,FALSE)),""))</f>
        <v/>
      </c>
      <c r="AU145" s="1733" t="str">
        <f>IFERROR(G145/HLOOKUP(H145,RentsUA!$B$40:$I$41,2),"")</f>
        <v/>
      </c>
      <c r="BR145" s="404" t="str">
        <f t="shared" si="51"/>
        <v/>
      </c>
      <c r="BS145" s="5" t="str">
        <f t="array" ref="BS145">IFERROR(INDEX($BR$13:$BR$412, MATCH(0, COUNTIF($BS$12:$BS144, $BR$13:$BR$412), 0)),"")</f>
        <v/>
      </c>
      <c r="BT145" s="404" t="str">
        <f t="shared" si="46"/>
        <v/>
      </c>
      <c r="BU145" s="404" t="str">
        <f t="array" ref="BU145">IFERROR(INDEX($BT$13:$BT$412, MATCH(0, COUNTIF($BU$12:$BU144, $BT$13:$BT$412), 0)),"")</f>
        <v/>
      </c>
    </row>
    <row r="146" spans="1:73" s="404" customFormat="1" ht="13.2">
      <c r="A146" s="406">
        <f t="shared" si="52"/>
        <v>134</v>
      </c>
      <c r="B146" s="472"/>
      <c r="C146" s="470"/>
      <c r="D146" s="407"/>
      <c r="E146" s="407"/>
      <c r="F146" s="408"/>
      <c r="G146" s="409"/>
      <c r="H146" s="407"/>
      <c r="I146" s="1029" t="str">
        <f>IFERROR(G146/HLOOKUP(H146,RentsUA!$B$8:$J$9,2),"")</f>
        <v/>
      </c>
      <c r="J146" s="407"/>
      <c r="K146" s="412"/>
      <c r="L146" s="672">
        <f t="shared" si="41"/>
        <v>0</v>
      </c>
      <c r="M146" s="671"/>
      <c r="N146" s="410">
        <f t="shared" si="42"/>
        <v>0</v>
      </c>
      <c r="O146" s="469" t="str">
        <f>IF($M146=0,"",IFERROR(($L146+$M146)/(HLOOKUP($D146,RentsUA!$K$12:$Q$35,19,FALSE)),""))</f>
        <v/>
      </c>
      <c r="P146" s="469" t="str">
        <f>IF($M146=0,"",IFERROR(($M146+K146+L146)/(HLOOKUP($D146,RentsUA!$K$12:$Q$35,19,FALSE)),""))</f>
        <v/>
      </c>
      <c r="Q146" s="411"/>
      <c r="R146" s="673" t="str">
        <f>IF($Q146=0,"",VLOOKUP($Q146,RentsUA!$A$12:$H$35,MATCH($D146,RentsUA!$A$12:$H$12,0),FALSE))</f>
        <v/>
      </c>
      <c r="S146" s="409"/>
      <c r="T146" s="674"/>
      <c r="U146" s="672"/>
      <c r="V146" s="673" t="str">
        <f t="shared" si="47"/>
        <v/>
      </c>
      <c r="W146" s="470"/>
      <c r="X146" s="411"/>
      <c r="Y146" s="410" t="str">
        <f>IF(X146=0,"",VLOOKUP($X146,RentsUA!$A$12:$H$35,MATCH($D146,RentsUA!$A$12:$H$12,0),FALSE))</f>
        <v/>
      </c>
      <c r="Z146" s="410" t="str">
        <f t="shared" si="43"/>
        <v/>
      </c>
      <c r="AA146" s="1297" t="str">
        <f>IF(H146="","",IF(G146/HLOOKUP($H146,RentsUA!$M$8:$T$9,2,FALSE)&gt;1,"&gt; 80%","&lt;= 80%"))</f>
        <v/>
      </c>
      <c r="AB146" s="1106"/>
      <c r="AC146" s="1106"/>
      <c r="AD146" s="622"/>
      <c r="AE146" s="412"/>
      <c r="AF146" s="807" t="str">
        <f>IF(AD146="","",IF(AD146=Lists!$U$3,M146,IF(AD146=Lists!$U$4,V146,IF(AD146=Lists!$U$5,Y146-L146,AE146))))</f>
        <v/>
      </c>
      <c r="AG146" s="410" t="str">
        <f t="shared" si="44"/>
        <v/>
      </c>
      <c r="AH146" s="469" t="str">
        <f t="shared" si="45"/>
        <v/>
      </c>
      <c r="AI146" s="469" t="str">
        <f>IF($AF146=0,0,IFERROR(($L146+$AF146)/(HLOOKUP($D146,RentsUA!$K$12:$Q$35,19,FALSE)),""))</f>
        <v/>
      </c>
      <c r="AJ146" s="469" t="str">
        <f>IF($AF146=0,0,IFERROR(($AF146+K146+L146)/(HLOOKUP($D146,RentsUA!$K$12:$Q$35,19,FALSE)),""))</f>
        <v/>
      </c>
      <c r="AK146" s="469" t="str">
        <f t="shared" si="48"/>
        <v/>
      </c>
      <c r="AL146" s="469" t="str">
        <f t="shared" si="49"/>
        <v/>
      </c>
      <c r="AM146" s="1106" t="str">
        <f t="shared" si="50"/>
        <v/>
      </c>
      <c r="AN146" s="1106" t="str">
        <f>IFERROR(AM146*(1+'7a.20YrDetails'!$F$9),"")</f>
        <v/>
      </c>
      <c r="AO146" s="1106" t="str">
        <f>IFERROR(AN146*(1+'7a.20YrDetails'!$F$9),"")</f>
        <v/>
      </c>
      <c r="AP146" s="1106" t="str">
        <f>IFERROR(AO146*(1+'7a.20YrDetails'!$F$9),"")</f>
        <v/>
      </c>
      <c r="AQ146" s="1106" t="str">
        <f>IFERROR(AP146*(1+'7a.20YrDetails'!$F$9),"")</f>
        <v/>
      </c>
      <c r="AR146" s="674"/>
      <c r="AS146" s="672"/>
      <c r="AT146" s="1732" t="str">
        <f>IF($AF146=0,0,IFERROR(($AF146+L146)/(HLOOKUP($D146,RentsUA!$B$61:$H$62,2,FALSE)),""))</f>
        <v/>
      </c>
      <c r="AU146" s="1733" t="str">
        <f>IFERROR(G146/HLOOKUP(H146,RentsUA!$B$40:$I$41,2),"")</f>
        <v/>
      </c>
      <c r="BR146" s="404" t="str">
        <f t="shared" si="51"/>
        <v/>
      </c>
      <c r="BS146" s="5" t="str">
        <f t="array" ref="BS146">IFERROR(INDEX($BR$13:$BR$412, MATCH(0, COUNTIF($BS$12:$BS145, $BR$13:$BR$412), 0)),"")</f>
        <v/>
      </c>
      <c r="BT146" s="404" t="str">
        <f t="shared" si="46"/>
        <v/>
      </c>
      <c r="BU146" s="404" t="str">
        <f t="array" ref="BU146">IFERROR(INDEX($BT$13:$BT$412, MATCH(0, COUNTIF($BU$12:$BU145, $BT$13:$BT$412), 0)),"")</f>
        <v/>
      </c>
    </row>
    <row r="147" spans="1:73" s="404" customFormat="1" ht="13.2">
      <c r="A147" s="406">
        <f t="shared" si="52"/>
        <v>135</v>
      </c>
      <c r="B147" s="472"/>
      <c r="C147" s="470"/>
      <c r="D147" s="407"/>
      <c r="E147" s="407"/>
      <c r="F147" s="408"/>
      <c r="G147" s="409"/>
      <c r="H147" s="407"/>
      <c r="I147" s="1029" t="str">
        <f>IFERROR(G147/HLOOKUP(H147,RentsUA!$B$8:$J$9,2),"")</f>
        <v/>
      </c>
      <c r="J147" s="407"/>
      <c r="K147" s="412"/>
      <c r="L147" s="672">
        <f t="shared" si="41"/>
        <v>0</v>
      </c>
      <c r="M147" s="671"/>
      <c r="N147" s="410">
        <f t="shared" si="42"/>
        <v>0</v>
      </c>
      <c r="O147" s="469" t="str">
        <f>IF($M147=0,"",IFERROR(($L147+$M147)/(HLOOKUP($D147,RentsUA!$K$12:$Q$35,19,FALSE)),""))</f>
        <v/>
      </c>
      <c r="P147" s="469" t="str">
        <f>IF($M147=0,"",IFERROR(($M147+K147+L147)/(HLOOKUP($D147,RentsUA!$K$12:$Q$35,19,FALSE)),""))</f>
        <v/>
      </c>
      <c r="Q147" s="411"/>
      <c r="R147" s="673" t="str">
        <f>IF($Q147=0,"",VLOOKUP($Q147,RentsUA!$A$12:$H$35,MATCH($D147,RentsUA!$A$12:$H$12,0),FALSE))</f>
        <v/>
      </c>
      <c r="S147" s="409"/>
      <c r="T147" s="674"/>
      <c r="U147" s="672"/>
      <c r="V147" s="673" t="str">
        <f t="shared" si="47"/>
        <v/>
      </c>
      <c r="W147" s="470"/>
      <c r="X147" s="411"/>
      <c r="Y147" s="410" t="str">
        <f>IF(X147=0,"",VLOOKUP($X147,RentsUA!$A$12:$H$35,MATCH($D147,RentsUA!$A$12:$H$12,0),FALSE))</f>
        <v/>
      </c>
      <c r="Z147" s="410" t="str">
        <f t="shared" si="43"/>
        <v/>
      </c>
      <c r="AA147" s="1297" t="str">
        <f>IF(H147="","",IF(G147/HLOOKUP($H147,RentsUA!$M$8:$T$9,2,FALSE)&gt;1,"&gt; 80%","&lt;= 80%"))</f>
        <v/>
      </c>
      <c r="AB147" s="1106"/>
      <c r="AC147" s="1106"/>
      <c r="AD147" s="622"/>
      <c r="AE147" s="412"/>
      <c r="AF147" s="807" t="str">
        <f>IF(AD147="","",IF(AD147=Lists!$U$3,M147,IF(AD147=Lists!$U$4,V147,IF(AD147=Lists!$U$5,Y147-L147,AE147))))</f>
        <v/>
      </c>
      <c r="AG147" s="410" t="str">
        <f t="shared" si="44"/>
        <v/>
      </c>
      <c r="AH147" s="469" t="str">
        <f t="shared" si="45"/>
        <v/>
      </c>
      <c r="AI147" s="469" t="str">
        <f>IF($AF147=0,0,IFERROR(($L147+$AF147)/(HLOOKUP($D147,RentsUA!$K$12:$Q$35,19,FALSE)),""))</f>
        <v/>
      </c>
      <c r="AJ147" s="469" t="str">
        <f>IF($AF147=0,0,IFERROR(($AF147+K147+L147)/(HLOOKUP($D147,RentsUA!$K$12:$Q$35,19,FALSE)),""))</f>
        <v/>
      </c>
      <c r="AK147" s="469" t="str">
        <f t="shared" si="48"/>
        <v/>
      </c>
      <c r="AL147" s="469" t="str">
        <f t="shared" si="49"/>
        <v/>
      </c>
      <c r="AM147" s="1106" t="str">
        <f t="shared" si="50"/>
        <v/>
      </c>
      <c r="AN147" s="1106" t="str">
        <f>IFERROR(AM147*(1+'7a.20YrDetails'!$F$9),"")</f>
        <v/>
      </c>
      <c r="AO147" s="1106" t="str">
        <f>IFERROR(AN147*(1+'7a.20YrDetails'!$F$9),"")</f>
        <v/>
      </c>
      <c r="AP147" s="1106" t="str">
        <f>IFERROR(AO147*(1+'7a.20YrDetails'!$F$9),"")</f>
        <v/>
      </c>
      <c r="AQ147" s="1106" t="str">
        <f>IFERROR(AP147*(1+'7a.20YrDetails'!$F$9),"")</f>
        <v/>
      </c>
      <c r="AR147" s="674"/>
      <c r="AS147" s="672"/>
      <c r="AT147" s="1732" t="str">
        <f>IF($AF147=0,0,IFERROR(($AF147+L147)/(HLOOKUP($D147,RentsUA!$B$61:$H$62,2,FALSE)),""))</f>
        <v/>
      </c>
      <c r="AU147" s="1733" t="str">
        <f>IFERROR(G147/HLOOKUP(H147,RentsUA!$B$40:$I$41,2),"")</f>
        <v/>
      </c>
      <c r="BR147" s="404" t="str">
        <f t="shared" si="51"/>
        <v/>
      </c>
      <c r="BS147" s="5" t="str">
        <f t="array" ref="BS147">IFERROR(INDEX($BR$13:$BR$412, MATCH(0, COUNTIF($BS$12:$BS146, $BR$13:$BR$412), 0)),"")</f>
        <v/>
      </c>
      <c r="BT147" s="404" t="str">
        <f t="shared" si="46"/>
        <v/>
      </c>
      <c r="BU147" s="404" t="str">
        <f t="array" ref="BU147">IFERROR(INDEX($BT$13:$BT$412, MATCH(0, COUNTIF($BU$12:$BU146, $BT$13:$BT$412), 0)),"")</f>
        <v/>
      </c>
    </row>
    <row r="148" spans="1:73" s="404" customFormat="1" ht="13.2">
      <c r="A148" s="406">
        <f t="shared" si="52"/>
        <v>136</v>
      </c>
      <c r="B148" s="472"/>
      <c r="C148" s="470"/>
      <c r="D148" s="407"/>
      <c r="E148" s="407"/>
      <c r="F148" s="408"/>
      <c r="G148" s="409"/>
      <c r="H148" s="407"/>
      <c r="I148" s="1029" t="str">
        <f>IFERROR(G148/HLOOKUP(H148,RentsUA!$B$8:$J$9,2),"")</f>
        <v/>
      </c>
      <c r="J148" s="407"/>
      <c r="K148" s="412"/>
      <c r="L148" s="672">
        <f t="shared" si="41"/>
        <v>0</v>
      </c>
      <c r="M148" s="671"/>
      <c r="N148" s="410">
        <f t="shared" si="42"/>
        <v>0</v>
      </c>
      <c r="O148" s="469" t="str">
        <f>IF($M148=0,"",IFERROR(($L148+$M148)/(HLOOKUP($D148,RentsUA!$K$12:$Q$35,19,FALSE)),""))</f>
        <v/>
      </c>
      <c r="P148" s="469" t="str">
        <f>IF($M148=0,"",IFERROR(($M148+K148+L148)/(HLOOKUP($D148,RentsUA!$K$12:$Q$35,19,FALSE)),""))</f>
        <v/>
      </c>
      <c r="Q148" s="411"/>
      <c r="R148" s="673" t="str">
        <f>IF($Q148=0,"",VLOOKUP($Q148,RentsUA!$A$12:$H$35,MATCH($D148,RentsUA!$A$12:$H$12,0),FALSE))</f>
        <v/>
      </c>
      <c r="S148" s="409"/>
      <c r="T148" s="674"/>
      <c r="U148" s="672"/>
      <c r="V148" s="673" t="str">
        <f t="shared" si="47"/>
        <v/>
      </c>
      <c r="W148" s="470"/>
      <c r="X148" s="411"/>
      <c r="Y148" s="410" t="str">
        <f>IF(X148=0,"",VLOOKUP($X148,RentsUA!$A$12:$H$35,MATCH($D148,RentsUA!$A$12:$H$12,0),FALSE))</f>
        <v/>
      </c>
      <c r="Z148" s="410" t="str">
        <f t="shared" si="43"/>
        <v/>
      </c>
      <c r="AA148" s="1297" t="str">
        <f>IF(H148="","",IF(G148/HLOOKUP($H148,RentsUA!$M$8:$T$9,2,FALSE)&gt;1,"&gt; 80%","&lt;= 80%"))</f>
        <v/>
      </c>
      <c r="AB148" s="1106"/>
      <c r="AC148" s="1106"/>
      <c r="AD148" s="622"/>
      <c r="AE148" s="412"/>
      <c r="AF148" s="807" t="str">
        <f>IF(AD148="","",IF(AD148=Lists!$U$3,M148,IF(AD148=Lists!$U$4,V148,IF(AD148=Lists!$U$5,Y148-L148,AE148))))</f>
        <v/>
      </c>
      <c r="AG148" s="410" t="str">
        <f t="shared" si="44"/>
        <v/>
      </c>
      <c r="AH148" s="469" t="str">
        <f t="shared" si="45"/>
        <v/>
      </c>
      <c r="AI148" s="469" t="str">
        <f>IF($AF148=0,0,IFERROR(($L148+$AF148)/(HLOOKUP($D148,RentsUA!$K$12:$Q$35,19,FALSE)),""))</f>
        <v/>
      </c>
      <c r="AJ148" s="469" t="str">
        <f>IF($AF148=0,0,IFERROR(($AF148+K148+L148)/(HLOOKUP($D148,RentsUA!$K$12:$Q$35,19,FALSE)),""))</f>
        <v/>
      </c>
      <c r="AK148" s="469" t="str">
        <f t="shared" si="48"/>
        <v/>
      </c>
      <c r="AL148" s="469" t="str">
        <f t="shared" si="49"/>
        <v/>
      </c>
      <c r="AM148" s="1106" t="str">
        <f t="shared" si="50"/>
        <v/>
      </c>
      <c r="AN148" s="1106" t="str">
        <f>IFERROR(AM148*(1+'7a.20YrDetails'!$F$9),"")</f>
        <v/>
      </c>
      <c r="AO148" s="1106" t="str">
        <f>IFERROR(AN148*(1+'7a.20YrDetails'!$F$9),"")</f>
        <v/>
      </c>
      <c r="AP148" s="1106" t="str">
        <f>IFERROR(AO148*(1+'7a.20YrDetails'!$F$9),"")</f>
        <v/>
      </c>
      <c r="AQ148" s="1106" t="str">
        <f>IFERROR(AP148*(1+'7a.20YrDetails'!$F$9),"")</f>
        <v/>
      </c>
      <c r="AR148" s="674"/>
      <c r="AS148" s="672"/>
      <c r="AT148" s="1732" t="str">
        <f>IF($AF148=0,0,IFERROR(($AF148+L148)/(HLOOKUP($D148,RentsUA!$B$61:$H$62,2,FALSE)),""))</f>
        <v/>
      </c>
      <c r="AU148" s="1733" t="str">
        <f>IFERROR(G148/HLOOKUP(H148,RentsUA!$B$40:$I$41,2),"")</f>
        <v/>
      </c>
      <c r="BR148" s="404" t="str">
        <f t="shared" si="51"/>
        <v/>
      </c>
      <c r="BS148" s="5" t="str">
        <f t="array" ref="BS148">IFERROR(INDEX($BR$13:$BR$412, MATCH(0, COUNTIF($BS$12:$BS147, $BR$13:$BR$412), 0)),"")</f>
        <v/>
      </c>
      <c r="BT148" s="404" t="str">
        <f t="shared" si="46"/>
        <v/>
      </c>
      <c r="BU148" s="404" t="str">
        <f t="array" ref="BU148">IFERROR(INDEX($BT$13:$BT$412, MATCH(0, COUNTIF($BU$12:$BU147, $BT$13:$BT$412), 0)),"")</f>
        <v/>
      </c>
    </row>
    <row r="149" spans="1:73" s="404" customFormat="1" ht="13.2">
      <c r="A149" s="406">
        <f t="shared" si="52"/>
        <v>137</v>
      </c>
      <c r="B149" s="472"/>
      <c r="C149" s="470"/>
      <c r="D149" s="407"/>
      <c r="E149" s="407"/>
      <c r="F149" s="408"/>
      <c r="G149" s="409"/>
      <c r="H149" s="407"/>
      <c r="I149" s="1029" t="str">
        <f>IFERROR(G149/HLOOKUP(H149,RentsUA!$B$8:$J$9,2),"")</f>
        <v/>
      </c>
      <c r="J149" s="407"/>
      <c r="K149" s="412"/>
      <c r="L149" s="672">
        <f t="shared" si="41"/>
        <v>0</v>
      </c>
      <c r="M149" s="671"/>
      <c r="N149" s="410">
        <f t="shared" si="42"/>
        <v>0</v>
      </c>
      <c r="O149" s="469" t="str">
        <f>IF($M149=0,"",IFERROR(($L149+$M149)/(HLOOKUP($D149,RentsUA!$K$12:$Q$35,19,FALSE)),""))</f>
        <v/>
      </c>
      <c r="P149" s="469" t="str">
        <f>IF($M149=0,"",IFERROR(($M149+K149+L149)/(HLOOKUP($D149,RentsUA!$K$12:$Q$35,19,FALSE)),""))</f>
        <v/>
      </c>
      <c r="Q149" s="411"/>
      <c r="R149" s="673" t="str">
        <f>IF($Q149=0,"",VLOOKUP($Q149,RentsUA!$A$12:$H$35,MATCH($D149,RentsUA!$A$12:$H$12,0),FALSE))</f>
        <v/>
      </c>
      <c r="S149" s="409"/>
      <c r="T149" s="674"/>
      <c r="U149" s="672"/>
      <c r="V149" s="673" t="str">
        <f t="shared" si="47"/>
        <v/>
      </c>
      <c r="W149" s="470"/>
      <c r="X149" s="411"/>
      <c r="Y149" s="410" t="str">
        <f>IF(X149=0,"",VLOOKUP($X149,RentsUA!$A$12:$H$35,MATCH($D149,RentsUA!$A$12:$H$12,0),FALSE))</f>
        <v/>
      </c>
      <c r="Z149" s="410" t="str">
        <f t="shared" si="43"/>
        <v/>
      </c>
      <c r="AA149" s="1297" t="str">
        <f>IF(H149="","",IF(G149/HLOOKUP($H149,RentsUA!$M$8:$T$9,2,FALSE)&gt;1,"&gt; 80%","&lt;= 80%"))</f>
        <v/>
      </c>
      <c r="AB149" s="1106"/>
      <c r="AC149" s="1106"/>
      <c r="AD149" s="622"/>
      <c r="AE149" s="412"/>
      <c r="AF149" s="807" t="str">
        <f>IF(AD149="","",IF(AD149=Lists!$U$3,M149,IF(AD149=Lists!$U$4,V149,IF(AD149=Lists!$U$5,Y149-L149,AE149))))</f>
        <v/>
      </c>
      <c r="AG149" s="410" t="str">
        <f t="shared" si="44"/>
        <v/>
      </c>
      <c r="AH149" s="469" t="str">
        <f t="shared" si="45"/>
        <v/>
      </c>
      <c r="AI149" s="469" t="str">
        <f>IF($AF149=0,0,IFERROR(($L149+$AF149)/(HLOOKUP($D149,RentsUA!$K$12:$Q$35,19,FALSE)),""))</f>
        <v/>
      </c>
      <c r="AJ149" s="469" t="str">
        <f>IF($AF149=0,0,IFERROR(($AF149+K149+L149)/(HLOOKUP($D149,RentsUA!$K$12:$Q$35,19,FALSE)),""))</f>
        <v/>
      </c>
      <c r="AK149" s="469" t="str">
        <f t="shared" si="48"/>
        <v/>
      </c>
      <c r="AL149" s="469" t="str">
        <f t="shared" si="49"/>
        <v/>
      </c>
      <c r="AM149" s="1106" t="str">
        <f t="shared" si="50"/>
        <v/>
      </c>
      <c r="AN149" s="1106" t="str">
        <f>IFERROR(AM149*(1+'7a.20YrDetails'!$F$9),"")</f>
        <v/>
      </c>
      <c r="AO149" s="1106" t="str">
        <f>IFERROR(AN149*(1+'7a.20YrDetails'!$F$9),"")</f>
        <v/>
      </c>
      <c r="AP149" s="1106" t="str">
        <f>IFERROR(AO149*(1+'7a.20YrDetails'!$F$9),"")</f>
        <v/>
      </c>
      <c r="AQ149" s="1106" t="str">
        <f>IFERROR(AP149*(1+'7a.20YrDetails'!$F$9),"")</f>
        <v/>
      </c>
      <c r="AR149" s="674"/>
      <c r="AS149" s="672"/>
      <c r="AT149" s="1732" t="str">
        <f>IF($AF149=0,0,IFERROR(($AF149+L149)/(HLOOKUP($D149,RentsUA!$B$61:$H$62,2,FALSE)),""))</f>
        <v/>
      </c>
      <c r="AU149" s="1733" t="str">
        <f>IFERROR(G149/HLOOKUP(H149,RentsUA!$B$40:$I$41,2),"")</f>
        <v/>
      </c>
      <c r="BR149" s="404" t="str">
        <f t="shared" si="51"/>
        <v/>
      </c>
      <c r="BS149" s="5" t="str">
        <f t="array" ref="BS149">IFERROR(INDEX($BR$13:$BR$412, MATCH(0, COUNTIF($BS$12:$BS148, $BR$13:$BR$412), 0)),"")</f>
        <v/>
      </c>
      <c r="BT149" s="404" t="str">
        <f t="shared" si="46"/>
        <v/>
      </c>
      <c r="BU149" s="404" t="str">
        <f t="array" ref="BU149">IFERROR(INDEX($BT$13:$BT$412, MATCH(0, COUNTIF($BU$12:$BU148, $BT$13:$BT$412), 0)),"")</f>
        <v/>
      </c>
    </row>
    <row r="150" spans="1:73" s="404" customFormat="1" ht="13.2">
      <c r="A150" s="406">
        <f t="shared" si="52"/>
        <v>138</v>
      </c>
      <c r="B150" s="472"/>
      <c r="C150" s="470"/>
      <c r="D150" s="407"/>
      <c r="E150" s="407"/>
      <c r="F150" s="408"/>
      <c r="G150" s="409"/>
      <c r="H150" s="407"/>
      <c r="I150" s="1029" t="str">
        <f>IFERROR(G150/HLOOKUP(H150,RentsUA!$B$8:$J$9,2),"")</f>
        <v/>
      </c>
      <c r="J150" s="407"/>
      <c r="K150" s="412"/>
      <c r="L150" s="672">
        <f t="shared" si="41"/>
        <v>0</v>
      </c>
      <c r="M150" s="671"/>
      <c r="N150" s="410">
        <f t="shared" si="42"/>
        <v>0</v>
      </c>
      <c r="O150" s="469" t="str">
        <f>IF($M150=0,"",IFERROR(($L150+$M150)/(HLOOKUP($D150,RentsUA!$K$12:$Q$35,19,FALSE)),""))</f>
        <v/>
      </c>
      <c r="P150" s="469" t="str">
        <f>IF($M150=0,"",IFERROR(($M150+K150+L150)/(HLOOKUP($D150,RentsUA!$K$12:$Q$35,19,FALSE)),""))</f>
        <v/>
      </c>
      <c r="Q150" s="411"/>
      <c r="R150" s="673" t="str">
        <f>IF($Q150=0,"",VLOOKUP($Q150,RentsUA!$A$12:$H$35,MATCH($D150,RentsUA!$A$12:$H$12,0),FALSE))</f>
        <v/>
      </c>
      <c r="S150" s="409"/>
      <c r="T150" s="674"/>
      <c r="U150" s="672"/>
      <c r="V150" s="673" t="str">
        <f t="shared" si="47"/>
        <v/>
      </c>
      <c r="W150" s="470"/>
      <c r="X150" s="411"/>
      <c r="Y150" s="410" t="str">
        <f>IF(X150=0,"",VLOOKUP($X150,RentsUA!$A$12:$H$35,MATCH($D150,RentsUA!$A$12:$H$12,0),FALSE))</f>
        <v/>
      </c>
      <c r="Z150" s="410" t="str">
        <f t="shared" si="43"/>
        <v/>
      </c>
      <c r="AA150" s="1297" t="str">
        <f>IF(H150="","",IF(G150/HLOOKUP($H150,RentsUA!$M$8:$T$9,2,FALSE)&gt;1,"&gt; 80%","&lt;= 80%"))</f>
        <v/>
      </c>
      <c r="AB150" s="1106"/>
      <c r="AC150" s="1106"/>
      <c r="AD150" s="622"/>
      <c r="AE150" s="412"/>
      <c r="AF150" s="807" t="str">
        <f>IF(AD150="","",IF(AD150=Lists!$U$3,M150,IF(AD150=Lists!$U$4,V150,IF(AD150=Lists!$U$5,Y150-L150,AE150))))</f>
        <v/>
      </c>
      <c r="AG150" s="410" t="str">
        <f t="shared" si="44"/>
        <v/>
      </c>
      <c r="AH150" s="469" t="str">
        <f t="shared" si="45"/>
        <v/>
      </c>
      <c r="AI150" s="469" t="str">
        <f>IF($AF150=0,0,IFERROR(($L150+$AF150)/(HLOOKUP($D150,RentsUA!$K$12:$Q$35,19,FALSE)),""))</f>
        <v/>
      </c>
      <c r="AJ150" s="469" t="str">
        <f>IF($AF150=0,0,IFERROR(($AF150+K150+L150)/(HLOOKUP($D150,RentsUA!$K$12:$Q$35,19,FALSE)),""))</f>
        <v/>
      </c>
      <c r="AK150" s="469" t="str">
        <f t="shared" si="48"/>
        <v/>
      </c>
      <c r="AL150" s="469" t="str">
        <f t="shared" si="49"/>
        <v/>
      </c>
      <c r="AM150" s="1106" t="str">
        <f t="shared" si="50"/>
        <v/>
      </c>
      <c r="AN150" s="1106" t="str">
        <f>IFERROR(AM150*(1+'7a.20YrDetails'!$F$9),"")</f>
        <v/>
      </c>
      <c r="AO150" s="1106" t="str">
        <f>IFERROR(AN150*(1+'7a.20YrDetails'!$F$9),"")</f>
        <v/>
      </c>
      <c r="AP150" s="1106" t="str">
        <f>IFERROR(AO150*(1+'7a.20YrDetails'!$F$9),"")</f>
        <v/>
      </c>
      <c r="AQ150" s="1106" t="str">
        <f>IFERROR(AP150*(1+'7a.20YrDetails'!$F$9),"")</f>
        <v/>
      </c>
      <c r="AR150" s="674"/>
      <c r="AS150" s="672"/>
      <c r="AT150" s="1732" t="str">
        <f>IF($AF150=0,0,IFERROR(($AF150+L150)/(HLOOKUP($D150,RentsUA!$B$61:$H$62,2,FALSE)),""))</f>
        <v/>
      </c>
      <c r="AU150" s="1733" t="str">
        <f>IFERROR(G150/HLOOKUP(H150,RentsUA!$B$40:$I$41,2),"")</f>
        <v/>
      </c>
      <c r="BR150" s="404" t="str">
        <f t="shared" si="51"/>
        <v/>
      </c>
      <c r="BS150" s="5" t="str">
        <f t="array" ref="BS150">IFERROR(INDEX($BR$13:$BR$412, MATCH(0, COUNTIF($BS$12:$BS149, $BR$13:$BR$412), 0)),"")</f>
        <v/>
      </c>
      <c r="BT150" s="404" t="str">
        <f t="shared" si="46"/>
        <v/>
      </c>
      <c r="BU150" s="404" t="str">
        <f t="array" ref="BU150">IFERROR(INDEX($BT$13:$BT$412, MATCH(0, COUNTIF($BU$12:$BU149, $BT$13:$BT$412), 0)),"")</f>
        <v/>
      </c>
    </row>
    <row r="151" spans="1:73" s="404" customFormat="1" ht="13.2">
      <c r="A151" s="406">
        <f t="shared" si="52"/>
        <v>139</v>
      </c>
      <c r="B151" s="472"/>
      <c r="C151" s="470"/>
      <c r="D151" s="407"/>
      <c r="E151" s="407"/>
      <c r="F151" s="408"/>
      <c r="G151" s="409"/>
      <c r="H151" s="407"/>
      <c r="I151" s="1029" t="str">
        <f>IFERROR(G151/HLOOKUP(H151,RentsUA!$B$8:$J$9,2),"")</f>
        <v/>
      </c>
      <c r="J151" s="407"/>
      <c r="K151" s="412"/>
      <c r="L151" s="672">
        <f t="shared" si="41"/>
        <v>0</v>
      </c>
      <c r="M151" s="671"/>
      <c r="N151" s="410">
        <f t="shared" si="42"/>
        <v>0</v>
      </c>
      <c r="O151" s="469" t="str">
        <f>IF($M151=0,"",IFERROR(($L151+$M151)/(HLOOKUP($D151,RentsUA!$K$12:$Q$35,19,FALSE)),""))</f>
        <v/>
      </c>
      <c r="P151" s="469" t="str">
        <f>IF($M151=0,"",IFERROR(($M151+K151+L151)/(HLOOKUP($D151,RentsUA!$K$12:$Q$35,19,FALSE)),""))</f>
        <v/>
      </c>
      <c r="Q151" s="411"/>
      <c r="R151" s="673" t="str">
        <f>IF($Q151=0,"",VLOOKUP($Q151,RentsUA!$A$12:$H$35,MATCH($D151,RentsUA!$A$12:$H$12,0),FALSE))</f>
        <v/>
      </c>
      <c r="S151" s="409"/>
      <c r="T151" s="674"/>
      <c r="U151" s="672"/>
      <c r="V151" s="673" t="str">
        <f t="shared" si="47"/>
        <v/>
      </c>
      <c r="W151" s="470"/>
      <c r="X151" s="411"/>
      <c r="Y151" s="410" t="str">
        <f>IF(X151=0,"",VLOOKUP($X151,RentsUA!$A$12:$H$35,MATCH($D151,RentsUA!$A$12:$H$12,0),FALSE))</f>
        <v/>
      </c>
      <c r="Z151" s="410" t="str">
        <f t="shared" si="43"/>
        <v/>
      </c>
      <c r="AA151" s="1297" t="str">
        <f>IF(H151="","",IF(G151/HLOOKUP($H151,RentsUA!$M$8:$T$9,2,FALSE)&gt;1,"&gt; 80%","&lt;= 80%"))</f>
        <v/>
      </c>
      <c r="AB151" s="1106"/>
      <c r="AC151" s="1106"/>
      <c r="AD151" s="622"/>
      <c r="AE151" s="412"/>
      <c r="AF151" s="807" t="str">
        <f>IF(AD151="","",IF(AD151=Lists!$U$3,M151,IF(AD151=Lists!$U$4,V151,IF(AD151=Lists!$U$5,Y151-L151,AE151))))</f>
        <v/>
      </c>
      <c r="AG151" s="410" t="str">
        <f t="shared" si="44"/>
        <v/>
      </c>
      <c r="AH151" s="469" t="str">
        <f t="shared" si="45"/>
        <v/>
      </c>
      <c r="AI151" s="469" t="str">
        <f>IF($AF151=0,0,IFERROR(($L151+$AF151)/(HLOOKUP($D151,RentsUA!$K$12:$Q$35,19,FALSE)),""))</f>
        <v/>
      </c>
      <c r="AJ151" s="469" t="str">
        <f>IF($AF151=0,0,IFERROR(($AF151+K151+L151)/(HLOOKUP($D151,RentsUA!$K$12:$Q$35,19,FALSE)),""))</f>
        <v/>
      </c>
      <c r="AK151" s="469" t="str">
        <f t="shared" si="48"/>
        <v/>
      </c>
      <c r="AL151" s="469" t="str">
        <f t="shared" si="49"/>
        <v/>
      </c>
      <c r="AM151" s="1106" t="str">
        <f t="shared" si="50"/>
        <v/>
      </c>
      <c r="AN151" s="1106" t="str">
        <f>IFERROR(AM151*(1+'7a.20YrDetails'!$F$9),"")</f>
        <v/>
      </c>
      <c r="AO151" s="1106" t="str">
        <f>IFERROR(AN151*(1+'7a.20YrDetails'!$F$9),"")</f>
        <v/>
      </c>
      <c r="AP151" s="1106" t="str">
        <f>IFERROR(AO151*(1+'7a.20YrDetails'!$F$9),"")</f>
        <v/>
      </c>
      <c r="AQ151" s="1106" t="str">
        <f>IFERROR(AP151*(1+'7a.20YrDetails'!$F$9),"")</f>
        <v/>
      </c>
      <c r="AR151" s="674"/>
      <c r="AS151" s="672"/>
      <c r="AT151" s="1732" t="str">
        <f>IF($AF151=0,0,IFERROR(($AF151+L151)/(HLOOKUP($D151,RentsUA!$B$61:$H$62,2,FALSE)),""))</f>
        <v/>
      </c>
      <c r="AU151" s="1733" t="str">
        <f>IFERROR(G151/HLOOKUP(H151,RentsUA!$B$40:$I$41,2),"")</f>
        <v/>
      </c>
      <c r="BR151" s="404" t="str">
        <f t="shared" si="51"/>
        <v/>
      </c>
      <c r="BS151" s="5" t="str">
        <f t="array" ref="BS151">IFERROR(INDEX($BR$13:$BR$412, MATCH(0, COUNTIF($BS$12:$BS150, $BR$13:$BR$412), 0)),"")</f>
        <v/>
      </c>
      <c r="BT151" s="404" t="str">
        <f t="shared" si="46"/>
        <v/>
      </c>
      <c r="BU151" s="404" t="str">
        <f t="array" ref="BU151">IFERROR(INDEX($BT$13:$BT$412, MATCH(0, COUNTIF($BU$12:$BU150, $BT$13:$BT$412), 0)),"")</f>
        <v/>
      </c>
    </row>
    <row r="152" spans="1:73" s="404" customFormat="1" ht="13.2">
      <c r="A152" s="406">
        <f t="shared" si="52"/>
        <v>140</v>
      </c>
      <c r="B152" s="472"/>
      <c r="C152" s="470"/>
      <c r="D152" s="407"/>
      <c r="E152" s="407"/>
      <c r="F152" s="408"/>
      <c r="G152" s="409"/>
      <c r="H152" s="407"/>
      <c r="I152" s="1029" t="str">
        <f>IFERROR(G152/HLOOKUP(H152,RentsUA!$B$8:$J$9,2),"")</f>
        <v/>
      </c>
      <c r="J152" s="407"/>
      <c r="K152" s="412"/>
      <c r="L152" s="672">
        <f t="shared" si="41"/>
        <v>0</v>
      </c>
      <c r="M152" s="671"/>
      <c r="N152" s="410">
        <f t="shared" si="42"/>
        <v>0</v>
      </c>
      <c r="O152" s="469" t="str">
        <f>IF($M152=0,"",IFERROR(($L152+$M152)/(HLOOKUP($D152,RentsUA!$K$12:$Q$35,19,FALSE)),""))</f>
        <v/>
      </c>
      <c r="P152" s="469" t="str">
        <f>IF($M152=0,"",IFERROR(($M152+K152+L152)/(HLOOKUP($D152,RentsUA!$K$12:$Q$35,19,FALSE)),""))</f>
        <v/>
      </c>
      <c r="Q152" s="411"/>
      <c r="R152" s="673" t="str">
        <f>IF($Q152=0,"",VLOOKUP($Q152,RentsUA!$A$12:$H$35,MATCH($D152,RentsUA!$A$12:$H$12,0),FALSE))</f>
        <v/>
      </c>
      <c r="S152" s="409"/>
      <c r="T152" s="674"/>
      <c r="U152" s="672"/>
      <c r="V152" s="673" t="str">
        <f t="shared" si="47"/>
        <v/>
      </c>
      <c r="W152" s="470"/>
      <c r="X152" s="411"/>
      <c r="Y152" s="410" t="str">
        <f>IF(X152=0,"",VLOOKUP($X152,RentsUA!$A$12:$H$35,MATCH($D152,RentsUA!$A$12:$H$12,0),FALSE))</f>
        <v/>
      </c>
      <c r="Z152" s="410" t="str">
        <f t="shared" si="43"/>
        <v/>
      </c>
      <c r="AA152" s="1297" t="str">
        <f>IF(H152="","",IF(G152/HLOOKUP($H152,RentsUA!$M$8:$T$9,2,FALSE)&gt;1,"&gt; 80%","&lt;= 80%"))</f>
        <v/>
      </c>
      <c r="AB152" s="1106"/>
      <c r="AC152" s="1106"/>
      <c r="AD152" s="622"/>
      <c r="AE152" s="412"/>
      <c r="AF152" s="807" t="str">
        <f>IF(AD152="","",IF(AD152=Lists!$U$3,M152,IF(AD152=Lists!$U$4,V152,IF(AD152=Lists!$U$5,Y152-L152,AE152))))</f>
        <v/>
      </c>
      <c r="AG152" s="410" t="str">
        <f t="shared" si="44"/>
        <v/>
      </c>
      <c r="AH152" s="469" t="str">
        <f t="shared" si="45"/>
        <v/>
      </c>
      <c r="AI152" s="469" t="str">
        <f>IF($AF152=0,0,IFERROR(($L152+$AF152)/(HLOOKUP($D152,RentsUA!$K$12:$Q$35,19,FALSE)),""))</f>
        <v/>
      </c>
      <c r="AJ152" s="469" t="str">
        <f>IF($AF152=0,0,IFERROR(($AF152+K152+L152)/(HLOOKUP($D152,RentsUA!$K$12:$Q$35,19,FALSE)),""))</f>
        <v/>
      </c>
      <c r="AK152" s="469" t="str">
        <f t="shared" si="48"/>
        <v/>
      </c>
      <c r="AL152" s="469" t="str">
        <f t="shared" si="49"/>
        <v/>
      </c>
      <c r="AM152" s="1106" t="str">
        <f t="shared" si="50"/>
        <v/>
      </c>
      <c r="AN152" s="1106" t="str">
        <f>IFERROR(AM152*(1+'7a.20YrDetails'!$F$9),"")</f>
        <v/>
      </c>
      <c r="AO152" s="1106" t="str">
        <f>IFERROR(AN152*(1+'7a.20YrDetails'!$F$9),"")</f>
        <v/>
      </c>
      <c r="AP152" s="1106" t="str">
        <f>IFERROR(AO152*(1+'7a.20YrDetails'!$F$9),"")</f>
        <v/>
      </c>
      <c r="AQ152" s="1106" t="str">
        <f>IFERROR(AP152*(1+'7a.20YrDetails'!$F$9),"")</f>
        <v/>
      </c>
      <c r="AR152" s="674"/>
      <c r="AS152" s="672"/>
      <c r="AT152" s="1732" t="str">
        <f>IF($AF152=0,0,IFERROR(($AF152+L152)/(HLOOKUP($D152,RentsUA!$B$61:$H$62,2,FALSE)),""))</f>
        <v/>
      </c>
      <c r="AU152" s="1733" t="str">
        <f>IFERROR(G152/HLOOKUP(H152,RentsUA!$B$40:$I$41,2),"")</f>
        <v/>
      </c>
      <c r="BR152" s="404" t="str">
        <f t="shared" si="51"/>
        <v/>
      </c>
      <c r="BS152" s="5" t="str">
        <f t="array" ref="BS152">IFERROR(INDEX($BR$13:$BR$412, MATCH(0, COUNTIF($BS$12:$BS151, $BR$13:$BR$412), 0)),"")</f>
        <v/>
      </c>
      <c r="BT152" s="404" t="str">
        <f t="shared" si="46"/>
        <v/>
      </c>
      <c r="BU152" s="404" t="str">
        <f t="array" ref="BU152">IFERROR(INDEX($BT$13:$BT$412, MATCH(0, COUNTIF($BU$12:$BU151, $BT$13:$BT$412), 0)),"")</f>
        <v/>
      </c>
    </row>
    <row r="153" spans="1:73" s="404" customFormat="1" ht="13.2">
      <c r="A153" s="406">
        <f t="shared" si="52"/>
        <v>141</v>
      </c>
      <c r="B153" s="472"/>
      <c r="C153" s="470"/>
      <c r="D153" s="407"/>
      <c r="E153" s="407"/>
      <c r="F153" s="408"/>
      <c r="G153" s="409"/>
      <c r="H153" s="407"/>
      <c r="I153" s="1029" t="str">
        <f>IFERROR(G153/HLOOKUP(H153,RentsUA!$B$8:$J$9,2),"")</f>
        <v/>
      </c>
      <c r="J153" s="407"/>
      <c r="K153" s="412"/>
      <c r="L153" s="672">
        <f t="shared" si="41"/>
        <v>0</v>
      </c>
      <c r="M153" s="671"/>
      <c r="N153" s="410">
        <f t="shared" si="42"/>
        <v>0</v>
      </c>
      <c r="O153" s="469" t="str">
        <f>IF($M153=0,"",IFERROR(($L153+$M153)/(HLOOKUP($D153,RentsUA!$K$12:$Q$35,19,FALSE)),""))</f>
        <v/>
      </c>
      <c r="P153" s="469" t="str">
        <f>IF($M153=0,"",IFERROR(($M153+K153+L153)/(HLOOKUP($D153,RentsUA!$K$12:$Q$35,19,FALSE)),""))</f>
        <v/>
      </c>
      <c r="Q153" s="411"/>
      <c r="R153" s="673" t="str">
        <f>IF($Q153=0,"",VLOOKUP($Q153,RentsUA!$A$12:$H$35,MATCH($D153,RentsUA!$A$12:$H$12,0),FALSE))</f>
        <v/>
      </c>
      <c r="S153" s="409"/>
      <c r="T153" s="674"/>
      <c r="U153" s="672"/>
      <c r="V153" s="673" t="str">
        <f t="shared" si="47"/>
        <v/>
      </c>
      <c r="W153" s="470"/>
      <c r="X153" s="411"/>
      <c r="Y153" s="410" t="str">
        <f>IF(X153=0,"",VLOOKUP($X153,RentsUA!$A$12:$H$35,MATCH($D153,RentsUA!$A$12:$H$12,0),FALSE))</f>
        <v/>
      </c>
      <c r="Z153" s="410" t="str">
        <f t="shared" si="43"/>
        <v/>
      </c>
      <c r="AA153" s="1297" t="str">
        <f>IF(H153="","",IF(G153/HLOOKUP($H153,RentsUA!$M$8:$T$9,2,FALSE)&gt;1,"&gt; 80%","&lt;= 80%"))</f>
        <v/>
      </c>
      <c r="AB153" s="1106"/>
      <c r="AC153" s="1106"/>
      <c r="AD153" s="622"/>
      <c r="AE153" s="412"/>
      <c r="AF153" s="807" t="str">
        <f>IF(AD153="","",IF(AD153=Lists!$U$3,M153,IF(AD153=Lists!$U$4,V153,IF(AD153=Lists!$U$5,Y153-L153,AE153))))</f>
        <v/>
      </c>
      <c r="AG153" s="410" t="str">
        <f t="shared" si="44"/>
        <v/>
      </c>
      <c r="AH153" s="469" t="str">
        <f t="shared" si="45"/>
        <v/>
      </c>
      <c r="AI153" s="469" t="str">
        <f>IF($AF153=0,0,IFERROR(($L153+$AF153)/(HLOOKUP($D153,RentsUA!$K$12:$Q$35,19,FALSE)),""))</f>
        <v/>
      </c>
      <c r="AJ153" s="469" t="str">
        <f>IF($AF153=0,0,IFERROR(($AF153+K153+L153)/(HLOOKUP($D153,RentsUA!$K$12:$Q$35,19,FALSE)),""))</f>
        <v/>
      </c>
      <c r="AK153" s="469" t="str">
        <f t="shared" si="48"/>
        <v/>
      </c>
      <c r="AL153" s="469" t="str">
        <f t="shared" si="49"/>
        <v/>
      </c>
      <c r="AM153" s="1106" t="str">
        <f t="shared" si="50"/>
        <v/>
      </c>
      <c r="AN153" s="1106" t="str">
        <f>IFERROR(AM153*(1+'7a.20YrDetails'!$F$9),"")</f>
        <v/>
      </c>
      <c r="AO153" s="1106" t="str">
        <f>IFERROR(AN153*(1+'7a.20YrDetails'!$F$9),"")</f>
        <v/>
      </c>
      <c r="AP153" s="1106" t="str">
        <f>IFERROR(AO153*(1+'7a.20YrDetails'!$F$9),"")</f>
        <v/>
      </c>
      <c r="AQ153" s="1106" t="str">
        <f>IFERROR(AP153*(1+'7a.20YrDetails'!$F$9),"")</f>
        <v/>
      </c>
      <c r="AR153" s="674"/>
      <c r="AS153" s="672"/>
      <c r="AT153" s="1732" t="str">
        <f>IF($AF153=0,0,IFERROR(($AF153+L153)/(HLOOKUP($D153,RentsUA!$B$61:$H$62,2,FALSE)),""))</f>
        <v/>
      </c>
      <c r="AU153" s="1733" t="str">
        <f>IFERROR(G153/HLOOKUP(H153,RentsUA!$B$40:$I$41,2),"")</f>
        <v/>
      </c>
      <c r="BR153" s="404" t="str">
        <f t="shared" si="51"/>
        <v/>
      </c>
      <c r="BS153" s="5" t="str">
        <f t="array" ref="BS153">IFERROR(INDEX($BR$13:$BR$412, MATCH(0, COUNTIF($BS$12:$BS152, $BR$13:$BR$412), 0)),"")</f>
        <v/>
      </c>
      <c r="BT153" s="404" t="str">
        <f t="shared" si="46"/>
        <v/>
      </c>
      <c r="BU153" s="404" t="str">
        <f t="array" ref="BU153">IFERROR(INDEX($BT$13:$BT$412, MATCH(0, COUNTIF($BU$12:$BU152, $BT$13:$BT$412), 0)),"")</f>
        <v/>
      </c>
    </row>
    <row r="154" spans="1:73" s="404" customFormat="1" ht="13.2">
      <c r="A154" s="406">
        <f t="shared" si="52"/>
        <v>142</v>
      </c>
      <c r="B154" s="472"/>
      <c r="C154" s="470"/>
      <c r="D154" s="407"/>
      <c r="E154" s="407"/>
      <c r="F154" s="408"/>
      <c r="G154" s="409"/>
      <c r="H154" s="407"/>
      <c r="I154" s="1029" t="str">
        <f>IFERROR(G154/HLOOKUP(H154,RentsUA!$B$8:$J$9,2),"")</f>
        <v/>
      </c>
      <c r="J154" s="407"/>
      <c r="K154" s="412"/>
      <c r="L154" s="672">
        <f t="shared" si="41"/>
        <v>0</v>
      </c>
      <c r="M154" s="671"/>
      <c r="N154" s="410">
        <f t="shared" si="42"/>
        <v>0</v>
      </c>
      <c r="O154" s="469" t="str">
        <f>IF($M154=0,"",IFERROR(($L154+$M154)/(HLOOKUP($D154,RentsUA!$K$12:$Q$35,19,FALSE)),""))</f>
        <v/>
      </c>
      <c r="P154" s="469" t="str">
        <f>IF($M154=0,"",IFERROR(($M154+K154+L154)/(HLOOKUP($D154,RentsUA!$K$12:$Q$35,19,FALSE)),""))</f>
        <v/>
      </c>
      <c r="Q154" s="411"/>
      <c r="R154" s="673" t="str">
        <f>IF($Q154=0,"",VLOOKUP($Q154,RentsUA!$A$12:$H$35,MATCH($D154,RentsUA!$A$12:$H$12,0),FALSE))</f>
        <v/>
      </c>
      <c r="S154" s="409"/>
      <c r="T154" s="674"/>
      <c r="U154" s="672"/>
      <c r="V154" s="673" t="str">
        <f t="shared" si="47"/>
        <v/>
      </c>
      <c r="W154" s="470"/>
      <c r="X154" s="411"/>
      <c r="Y154" s="410" t="str">
        <f>IF(X154=0,"",VLOOKUP($X154,RentsUA!$A$12:$H$35,MATCH($D154,RentsUA!$A$12:$H$12,0),FALSE))</f>
        <v/>
      </c>
      <c r="Z154" s="410" t="str">
        <f t="shared" si="43"/>
        <v/>
      </c>
      <c r="AA154" s="1297" t="str">
        <f>IF(H154="","",IF(G154/HLOOKUP($H154,RentsUA!$M$8:$T$9,2,FALSE)&gt;1,"&gt; 80%","&lt;= 80%"))</f>
        <v/>
      </c>
      <c r="AB154" s="1106"/>
      <c r="AC154" s="1106"/>
      <c r="AD154" s="622"/>
      <c r="AE154" s="412"/>
      <c r="AF154" s="807" t="str">
        <f>IF(AD154="","",IF(AD154=Lists!$U$3,M154,IF(AD154=Lists!$U$4,V154,IF(AD154=Lists!$U$5,Y154-L154,AE154))))</f>
        <v/>
      </c>
      <c r="AG154" s="410" t="str">
        <f t="shared" si="44"/>
        <v/>
      </c>
      <c r="AH154" s="469" t="str">
        <f t="shared" si="45"/>
        <v/>
      </c>
      <c r="AI154" s="469" t="str">
        <f>IF($AF154=0,0,IFERROR(($L154+$AF154)/(HLOOKUP($D154,RentsUA!$K$12:$Q$35,19,FALSE)),""))</f>
        <v/>
      </c>
      <c r="AJ154" s="469" t="str">
        <f>IF($AF154=0,0,IFERROR(($AF154+K154+L154)/(HLOOKUP($D154,RentsUA!$K$12:$Q$35,19,FALSE)),""))</f>
        <v/>
      </c>
      <c r="AK154" s="469" t="str">
        <f t="shared" si="48"/>
        <v/>
      </c>
      <c r="AL154" s="469" t="str">
        <f t="shared" si="49"/>
        <v/>
      </c>
      <c r="AM154" s="1106" t="str">
        <f t="shared" si="50"/>
        <v/>
      </c>
      <c r="AN154" s="1106" t="str">
        <f>IFERROR(AM154*(1+'7a.20YrDetails'!$F$9),"")</f>
        <v/>
      </c>
      <c r="AO154" s="1106" t="str">
        <f>IFERROR(AN154*(1+'7a.20YrDetails'!$F$9),"")</f>
        <v/>
      </c>
      <c r="AP154" s="1106" t="str">
        <f>IFERROR(AO154*(1+'7a.20YrDetails'!$F$9),"")</f>
        <v/>
      </c>
      <c r="AQ154" s="1106" t="str">
        <f>IFERROR(AP154*(1+'7a.20YrDetails'!$F$9),"")</f>
        <v/>
      </c>
      <c r="AR154" s="674"/>
      <c r="AS154" s="672"/>
      <c r="AT154" s="1732" t="str">
        <f>IF($AF154=0,0,IFERROR(($AF154+L154)/(HLOOKUP($D154,RentsUA!$B$61:$H$62,2,FALSE)),""))</f>
        <v/>
      </c>
      <c r="AU154" s="1733" t="str">
        <f>IFERROR(G154/HLOOKUP(H154,RentsUA!$B$40:$I$41,2),"")</f>
        <v/>
      </c>
      <c r="BR154" s="404" t="str">
        <f t="shared" si="51"/>
        <v/>
      </c>
      <c r="BS154" s="5" t="str">
        <f t="array" ref="BS154">IFERROR(INDEX($BR$13:$BR$412, MATCH(0, COUNTIF($BS$12:$BS153, $BR$13:$BR$412), 0)),"")</f>
        <v/>
      </c>
      <c r="BT154" s="404" t="str">
        <f t="shared" si="46"/>
        <v/>
      </c>
      <c r="BU154" s="404" t="str">
        <f t="array" ref="BU154">IFERROR(INDEX($BT$13:$BT$412, MATCH(0, COUNTIF($BU$12:$BU153, $BT$13:$BT$412), 0)),"")</f>
        <v/>
      </c>
    </row>
    <row r="155" spans="1:73" s="404" customFormat="1" ht="13.2">
      <c r="A155" s="406">
        <f t="shared" si="52"/>
        <v>143</v>
      </c>
      <c r="B155" s="472"/>
      <c r="C155" s="470"/>
      <c r="D155" s="407"/>
      <c r="E155" s="407"/>
      <c r="F155" s="408"/>
      <c r="G155" s="409"/>
      <c r="H155" s="407"/>
      <c r="I155" s="1029" t="str">
        <f>IFERROR(G155/HLOOKUP(H155,RentsUA!$B$8:$J$9,2),"")</f>
        <v/>
      </c>
      <c r="J155" s="407"/>
      <c r="K155" s="412"/>
      <c r="L155" s="672">
        <f t="shared" si="41"/>
        <v>0</v>
      </c>
      <c r="M155" s="671"/>
      <c r="N155" s="410">
        <f t="shared" si="42"/>
        <v>0</v>
      </c>
      <c r="O155" s="469" t="str">
        <f>IF($M155=0,"",IFERROR(($L155+$M155)/(HLOOKUP($D155,RentsUA!$K$12:$Q$35,19,FALSE)),""))</f>
        <v/>
      </c>
      <c r="P155" s="469" t="str">
        <f>IF($M155=0,"",IFERROR(($M155+K155+L155)/(HLOOKUP($D155,RentsUA!$K$12:$Q$35,19,FALSE)),""))</f>
        <v/>
      </c>
      <c r="Q155" s="411"/>
      <c r="R155" s="673" t="str">
        <f>IF($Q155=0,"",VLOOKUP($Q155,RentsUA!$A$12:$H$35,MATCH($D155,RentsUA!$A$12:$H$12,0),FALSE))</f>
        <v/>
      </c>
      <c r="S155" s="409"/>
      <c r="T155" s="674"/>
      <c r="U155" s="672"/>
      <c r="V155" s="673" t="str">
        <f t="shared" si="47"/>
        <v/>
      </c>
      <c r="W155" s="470"/>
      <c r="X155" s="411"/>
      <c r="Y155" s="410" t="str">
        <f>IF(X155=0,"",VLOOKUP($X155,RentsUA!$A$12:$H$35,MATCH($D155,RentsUA!$A$12:$H$12,0),FALSE))</f>
        <v/>
      </c>
      <c r="Z155" s="410" t="str">
        <f t="shared" si="43"/>
        <v/>
      </c>
      <c r="AA155" s="1297" t="str">
        <f>IF(H155="","",IF(G155/HLOOKUP($H155,RentsUA!$M$8:$T$9,2,FALSE)&gt;1,"&gt; 80%","&lt;= 80%"))</f>
        <v/>
      </c>
      <c r="AB155" s="1106"/>
      <c r="AC155" s="1106"/>
      <c r="AD155" s="622"/>
      <c r="AE155" s="412"/>
      <c r="AF155" s="807" t="str">
        <f>IF(AD155="","",IF(AD155=Lists!$U$3,M155,IF(AD155=Lists!$U$4,V155,IF(AD155=Lists!$U$5,Y155-L155,AE155))))</f>
        <v/>
      </c>
      <c r="AG155" s="410" t="str">
        <f t="shared" si="44"/>
        <v/>
      </c>
      <c r="AH155" s="469" t="str">
        <f t="shared" si="45"/>
        <v/>
      </c>
      <c r="AI155" s="469" t="str">
        <f>IF($AF155=0,0,IFERROR(($L155+$AF155)/(HLOOKUP($D155,RentsUA!$K$12:$Q$35,19,FALSE)),""))</f>
        <v/>
      </c>
      <c r="AJ155" s="469" t="str">
        <f>IF($AF155=0,0,IFERROR(($AF155+K155+L155)/(HLOOKUP($D155,RentsUA!$K$12:$Q$35,19,FALSE)),""))</f>
        <v/>
      </c>
      <c r="AK155" s="469" t="str">
        <f t="shared" si="48"/>
        <v/>
      </c>
      <c r="AL155" s="469" t="str">
        <f t="shared" si="49"/>
        <v/>
      </c>
      <c r="AM155" s="1106" t="str">
        <f t="shared" si="50"/>
        <v/>
      </c>
      <c r="AN155" s="1106" t="str">
        <f>IFERROR(AM155*(1+'7a.20YrDetails'!$F$9),"")</f>
        <v/>
      </c>
      <c r="AO155" s="1106" t="str">
        <f>IFERROR(AN155*(1+'7a.20YrDetails'!$F$9),"")</f>
        <v/>
      </c>
      <c r="AP155" s="1106" t="str">
        <f>IFERROR(AO155*(1+'7a.20YrDetails'!$F$9),"")</f>
        <v/>
      </c>
      <c r="AQ155" s="1106" t="str">
        <f>IFERROR(AP155*(1+'7a.20YrDetails'!$F$9),"")</f>
        <v/>
      </c>
      <c r="AR155" s="674"/>
      <c r="AS155" s="672"/>
      <c r="AT155" s="1732" t="str">
        <f>IF($AF155=0,0,IFERROR(($AF155+L155)/(HLOOKUP($D155,RentsUA!$B$61:$H$62,2,FALSE)),""))</f>
        <v/>
      </c>
      <c r="AU155" s="1733" t="str">
        <f>IFERROR(G155/HLOOKUP(H155,RentsUA!$B$40:$I$41,2),"")</f>
        <v/>
      </c>
      <c r="BR155" s="404" t="str">
        <f t="shared" si="51"/>
        <v/>
      </c>
      <c r="BS155" s="5" t="str">
        <f t="array" ref="BS155">IFERROR(INDEX($BR$13:$BR$412, MATCH(0, COUNTIF($BS$12:$BS154, $BR$13:$BR$412), 0)),"")</f>
        <v/>
      </c>
      <c r="BT155" s="404" t="str">
        <f t="shared" si="46"/>
        <v/>
      </c>
      <c r="BU155" s="404" t="str">
        <f t="array" ref="BU155">IFERROR(INDEX($BT$13:$BT$412, MATCH(0, COUNTIF($BU$12:$BU154, $BT$13:$BT$412), 0)),"")</f>
        <v/>
      </c>
    </row>
    <row r="156" spans="1:73" s="404" customFormat="1" ht="13.2">
      <c r="A156" s="406">
        <f t="shared" si="52"/>
        <v>144</v>
      </c>
      <c r="B156" s="472"/>
      <c r="C156" s="470"/>
      <c r="D156" s="407"/>
      <c r="E156" s="407"/>
      <c r="F156" s="408"/>
      <c r="G156" s="409"/>
      <c r="H156" s="407"/>
      <c r="I156" s="1029" t="str">
        <f>IFERROR(G156/HLOOKUP(H156,RentsUA!$B$8:$J$9,2),"")</f>
        <v/>
      </c>
      <c r="J156" s="407"/>
      <c r="K156" s="412"/>
      <c r="L156" s="672">
        <f t="shared" si="41"/>
        <v>0</v>
      </c>
      <c r="M156" s="671"/>
      <c r="N156" s="410">
        <f t="shared" si="42"/>
        <v>0</v>
      </c>
      <c r="O156" s="469" t="str">
        <f>IF($M156=0,"",IFERROR(($L156+$M156)/(HLOOKUP($D156,RentsUA!$K$12:$Q$35,19,FALSE)),""))</f>
        <v/>
      </c>
      <c r="P156" s="469" t="str">
        <f>IF($M156=0,"",IFERROR(($M156+K156+L156)/(HLOOKUP($D156,RentsUA!$K$12:$Q$35,19,FALSE)),""))</f>
        <v/>
      </c>
      <c r="Q156" s="411"/>
      <c r="R156" s="673" t="str">
        <f>IF($Q156=0,"",VLOOKUP($Q156,RentsUA!$A$12:$H$35,MATCH($D156,RentsUA!$A$12:$H$12,0),FALSE))</f>
        <v/>
      </c>
      <c r="S156" s="409"/>
      <c r="T156" s="674"/>
      <c r="U156" s="672"/>
      <c r="V156" s="673" t="str">
        <f t="shared" si="47"/>
        <v/>
      </c>
      <c r="W156" s="470"/>
      <c r="X156" s="411"/>
      <c r="Y156" s="410" t="str">
        <f>IF(X156=0,"",VLOOKUP($X156,RentsUA!$A$12:$H$35,MATCH($D156,RentsUA!$A$12:$H$12,0),FALSE))</f>
        <v/>
      </c>
      <c r="Z156" s="410" t="str">
        <f t="shared" si="43"/>
        <v/>
      </c>
      <c r="AA156" s="1297" t="str">
        <f>IF(H156="","",IF(G156/HLOOKUP($H156,RentsUA!$M$8:$T$9,2,FALSE)&gt;1,"&gt; 80%","&lt;= 80%"))</f>
        <v/>
      </c>
      <c r="AB156" s="1106"/>
      <c r="AC156" s="1106"/>
      <c r="AD156" s="622"/>
      <c r="AE156" s="412"/>
      <c r="AF156" s="807" t="str">
        <f>IF(AD156="","",IF(AD156=Lists!$U$3,M156,IF(AD156=Lists!$U$4,V156,IF(AD156=Lists!$U$5,Y156-L156,AE156))))</f>
        <v/>
      </c>
      <c r="AG156" s="410" t="str">
        <f t="shared" si="44"/>
        <v/>
      </c>
      <c r="AH156" s="469" t="str">
        <f t="shared" si="45"/>
        <v/>
      </c>
      <c r="AI156" s="469" t="str">
        <f>IF($AF156=0,0,IFERROR(($L156+$AF156)/(HLOOKUP($D156,RentsUA!$K$12:$Q$35,19,FALSE)),""))</f>
        <v/>
      </c>
      <c r="AJ156" s="469" t="str">
        <f>IF($AF156=0,0,IFERROR(($AF156+K156+L156)/(HLOOKUP($D156,RentsUA!$K$12:$Q$35,19,FALSE)),""))</f>
        <v/>
      </c>
      <c r="AK156" s="469" t="str">
        <f t="shared" si="48"/>
        <v/>
      </c>
      <c r="AL156" s="469" t="str">
        <f t="shared" si="49"/>
        <v/>
      </c>
      <c r="AM156" s="1106" t="str">
        <f t="shared" si="50"/>
        <v/>
      </c>
      <c r="AN156" s="1106" t="str">
        <f>IFERROR(AM156*(1+'7a.20YrDetails'!$F$9),"")</f>
        <v/>
      </c>
      <c r="AO156" s="1106" t="str">
        <f>IFERROR(AN156*(1+'7a.20YrDetails'!$F$9),"")</f>
        <v/>
      </c>
      <c r="AP156" s="1106" t="str">
        <f>IFERROR(AO156*(1+'7a.20YrDetails'!$F$9),"")</f>
        <v/>
      </c>
      <c r="AQ156" s="1106" t="str">
        <f>IFERROR(AP156*(1+'7a.20YrDetails'!$F$9),"")</f>
        <v/>
      </c>
      <c r="AR156" s="674"/>
      <c r="AS156" s="672"/>
      <c r="AT156" s="1732" t="str">
        <f>IF($AF156=0,0,IFERROR(($AF156+L156)/(HLOOKUP($D156,RentsUA!$B$61:$H$62,2,FALSE)),""))</f>
        <v/>
      </c>
      <c r="AU156" s="1733" t="str">
        <f>IFERROR(G156/HLOOKUP(H156,RentsUA!$B$40:$I$41,2),"")</f>
        <v/>
      </c>
      <c r="BR156" s="404" t="str">
        <f t="shared" si="51"/>
        <v/>
      </c>
      <c r="BS156" s="5" t="str">
        <f t="array" ref="BS156">IFERROR(INDEX($BR$13:$BR$412, MATCH(0, COUNTIF($BS$12:$BS155, $BR$13:$BR$412), 0)),"")</f>
        <v/>
      </c>
      <c r="BT156" s="404" t="str">
        <f t="shared" si="46"/>
        <v/>
      </c>
      <c r="BU156" s="404" t="str">
        <f t="array" ref="BU156">IFERROR(INDEX($BT$13:$BT$412, MATCH(0, COUNTIF($BU$12:$BU155, $BT$13:$BT$412), 0)),"")</f>
        <v/>
      </c>
    </row>
    <row r="157" spans="1:73" s="404" customFormat="1" ht="13.2">
      <c r="A157" s="406">
        <f t="shared" si="52"/>
        <v>145</v>
      </c>
      <c r="B157" s="472"/>
      <c r="C157" s="470"/>
      <c r="D157" s="407"/>
      <c r="E157" s="407"/>
      <c r="F157" s="408"/>
      <c r="G157" s="409"/>
      <c r="H157" s="407"/>
      <c r="I157" s="1029" t="str">
        <f>IFERROR(G157/HLOOKUP(H157,RentsUA!$B$8:$J$9,2),"")</f>
        <v/>
      </c>
      <c r="J157" s="407"/>
      <c r="K157" s="412"/>
      <c r="L157" s="672">
        <f t="shared" si="41"/>
        <v>0</v>
      </c>
      <c r="M157" s="671"/>
      <c r="N157" s="410">
        <f t="shared" si="42"/>
        <v>0</v>
      </c>
      <c r="O157" s="469" t="str">
        <f>IF($M157=0,"",IFERROR(($L157+$M157)/(HLOOKUP($D157,RentsUA!$K$12:$Q$35,19,FALSE)),""))</f>
        <v/>
      </c>
      <c r="P157" s="469" t="str">
        <f>IF($M157=0,"",IFERROR(($M157+K157+L157)/(HLOOKUP($D157,RentsUA!$K$12:$Q$35,19,FALSE)),""))</f>
        <v/>
      </c>
      <c r="Q157" s="411"/>
      <c r="R157" s="673" t="str">
        <f>IF($Q157=0,"",VLOOKUP($Q157,RentsUA!$A$12:$H$35,MATCH($D157,RentsUA!$A$12:$H$12,0),FALSE))</f>
        <v/>
      </c>
      <c r="S157" s="409"/>
      <c r="T157" s="674"/>
      <c r="U157" s="672"/>
      <c r="V157" s="673" t="str">
        <f t="shared" si="47"/>
        <v/>
      </c>
      <c r="W157" s="470"/>
      <c r="X157" s="411"/>
      <c r="Y157" s="410" t="str">
        <f>IF(X157=0,"",VLOOKUP($X157,RentsUA!$A$12:$H$35,MATCH($D157,RentsUA!$A$12:$H$12,0),FALSE))</f>
        <v/>
      </c>
      <c r="Z157" s="410" t="str">
        <f t="shared" si="43"/>
        <v/>
      </c>
      <c r="AA157" s="1297" t="str">
        <f>IF(H157="","",IF(G157/HLOOKUP($H157,RentsUA!$M$8:$T$9,2,FALSE)&gt;1,"&gt; 80%","&lt;= 80%"))</f>
        <v/>
      </c>
      <c r="AB157" s="1106"/>
      <c r="AC157" s="1106"/>
      <c r="AD157" s="622"/>
      <c r="AE157" s="412"/>
      <c r="AF157" s="807" t="str">
        <f>IF(AD157="","",IF(AD157=Lists!$U$3,M157,IF(AD157=Lists!$U$4,V157,IF(AD157=Lists!$U$5,Y157-L157,AE157))))</f>
        <v/>
      </c>
      <c r="AG157" s="410" t="str">
        <f t="shared" si="44"/>
        <v/>
      </c>
      <c r="AH157" s="469" t="str">
        <f t="shared" si="45"/>
        <v/>
      </c>
      <c r="AI157" s="469" t="str">
        <f>IF($AF157=0,0,IFERROR(($L157+$AF157)/(HLOOKUP($D157,RentsUA!$K$12:$Q$35,19,FALSE)),""))</f>
        <v/>
      </c>
      <c r="AJ157" s="469" t="str">
        <f>IF($AF157=0,0,IFERROR(($AF157+K157+L157)/(HLOOKUP($D157,RentsUA!$K$12:$Q$35,19,FALSE)),""))</f>
        <v/>
      </c>
      <c r="AK157" s="469" t="str">
        <f t="shared" si="48"/>
        <v/>
      </c>
      <c r="AL157" s="469" t="str">
        <f t="shared" si="49"/>
        <v/>
      </c>
      <c r="AM157" s="1106" t="str">
        <f t="shared" si="50"/>
        <v/>
      </c>
      <c r="AN157" s="1106" t="str">
        <f>IFERROR(AM157*(1+'7a.20YrDetails'!$F$9),"")</f>
        <v/>
      </c>
      <c r="AO157" s="1106" t="str">
        <f>IFERROR(AN157*(1+'7a.20YrDetails'!$F$9),"")</f>
        <v/>
      </c>
      <c r="AP157" s="1106" t="str">
        <f>IFERROR(AO157*(1+'7a.20YrDetails'!$F$9),"")</f>
        <v/>
      </c>
      <c r="AQ157" s="1106" t="str">
        <f>IFERROR(AP157*(1+'7a.20YrDetails'!$F$9),"")</f>
        <v/>
      </c>
      <c r="AR157" s="674"/>
      <c r="AS157" s="672"/>
      <c r="AT157" s="1732" t="str">
        <f>IF($AF157=0,0,IFERROR(($AF157+L157)/(HLOOKUP($D157,RentsUA!$B$61:$H$62,2,FALSE)),""))</f>
        <v/>
      </c>
      <c r="AU157" s="1733" t="str">
        <f>IFERROR(G157/HLOOKUP(H157,RentsUA!$B$40:$I$41,2),"")</f>
        <v/>
      </c>
      <c r="BR157" s="404" t="str">
        <f t="shared" si="51"/>
        <v/>
      </c>
      <c r="BS157" s="5" t="str">
        <f t="array" ref="BS157">IFERROR(INDEX($BR$13:$BR$412, MATCH(0, COUNTIF($BS$12:$BS156, $BR$13:$BR$412), 0)),"")</f>
        <v/>
      </c>
      <c r="BT157" s="404" t="str">
        <f t="shared" si="46"/>
        <v/>
      </c>
      <c r="BU157" s="404" t="str">
        <f t="array" ref="BU157">IFERROR(INDEX($BT$13:$BT$412, MATCH(0, COUNTIF($BU$12:$BU156, $BT$13:$BT$412), 0)),"")</f>
        <v/>
      </c>
    </row>
    <row r="158" spans="1:73" s="404" customFormat="1" ht="13.2">
      <c r="A158" s="406">
        <f t="shared" si="52"/>
        <v>146</v>
      </c>
      <c r="B158" s="472"/>
      <c r="C158" s="470"/>
      <c r="D158" s="407"/>
      <c r="E158" s="407"/>
      <c r="F158" s="408"/>
      <c r="G158" s="409"/>
      <c r="H158" s="407"/>
      <c r="I158" s="1029" t="str">
        <f>IFERROR(G158/HLOOKUP(H158,RentsUA!$B$8:$J$9,2),"")</f>
        <v/>
      </c>
      <c r="J158" s="407"/>
      <c r="K158" s="412"/>
      <c r="L158" s="672">
        <f t="shared" si="41"/>
        <v>0</v>
      </c>
      <c r="M158" s="671"/>
      <c r="N158" s="410">
        <f t="shared" si="42"/>
        <v>0</v>
      </c>
      <c r="O158" s="469" t="str">
        <f>IF($M158=0,"",IFERROR(($L158+$M158)/(HLOOKUP($D158,RentsUA!$K$12:$Q$35,19,FALSE)),""))</f>
        <v/>
      </c>
      <c r="P158" s="469" t="str">
        <f>IF($M158=0,"",IFERROR(($M158+K158+L158)/(HLOOKUP($D158,RentsUA!$K$12:$Q$35,19,FALSE)),""))</f>
        <v/>
      </c>
      <c r="Q158" s="411"/>
      <c r="R158" s="673" t="str">
        <f>IF($Q158=0,"",VLOOKUP($Q158,RentsUA!$A$12:$H$35,MATCH($D158,RentsUA!$A$12:$H$12,0),FALSE))</f>
        <v/>
      </c>
      <c r="S158" s="409"/>
      <c r="T158" s="674"/>
      <c r="U158" s="672"/>
      <c r="V158" s="673" t="str">
        <f t="shared" si="47"/>
        <v/>
      </c>
      <c r="W158" s="470"/>
      <c r="X158" s="411"/>
      <c r="Y158" s="410" t="str">
        <f>IF(X158=0,"",VLOOKUP($X158,RentsUA!$A$12:$H$35,MATCH($D158,RentsUA!$A$12:$H$12,0),FALSE))</f>
        <v/>
      </c>
      <c r="Z158" s="410" t="str">
        <f t="shared" si="43"/>
        <v/>
      </c>
      <c r="AA158" s="1297" t="str">
        <f>IF(H158="","",IF(G158/HLOOKUP($H158,RentsUA!$M$8:$T$9,2,FALSE)&gt;1,"&gt; 80%","&lt;= 80%"))</f>
        <v/>
      </c>
      <c r="AB158" s="1106"/>
      <c r="AC158" s="1106"/>
      <c r="AD158" s="622"/>
      <c r="AE158" s="412"/>
      <c r="AF158" s="807" t="str">
        <f>IF(AD158="","",IF(AD158=Lists!$U$3,M158,IF(AD158=Lists!$U$4,V158,IF(AD158=Lists!$U$5,Y158-L158,AE158))))</f>
        <v/>
      </c>
      <c r="AG158" s="410" t="str">
        <f t="shared" si="44"/>
        <v/>
      </c>
      <c r="AH158" s="469" t="str">
        <f t="shared" si="45"/>
        <v/>
      </c>
      <c r="AI158" s="469" t="str">
        <f>IF($AF158=0,0,IFERROR(($L158+$AF158)/(HLOOKUP($D158,RentsUA!$K$12:$Q$35,19,FALSE)),""))</f>
        <v/>
      </c>
      <c r="AJ158" s="469" t="str">
        <f>IF($AF158=0,0,IFERROR(($AF158+K158+L158)/(HLOOKUP($D158,RentsUA!$K$12:$Q$35,19,FALSE)),""))</f>
        <v/>
      </c>
      <c r="AK158" s="469" t="str">
        <f t="shared" si="48"/>
        <v/>
      </c>
      <c r="AL158" s="469" t="str">
        <f t="shared" si="49"/>
        <v/>
      </c>
      <c r="AM158" s="1106" t="str">
        <f t="shared" si="50"/>
        <v/>
      </c>
      <c r="AN158" s="1106" t="str">
        <f>IFERROR(AM158*(1+'7a.20YrDetails'!$F$9),"")</f>
        <v/>
      </c>
      <c r="AO158" s="1106" t="str">
        <f>IFERROR(AN158*(1+'7a.20YrDetails'!$F$9),"")</f>
        <v/>
      </c>
      <c r="AP158" s="1106" t="str">
        <f>IFERROR(AO158*(1+'7a.20YrDetails'!$F$9),"")</f>
        <v/>
      </c>
      <c r="AQ158" s="1106" t="str">
        <f>IFERROR(AP158*(1+'7a.20YrDetails'!$F$9),"")</f>
        <v/>
      </c>
      <c r="AR158" s="674"/>
      <c r="AS158" s="672"/>
      <c r="AT158" s="1732" t="str">
        <f>IF($AF158=0,0,IFERROR(($AF158+L158)/(HLOOKUP($D158,RentsUA!$B$61:$H$62,2,FALSE)),""))</f>
        <v/>
      </c>
      <c r="AU158" s="1733" t="str">
        <f>IFERROR(G158/HLOOKUP(H158,RentsUA!$B$40:$I$41,2),"")</f>
        <v/>
      </c>
      <c r="BR158" s="404" t="str">
        <f t="shared" si="51"/>
        <v/>
      </c>
      <c r="BS158" s="5" t="str">
        <f t="array" ref="BS158">IFERROR(INDEX($BR$13:$BR$412, MATCH(0, COUNTIF($BS$12:$BS157, $BR$13:$BR$412), 0)),"")</f>
        <v/>
      </c>
      <c r="BT158" s="404" t="str">
        <f t="shared" si="46"/>
        <v/>
      </c>
      <c r="BU158" s="404" t="str">
        <f t="array" ref="BU158">IFERROR(INDEX($BT$13:$BT$412, MATCH(0, COUNTIF($BU$12:$BU157, $BT$13:$BT$412), 0)),"")</f>
        <v/>
      </c>
    </row>
    <row r="159" spans="1:73" s="404" customFormat="1" ht="13.2">
      <c r="A159" s="406">
        <f t="shared" si="52"/>
        <v>147</v>
      </c>
      <c r="B159" s="472"/>
      <c r="C159" s="470"/>
      <c r="D159" s="407"/>
      <c r="E159" s="407"/>
      <c r="F159" s="408"/>
      <c r="G159" s="409"/>
      <c r="H159" s="407"/>
      <c r="I159" s="1029" t="str">
        <f>IFERROR(G159/HLOOKUP(H159,RentsUA!$B$8:$J$9,2),"")</f>
        <v/>
      </c>
      <c r="J159" s="407"/>
      <c r="K159" s="412"/>
      <c r="L159" s="672">
        <f t="shared" si="41"/>
        <v>0</v>
      </c>
      <c r="M159" s="671"/>
      <c r="N159" s="410">
        <f t="shared" si="42"/>
        <v>0</v>
      </c>
      <c r="O159" s="469" t="str">
        <f>IF($M159=0,"",IFERROR(($L159+$M159)/(HLOOKUP($D159,RentsUA!$K$12:$Q$35,19,FALSE)),""))</f>
        <v/>
      </c>
      <c r="P159" s="469" t="str">
        <f>IF($M159=0,"",IFERROR(($M159+K159+L159)/(HLOOKUP($D159,RentsUA!$K$12:$Q$35,19,FALSE)),""))</f>
        <v/>
      </c>
      <c r="Q159" s="411"/>
      <c r="R159" s="673" t="str">
        <f>IF($Q159=0,"",VLOOKUP($Q159,RentsUA!$A$12:$H$35,MATCH($D159,RentsUA!$A$12:$H$12,0),FALSE))</f>
        <v/>
      </c>
      <c r="S159" s="409"/>
      <c r="T159" s="674"/>
      <c r="U159" s="672"/>
      <c r="V159" s="673" t="str">
        <f t="shared" si="47"/>
        <v/>
      </c>
      <c r="W159" s="470"/>
      <c r="X159" s="411"/>
      <c r="Y159" s="410" t="str">
        <f>IF(X159=0,"",VLOOKUP($X159,RentsUA!$A$12:$H$35,MATCH($D159,RentsUA!$A$12:$H$12,0),FALSE))</f>
        <v/>
      </c>
      <c r="Z159" s="410" t="str">
        <f t="shared" si="43"/>
        <v/>
      </c>
      <c r="AA159" s="1297" t="str">
        <f>IF(H159="","",IF(G159/HLOOKUP($H159,RentsUA!$M$8:$T$9,2,FALSE)&gt;1,"&gt; 80%","&lt;= 80%"))</f>
        <v/>
      </c>
      <c r="AB159" s="1106"/>
      <c r="AC159" s="1106"/>
      <c r="AD159" s="622"/>
      <c r="AE159" s="412"/>
      <c r="AF159" s="807" t="str">
        <f>IF(AD159="","",IF(AD159=Lists!$U$3,M159,IF(AD159=Lists!$U$4,V159,IF(AD159=Lists!$U$5,Y159-L159,AE159))))</f>
        <v/>
      </c>
      <c r="AG159" s="410" t="str">
        <f t="shared" si="44"/>
        <v/>
      </c>
      <c r="AH159" s="469" t="str">
        <f t="shared" si="45"/>
        <v/>
      </c>
      <c r="AI159" s="469" t="str">
        <f>IF($AF159=0,0,IFERROR(($L159+$AF159)/(HLOOKUP($D159,RentsUA!$K$12:$Q$35,19,FALSE)),""))</f>
        <v/>
      </c>
      <c r="AJ159" s="469" t="str">
        <f>IF($AF159=0,0,IFERROR(($AF159+K159+L159)/(HLOOKUP($D159,RentsUA!$K$12:$Q$35,19,FALSE)),""))</f>
        <v/>
      </c>
      <c r="AK159" s="469" t="str">
        <f t="shared" si="48"/>
        <v/>
      </c>
      <c r="AL159" s="469" t="str">
        <f t="shared" si="49"/>
        <v/>
      </c>
      <c r="AM159" s="1106" t="str">
        <f t="shared" si="50"/>
        <v/>
      </c>
      <c r="AN159" s="1106" t="str">
        <f>IFERROR(AM159*(1+'7a.20YrDetails'!$F$9),"")</f>
        <v/>
      </c>
      <c r="AO159" s="1106" t="str">
        <f>IFERROR(AN159*(1+'7a.20YrDetails'!$F$9),"")</f>
        <v/>
      </c>
      <c r="AP159" s="1106" t="str">
        <f>IFERROR(AO159*(1+'7a.20YrDetails'!$F$9),"")</f>
        <v/>
      </c>
      <c r="AQ159" s="1106" t="str">
        <f>IFERROR(AP159*(1+'7a.20YrDetails'!$F$9),"")</f>
        <v/>
      </c>
      <c r="AR159" s="674"/>
      <c r="AS159" s="672"/>
      <c r="AT159" s="1732" t="str">
        <f>IF($AF159=0,0,IFERROR(($AF159+L159)/(HLOOKUP($D159,RentsUA!$B$61:$H$62,2,FALSE)),""))</f>
        <v/>
      </c>
      <c r="AU159" s="1733" t="str">
        <f>IFERROR(G159/HLOOKUP(H159,RentsUA!$B$40:$I$41,2),"")</f>
        <v/>
      </c>
      <c r="BR159" s="404" t="str">
        <f t="shared" si="51"/>
        <v/>
      </c>
      <c r="BS159" s="5" t="str">
        <f t="array" ref="BS159">IFERROR(INDEX($BR$13:$BR$412, MATCH(0, COUNTIF($BS$12:$BS158, $BR$13:$BR$412), 0)),"")</f>
        <v/>
      </c>
      <c r="BT159" s="404" t="str">
        <f t="shared" si="46"/>
        <v/>
      </c>
      <c r="BU159" s="404" t="str">
        <f t="array" ref="BU159">IFERROR(INDEX($BT$13:$BT$412, MATCH(0, COUNTIF($BU$12:$BU158, $BT$13:$BT$412), 0)),"")</f>
        <v/>
      </c>
    </row>
    <row r="160" spans="1:73" s="404" customFormat="1" ht="13.2">
      <c r="A160" s="406">
        <f t="shared" si="52"/>
        <v>148</v>
      </c>
      <c r="B160" s="472"/>
      <c r="C160" s="470"/>
      <c r="D160" s="407"/>
      <c r="E160" s="407"/>
      <c r="F160" s="408"/>
      <c r="G160" s="409"/>
      <c r="H160" s="407"/>
      <c r="I160" s="1029" t="str">
        <f>IFERROR(G160/HLOOKUP(H160,RentsUA!$B$8:$J$9,2),"")</f>
        <v/>
      </c>
      <c r="J160" s="407"/>
      <c r="K160" s="412"/>
      <c r="L160" s="672">
        <f t="shared" si="41"/>
        <v>0</v>
      </c>
      <c r="M160" s="671"/>
      <c r="N160" s="410">
        <f t="shared" si="42"/>
        <v>0</v>
      </c>
      <c r="O160" s="469" t="str">
        <f>IF($M160=0,"",IFERROR(($L160+$M160)/(HLOOKUP($D160,RentsUA!$K$12:$Q$35,19,FALSE)),""))</f>
        <v/>
      </c>
      <c r="P160" s="469" t="str">
        <f>IF($M160=0,"",IFERROR(($M160+K160+L160)/(HLOOKUP($D160,RentsUA!$K$12:$Q$35,19,FALSE)),""))</f>
        <v/>
      </c>
      <c r="Q160" s="411"/>
      <c r="R160" s="673" t="str">
        <f>IF($Q160=0,"",VLOOKUP($Q160,RentsUA!$A$12:$H$35,MATCH($D160,RentsUA!$A$12:$H$12,0),FALSE))</f>
        <v/>
      </c>
      <c r="S160" s="409"/>
      <c r="T160" s="674"/>
      <c r="U160" s="672"/>
      <c r="V160" s="673" t="str">
        <f t="shared" si="47"/>
        <v/>
      </c>
      <c r="W160" s="470"/>
      <c r="X160" s="411"/>
      <c r="Y160" s="410" t="str">
        <f>IF(X160=0,"",VLOOKUP($X160,RentsUA!$A$12:$H$35,MATCH($D160,RentsUA!$A$12:$H$12,0),FALSE))</f>
        <v/>
      </c>
      <c r="Z160" s="410" t="str">
        <f t="shared" si="43"/>
        <v/>
      </c>
      <c r="AA160" s="1297" t="str">
        <f>IF(H160="","",IF(G160/HLOOKUP($H160,RentsUA!$M$8:$T$9,2,FALSE)&gt;1,"&gt; 80%","&lt;= 80%"))</f>
        <v/>
      </c>
      <c r="AB160" s="1106"/>
      <c r="AC160" s="1106"/>
      <c r="AD160" s="622"/>
      <c r="AE160" s="412"/>
      <c r="AF160" s="807" t="str">
        <f>IF(AD160="","",IF(AD160=Lists!$U$3,M160,IF(AD160=Lists!$U$4,V160,IF(AD160=Lists!$U$5,Y160-L160,AE160))))</f>
        <v/>
      </c>
      <c r="AG160" s="410" t="str">
        <f t="shared" si="44"/>
        <v/>
      </c>
      <c r="AH160" s="469" t="str">
        <f t="shared" si="45"/>
        <v/>
      </c>
      <c r="AI160" s="469" t="str">
        <f>IF($AF160=0,0,IFERROR(($L160+$AF160)/(HLOOKUP($D160,RentsUA!$K$12:$Q$35,19,FALSE)),""))</f>
        <v/>
      </c>
      <c r="AJ160" s="469" t="str">
        <f>IF($AF160=0,0,IFERROR(($AF160+K160+L160)/(HLOOKUP($D160,RentsUA!$K$12:$Q$35,19,FALSE)),""))</f>
        <v/>
      </c>
      <c r="AK160" s="469" t="str">
        <f t="shared" si="48"/>
        <v/>
      </c>
      <c r="AL160" s="469" t="str">
        <f t="shared" si="49"/>
        <v/>
      </c>
      <c r="AM160" s="1106" t="str">
        <f t="shared" si="50"/>
        <v/>
      </c>
      <c r="AN160" s="1106" t="str">
        <f>IFERROR(AM160*(1+'7a.20YrDetails'!$F$9),"")</f>
        <v/>
      </c>
      <c r="AO160" s="1106" t="str">
        <f>IFERROR(AN160*(1+'7a.20YrDetails'!$F$9),"")</f>
        <v/>
      </c>
      <c r="AP160" s="1106" t="str">
        <f>IFERROR(AO160*(1+'7a.20YrDetails'!$F$9),"")</f>
        <v/>
      </c>
      <c r="AQ160" s="1106" t="str">
        <f>IFERROR(AP160*(1+'7a.20YrDetails'!$F$9),"")</f>
        <v/>
      </c>
      <c r="AR160" s="674"/>
      <c r="AS160" s="672"/>
      <c r="AT160" s="1732" t="str">
        <f>IF($AF160=0,0,IFERROR(($AF160+L160)/(HLOOKUP($D160,RentsUA!$B$61:$H$62,2,FALSE)),""))</f>
        <v/>
      </c>
      <c r="AU160" s="1733" t="str">
        <f>IFERROR(G160/HLOOKUP(H160,RentsUA!$B$40:$I$41,2),"")</f>
        <v/>
      </c>
      <c r="BR160" s="404" t="str">
        <f t="shared" si="51"/>
        <v/>
      </c>
      <c r="BS160" s="5" t="str">
        <f t="array" ref="BS160">IFERROR(INDEX($BR$13:$BR$412, MATCH(0, COUNTIF($BS$12:$BS159, $BR$13:$BR$412), 0)),"")</f>
        <v/>
      </c>
      <c r="BT160" s="404" t="str">
        <f t="shared" si="46"/>
        <v/>
      </c>
      <c r="BU160" s="404" t="str">
        <f t="array" ref="BU160">IFERROR(INDEX($BT$13:$BT$412, MATCH(0, COUNTIF($BU$12:$BU159, $BT$13:$BT$412), 0)),"")</f>
        <v/>
      </c>
    </row>
    <row r="161" spans="1:73" s="404" customFormat="1" ht="13.2">
      <c r="A161" s="406">
        <f t="shared" si="52"/>
        <v>149</v>
      </c>
      <c r="B161" s="472"/>
      <c r="C161" s="470"/>
      <c r="D161" s="407"/>
      <c r="E161" s="407"/>
      <c r="F161" s="408"/>
      <c r="G161" s="409"/>
      <c r="H161" s="407"/>
      <c r="I161" s="1029" t="str">
        <f>IFERROR(G161/HLOOKUP(H161,RentsUA!$B$8:$J$9,2),"")</f>
        <v/>
      </c>
      <c r="J161" s="407"/>
      <c r="K161" s="412"/>
      <c r="L161" s="672">
        <f t="shared" si="41"/>
        <v>0</v>
      </c>
      <c r="M161" s="671"/>
      <c r="N161" s="410">
        <f t="shared" si="42"/>
        <v>0</v>
      </c>
      <c r="O161" s="469" t="str">
        <f>IF($M161=0,"",IFERROR(($L161+$M161)/(HLOOKUP($D161,RentsUA!$K$12:$Q$35,19,FALSE)),""))</f>
        <v/>
      </c>
      <c r="P161" s="469" t="str">
        <f>IF($M161=0,"",IFERROR(($M161+K161+L161)/(HLOOKUP($D161,RentsUA!$K$12:$Q$35,19,FALSE)),""))</f>
        <v/>
      </c>
      <c r="Q161" s="411"/>
      <c r="R161" s="673" t="str">
        <f>IF($Q161=0,"",VLOOKUP($Q161,RentsUA!$A$12:$H$35,MATCH($D161,RentsUA!$A$12:$H$12,0),FALSE))</f>
        <v/>
      </c>
      <c r="S161" s="409"/>
      <c r="T161" s="674"/>
      <c r="U161" s="672"/>
      <c r="V161" s="673" t="str">
        <f t="shared" si="47"/>
        <v/>
      </c>
      <c r="W161" s="470"/>
      <c r="X161" s="411"/>
      <c r="Y161" s="410" t="str">
        <f>IF(X161=0,"",VLOOKUP($X161,RentsUA!$A$12:$H$35,MATCH($D161,RentsUA!$A$12:$H$12,0),FALSE))</f>
        <v/>
      </c>
      <c r="Z161" s="410" t="str">
        <f t="shared" si="43"/>
        <v/>
      </c>
      <c r="AA161" s="1297" t="str">
        <f>IF(H161="","",IF(G161/HLOOKUP($H161,RentsUA!$M$8:$T$9,2,FALSE)&gt;1,"&gt; 80%","&lt;= 80%"))</f>
        <v/>
      </c>
      <c r="AB161" s="1106"/>
      <c r="AC161" s="1106"/>
      <c r="AD161" s="622"/>
      <c r="AE161" s="412"/>
      <c r="AF161" s="807" t="str">
        <f>IF(AD161="","",IF(AD161=Lists!$U$3,M161,IF(AD161=Lists!$U$4,V161,IF(AD161=Lists!$U$5,Y161-L161,AE161))))</f>
        <v/>
      </c>
      <c r="AG161" s="410" t="str">
        <f t="shared" si="44"/>
        <v/>
      </c>
      <c r="AH161" s="469" t="str">
        <f t="shared" si="45"/>
        <v/>
      </c>
      <c r="AI161" s="469" t="str">
        <f>IF($AF161=0,0,IFERROR(($L161+$AF161)/(HLOOKUP($D161,RentsUA!$K$12:$Q$35,19,FALSE)),""))</f>
        <v/>
      </c>
      <c r="AJ161" s="469" t="str">
        <f>IF($AF161=0,0,IFERROR(($AF161+K161+L161)/(HLOOKUP($D161,RentsUA!$K$12:$Q$35,19,FALSE)),""))</f>
        <v/>
      </c>
      <c r="AK161" s="469" t="str">
        <f t="shared" si="48"/>
        <v/>
      </c>
      <c r="AL161" s="469" t="str">
        <f t="shared" si="49"/>
        <v/>
      </c>
      <c r="AM161" s="1106" t="str">
        <f t="shared" si="50"/>
        <v/>
      </c>
      <c r="AN161" s="1106" t="str">
        <f>IFERROR(AM161*(1+'7a.20YrDetails'!$F$9),"")</f>
        <v/>
      </c>
      <c r="AO161" s="1106" t="str">
        <f>IFERROR(AN161*(1+'7a.20YrDetails'!$F$9),"")</f>
        <v/>
      </c>
      <c r="AP161" s="1106" t="str">
        <f>IFERROR(AO161*(1+'7a.20YrDetails'!$F$9),"")</f>
        <v/>
      </c>
      <c r="AQ161" s="1106" t="str">
        <f>IFERROR(AP161*(1+'7a.20YrDetails'!$F$9),"")</f>
        <v/>
      </c>
      <c r="AR161" s="674"/>
      <c r="AS161" s="672"/>
      <c r="AT161" s="1732" t="str">
        <f>IF($AF161=0,0,IFERROR(($AF161+L161)/(HLOOKUP($D161,RentsUA!$B$61:$H$62,2,FALSE)),""))</f>
        <v/>
      </c>
      <c r="AU161" s="1733" t="str">
        <f>IFERROR(G161/HLOOKUP(H161,RentsUA!$B$40:$I$41,2),"")</f>
        <v/>
      </c>
      <c r="BR161" s="404" t="str">
        <f t="shared" si="51"/>
        <v/>
      </c>
      <c r="BS161" s="5" t="str">
        <f t="array" ref="BS161">IFERROR(INDEX($BR$13:$BR$412, MATCH(0, COUNTIF($BS$12:$BS160, $BR$13:$BR$412), 0)),"")</f>
        <v/>
      </c>
      <c r="BT161" s="404" t="str">
        <f t="shared" si="46"/>
        <v/>
      </c>
      <c r="BU161" s="404" t="str">
        <f t="array" ref="BU161">IFERROR(INDEX($BT$13:$BT$412, MATCH(0, COUNTIF($BU$12:$BU160, $BT$13:$BT$412), 0)),"")</f>
        <v/>
      </c>
    </row>
    <row r="162" spans="1:73" s="404" customFormat="1" ht="13.2">
      <c r="A162" s="406">
        <f t="shared" si="52"/>
        <v>150</v>
      </c>
      <c r="B162" s="472"/>
      <c r="C162" s="470"/>
      <c r="D162" s="407"/>
      <c r="E162" s="407"/>
      <c r="F162" s="408"/>
      <c r="G162" s="409"/>
      <c r="H162" s="407"/>
      <c r="I162" s="1029" t="str">
        <f>IFERROR(G162/HLOOKUP(H162,RentsUA!$B$8:$J$9,2),"")</f>
        <v/>
      </c>
      <c r="J162" s="407"/>
      <c r="K162" s="412"/>
      <c r="L162" s="672">
        <f t="shared" si="41"/>
        <v>0</v>
      </c>
      <c r="M162" s="671"/>
      <c r="N162" s="410">
        <f t="shared" si="42"/>
        <v>0</v>
      </c>
      <c r="O162" s="469" t="str">
        <f>IF($M162=0,"",IFERROR(($L162+$M162)/(HLOOKUP($D162,RentsUA!$K$12:$Q$35,19,FALSE)),""))</f>
        <v/>
      </c>
      <c r="P162" s="469" t="str">
        <f>IF($M162=0,"",IFERROR(($M162+K162+L162)/(HLOOKUP($D162,RentsUA!$K$12:$Q$35,19,FALSE)),""))</f>
        <v/>
      </c>
      <c r="Q162" s="411"/>
      <c r="R162" s="673" t="str">
        <f>IF($Q162=0,"",VLOOKUP($Q162,RentsUA!$A$12:$H$35,MATCH($D162,RentsUA!$A$12:$H$12,0),FALSE))</f>
        <v/>
      </c>
      <c r="S162" s="409"/>
      <c r="T162" s="674"/>
      <c r="U162" s="672"/>
      <c r="V162" s="673" t="str">
        <f t="shared" si="47"/>
        <v/>
      </c>
      <c r="W162" s="470"/>
      <c r="X162" s="411"/>
      <c r="Y162" s="410" t="str">
        <f>IF(X162=0,"",VLOOKUP($X162,RentsUA!$A$12:$H$35,MATCH($D162,RentsUA!$A$12:$H$12,0),FALSE))</f>
        <v/>
      </c>
      <c r="Z162" s="410" t="str">
        <f t="shared" si="43"/>
        <v/>
      </c>
      <c r="AA162" s="1297" t="str">
        <f>IF(H162="","",IF(G162/HLOOKUP($H162,RentsUA!$M$8:$T$9,2,FALSE)&gt;1,"&gt; 80%","&lt;= 80%"))</f>
        <v/>
      </c>
      <c r="AB162" s="1106"/>
      <c r="AC162" s="1106"/>
      <c r="AD162" s="622"/>
      <c r="AE162" s="412"/>
      <c r="AF162" s="807" t="str">
        <f>IF(AD162="","",IF(AD162=Lists!$U$3,M162,IF(AD162=Lists!$U$4,V162,IF(AD162=Lists!$U$5,Y162-L162,AE162))))</f>
        <v/>
      </c>
      <c r="AG162" s="410" t="str">
        <f t="shared" si="44"/>
        <v/>
      </c>
      <c r="AH162" s="469" t="str">
        <f t="shared" si="45"/>
        <v/>
      </c>
      <c r="AI162" s="469" t="str">
        <f>IF($AF162=0,0,IFERROR(($L162+$AF162)/(HLOOKUP($D162,RentsUA!$K$12:$Q$35,19,FALSE)),""))</f>
        <v/>
      </c>
      <c r="AJ162" s="469" t="str">
        <f>IF($AF162=0,0,IFERROR(($AF162+K162+L162)/(HLOOKUP($D162,RentsUA!$K$12:$Q$35,19,FALSE)),""))</f>
        <v/>
      </c>
      <c r="AK162" s="469" t="str">
        <f t="shared" si="48"/>
        <v/>
      </c>
      <c r="AL162" s="469" t="str">
        <f t="shared" si="49"/>
        <v/>
      </c>
      <c r="AM162" s="1106" t="str">
        <f t="shared" si="50"/>
        <v/>
      </c>
      <c r="AN162" s="1106" t="str">
        <f>IFERROR(AM162*(1+'7a.20YrDetails'!$F$9),"")</f>
        <v/>
      </c>
      <c r="AO162" s="1106" t="str">
        <f>IFERROR(AN162*(1+'7a.20YrDetails'!$F$9),"")</f>
        <v/>
      </c>
      <c r="AP162" s="1106" t="str">
        <f>IFERROR(AO162*(1+'7a.20YrDetails'!$F$9),"")</f>
        <v/>
      </c>
      <c r="AQ162" s="1106" t="str">
        <f>IFERROR(AP162*(1+'7a.20YrDetails'!$F$9),"")</f>
        <v/>
      </c>
      <c r="AR162" s="674"/>
      <c r="AS162" s="672"/>
      <c r="AT162" s="1732" t="str">
        <f>IF($AF162=0,0,IFERROR(($AF162+L162)/(HLOOKUP($D162,RentsUA!$B$61:$H$62,2,FALSE)),""))</f>
        <v/>
      </c>
      <c r="AU162" s="1733" t="str">
        <f>IFERROR(G162/HLOOKUP(H162,RentsUA!$B$40:$I$41,2),"")</f>
        <v/>
      </c>
      <c r="BR162" s="404" t="str">
        <f t="shared" si="51"/>
        <v/>
      </c>
      <c r="BS162" s="5" t="str">
        <f t="array" ref="BS162">IFERROR(INDEX($BR$13:$BR$412, MATCH(0, COUNTIF($BS$12:$BS161, $BR$13:$BR$412), 0)),"")</f>
        <v/>
      </c>
      <c r="BT162" s="404" t="str">
        <f t="shared" si="46"/>
        <v/>
      </c>
      <c r="BU162" s="404" t="str">
        <f t="array" ref="BU162">IFERROR(INDEX($BT$13:$BT$412, MATCH(0, COUNTIF($BU$12:$BU161, $BT$13:$BT$412), 0)),"")</f>
        <v/>
      </c>
    </row>
    <row r="163" spans="1:73" s="404" customFormat="1" ht="13.2">
      <c r="A163" s="406">
        <f t="shared" si="52"/>
        <v>151</v>
      </c>
      <c r="B163" s="472"/>
      <c r="C163" s="470"/>
      <c r="D163" s="407"/>
      <c r="E163" s="407"/>
      <c r="F163" s="408"/>
      <c r="G163" s="409"/>
      <c r="H163" s="407"/>
      <c r="I163" s="1029" t="str">
        <f>IFERROR(G163/HLOOKUP(H163,RentsUA!$B$8:$J$9,2),"")</f>
        <v/>
      </c>
      <c r="J163" s="407"/>
      <c r="K163" s="412"/>
      <c r="L163" s="672">
        <f t="shared" si="41"/>
        <v>0</v>
      </c>
      <c r="M163" s="671"/>
      <c r="N163" s="410">
        <f t="shared" si="42"/>
        <v>0</v>
      </c>
      <c r="O163" s="469" t="str">
        <f>IF($M163=0,"",IFERROR(($L163+$M163)/(HLOOKUP($D163,RentsUA!$K$12:$Q$35,19,FALSE)),""))</f>
        <v/>
      </c>
      <c r="P163" s="469" t="str">
        <f>IF($M163=0,"",IFERROR(($M163+K163+L163)/(HLOOKUP($D163,RentsUA!$K$12:$Q$35,19,FALSE)),""))</f>
        <v/>
      </c>
      <c r="Q163" s="411"/>
      <c r="R163" s="673" t="str">
        <f>IF($Q163=0,"",VLOOKUP($Q163,RentsUA!$A$12:$H$35,MATCH($D163,RentsUA!$A$12:$H$12,0),FALSE))</f>
        <v/>
      </c>
      <c r="S163" s="409"/>
      <c r="T163" s="674"/>
      <c r="U163" s="672"/>
      <c r="V163" s="673" t="str">
        <f t="shared" si="47"/>
        <v/>
      </c>
      <c r="W163" s="470"/>
      <c r="X163" s="411"/>
      <c r="Y163" s="410" t="str">
        <f>IF(X163=0,"",VLOOKUP($X163,RentsUA!$A$12:$H$35,MATCH($D163,RentsUA!$A$12:$H$12,0),FALSE))</f>
        <v/>
      </c>
      <c r="Z163" s="410" t="str">
        <f t="shared" si="43"/>
        <v/>
      </c>
      <c r="AA163" s="1297" t="str">
        <f>IF(H163="","",IF(G163/HLOOKUP($H163,RentsUA!$M$8:$T$9,2,FALSE)&gt;1,"&gt; 80%","&lt;= 80%"))</f>
        <v/>
      </c>
      <c r="AB163" s="1106"/>
      <c r="AC163" s="1106"/>
      <c r="AD163" s="622"/>
      <c r="AE163" s="412"/>
      <c r="AF163" s="807" t="str">
        <f>IF(AD163="","",IF(AD163=Lists!$U$3,M163,IF(AD163=Lists!$U$4,V163,IF(AD163=Lists!$U$5,Y163-L163,AE163))))</f>
        <v/>
      </c>
      <c r="AG163" s="410" t="str">
        <f t="shared" si="44"/>
        <v/>
      </c>
      <c r="AH163" s="469" t="str">
        <f t="shared" si="45"/>
        <v/>
      </c>
      <c r="AI163" s="469" t="str">
        <f>IF($AF163=0,0,IFERROR(($L163+$AF163)/(HLOOKUP($D163,RentsUA!$K$12:$Q$35,19,FALSE)),""))</f>
        <v/>
      </c>
      <c r="AJ163" s="469" t="str">
        <f>IF($AF163=0,0,IFERROR(($AF163+K163+L163)/(HLOOKUP($D163,RentsUA!$K$12:$Q$35,19,FALSE)),""))</f>
        <v/>
      </c>
      <c r="AK163" s="469" t="str">
        <f t="shared" si="48"/>
        <v/>
      </c>
      <c r="AL163" s="469" t="str">
        <f t="shared" si="49"/>
        <v/>
      </c>
      <c r="AM163" s="1106" t="str">
        <f t="shared" si="50"/>
        <v/>
      </c>
      <c r="AN163" s="1106" t="str">
        <f>IFERROR(AM163*(1+'7a.20YrDetails'!$F$9),"")</f>
        <v/>
      </c>
      <c r="AO163" s="1106" t="str">
        <f>IFERROR(AN163*(1+'7a.20YrDetails'!$F$9),"")</f>
        <v/>
      </c>
      <c r="AP163" s="1106" t="str">
        <f>IFERROR(AO163*(1+'7a.20YrDetails'!$F$9),"")</f>
        <v/>
      </c>
      <c r="AQ163" s="1106" t="str">
        <f>IFERROR(AP163*(1+'7a.20YrDetails'!$F$9),"")</f>
        <v/>
      </c>
      <c r="AR163" s="674"/>
      <c r="AS163" s="672"/>
      <c r="AT163" s="1732" t="str">
        <f>IF($AF163=0,0,IFERROR(($AF163+L163)/(HLOOKUP($D163,RentsUA!$B$61:$H$62,2,FALSE)),""))</f>
        <v/>
      </c>
      <c r="AU163" s="1733" t="str">
        <f>IFERROR(G163/HLOOKUP(H163,RentsUA!$B$40:$I$41,2),"")</f>
        <v/>
      </c>
      <c r="BR163" s="404" t="str">
        <f t="shared" si="51"/>
        <v/>
      </c>
      <c r="BS163" s="5" t="str">
        <f t="array" ref="BS163">IFERROR(INDEX($BR$13:$BR$412, MATCH(0, COUNTIF($BS$12:$BS162, $BR$13:$BR$412), 0)),"")</f>
        <v/>
      </c>
      <c r="BT163" s="404" t="str">
        <f t="shared" si="46"/>
        <v/>
      </c>
      <c r="BU163" s="404" t="str">
        <f t="array" ref="BU163">IFERROR(INDEX($BT$13:$BT$412, MATCH(0, COUNTIF($BU$12:$BU162, $BT$13:$BT$412), 0)),"")</f>
        <v/>
      </c>
    </row>
    <row r="164" spans="1:73" s="404" customFormat="1" ht="13.2">
      <c r="A164" s="406">
        <f t="shared" si="52"/>
        <v>152</v>
      </c>
      <c r="B164" s="472"/>
      <c r="C164" s="470"/>
      <c r="D164" s="407"/>
      <c r="E164" s="407"/>
      <c r="F164" s="408"/>
      <c r="G164" s="409"/>
      <c r="H164" s="407"/>
      <c r="I164" s="1029" t="str">
        <f>IFERROR(G164/HLOOKUP(H164,RentsUA!$B$8:$J$9,2),"")</f>
        <v/>
      </c>
      <c r="J164" s="407"/>
      <c r="K164" s="412"/>
      <c r="L164" s="672">
        <f t="shared" si="41"/>
        <v>0</v>
      </c>
      <c r="M164" s="671"/>
      <c r="N164" s="410">
        <f t="shared" si="42"/>
        <v>0</v>
      </c>
      <c r="O164" s="469" t="str">
        <f>IF($M164=0,"",IFERROR(($L164+$M164)/(HLOOKUP($D164,RentsUA!$K$12:$Q$35,19,FALSE)),""))</f>
        <v/>
      </c>
      <c r="P164" s="469" t="str">
        <f>IF($M164=0,"",IFERROR(($M164+K164+L164)/(HLOOKUP($D164,RentsUA!$K$12:$Q$35,19,FALSE)),""))</f>
        <v/>
      </c>
      <c r="Q164" s="411"/>
      <c r="R164" s="673" t="str">
        <f>IF($Q164=0,"",VLOOKUP($Q164,RentsUA!$A$12:$H$35,MATCH($D164,RentsUA!$A$12:$H$12,0),FALSE))</f>
        <v/>
      </c>
      <c r="S164" s="409"/>
      <c r="T164" s="674"/>
      <c r="U164" s="672"/>
      <c r="V164" s="673" t="str">
        <f t="shared" si="47"/>
        <v/>
      </c>
      <c r="W164" s="470"/>
      <c r="X164" s="411"/>
      <c r="Y164" s="410" t="str">
        <f>IF(X164=0,"",VLOOKUP($X164,RentsUA!$A$12:$H$35,MATCH($D164,RentsUA!$A$12:$H$12,0),FALSE))</f>
        <v/>
      </c>
      <c r="Z164" s="410" t="str">
        <f t="shared" si="43"/>
        <v/>
      </c>
      <c r="AA164" s="1297" t="str">
        <f>IF(H164="","",IF(G164/HLOOKUP($H164,RentsUA!$M$8:$T$9,2,FALSE)&gt;1,"&gt; 80%","&lt;= 80%"))</f>
        <v/>
      </c>
      <c r="AB164" s="1106"/>
      <c r="AC164" s="1106"/>
      <c r="AD164" s="622"/>
      <c r="AE164" s="412"/>
      <c r="AF164" s="807" t="str">
        <f>IF(AD164="","",IF(AD164=Lists!$U$3,M164,IF(AD164=Lists!$U$4,V164,IF(AD164=Lists!$U$5,Y164-L164,AE164))))</f>
        <v/>
      </c>
      <c r="AG164" s="410" t="str">
        <f t="shared" si="44"/>
        <v/>
      </c>
      <c r="AH164" s="469" t="str">
        <f t="shared" si="45"/>
        <v/>
      </c>
      <c r="AI164" s="469" t="str">
        <f>IF($AF164=0,0,IFERROR(($L164+$AF164)/(HLOOKUP($D164,RentsUA!$K$12:$Q$35,19,FALSE)),""))</f>
        <v/>
      </c>
      <c r="AJ164" s="469" t="str">
        <f>IF($AF164=0,0,IFERROR(($AF164+K164+L164)/(HLOOKUP($D164,RentsUA!$K$12:$Q$35,19,FALSE)),""))</f>
        <v/>
      </c>
      <c r="AK164" s="469" t="str">
        <f t="shared" si="48"/>
        <v/>
      </c>
      <c r="AL164" s="469" t="str">
        <f t="shared" si="49"/>
        <v/>
      </c>
      <c r="AM164" s="1106" t="str">
        <f t="shared" si="50"/>
        <v/>
      </c>
      <c r="AN164" s="1106" t="str">
        <f>IFERROR(AM164*(1+'7a.20YrDetails'!$F$9),"")</f>
        <v/>
      </c>
      <c r="AO164" s="1106" t="str">
        <f>IFERROR(AN164*(1+'7a.20YrDetails'!$F$9),"")</f>
        <v/>
      </c>
      <c r="AP164" s="1106" t="str">
        <f>IFERROR(AO164*(1+'7a.20YrDetails'!$F$9),"")</f>
        <v/>
      </c>
      <c r="AQ164" s="1106" t="str">
        <f>IFERROR(AP164*(1+'7a.20YrDetails'!$F$9),"")</f>
        <v/>
      </c>
      <c r="AR164" s="674"/>
      <c r="AS164" s="672"/>
      <c r="AT164" s="1732" t="str">
        <f>IF($AF164=0,0,IFERROR(($AF164+L164)/(HLOOKUP($D164,RentsUA!$B$61:$H$62,2,FALSE)),""))</f>
        <v/>
      </c>
      <c r="AU164" s="1733" t="str">
        <f>IFERROR(G164/HLOOKUP(H164,RentsUA!$B$40:$I$41,2),"")</f>
        <v/>
      </c>
      <c r="BR164" s="404" t="str">
        <f t="shared" si="51"/>
        <v/>
      </c>
      <c r="BS164" s="5" t="str">
        <f t="array" ref="BS164">IFERROR(INDEX($BR$13:$BR$412, MATCH(0, COUNTIF($BS$12:$BS163, $BR$13:$BR$412), 0)),"")</f>
        <v/>
      </c>
      <c r="BT164" s="404" t="str">
        <f t="shared" si="46"/>
        <v/>
      </c>
      <c r="BU164" s="404" t="str">
        <f t="array" ref="BU164">IFERROR(INDEX($BT$13:$BT$412, MATCH(0, COUNTIF($BU$12:$BU163, $BT$13:$BT$412), 0)),"")</f>
        <v/>
      </c>
    </row>
    <row r="165" spans="1:73" s="404" customFormat="1" ht="13.2">
      <c r="A165" s="406">
        <f t="shared" si="52"/>
        <v>153</v>
      </c>
      <c r="B165" s="472"/>
      <c r="C165" s="470"/>
      <c r="D165" s="407"/>
      <c r="E165" s="407"/>
      <c r="F165" s="408"/>
      <c r="G165" s="409"/>
      <c r="H165" s="407"/>
      <c r="I165" s="1029" t="str">
        <f>IFERROR(G165/HLOOKUP(H165,RentsUA!$B$8:$J$9,2),"")</f>
        <v/>
      </c>
      <c r="J165" s="407"/>
      <c r="K165" s="412"/>
      <c r="L165" s="672">
        <f t="shared" si="41"/>
        <v>0</v>
      </c>
      <c r="M165" s="671"/>
      <c r="N165" s="410">
        <f t="shared" si="42"/>
        <v>0</v>
      </c>
      <c r="O165" s="469" t="str">
        <f>IF($M165=0,"",IFERROR(($L165+$M165)/(HLOOKUP($D165,RentsUA!$K$12:$Q$35,19,FALSE)),""))</f>
        <v/>
      </c>
      <c r="P165" s="469" t="str">
        <f>IF($M165=0,"",IFERROR(($M165+K165+L165)/(HLOOKUP($D165,RentsUA!$K$12:$Q$35,19,FALSE)),""))</f>
        <v/>
      </c>
      <c r="Q165" s="411"/>
      <c r="R165" s="673" t="str">
        <f>IF($Q165=0,"",VLOOKUP($Q165,RentsUA!$A$12:$H$35,MATCH($D165,RentsUA!$A$12:$H$12,0),FALSE))</f>
        <v/>
      </c>
      <c r="S165" s="409"/>
      <c r="T165" s="674"/>
      <c r="U165" s="672"/>
      <c r="V165" s="673" t="str">
        <f t="shared" si="47"/>
        <v/>
      </c>
      <c r="W165" s="470"/>
      <c r="X165" s="411"/>
      <c r="Y165" s="410" t="str">
        <f>IF(X165=0,"",VLOOKUP($X165,RentsUA!$A$12:$H$35,MATCH($D165,RentsUA!$A$12:$H$12,0),FALSE))</f>
        <v/>
      </c>
      <c r="Z165" s="410" t="str">
        <f t="shared" si="43"/>
        <v/>
      </c>
      <c r="AA165" s="1297" t="str">
        <f>IF(H165="","",IF(G165/HLOOKUP($H165,RentsUA!$M$8:$T$9,2,FALSE)&gt;1,"&gt; 80%","&lt;= 80%"))</f>
        <v/>
      </c>
      <c r="AB165" s="1106"/>
      <c r="AC165" s="1106"/>
      <c r="AD165" s="622"/>
      <c r="AE165" s="412"/>
      <c r="AF165" s="807" t="str">
        <f>IF(AD165="","",IF(AD165=Lists!$U$3,M165,IF(AD165=Lists!$U$4,V165,IF(AD165=Lists!$U$5,Y165-L165,AE165))))</f>
        <v/>
      </c>
      <c r="AG165" s="410" t="str">
        <f t="shared" si="44"/>
        <v/>
      </c>
      <c r="AH165" s="469" t="str">
        <f t="shared" si="45"/>
        <v/>
      </c>
      <c r="AI165" s="469" t="str">
        <f>IF($AF165=0,0,IFERROR(($L165+$AF165)/(HLOOKUP($D165,RentsUA!$K$12:$Q$35,19,FALSE)),""))</f>
        <v/>
      </c>
      <c r="AJ165" s="469" t="str">
        <f>IF($AF165=0,0,IFERROR(($AF165+K165+L165)/(HLOOKUP($D165,RentsUA!$K$12:$Q$35,19,FALSE)),""))</f>
        <v/>
      </c>
      <c r="AK165" s="469" t="str">
        <f t="shared" si="48"/>
        <v/>
      </c>
      <c r="AL165" s="469" t="str">
        <f t="shared" si="49"/>
        <v/>
      </c>
      <c r="AM165" s="1106" t="str">
        <f t="shared" si="50"/>
        <v/>
      </c>
      <c r="AN165" s="1106" t="str">
        <f>IFERROR(AM165*(1+'7a.20YrDetails'!$F$9),"")</f>
        <v/>
      </c>
      <c r="AO165" s="1106" t="str">
        <f>IFERROR(AN165*(1+'7a.20YrDetails'!$F$9),"")</f>
        <v/>
      </c>
      <c r="AP165" s="1106" t="str">
        <f>IFERROR(AO165*(1+'7a.20YrDetails'!$F$9),"")</f>
        <v/>
      </c>
      <c r="AQ165" s="1106" t="str">
        <f>IFERROR(AP165*(1+'7a.20YrDetails'!$F$9),"")</f>
        <v/>
      </c>
      <c r="AR165" s="674"/>
      <c r="AS165" s="672"/>
      <c r="AT165" s="1732" t="str">
        <f>IF($AF165=0,0,IFERROR(($AF165+L165)/(HLOOKUP($D165,RentsUA!$B$61:$H$62,2,FALSE)),""))</f>
        <v/>
      </c>
      <c r="AU165" s="1733" t="str">
        <f>IFERROR(G165/HLOOKUP(H165,RentsUA!$B$40:$I$41,2),"")</f>
        <v/>
      </c>
      <c r="BR165" s="404" t="str">
        <f t="shared" si="51"/>
        <v/>
      </c>
      <c r="BS165" s="5" t="str">
        <f t="array" ref="BS165">IFERROR(INDEX($BR$13:$BR$412, MATCH(0, COUNTIF($BS$12:$BS164, $BR$13:$BR$412), 0)),"")</f>
        <v/>
      </c>
      <c r="BT165" s="404" t="str">
        <f t="shared" si="46"/>
        <v/>
      </c>
      <c r="BU165" s="404" t="str">
        <f t="array" ref="BU165">IFERROR(INDEX($BT$13:$BT$412, MATCH(0, COUNTIF($BU$12:$BU164, $BT$13:$BT$412), 0)),"")</f>
        <v/>
      </c>
    </row>
    <row r="166" spans="1:73" s="404" customFormat="1" ht="13.2">
      <c r="A166" s="406">
        <f t="shared" si="52"/>
        <v>154</v>
      </c>
      <c r="B166" s="472"/>
      <c r="C166" s="470"/>
      <c r="D166" s="407"/>
      <c r="E166" s="407"/>
      <c r="F166" s="408"/>
      <c r="G166" s="409"/>
      <c r="H166" s="407"/>
      <c r="I166" s="1029" t="str">
        <f>IFERROR(G166/HLOOKUP(H166,RentsUA!$B$8:$J$9,2),"")</f>
        <v/>
      </c>
      <c r="J166" s="407"/>
      <c r="K166" s="412"/>
      <c r="L166" s="672">
        <f t="shared" si="41"/>
        <v>0</v>
      </c>
      <c r="M166" s="671"/>
      <c r="N166" s="410">
        <f t="shared" si="42"/>
        <v>0</v>
      </c>
      <c r="O166" s="469" t="str">
        <f>IF($M166=0,"",IFERROR(($L166+$M166)/(HLOOKUP($D166,RentsUA!$K$12:$Q$35,19,FALSE)),""))</f>
        <v/>
      </c>
      <c r="P166" s="469" t="str">
        <f>IF($M166=0,"",IFERROR(($M166+K166+L166)/(HLOOKUP($D166,RentsUA!$K$12:$Q$35,19,FALSE)),""))</f>
        <v/>
      </c>
      <c r="Q166" s="411"/>
      <c r="R166" s="673" t="str">
        <f>IF($Q166=0,"",VLOOKUP($Q166,RentsUA!$A$12:$H$35,MATCH($D166,RentsUA!$A$12:$H$12,0),FALSE))</f>
        <v/>
      </c>
      <c r="S166" s="409"/>
      <c r="T166" s="674"/>
      <c r="U166" s="672"/>
      <c r="V166" s="673" t="str">
        <f t="shared" si="47"/>
        <v/>
      </c>
      <c r="W166" s="470"/>
      <c r="X166" s="411"/>
      <c r="Y166" s="410" t="str">
        <f>IF(X166=0,"",VLOOKUP($X166,RentsUA!$A$12:$H$35,MATCH($D166,RentsUA!$A$12:$H$12,0),FALSE))</f>
        <v/>
      </c>
      <c r="Z166" s="410" t="str">
        <f t="shared" si="43"/>
        <v/>
      </c>
      <c r="AA166" s="1297" t="str">
        <f>IF(H166="","",IF(G166/HLOOKUP($H166,RentsUA!$M$8:$T$9,2,FALSE)&gt;1,"&gt; 80%","&lt;= 80%"))</f>
        <v/>
      </c>
      <c r="AB166" s="1106"/>
      <c r="AC166" s="1106"/>
      <c r="AD166" s="622"/>
      <c r="AE166" s="412"/>
      <c r="AF166" s="807" t="str">
        <f>IF(AD166="","",IF(AD166=Lists!$U$3,M166,IF(AD166=Lists!$U$4,V166,IF(AD166=Lists!$U$5,Y166-L166,AE166))))</f>
        <v/>
      </c>
      <c r="AG166" s="410" t="str">
        <f t="shared" si="44"/>
        <v/>
      </c>
      <c r="AH166" s="469" t="str">
        <f t="shared" si="45"/>
        <v/>
      </c>
      <c r="AI166" s="469" t="str">
        <f>IF($AF166=0,0,IFERROR(($L166+$AF166)/(HLOOKUP($D166,RentsUA!$K$12:$Q$35,19,FALSE)),""))</f>
        <v/>
      </c>
      <c r="AJ166" s="469" t="str">
        <f>IF($AF166=0,0,IFERROR(($AF166+K166+L166)/(HLOOKUP($D166,RentsUA!$K$12:$Q$35,19,FALSE)),""))</f>
        <v/>
      </c>
      <c r="AK166" s="469" t="str">
        <f t="shared" si="48"/>
        <v/>
      </c>
      <c r="AL166" s="469" t="str">
        <f t="shared" si="49"/>
        <v/>
      </c>
      <c r="AM166" s="1106" t="str">
        <f t="shared" si="50"/>
        <v/>
      </c>
      <c r="AN166" s="1106" t="str">
        <f>IFERROR(AM166*(1+'7a.20YrDetails'!$F$9),"")</f>
        <v/>
      </c>
      <c r="AO166" s="1106" t="str">
        <f>IFERROR(AN166*(1+'7a.20YrDetails'!$F$9),"")</f>
        <v/>
      </c>
      <c r="AP166" s="1106" t="str">
        <f>IFERROR(AO166*(1+'7a.20YrDetails'!$F$9),"")</f>
        <v/>
      </c>
      <c r="AQ166" s="1106" t="str">
        <f>IFERROR(AP166*(1+'7a.20YrDetails'!$F$9),"")</f>
        <v/>
      </c>
      <c r="AR166" s="674"/>
      <c r="AS166" s="672"/>
      <c r="AT166" s="1732" t="str">
        <f>IF($AF166=0,0,IFERROR(($AF166+L166)/(HLOOKUP($D166,RentsUA!$B$61:$H$62,2,FALSE)),""))</f>
        <v/>
      </c>
      <c r="AU166" s="1733" t="str">
        <f>IFERROR(G166/HLOOKUP(H166,RentsUA!$B$40:$I$41,2),"")</f>
        <v/>
      </c>
      <c r="BR166" s="404" t="str">
        <f t="shared" si="51"/>
        <v/>
      </c>
      <c r="BS166" s="5" t="str">
        <f t="array" ref="BS166">IFERROR(INDEX($BR$13:$BR$412, MATCH(0, COUNTIF($BS$12:$BS165, $BR$13:$BR$412), 0)),"")</f>
        <v/>
      </c>
      <c r="BT166" s="404" t="str">
        <f t="shared" si="46"/>
        <v/>
      </c>
      <c r="BU166" s="404" t="str">
        <f t="array" ref="BU166">IFERROR(INDEX($BT$13:$BT$412, MATCH(0, COUNTIF($BU$12:$BU165, $BT$13:$BT$412), 0)),"")</f>
        <v/>
      </c>
    </row>
    <row r="167" spans="1:73" s="404" customFormat="1" ht="13.2">
      <c r="A167" s="406">
        <f t="shared" si="52"/>
        <v>155</v>
      </c>
      <c r="B167" s="472"/>
      <c r="C167" s="470"/>
      <c r="D167" s="407"/>
      <c r="E167" s="407"/>
      <c r="F167" s="408"/>
      <c r="G167" s="409"/>
      <c r="H167" s="407"/>
      <c r="I167" s="1029" t="str">
        <f>IFERROR(G167/HLOOKUP(H167,RentsUA!$B$8:$J$9,2),"")</f>
        <v/>
      </c>
      <c r="J167" s="407"/>
      <c r="K167" s="412"/>
      <c r="L167" s="672">
        <f t="shared" si="41"/>
        <v>0</v>
      </c>
      <c r="M167" s="671"/>
      <c r="N167" s="410">
        <f t="shared" si="42"/>
        <v>0</v>
      </c>
      <c r="O167" s="469" t="str">
        <f>IF($M167=0,"",IFERROR(($L167+$M167)/(HLOOKUP($D167,RentsUA!$K$12:$Q$35,19,FALSE)),""))</f>
        <v/>
      </c>
      <c r="P167" s="469" t="str">
        <f>IF($M167=0,"",IFERROR(($M167+K167+L167)/(HLOOKUP($D167,RentsUA!$K$12:$Q$35,19,FALSE)),""))</f>
        <v/>
      </c>
      <c r="Q167" s="411"/>
      <c r="R167" s="673" t="str">
        <f>IF($Q167=0,"",VLOOKUP($Q167,RentsUA!$A$12:$H$35,MATCH($D167,RentsUA!$A$12:$H$12,0),FALSE))</f>
        <v/>
      </c>
      <c r="S167" s="409"/>
      <c r="T167" s="674"/>
      <c r="U167" s="672"/>
      <c r="V167" s="673" t="str">
        <f t="shared" si="47"/>
        <v/>
      </c>
      <c r="W167" s="470"/>
      <c r="X167" s="411"/>
      <c r="Y167" s="410" t="str">
        <f>IF(X167=0,"",VLOOKUP($X167,RentsUA!$A$12:$H$35,MATCH($D167,RentsUA!$A$12:$H$12,0),FALSE))</f>
        <v/>
      </c>
      <c r="Z167" s="410" t="str">
        <f t="shared" si="43"/>
        <v/>
      </c>
      <c r="AA167" s="1297" t="str">
        <f>IF(H167="","",IF(G167/HLOOKUP($H167,RentsUA!$M$8:$T$9,2,FALSE)&gt;1,"&gt; 80%","&lt;= 80%"))</f>
        <v/>
      </c>
      <c r="AB167" s="1106"/>
      <c r="AC167" s="1106"/>
      <c r="AD167" s="622"/>
      <c r="AE167" s="412"/>
      <c r="AF167" s="807" t="str">
        <f>IF(AD167="","",IF(AD167=Lists!$U$3,M167,IF(AD167=Lists!$U$4,V167,IF(AD167=Lists!$U$5,Y167-L167,AE167))))</f>
        <v/>
      </c>
      <c r="AG167" s="410" t="str">
        <f t="shared" si="44"/>
        <v/>
      </c>
      <c r="AH167" s="469" t="str">
        <f t="shared" si="45"/>
        <v/>
      </c>
      <c r="AI167" s="469" t="str">
        <f>IF($AF167=0,0,IFERROR(($L167+$AF167)/(HLOOKUP($D167,RentsUA!$K$12:$Q$35,19,FALSE)),""))</f>
        <v/>
      </c>
      <c r="AJ167" s="469" t="str">
        <f>IF($AF167=0,0,IFERROR(($AF167+K167+L167)/(HLOOKUP($D167,RentsUA!$K$12:$Q$35,19,FALSE)),""))</f>
        <v/>
      </c>
      <c r="AK167" s="469" t="str">
        <f t="shared" si="48"/>
        <v/>
      </c>
      <c r="AL167" s="469" t="str">
        <f t="shared" si="49"/>
        <v/>
      </c>
      <c r="AM167" s="1106" t="str">
        <f t="shared" si="50"/>
        <v/>
      </c>
      <c r="AN167" s="1106" t="str">
        <f>IFERROR(AM167*(1+'7a.20YrDetails'!$F$9),"")</f>
        <v/>
      </c>
      <c r="AO167" s="1106" t="str">
        <f>IFERROR(AN167*(1+'7a.20YrDetails'!$F$9),"")</f>
        <v/>
      </c>
      <c r="AP167" s="1106" t="str">
        <f>IFERROR(AO167*(1+'7a.20YrDetails'!$F$9),"")</f>
        <v/>
      </c>
      <c r="AQ167" s="1106" t="str">
        <f>IFERROR(AP167*(1+'7a.20YrDetails'!$F$9),"")</f>
        <v/>
      </c>
      <c r="AR167" s="674"/>
      <c r="AS167" s="672"/>
      <c r="AT167" s="1732" t="str">
        <f>IF($AF167=0,0,IFERROR(($AF167+L167)/(HLOOKUP($D167,RentsUA!$B$61:$H$62,2,FALSE)),""))</f>
        <v/>
      </c>
      <c r="AU167" s="1733" t="str">
        <f>IFERROR(G167/HLOOKUP(H167,RentsUA!$B$40:$I$41,2),"")</f>
        <v/>
      </c>
      <c r="BR167" s="404" t="str">
        <f t="shared" si="51"/>
        <v/>
      </c>
      <c r="BS167" s="5" t="str">
        <f t="array" ref="BS167">IFERROR(INDEX($BR$13:$BR$412, MATCH(0, COUNTIF($BS$12:$BS166, $BR$13:$BR$412), 0)),"")</f>
        <v/>
      </c>
      <c r="BT167" s="404" t="str">
        <f t="shared" si="46"/>
        <v/>
      </c>
      <c r="BU167" s="404" t="str">
        <f t="array" ref="BU167">IFERROR(INDEX($BT$13:$BT$412, MATCH(0, COUNTIF($BU$12:$BU166, $BT$13:$BT$412), 0)),"")</f>
        <v/>
      </c>
    </row>
    <row r="168" spans="1:73" s="404" customFormat="1" ht="13.2">
      <c r="A168" s="406">
        <f t="shared" si="52"/>
        <v>156</v>
      </c>
      <c r="B168" s="472"/>
      <c r="C168" s="470"/>
      <c r="D168" s="407"/>
      <c r="E168" s="407"/>
      <c r="F168" s="408"/>
      <c r="G168" s="409"/>
      <c r="H168" s="407"/>
      <c r="I168" s="1029" t="str">
        <f>IFERROR(G168/HLOOKUP(H168,RentsUA!$B$8:$J$9,2),"")</f>
        <v/>
      </c>
      <c r="J168" s="407"/>
      <c r="K168" s="412"/>
      <c r="L168" s="672">
        <f t="shared" si="41"/>
        <v>0</v>
      </c>
      <c r="M168" s="671"/>
      <c r="N168" s="410">
        <f t="shared" si="42"/>
        <v>0</v>
      </c>
      <c r="O168" s="469" t="str">
        <f>IF($M168=0,"",IFERROR(($L168+$M168)/(HLOOKUP($D168,RentsUA!$K$12:$Q$35,19,FALSE)),""))</f>
        <v/>
      </c>
      <c r="P168" s="469" t="str">
        <f>IF($M168=0,"",IFERROR(($M168+K168+L168)/(HLOOKUP($D168,RentsUA!$K$12:$Q$35,19,FALSE)),""))</f>
        <v/>
      </c>
      <c r="Q168" s="411"/>
      <c r="R168" s="673" t="str">
        <f>IF($Q168=0,"",VLOOKUP($Q168,RentsUA!$A$12:$H$35,MATCH($D168,RentsUA!$A$12:$H$12,0),FALSE))</f>
        <v/>
      </c>
      <c r="S168" s="409"/>
      <c r="T168" s="674"/>
      <c r="U168" s="672"/>
      <c r="V168" s="673" t="str">
        <f t="shared" si="47"/>
        <v/>
      </c>
      <c r="W168" s="470"/>
      <c r="X168" s="411"/>
      <c r="Y168" s="410" t="str">
        <f>IF(X168=0,"",VLOOKUP($X168,RentsUA!$A$12:$H$35,MATCH($D168,RentsUA!$A$12:$H$12,0),FALSE))</f>
        <v/>
      </c>
      <c r="Z168" s="410" t="str">
        <f t="shared" si="43"/>
        <v/>
      </c>
      <c r="AA168" s="1297" t="str">
        <f>IF(H168="","",IF(G168/HLOOKUP($H168,RentsUA!$M$8:$T$9,2,FALSE)&gt;1,"&gt; 80%","&lt;= 80%"))</f>
        <v/>
      </c>
      <c r="AB168" s="1106"/>
      <c r="AC168" s="1106"/>
      <c r="AD168" s="622"/>
      <c r="AE168" s="412"/>
      <c r="AF168" s="807" t="str">
        <f>IF(AD168="","",IF(AD168=Lists!$U$3,M168,IF(AD168=Lists!$U$4,V168,IF(AD168=Lists!$U$5,Y168-L168,AE168))))</f>
        <v/>
      </c>
      <c r="AG168" s="410" t="str">
        <f t="shared" si="44"/>
        <v/>
      </c>
      <c r="AH168" s="469" t="str">
        <f t="shared" si="45"/>
        <v/>
      </c>
      <c r="AI168" s="469" t="str">
        <f>IF($AF168=0,0,IFERROR(($L168+$AF168)/(HLOOKUP($D168,RentsUA!$K$12:$Q$35,19,FALSE)),""))</f>
        <v/>
      </c>
      <c r="AJ168" s="469" t="str">
        <f>IF($AF168=0,0,IFERROR(($AF168+K168+L168)/(HLOOKUP($D168,RentsUA!$K$12:$Q$35,19,FALSE)),""))</f>
        <v/>
      </c>
      <c r="AK168" s="469" t="str">
        <f t="shared" si="48"/>
        <v/>
      </c>
      <c r="AL168" s="469" t="str">
        <f t="shared" si="49"/>
        <v/>
      </c>
      <c r="AM168" s="1106" t="str">
        <f t="shared" si="50"/>
        <v/>
      </c>
      <c r="AN168" s="1106" t="str">
        <f>IFERROR(AM168*(1+'7a.20YrDetails'!$F$9),"")</f>
        <v/>
      </c>
      <c r="AO168" s="1106" t="str">
        <f>IFERROR(AN168*(1+'7a.20YrDetails'!$F$9),"")</f>
        <v/>
      </c>
      <c r="AP168" s="1106" t="str">
        <f>IFERROR(AO168*(1+'7a.20YrDetails'!$F$9),"")</f>
        <v/>
      </c>
      <c r="AQ168" s="1106" t="str">
        <f>IFERROR(AP168*(1+'7a.20YrDetails'!$F$9),"")</f>
        <v/>
      </c>
      <c r="AR168" s="674"/>
      <c r="AS168" s="672"/>
      <c r="AT168" s="1732" t="str">
        <f>IF($AF168=0,0,IFERROR(($AF168+L168)/(HLOOKUP($D168,RentsUA!$B$61:$H$62,2,FALSE)),""))</f>
        <v/>
      </c>
      <c r="AU168" s="1733" t="str">
        <f>IFERROR(G168/HLOOKUP(H168,RentsUA!$B$40:$I$41,2),"")</f>
        <v/>
      </c>
      <c r="BR168" s="404" t="str">
        <f t="shared" si="51"/>
        <v/>
      </c>
      <c r="BS168" s="5" t="str">
        <f t="array" ref="BS168">IFERROR(INDEX($BR$13:$BR$412, MATCH(0, COUNTIF($BS$12:$BS167, $BR$13:$BR$412), 0)),"")</f>
        <v/>
      </c>
      <c r="BT168" s="404" t="str">
        <f t="shared" si="46"/>
        <v/>
      </c>
      <c r="BU168" s="404" t="str">
        <f t="array" ref="BU168">IFERROR(INDEX($BT$13:$BT$412, MATCH(0, COUNTIF($BU$12:$BU167, $BT$13:$BT$412), 0)),"")</f>
        <v/>
      </c>
    </row>
    <row r="169" spans="1:73" s="404" customFormat="1" ht="13.2">
      <c r="A169" s="406">
        <f t="shared" si="52"/>
        <v>157</v>
      </c>
      <c r="B169" s="472"/>
      <c r="C169" s="470"/>
      <c r="D169" s="407"/>
      <c r="E169" s="407"/>
      <c r="F169" s="408"/>
      <c r="G169" s="409"/>
      <c r="H169" s="407"/>
      <c r="I169" s="1029" t="str">
        <f>IFERROR(G169/HLOOKUP(H169,RentsUA!$B$8:$J$9,2),"")</f>
        <v/>
      </c>
      <c r="J169" s="407"/>
      <c r="K169" s="412"/>
      <c r="L169" s="672">
        <f t="shared" si="41"/>
        <v>0</v>
      </c>
      <c r="M169" s="671"/>
      <c r="N169" s="410">
        <f t="shared" si="42"/>
        <v>0</v>
      </c>
      <c r="O169" s="469" t="str">
        <f>IF($M169=0,"",IFERROR(($L169+$M169)/(HLOOKUP($D169,RentsUA!$K$12:$Q$35,19,FALSE)),""))</f>
        <v/>
      </c>
      <c r="P169" s="469" t="str">
        <f>IF($M169=0,"",IFERROR(($M169+K169+L169)/(HLOOKUP($D169,RentsUA!$K$12:$Q$35,19,FALSE)),""))</f>
        <v/>
      </c>
      <c r="Q169" s="411"/>
      <c r="R169" s="673" t="str">
        <f>IF($Q169=0,"",VLOOKUP($Q169,RentsUA!$A$12:$H$35,MATCH($D169,RentsUA!$A$12:$H$12,0),FALSE))</f>
        <v/>
      </c>
      <c r="S169" s="409"/>
      <c r="T169" s="674"/>
      <c r="U169" s="672"/>
      <c r="V169" s="673" t="str">
        <f t="shared" si="47"/>
        <v/>
      </c>
      <c r="W169" s="470"/>
      <c r="X169" s="411"/>
      <c r="Y169" s="410" t="str">
        <f>IF(X169=0,"",VLOOKUP($X169,RentsUA!$A$12:$H$35,MATCH($D169,RentsUA!$A$12:$H$12,0),FALSE))</f>
        <v/>
      </c>
      <c r="Z169" s="410" t="str">
        <f t="shared" si="43"/>
        <v/>
      </c>
      <c r="AA169" s="1297" t="str">
        <f>IF(H169="","",IF(G169/HLOOKUP($H169,RentsUA!$M$8:$T$9,2,FALSE)&gt;1,"&gt; 80%","&lt;= 80%"))</f>
        <v/>
      </c>
      <c r="AB169" s="1106"/>
      <c r="AC169" s="1106"/>
      <c r="AD169" s="622"/>
      <c r="AE169" s="412"/>
      <c r="AF169" s="807" t="str">
        <f>IF(AD169="","",IF(AD169=Lists!$U$3,M169,IF(AD169=Lists!$U$4,V169,IF(AD169=Lists!$U$5,Y169-L169,AE169))))</f>
        <v/>
      </c>
      <c r="AG169" s="410" t="str">
        <f t="shared" si="44"/>
        <v/>
      </c>
      <c r="AH169" s="469" t="str">
        <f t="shared" si="45"/>
        <v/>
      </c>
      <c r="AI169" s="469" t="str">
        <f>IF($AF169=0,0,IFERROR(($L169+$AF169)/(HLOOKUP($D169,RentsUA!$K$12:$Q$35,19,FALSE)),""))</f>
        <v/>
      </c>
      <c r="AJ169" s="469" t="str">
        <f>IF($AF169=0,0,IFERROR(($AF169+K169+L169)/(HLOOKUP($D169,RentsUA!$K$12:$Q$35,19,FALSE)),""))</f>
        <v/>
      </c>
      <c r="AK169" s="469" t="str">
        <f t="shared" si="48"/>
        <v/>
      </c>
      <c r="AL169" s="469" t="str">
        <f t="shared" si="49"/>
        <v/>
      </c>
      <c r="AM169" s="1106" t="str">
        <f t="shared" si="50"/>
        <v/>
      </c>
      <c r="AN169" s="1106" t="str">
        <f>IFERROR(AM169*(1+'7a.20YrDetails'!$F$9),"")</f>
        <v/>
      </c>
      <c r="AO169" s="1106" t="str">
        <f>IFERROR(AN169*(1+'7a.20YrDetails'!$F$9),"")</f>
        <v/>
      </c>
      <c r="AP169" s="1106" t="str">
        <f>IFERROR(AO169*(1+'7a.20YrDetails'!$F$9),"")</f>
        <v/>
      </c>
      <c r="AQ169" s="1106" t="str">
        <f>IFERROR(AP169*(1+'7a.20YrDetails'!$F$9),"")</f>
        <v/>
      </c>
      <c r="AR169" s="674"/>
      <c r="AS169" s="672"/>
      <c r="AT169" s="1732" t="str">
        <f>IF($AF169=0,0,IFERROR(($AF169+L169)/(HLOOKUP($D169,RentsUA!$B$61:$H$62,2,FALSE)),""))</f>
        <v/>
      </c>
      <c r="AU169" s="1733" t="str">
        <f>IFERROR(G169/HLOOKUP(H169,RentsUA!$B$40:$I$41,2),"")</f>
        <v/>
      </c>
      <c r="BR169" s="404" t="str">
        <f t="shared" si="51"/>
        <v/>
      </c>
      <c r="BS169" s="5" t="str">
        <f t="array" ref="BS169">IFERROR(INDEX($BR$13:$BR$412, MATCH(0, COUNTIF($BS$12:$BS168, $BR$13:$BR$412), 0)),"")</f>
        <v/>
      </c>
      <c r="BT169" s="404" t="str">
        <f t="shared" si="46"/>
        <v/>
      </c>
      <c r="BU169" s="404" t="str">
        <f t="array" ref="BU169">IFERROR(INDEX($BT$13:$BT$412, MATCH(0, COUNTIF($BU$12:$BU168, $BT$13:$BT$412), 0)),"")</f>
        <v/>
      </c>
    </row>
    <row r="170" spans="1:73" s="404" customFormat="1" ht="13.2">
      <c r="A170" s="406">
        <f t="shared" si="52"/>
        <v>158</v>
      </c>
      <c r="B170" s="472"/>
      <c r="C170" s="470"/>
      <c r="D170" s="407"/>
      <c r="E170" s="407"/>
      <c r="F170" s="408"/>
      <c r="G170" s="409"/>
      <c r="H170" s="407"/>
      <c r="I170" s="1029" t="str">
        <f>IFERROR(G170/HLOOKUP(H170,RentsUA!$B$8:$J$9,2),"")</f>
        <v/>
      </c>
      <c r="J170" s="407"/>
      <c r="K170" s="412"/>
      <c r="L170" s="672">
        <f t="shared" si="41"/>
        <v>0</v>
      </c>
      <c r="M170" s="671"/>
      <c r="N170" s="410">
        <f t="shared" si="42"/>
        <v>0</v>
      </c>
      <c r="O170" s="469" t="str">
        <f>IF($M170=0,"",IFERROR(($L170+$M170)/(HLOOKUP($D170,RentsUA!$K$12:$Q$35,19,FALSE)),""))</f>
        <v/>
      </c>
      <c r="P170" s="469" t="str">
        <f>IF($M170=0,"",IFERROR(($M170+K170+L170)/(HLOOKUP($D170,RentsUA!$K$12:$Q$35,19,FALSE)),""))</f>
        <v/>
      </c>
      <c r="Q170" s="411"/>
      <c r="R170" s="673" t="str">
        <f>IF($Q170=0,"",VLOOKUP($Q170,RentsUA!$A$12:$H$35,MATCH($D170,RentsUA!$A$12:$H$12,0),FALSE))</f>
        <v/>
      </c>
      <c r="S170" s="409"/>
      <c r="T170" s="674"/>
      <c r="U170" s="672"/>
      <c r="V170" s="673" t="str">
        <f t="shared" si="47"/>
        <v/>
      </c>
      <c r="W170" s="470"/>
      <c r="X170" s="411"/>
      <c r="Y170" s="410" t="str">
        <f>IF(X170=0,"",VLOOKUP($X170,RentsUA!$A$12:$H$35,MATCH($D170,RentsUA!$A$12:$H$12,0),FALSE))</f>
        <v/>
      </c>
      <c r="Z170" s="410" t="str">
        <f t="shared" si="43"/>
        <v/>
      </c>
      <c r="AA170" s="1297" t="str">
        <f>IF(H170="","",IF(G170/HLOOKUP($H170,RentsUA!$M$8:$T$9,2,FALSE)&gt;1,"&gt; 80%","&lt;= 80%"))</f>
        <v/>
      </c>
      <c r="AB170" s="1106"/>
      <c r="AC170" s="1106"/>
      <c r="AD170" s="622"/>
      <c r="AE170" s="412"/>
      <c r="AF170" s="807" t="str">
        <f>IF(AD170="","",IF(AD170=Lists!$U$3,M170,IF(AD170=Lists!$U$4,V170,IF(AD170=Lists!$U$5,Y170-L170,AE170))))</f>
        <v/>
      </c>
      <c r="AG170" s="410" t="str">
        <f t="shared" si="44"/>
        <v/>
      </c>
      <c r="AH170" s="469" t="str">
        <f t="shared" si="45"/>
        <v/>
      </c>
      <c r="AI170" s="469" t="str">
        <f>IF($AF170=0,0,IFERROR(($L170+$AF170)/(HLOOKUP($D170,RentsUA!$K$12:$Q$35,19,FALSE)),""))</f>
        <v/>
      </c>
      <c r="AJ170" s="469" t="str">
        <f>IF($AF170=0,0,IFERROR(($AF170+K170+L170)/(HLOOKUP($D170,RentsUA!$K$12:$Q$35,19,FALSE)),""))</f>
        <v/>
      </c>
      <c r="AK170" s="469" t="str">
        <f t="shared" si="48"/>
        <v/>
      </c>
      <c r="AL170" s="469" t="str">
        <f t="shared" si="49"/>
        <v/>
      </c>
      <c r="AM170" s="1106" t="str">
        <f t="shared" si="50"/>
        <v/>
      </c>
      <c r="AN170" s="1106" t="str">
        <f>IFERROR(AM170*(1+'7a.20YrDetails'!$F$9),"")</f>
        <v/>
      </c>
      <c r="AO170" s="1106" t="str">
        <f>IFERROR(AN170*(1+'7a.20YrDetails'!$F$9),"")</f>
        <v/>
      </c>
      <c r="AP170" s="1106" t="str">
        <f>IFERROR(AO170*(1+'7a.20YrDetails'!$F$9),"")</f>
        <v/>
      </c>
      <c r="AQ170" s="1106" t="str">
        <f>IFERROR(AP170*(1+'7a.20YrDetails'!$F$9),"")</f>
        <v/>
      </c>
      <c r="AR170" s="674"/>
      <c r="AS170" s="672"/>
      <c r="AT170" s="1732" t="str">
        <f>IF($AF170=0,0,IFERROR(($AF170+L170)/(HLOOKUP($D170,RentsUA!$B$61:$H$62,2,FALSE)),""))</f>
        <v/>
      </c>
      <c r="AU170" s="1733" t="str">
        <f>IFERROR(G170/HLOOKUP(H170,RentsUA!$B$40:$I$41,2),"")</f>
        <v/>
      </c>
      <c r="BR170" s="404" t="str">
        <f t="shared" si="51"/>
        <v/>
      </c>
      <c r="BS170" s="5" t="str">
        <f t="array" ref="BS170">IFERROR(INDEX($BR$13:$BR$412, MATCH(0, COUNTIF($BS$12:$BS169, $BR$13:$BR$412), 0)),"")</f>
        <v/>
      </c>
      <c r="BT170" s="404" t="str">
        <f t="shared" si="46"/>
        <v/>
      </c>
      <c r="BU170" s="404" t="str">
        <f t="array" ref="BU170">IFERROR(INDEX($BT$13:$BT$412, MATCH(0, COUNTIF($BU$12:$BU169, $BT$13:$BT$412), 0)),"")</f>
        <v/>
      </c>
    </row>
    <row r="171" spans="1:73" s="404" customFormat="1" ht="13.2">
      <c r="A171" s="406">
        <f t="shared" si="52"/>
        <v>159</v>
      </c>
      <c r="B171" s="472"/>
      <c r="C171" s="470"/>
      <c r="D171" s="407"/>
      <c r="E171" s="407"/>
      <c r="F171" s="408"/>
      <c r="G171" s="409"/>
      <c r="H171" s="407"/>
      <c r="I171" s="1029" t="str">
        <f>IFERROR(G171/HLOOKUP(H171,RentsUA!$B$8:$J$9,2),"")</f>
        <v/>
      </c>
      <c r="J171" s="407"/>
      <c r="K171" s="412"/>
      <c r="L171" s="672">
        <f t="shared" si="41"/>
        <v>0</v>
      </c>
      <c r="M171" s="671"/>
      <c r="N171" s="410">
        <f t="shared" si="42"/>
        <v>0</v>
      </c>
      <c r="O171" s="469" t="str">
        <f>IF($M171=0,"",IFERROR(($L171+$M171)/(HLOOKUP($D171,RentsUA!$K$12:$Q$35,19,FALSE)),""))</f>
        <v/>
      </c>
      <c r="P171" s="469" t="str">
        <f>IF($M171=0,"",IFERROR(($M171+K171+L171)/(HLOOKUP($D171,RentsUA!$K$12:$Q$35,19,FALSE)),""))</f>
        <v/>
      </c>
      <c r="Q171" s="411"/>
      <c r="R171" s="673" t="str">
        <f>IF($Q171=0,"",VLOOKUP($Q171,RentsUA!$A$12:$H$35,MATCH($D171,RentsUA!$A$12:$H$12,0),FALSE))</f>
        <v/>
      </c>
      <c r="S171" s="409"/>
      <c r="T171" s="674"/>
      <c r="U171" s="672"/>
      <c r="V171" s="673" t="str">
        <f t="shared" si="47"/>
        <v/>
      </c>
      <c r="W171" s="470"/>
      <c r="X171" s="411"/>
      <c r="Y171" s="410" t="str">
        <f>IF(X171=0,"",VLOOKUP($X171,RentsUA!$A$12:$H$35,MATCH($D171,RentsUA!$A$12:$H$12,0),FALSE))</f>
        <v/>
      </c>
      <c r="Z171" s="410" t="str">
        <f t="shared" si="43"/>
        <v/>
      </c>
      <c r="AA171" s="1297" t="str">
        <f>IF(H171="","",IF(G171/HLOOKUP($H171,RentsUA!$M$8:$T$9,2,FALSE)&gt;1,"&gt; 80%","&lt;= 80%"))</f>
        <v/>
      </c>
      <c r="AB171" s="1106"/>
      <c r="AC171" s="1106"/>
      <c r="AD171" s="622"/>
      <c r="AE171" s="412"/>
      <c r="AF171" s="807" t="str">
        <f>IF(AD171="","",IF(AD171=Lists!$U$3,M171,IF(AD171=Lists!$U$4,V171,IF(AD171=Lists!$U$5,Y171-L171,AE171))))</f>
        <v/>
      </c>
      <c r="AG171" s="410" t="str">
        <f t="shared" si="44"/>
        <v/>
      </c>
      <c r="AH171" s="469" t="str">
        <f t="shared" si="45"/>
        <v/>
      </c>
      <c r="AI171" s="469" t="str">
        <f>IF($AF171=0,0,IFERROR(($L171+$AF171)/(HLOOKUP($D171,RentsUA!$K$12:$Q$35,19,FALSE)),""))</f>
        <v/>
      </c>
      <c r="AJ171" s="469" t="str">
        <f>IF($AF171=0,0,IFERROR(($AF171+K171+L171)/(HLOOKUP($D171,RentsUA!$K$12:$Q$35,19,FALSE)),""))</f>
        <v/>
      </c>
      <c r="AK171" s="469" t="str">
        <f t="shared" si="48"/>
        <v/>
      </c>
      <c r="AL171" s="469" t="str">
        <f t="shared" si="49"/>
        <v/>
      </c>
      <c r="AM171" s="1106" t="str">
        <f t="shared" si="50"/>
        <v/>
      </c>
      <c r="AN171" s="1106" t="str">
        <f>IFERROR(AM171*(1+'7a.20YrDetails'!$F$9),"")</f>
        <v/>
      </c>
      <c r="AO171" s="1106" t="str">
        <f>IFERROR(AN171*(1+'7a.20YrDetails'!$F$9),"")</f>
        <v/>
      </c>
      <c r="AP171" s="1106" t="str">
        <f>IFERROR(AO171*(1+'7a.20YrDetails'!$F$9),"")</f>
        <v/>
      </c>
      <c r="AQ171" s="1106" t="str">
        <f>IFERROR(AP171*(1+'7a.20YrDetails'!$F$9),"")</f>
        <v/>
      </c>
      <c r="AR171" s="674"/>
      <c r="AS171" s="672"/>
      <c r="AT171" s="1732" t="str">
        <f>IF($AF171=0,0,IFERROR(($AF171+L171)/(HLOOKUP($D171,RentsUA!$B$61:$H$62,2,FALSE)),""))</f>
        <v/>
      </c>
      <c r="AU171" s="1733" t="str">
        <f>IFERROR(G171/HLOOKUP(H171,RentsUA!$B$40:$I$41,2),"")</f>
        <v/>
      </c>
      <c r="BR171" s="404" t="str">
        <f t="shared" si="51"/>
        <v/>
      </c>
      <c r="BS171" s="5" t="str">
        <f t="array" ref="BS171">IFERROR(INDEX($BR$13:$BR$412, MATCH(0, COUNTIF($BS$12:$BS170, $BR$13:$BR$412), 0)),"")</f>
        <v/>
      </c>
      <c r="BT171" s="404" t="str">
        <f t="shared" si="46"/>
        <v/>
      </c>
      <c r="BU171" s="404" t="str">
        <f t="array" ref="BU171">IFERROR(INDEX($BT$13:$BT$412, MATCH(0, COUNTIF($BU$12:$BU170, $BT$13:$BT$412), 0)),"")</f>
        <v/>
      </c>
    </row>
    <row r="172" spans="1:73" s="404" customFormat="1" ht="13.2">
      <c r="A172" s="406">
        <f t="shared" si="52"/>
        <v>160</v>
      </c>
      <c r="B172" s="472"/>
      <c r="C172" s="470"/>
      <c r="D172" s="407"/>
      <c r="E172" s="407"/>
      <c r="F172" s="408"/>
      <c r="G172" s="409"/>
      <c r="H172" s="407"/>
      <c r="I172" s="1029" t="str">
        <f>IFERROR(G172/HLOOKUP(H172,RentsUA!$B$8:$J$9,2),"")</f>
        <v/>
      </c>
      <c r="J172" s="407"/>
      <c r="K172" s="412"/>
      <c r="L172" s="672">
        <f t="shared" si="41"/>
        <v>0</v>
      </c>
      <c r="M172" s="671"/>
      <c r="N172" s="410">
        <f t="shared" si="42"/>
        <v>0</v>
      </c>
      <c r="O172" s="469" t="str">
        <f>IF($M172=0,"",IFERROR(($L172+$M172)/(HLOOKUP($D172,RentsUA!$K$12:$Q$35,19,FALSE)),""))</f>
        <v/>
      </c>
      <c r="P172" s="469" t="str">
        <f>IF($M172=0,"",IFERROR(($M172+K172+L172)/(HLOOKUP($D172,RentsUA!$K$12:$Q$35,19,FALSE)),""))</f>
        <v/>
      </c>
      <c r="Q172" s="411"/>
      <c r="R172" s="673" t="str">
        <f>IF($Q172=0,"",VLOOKUP($Q172,RentsUA!$A$12:$H$35,MATCH($D172,RentsUA!$A$12:$H$12,0),FALSE))</f>
        <v/>
      </c>
      <c r="S172" s="409"/>
      <c r="T172" s="674"/>
      <c r="U172" s="672"/>
      <c r="V172" s="673" t="str">
        <f t="shared" si="47"/>
        <v/>
      </c>
      <c r="W172" s="470"/>
      <c r="X172" s="411"/>
      <c r="Y172" s="410" t="str">
        <f>IF(X172=0,"",VLOOKUP($X172,RentsUA!$A$12:$H$35,MATCH($D172,RentsUA!$A$12:$H$12,0),FALSE))</f>
        <v/>
      </c>
      <c r="Z172" s="410" t="str">
        <f t="shared" si="43"/>
        <v/>
      </c>
      <c r="AA172" s="1297" t="str">
        <f>IF(H172="","",IF(G172/HLOOKUP($H172,RentsUA!$M$8:$T$9,2,FALSE)&gt;1,"&gt; 80%","&lt;= 80%"))</f>
        <v/>
      </c>
      <c r="AB172" s="1106"/>
      <c r="AC172" s="1106"/>
      <c r="AD172" s="622"/>
      <c r="AE172" s="412"/>
      <c r="AF172" s="807" t="str">
        <f>IF(AD172="","",IF(AD172=Lists!$U$3,M172,IF(AD172=Lists!$U$4,V172,IF(AD172=Lists!$U$5,Y172-L172,AE172))))</f>
        <v/>
      </c>
      <c r="AG172" s="410" t="str">
        <f t="shared" si="44"/>
        <v/>
      </c>
      <c r="AH172" s="469" t="str">
        <f t="shared" si="45"/>
        <v/>
      </c>
      <c r="AI172" s="469" t="str">
        <f>IF($AF172=0,0,IFERROR(($L172+$AF172)/(HLOOKUP($D172,RentsUA!$K$12:$Q$35,19,FALSE)),""))</f>
        <v/>
      </c>
      <c r="AJ172" s="469" t="str">
        <f>IF($AF172=0,0,IFERROR(($AF172+K172+L172)/(HLOOKUP($D172,RentsUA!$K$12:$Q$35,19,FALSE)),""))</f>
        <v/>
      </c>
      <c r="AK172" s="469" t="str">
        <f t="shared" si="48"/>
        <v/>
      </c>
      <c r="AL172" s="469" t="str">
        <f t="shared" si="49"/>
        <v/>
      </c>
      <c r="AM172" s="1106" t="str">
        <f t="shared" si="50"/>
        <v/>
      </c>
      <c r="AN172" s="1106" t="str">
        <f>IFERROR(AM172*(1+'7a.20YrDetails'!$F$9),"")</f>
        <v/>
      </c>
      <c r="AO172" s="1106" t="str">
        <f>IFERROR(AN172*(1+'7a.20YrDetails'!$F$9),"")</f>
        <v/>
      </c>
      <c r="AP172" s="1106" t="str">
        <f>IFERROR(AO172*(1+'7a.20YrDetails'!$F$9),"")</f>
        <v/>
      </c>
      <c r="AQ172" s="1106" t="str">
        <f>IFERROR(AP172*(1+'7a.20YrDetails'!$F$9),"")</f>
        <v/>
      </c>
      <c r="AR172" s="674"/>
      <c r="AS172" s="672"/>
      <c r="AT172" s="1732" t="str">
        <f>IF($AF172=0,0,IFERROR(($AF172+L172)/(HLOOKUP($D172,RentsUA!$B$61:$H$62,2,FALSE)),""))</f>
        <v/>
      </c>
      <c r="AU172" s="1733" t="str">
        <f>IFERROR(G172/HLOOKUP(H172,RentsUA!$B$40:$I$41,2),"")</f>
        <v/>
      </c>
      <c r="BR172" s="404" t="str">
        <f t="shared" si="51"/>
        <v/>
      </c>
      <c r="BS172" s="5" t="str">
        <f t="array" ref="BS172">IFERROR(INDEX($BR$13:$BR$412, MATCH(0, COUNTIF($BS$12:$BS171, $BR$13:$BR$412), 0)),"")</f>
        <v/>
      </c>
      <c r="BT172" s="404" t="str">
        <f t="shared" si="46"/>
        <v/>
      </c>
      <c r="BU172" s="404" t="str">
        <f t="array" ref="BU172">IFERROR(INDEX($BT$13:$BT$412, MATCH(0, COUNTIF($BU$12:$BU171, $BT$13:$BT$412), 0)),"")</f>
        <v/>
      </c>
    </row>
    <row r="173" spans="1:73" s="404" customFormat="1" ht="13.2">
      <c r="A173" s="406">
        <f t="shared" si="52"/>
        <v>161</v>
      </c>
      <c r="B173" s="472"/>
      <c r="C173" s="470"/>
      <c r="D173" s="407"/>
      <c r="E173" s="407"/>
      <c r="F173" s="408"/>
      <c r="G173" s="409"/>
      <c r="H173" s="407"/>
      <c r="I173" s="1029" t="str">
        <f>IFERROR(G173/HLOOKUP(H173,RentsUA!$B$8:$J$9,2),"")</f>
        <v/>
      </c>
      <c r="J173" s="407"/>
      <c r="K173" s="412"/>
      <c r="L173" s="672">
        <f t="shared" si="41"/>
        <v>0</v>
      </c>
      <c r="M173" s="671"/>
      <c r="N173" s="410">
        <f t="shared" si="42"/>
        <v>0</v>
      </c>
      <c r="O173" s="469" t="str">
        <f>IF($M173=0,"",IFERROR(($L173+$M173)/(HLOOKUP($D173,RentsUA!$K$12:$Q$35,19,FALSE)),""))</f>
        <v/>
      </c>
      <c r="P173" s="469" t="str">
        <f>IF($M173=0,"",IFERROR(($M173+K173+L173)/(HLOOKUP($D173,RentsUA!$K$12:$Q$35,19,FALSE)),""))</f>
        <v/>
      </c>
      <c r="Q173" s="411"/>
      <c r="R173" s="673" t="str">
        <f>IF($Q173=0,"",VLOOKUP($Q173,RentsUA!$A$12:$H$35,MATCH($D173,RentsUA!$A$12:$H$12,0),FALSE))</f>
        <v/>
      </c>
      <c r="S173" s="409"/>
      <c r="T173" s="674"/>
      <c r="U173" s="672"/>
      <c r="V173" s="673" t="str">
        <f t="shared" si="47"/>
        <v/>
      </c>
      <c r="W173" s="470"/>
      <c r="X173" s="411"/>
      <c r="Y173" s="410" t="str">
        <f>IF(X173=0,"",VLOOKUP($X173,RentsUA!$A$12:$H$35,MATCH($D173,RentsUA!$A$12:$H$12,0),FALSE))</f>
        <v/>
      </c>
      <c r="Z173" s="410" t="str">
        <f t="shared" si="43"/>
        <v/>
      </c>
      <c r="AA173" s="1297" t="str">
        <f>IF(H173="","",IF(G173/HLOOKUP($H173,RentsUA!$M$8:$T$9,2,FALSE)&gt;1,"&gt; 80%","&lt;= 80%"))</f>
        <v/>
      </c>
      <c r="AB173" s="1106"/>
      <c r="AC173" s="1106"/>
      <c r="AD173" s="622"/>
      <c r="AE173" s="412"/>
      <c r="AF173" s="807" t="str">
        <f>IF(AD173="","",IF(AD173=Lists!$U$3,M173,IF(AD173=Lists!$U$4,V173,IF(AD173=Lists!$U$5,Y173-L173,AE173))))</f>
        <v/>
      </c>
      <c r="AG173" s="410" t="str">
        <f t="shared" si="44"/>
        <v/>
      </c>
      <c r="AH173" s="469" t="str">
        <f t="shared" si="45"/>
        <v/>
      </c>
      <c r="AI173" s="469" t="str">
        <f>IF($AF173=0,0,IFERROR(($L173+$AF173)/(HLOOKUP($D173,RentsUA!$K$12:$Q$35,19,FALSE)),""))</f>
        <v/>
      </c>
      <c r="AJ173" s="469" t="str">
        <f>IF($AF173=0,0,IFERROR(($AF173+K173+L173)/(HLOOKUP($D173,RentsUA!$K$12:$Q$35,19,FALSE)),""))</f>
        <v/>
      </c>
      <c r="AK173" s="469" t="str">
        <f t="shared" si="48"/>
        <v/>
      </c>
      <c r="AL173" s="469" t="str">
        <f t="shared" si="49"/>
        <v/>
      </c>
      <c r="AM173" s="1106" t="str">
        <f t="shared" si="50"/>
        <v/>
      </c>
      <c r="AN173" s="1106" t="str">
        <f>IFERROR(AM173*(1+'7a.20YrDetails'!$F$9),"")</f>
        <v/>
      </c>
      <c r="AO173" s="1106" t="str">
        <f>IFERROR(AN173*(1+'7a.20YrDetails'!$F$9),"")</f>
        <v/>
      </c>
      <c r="AP173" s="1106" t="str">
        <f>IFERROR(AO173*(1+'7a.20YrDetails'!$F$9),"")</f>
        <v/>
      </c>
      <c r="AQ173" s="1106" t="str">
        <f>IFERROR(AP173*(1+'7a.20YrDetails'!$F$9),"")</f>
        <v/>
      </c>
      <c r="AR173" s="674"/>
      <c r="AS173" s="672"/>
      <c r="AT173" s="1732" t="str">
        <f>IF($AF173=0,0,IFERROR(($AF173+L173)/(HLOOKUP($D173,RentsUA!$B$61:$H$62,2,FALSE)),""))</f>
        <v/>
      </c>
      <c r="AU173" s="1733" t="str">
        <f>IFERROR(G173/HLOOKUP(H173,RentsUA!$B$40:$I$41,2),"")</f>
        <v/>
      </c>
      <c r="BR173" s="404" t="str">
        <f t="shared" si="51"/>
        <v/>
      </c>
      <c r="BS173" s="5" t="str">
        <f t="array" ref="BS173">IFERROR(INDEX($BR$13:$BR$412, MATCH(0, COUNTIF($BS$12:$BS172, $BR$13:$BR$412), 0)),"")</f>
        <v/>
      </c>
      <c r="BT173" s="404" t="str">
        <f t="shared" si="46"/>
        <v/>
      </c>
      <c r="BU173" s="404" t="str">
        <f t="array" ref="BU173">IFERROR(INDEX($BT$13:$BT$412, MATCH(0, COUNTIF($BU$12:$BU172, $BT$13:$BT$412), 0)),"")</f>
        <v/>
      </c>
    </row>
    <row r="174" spans="1:73" s="404" customFormat="1" ht="13.2">
      <c r="A174" s="406">
        <f t="shared" si="52"/>
        <v>162</v>
      </c>
      <c r="B174" s="472"/>
      <c r="C174" s="470"/>
      <c r="D174" s="407"/>
      <c r="E174" s="407"/>
      <c r="F174" s="408"/>
      <c r="G174" s="409"/>
      <c r="H174" s="407"/>
      <c r="I174" s="1029" t="str">
        <f>IFERROR(G174/HLOOKUP(H174,RentsUA!$B$8:$J$9,2),"")</f>
        <v/>
      </c>
      <c r="J174" s="407"/>
      <c r="K174" s="412"/>
      <c r="L174" s="672">
        <f t="shared" si="41"/>
        <v>0</v>
      </c>
      <c r="M174" s="671"/>
      <c r="N174" s="410">
        <f t="shared" si="42"/>
        <v>0</v>
      </c>
      <c r="O174" s="469" t="str">
        <f>IF($M174=0,"",IFERROR(($L174+$M174)/(HLOOKUP($D174,RentsUA!$K$12:$Q$35,19,FALSE)),""))</f>
        <v/>
      </c>
      <c r="P174" s="469" t="str">
        <f>IF($M174=0,"",IFERROR(($M174+K174+L174)/(HLOOKUP($D174,RentsUA!$K$12:$Q$35,19,FALSE)),""))</f>
        <v/>
      </c>
      <c r="Q174" s="411"/>
      <c r="R174" s="673" t="str">
        <f>IF($Q174=0,"",VLOOKUP($Q174,RentsUA!$A$12:$H$35,MATCH($D174,RentsUA!$A$12:$H$12,0),FALSE))</f>
        <v/>
      </c>
      <c r="S174" s="409"/>
      <c r="T174" s="674"/>
      <c r="U174" s="672"/>
      <c r="V174" s="673" t="str">
        <f t="shared" si="47"/>
        <v/>
      </c>
      <c r="W174" s="470"/>
      <c r="X174" s="411"/>
      <c r="Y174" s="410" t="str">
        <f>IF(X174=0,"",VLOOKUP($X174,RentsUA!$A$12:$H$35,MATCH($D174,RentsUA!$A$12:$H$12,0),FALSE))</f>
        <v/>
      </c>
      <c r="Z174" s="410" t="str">
        <f t="shared" si="43"/>
        <v/>
      </c>
      <c r="AA174" s="1297" t="str">
        <f>IF(H174="","",IF(G174/HLOOKUP($H174,RentsUA!$M$8:$T$9,2,FALSE)&gt;1,"&gt; 80%","&lt;= 80%"))</f>
        <v/>
      </c>
      <c r="AB174" s="1106"/>
      <c r="AC174" s="1106"/>
      <c r="AD174" s="622"/>
      <c r="AE174" s="412"/>
      <c r="AF174" s="807" t="str">
        <f>IF(AD174="","",IF(AD174=Lists!$U$3,M174,IF(AD174=Lists!$U$4,V174,IF(AD174=Lists!$U$5,Y174-L174,AE174))))</f>
        <v/>
      </c>
      <c r="AG174" s="410" t="str">
        <f t="shared" si="44"/>
        <v/>
      </c>
      <c r="AH174" s="469" t="str">
        <f t="shared" si="45"/>
        <v/>
      </c>
      <c r="AI174" s="469" t="str">
        <f>IF($AF174=0,0,IFERROR(($L174+$AF174)/(HLOOKUP($D174,RentsUA!$K$12:$Q$35,19,FALSE)),""))</f>
        <v/>
      </c>
      <c r="AJ174" s="469" t="str">
        <f>IF($AF174=0,0,IFERROR(($AF174+K174+L174)/(HLOOKUP($D174,RentsUA!$K$12:$Q$35,19,FALSE)),""))</f>
        <v/>
      </c>
      <c r="AK174" s="469" t="str">
        <f t="shared" si="48"/>
        <v/>
      </c>
      <c r="AL174" s="469" t="str">
        <f t="shared" si="49"/>
        <v/>
      </c>
      <c r="AM174" s="1106" t="str">
        <f t="shared" si="50"/>
        <v/>
      </c>
      <c r="AN174" s="1106" t="str">
        <f>IFERROR(AM174*(1+'7a.20YrDetails'!$F$9),"")</f>
        <v/>
      </c>
      <c r="AO174" s="1106" t="str">
        <f>IFERROR(AN174*(1+'7a.20YrDetails'!$F$9),"")</f>
        <v/>
      </c>
      <c r="AP174" s="1106" t="str">
        <f>IFERROR(AO174*(1+'7a.20YrDetails'!$F$9),"")</f>
        <v/>
      </c>
      <c r="AQ174" s="1106" t="str">
        <f>IFERROR(AP174*(1+'7a.20YrDetails'!$F$9),"")</f>
        <v/>
      </c>
      <c r="AR174" s="674"/>
      <c r="AS174" s="672"/>
      <c r="AT174" s="1732" t="str">
        <f>IF($AF174=0,0,IFERROR(($AF174+L174)/(HLOOKUP($D174,RentsUA!$B$61:$H$62,2,FALSE)),""))</f>
        <v/>
      </c>
      <c r="AU174" s="1733" t="str">
        <f>IFERROR(G174/HLOOKUP(H174,RentsUA!$B$40:$I$41,2),"")</f>
        <v/>
      </c>
      <c r="BR174" s="404" t="str">
        <f t="shared" si="51"/>
        <v/>
      </c>
      <c r="BS174" s="5" t="str">
        <f t="array" ref="BS174">IFERROR(INDEX($BR$13:$BR$412, MATCH(0, COUNTIF($BS$12:$BS173, $BR$13:$BR$412), 0)),"")</f>
        <v/>
      </c>
      <c r="BT174" s="404" t="str">
        <f t="shared" si="46"/>
        <v/>
      </c>
      <c r="BU174" s="404" t="str">
        <f t="array" ref="BU174">IFERROR(INDEX($BT$13:$BT$412, MATCH(0, COUNTIF($BU$12:$BU173, $BT$13:$BT$412), 0)),"")</f>
        <v/>
      </c>
    </row>
    <row r="175" spans="1:73" s="404" customFormat="1" ht="13.2">
      <c r="A175" s="406">
        <f t="shared" si="52"/>
        <v>163</v>
      </c>
      <c r="B175" s="472"/>
      <c r="C175" s="470"/>
      <c r="D175" s="407"/>
      <c r="E175" s="407"/>
      <c r="F175" s="408"/>
      <c r="G175" s="409"/>
      <c r="H175" s="407"/>
      <c r="I175" s="1029" t="str">
        <f>IFERROR(G175/HLOOKUP(H175,RentsUA!$B$8:$J$9,2),"")</f>
        <v/>
      </c>
      <c r="J175" s="407"/>
      <c r="K175" s="412"/>
      <c r="L175" s="672">
        <f t="shared" si="41"/>
        <v>0</v>
      </c>
      <c r="M175" s="671"/>
      <c r="N175" s="410">
        <f t="shared" si="42"/>
        <v>0</v>
      </c>
      <c r="O175" s="469" t="str">
        <f>IF($M175=0,"",IFERROR(($L175+$M175)/(HLOOKUP($D175,RentsUA!$K$12:$Q$35,19,FALSE)),""))</f>
        <v/>
      </c>
      <c r="P175" s="469" t="str">
        <f>IF($M175=0,"",IFERROR(($M175+K175+L175)/(HLOOKUP($D175,RentsUA!$K$12:$Q$35,19,FALSE)),""))</f>
        <v/>
      </c>
      <c r="Q175" s="411"/>
      <c r="R175" s="673" t="str">
        <f>IF($Q175=0,"",VLOOKUP($Q175,RentsUA!$A$12:$H$35,MATCH($D175,RentsUA!$A$12:$H$12,0),FALSE))</f>
        <v/>
      </c>
      <c r="S175" s="409"/>
      <c r="T175" s="674"/>
      <c r="U175" s="672"/>
      <c r="V175" s="673" t="str">
        <f t="shared" si="47"/>
        <v/>
      </c>
      <c r="W175" s="470"/>
      <c r="X175" s="411"/>
      <c r="Y175" s="410" t="str">
        <f>IF(X175=0,"",VLOOKUP($X175,RentsUA!$A$12:$H$35,MATCH($D175,RentsUA!$A$12:$H$12,0),FALSE))</f>
        <v/>
      </c>
      <c r="Z175" s="410" t="str">
        <f t="shared" si="43"/>
        <v/>
      </c>
      <c r="AA175" s="1297" t="str">
        <f>IF(H175="","",IF(G175/HLOOKUP($H175,RentsUA!$M$8:$T$9,2,FALSE)&gt;1,"&gt; 80%","&lt;= 80%"))</f>
        <v/>
      </c>
      <c r="AB175" s="1106"/>
      <c r="AC175" s="1106"/>
      <c r="AD175" s="622"/>
      <c r="AE175" s="412"/>
      <c r="AF175" s="807" t="str">
        <f>IF(AD175="","",IF(AD175=Lists!$U$3,M175,IF(AD175=Lists!$U$4,V175,IF(AD175=Lists!$U$5,Y175-L175,AE175))))</f>
        <v/>
      </c>
      <c r="AG175" s="410" t="str">
        <f t="shared" si="44"/>
        <v/>
      </c>
      <c r="AH175" s="469" t="str">
        <f t="shared" si="45"/>
        <v/>
      </c>
      <c r="AI175" s="469" t="str">
        <f>IF($AF175=0,0,IFERROR(($L175+$AF175)/(HLOOKUP($D175,RentsUA!$K$12:$Q$35,19,FALSE)),""))</f>
        <v/>
      </c>
      <c r="AJ175" s="469" t="str">
        <f>IF($AF175=0,0,IFERROR(($AF175+K175+L175)/(HLOOKUP($D175,RentsUA!$K$12:$Q$35,19,FALSE)),""))</f>
        <v/>
      </c>
      <c r="AK175" s="469" t="str">
        <f t="shared" si="48"/>
        <v/>
      </c>
      <c r="AL175" s="469" t="str">
        <f t="shared" si="49"/>
        <v/>
      </c>
      <c r="AM175" s="1106" t="str">
        <f t="shared" si="50"/>
        <v/>
      </c>
      <c r="AN175" s="1106" t="str">
        <f>IFERROR(AM175*(1+'7a.20YrDetails'!$F$9),"")</f>
        <v/>
      </c>
      <c r="AO175" s="1106" t="str">
        <f>IFERROR(AN175*(1+'7a.20YrDetails'!$F$9),"")</f>
        <v/>
      </c>
      <c r="AP175" s="1106" t="str">
        <f>IFERROR(AO175*(1+'7a.20YrDetails'!$F$9),"")</f>
        <v/>
      </c>
      <c r="AQ175" s="1106" t="str">
        <f>IFERROR(AP175*(1+'7a.20YrDetails'!$F$9),"")</f>
        <v/>
      </c>
      <c r="AR175" s="674"/>
      <c r="AS175" s="672"/>
      <c r="AT175" s="1732" t="str">
        <f>IF($AF175=0,0,IFERROR(($AF175+L175)/(HLOOKUP($D175,RentsUA!$B$61:$H$62,2,FALSE)),""))</f>
        <v/>
      </c>
      <c r="AU175" s="1733" t="str">
        <f>IFERROR(G175/HLOOKUP(H175,RentsUA!$B$40:$I$41,2),"")</f>
        <v/>
      </c>
      <c r="BR175" s="404" t="str">
        <f t="shared" si="51"/>
        <v/>
      </c>
      <c r="BS175" s="5" t="str">
        <f t="array" ref="BS175">IFERROR(INDEX($BR$13:$BR$412, MATCH(0, COUNTIF($BS$12:$BS174, $BR$13:$BR$412), 0)),"")</f>
        <v/>
      </c>
      <c r="BT175" s="404" t="str">
        <f t="shared" si="46"/>
        <v/>
      </c>
      <c r="BU175" s="404" t="str">
        <f t="array" ref="BU175">IFERROR(INDEX($BT$13:$BT$412, MATCH(0, COUNTIF($BU$12:$BU174, $BT$13:$BT$412), 0)),"")</f>
        <v/>
      </c>
    </row>
    <row r="176" spans="1:73" s="404" customFormat="1" ht="13.2">
      <c r="A176" s="406">
        <f t="shared" si="52"/>
        <v>164</v>
      </c>
      <c r="B176" s="472"/>
      <c r="C176" s="470"/>
      <c r="D176" s="407"/>
      <c r="E176" s="407"/>
      <c r="F176" s="408"/>
      <c r="G176" s="409"/>
      <c r="H176" s="407"/>
      <c r="I176" s="1029" t="str">
        <f>IFERROR(G176/HLOOKUP(H176,RentsUA!$B$8:$J$9,2),"")</f>
        <v/>
      </c>
      <c r="J176" s="407"/>
      <c r="K176" s="412"/>
      <c r="L176" s="672">
        <f t="shared" si="41"/>
        <v>0</v>
      </c>
      <c r="M176" s="671"/>
      <c r="N176" s="410">
        <f t="shared" si="42"/>
        <v>0</v>
      </c>
      <c r="O176" s="469" t="str">
        <f>IF($M176=0,"",IFERROR(($L176+$M176)/(HLOOKUP($D176,RentsUA!$K$12:$Q$35,19,FALSE)),""))</f>
        <v/>
      </c>
      <c r="P176" s="469" t="str">
        <f>IF($M176=0,"",IFERROR(($M176+K176+L176)/(HLOOKUP($D176,RentsUA!$K$12:$Q$35,19,FALSE)),""))</f>
        <v/>
      </c>
      <c r="Q176" s="411"/>
      <c r="R176" s="673" t="str">
        <f>IF($Q176=0,"",VLOOKUP($Q176,RentsUA!$A$12:$H$35,MATCH($D176,RentsUA!$A$12:$H$12,0),FALSE))</f>
        <v/>
      </c>
      <c r="S176" s="409"/>
      <c r="T176" s="674"/>
      <c r="U176" s="672"/>
      <c r="V176" s="673" t="str">
        <f t="shared" si="47"/>
        <v/>
      </c>
      <c r="W176" s="470"/>
      <c r="X176" s="411"/>
      <c r="Y176" s="410" t="str">
        <f>IF(X176=0,"",VLOOKUP($X176,RentsUA!$A$12:$H$35,MATCH($D176,RentsUA!$A$12:$H$12,0),FALSE))</f>
        <v/>
      </c>
      <c r="Z176" s="410" t="str">
        <f t="shared" si="43"/>
        <v/>
      </c>
      <c r="AA176" s="1297" t="str">
        <f>IF(H176="","",IF(G176/HLOOKUP($H176,RentsUA!$M$8:$T$9,2,FALSE)&gt;1,"&gt; 80%","&lt;= 80%"))</f>
        <v/>
      </c>
      <c r="AB176" s="1106"/>
      <c r="AC176" s="1106"/>
      <c r="AD176" s="622"/>
      <c r="AE176" s="412"/>
      <c r="AF176" s="807" t="str">
        <f>IF(AD176="","",IF(AD176=Lists!$U$3,M176,IF(AD176=Lists!$U$4,V176,IF(AD176=Lists!$U$5,Y176-L176,AE176))))</f>
        <v/>
      </c>
      <c r="AG176" s="410" t="str">
        <f t="shared" si="44"/>
        <v/>
      </c>
      <c r="AH176" s="469" t="str">
        <f t="shared" si="45"/>
        <v/>
      </c>
      <c r="AI176" s="469" t="str">
        <f>IF($AF176=0,0,IFERROR(($L176+$AF176)/(HLOOKUP($D176,RentsUA!$K$12:$Q$35,19,FALSE)),""))</f>
        <v/>
      </c>
      <c r="AJ176" s="469" t="str">
        <f>IF($AF176=0,0,IFERROR(($AF176+K176+L176)/(HLOOKUP($D176,RentsUA!$K$12:$Q$35,19,FALSE)),""))</f>
        <v/>
      </c>
      <c r="AK176" s="469" t="str">
        <f t="shared" si="48"/>
        <v/>
      </c>
      <c r="AL176" s="469" t="str">
        <f t="shared" si="49"/>
        <v/>
      </c>
      <c r="AM176" s="1106" t="str">
        <f t="shared" si="50"/>
        <v/>
      </c>
      <c r="AN176" s="1106" t="str">
        <f>IFERROR(AM176*(1+'7a.20YrDetails'!$F$9),"")</f>
        <v/>
      </c>
      <c r="AO176" s="1106" t="str">
        <f>IFERROR(AN176*(1+'7a.20YrDetails'!$F$9),"")</f>
        <v/>
      </c>
      <c r="AP176" s="1106" t="str">
        <f>IFERROR(AO176*(1+'7a.20YrDetails'!$F$9),"")</f>
        <v/>
      </c>
      <c r="AQ176" s="1106" t="str">
        <f>IFERROR(AP176*(1+'7a.20YrDetails'!$F$9),"")</f>
        <v/>
      </c>
      <c r="AR176" s="674"/>
      <c r="AS176" s="672"/>
      <c r="AT176" s="1732" t="str">
        <f>IF($AF176=0,0,IFERROR(($AF176+L176)/(HLOOKUP($D176,RentsUA!$B$61:$H$62,2,FALSE)),""))</f>
        <v/>
      </c>
      <c r="AU176" s="1733" t="str">
        <f>IFERROR(G176/HLOOKUP(H176,RentsUA!$B$40:$I$41,2),"")</f>
        <v/>
      </c>
      <c r="BR176" s="404" t="str">
        <f t="shared" si="51"/>
        <v/>
      </c>
      <c r="BS176" s="5" t="str">
        <f t="array" ref="BS176">IFERROR(INDEX($BR$13:$BR$412, MATCH(0, COUNTIF($BS$12:$BS175, $BR$13:$BR$412), 0)),"")</f>
        <v/>
      </c>
      <c r="BT176" s="404" t="str">
        <f t="shared" si="46"/>
        <v/>
      </c>
      <c r="BU176" s="404" t="str">
        <f t="array" ref="BU176">IFERROR(INDEX($BT$13:$BT$412, MATCH(0, COUNTIF($BU$12:$BU175, $BT$13:$BT$412), 0)),"")</f>
        <v/>
      </c>
    </row>
    <row r="177" spans="1:73" s="404" customFormat="1" ht="13.2">
      <c r="A177" s="406">
        <f t="shared" si="52"/>
        <v>165</v>
      </c>
      <c r="B177" s="472"/>
      <c r="C177" s="470"/>
      <c r="D177" s="407"/>
      <c r="E177" s="407"/>
      <c r="F177" s="408"/>
      <c r="G177" s="409"/>
      <c r="H177" s="407"/>
      <c r="I177" s="1029" t="str">
        <f>IFERROR(G177/HLOOKUP(H177,RentsUA!$B$8:$J$9,2),"")</f>
        <v/>
      </c>
      <c r="J177" s="407"/>
      <c r="K177" s="412"/>
      <c r="L177" s="672">
        <f t="shared" si="41"/>
        <v>0</v>
      </c>
      <c r="M177" s="671"/>
      <c r="N177" s="410">
        <f t="shared" si="42"/>
        <v>0</v>
      </c>
      <c r="O177" s="469" t="str">
        <f>IF($M177=0,"",IFERROR(($L177+$M177)/(HLOOKUP($D177,RentsUA!$K$12:$Q$35,19,FALSE)),""))</f>
        <v/>
      </c>
      <c r="P177" s="469" t="str">
        <f>IF($M177=0,"",IFERROR(($M177+K177+L177)/(HLOOKUP($D177,RentsUA!$K$12:$Q$35,19,FALSE)),""))</f>
        <v/>
      </c>
      <c r="Q177" s="411"/>
      <c r="R177" s="673" t="str">
        <f>IF($Q177=0,"",VLOOKUP($Q177,RentsUA!$A$12:$H$35,MATCH($D177,RentsUA!$A$12:$H$12,0),FALSE))</f>
        <v/>
      </c>
      <c r="S177" s="409"/>
      <c r="T177" s="674"/>
      <c r="U177" s="672"/>
      <c r="V177" s="673" t="str">
        <f t="shared" si="47"/>
        <v/>
      </c>
      <c r="W177" s="470"/>
      <c r="X177" s="411"/>
      <c r="Y177" s="410" t="str">
        <f>IF(X177=0,"",VLOOKUP($X177,RentsUA!$A$12:$H$35,MATCH($D177,RentsUA!$A$12:$H$12,0),FALSE))</f>
        <v/>
      </c>
      <c r="Z177" s="410" t="str">
        <f t="shared" si="43"/>
        <v/>
      </c>
      <c r="AA177" s="1297" t="str">
        <f>IF(H177="","",IF(G177/HLOOKUP($H177,RentsUA!$M$8:$T$9,2,FALSE)&gt;1,"&gt; 80%","&lt;= 80%"))</f>
        <v/>
      </c>
      <c r="AB177" s="1106"/>
      <c r="AC177" s="1106"/>
      <c r="AD177" s="622"/>
      <c r="AE177" s="412"/>
      <c r="AF177" s="807" t="str">
        <f>IF(AD177="","",IF(AD177=Lists!$U$3,M177,IF(AD177=Lists!$U$4,V177,IF(AD177=Lists!$U$5,Y177-L177,AE177))))</f>
        <v/>
      </c>
      <c r="AG177" s="410" t="str">
        <f t="shared" si="44"/>
        <v/>
      </c>
      <c r="AH177" s="469" t="str">
        <f t="shared" si="45"/>
        <v/>
      </c>
      <c r="AI177" s="469" t="str">
        <f>IF($AF177=0,0,IFERROR(($L177+$AF177)/(HLOOKUP($D177,RentsUA!$K$12:$Q$35,19,FALSE)),""))</f>
        <v/>
      </c>
      <c r="AJ177" s="469" t="str">
        <f>IF($AF177=0,0,IFERROR(($AF177+K177+L177)/(HLOOKUP($D177,RentsUA!$K$12:$Q$35,19,FALSE)),""))</f>
        <v/>
      </c>
      <c r="AK177" s="469" t="str">
        <f t="shared" si="48"/>
        <v/>
      </c>
      <c r="AL177" s="469" t="str">
        <f t="shared" si="49"/>
        <v/>
      </c>
      <c r="AM177" s="1106" t="str">
        <f t="shared" si="50"/>
        <v/>
      </c>
      <c r="AN177" s="1106" t="str">
        <f>IFERROR(AM177*(1+'7a.20YrDetails'!$F$9),"")</f>
        <v/>
      </c>
      <c r="AO177" s="1106" t="str">
        <f>IFERROR(AN177*(1+'7a.20YrDetails'!$F$9),"")</f>
        <v/>
      </c>
      <c r="AP177" s="1106" t="str">
        <f>IFERROR(AO177*(1+'7a.20YrDetails'!$F$9),"")</f>
        <v/>
      </c>
      <c r="AQ177" s="1106" t="str">
        <f>IFERROR(AP177*(1+'7a.20YrDetails'!$F$9),"")</f>
        <v/>
      </c>
      <c r="AR177" s="674"/>
      <c r="AS177" s="672"/>
      <c r="AT177" s="1732" t="str">
        <f>IF($AF177=0,0,IFERROR(($AF177+L177)/(HLOOKUP($D177,RentsUA!$B$61:$H$62,2,FALSE)),""))</f>
        <v/>
      </c>
      <c r="AU177" s="1733" t="str">
        <f>IFERROR(G177/HLOOKUP(H177,RentsUA!$B$40:$I$41,2),"")</f>
        <v/>
      </c>
      <c r="BR177" s="404" t="str">
        <f t="shared" si="51"/>
        <v/>
      </c>
      <c r="BS177" s="5" t="str">
        <f t="array" ref="BS177">IFERROR(INDEX($BR$13:$BR$412, MATCH(0, COUNTIF($BS$12:$BS176, $BR$13:$BR$412), 0)),"")</f>
        <v/>
      </c>
      <c r="BT177" s="404" t="str">
        <f t="shared" si="46"/>
        <v/>
      </c>
      <c r="BU177" s="404" t="str">
        <f t="array" ref="BU177">IFERROR(INDEX($BT$13:$BT$412, MATCH(0, COUNTIF($BU$12:$BU176, $BT$13:$BT$412), 0)),"")</f>
        <v/>
      </c>
    </row>
    <row r="178" spans="1:73" s="404" customFormat="1" ht="13.2">
      <c r="A178" s="406">
        <f t="shared" si="52"/>
        <v>166</v>
      </c>
      <c r="B178" s="472"/>
      <c r="C178" s="470"/>
      <c r="D178" s="407"/>
      <c r="E178" s="407"/>
      <c r="F178" s="408"/>
      <c r="G178" s="409"/>
      <c r="H178" s="407"/>
      <c r="I178" s="1029" t="str">
        <f>IFERROR(G178/HLOOKUP(H178,RentsUA!$B$8:$J$9,2),"")</f>
        <v/>
      </c>
      <c r="J178" s="407"/>
      <c r="K178" s="412"/>
      <c r="L178" s="672">
        <f t="shared" si="41"/>
        <v>0</v>
      </c>
      <c r="M178" s="671"/>
      <c r="N178" s="410">
        <f t="shared" si="42"/>
        <v>0</v>
      </c>
      <c r="O178" s="469" t="str">
        <f>IF($M178=0,"",IFERROR(($L178+$M178)/(HLOOKUP($D178,RentsUA!$K$12:$Q$35,19,FALSE)),""))</f>
        <v/>
      </c>
      <c r="P178" s="469" t="str">
        <f>IF($M178=0,"",IFERROR(($M178+K178+L178)/(HLOOKUP($D178,RentsUA!$K$12:$Q$35,19,FALSE)),""))</f>
        <v/>
      </c>
      <c r="Q178" s="411"/>
      <c r="R178" s="673" t="str">
        <f>IF($Q178=0,"",VLOOKUP($Q178,RentsUA!$A$12:$H$35,MATCH($D178,RentsUA!$A$12:$H$12,0),FALSE))</f>
        <v/>
      </c>
      <c r="S178" s="409"/>
      <c r="T178" s="674"/>
      <c r="U178" s="672"/>
      <c r="V178" s="673" t="str">
        <f t="shared" si="47"/>
        <v/>
      </c>
      <c r="W178" s="470"/>
      <c r="X178" s="411"/>
      <c r="Y178" s="410" t="str">
        <f>IF(X178=0,"",VLOOKUP($X178,RentsUA!$A$12:$H$35,MATCH($D178,RentsUA!$A$12:$H$12,0),FALSE))</f>
        <v/>
      </c>
      <c r="Z178" s="410" t="str">
        <f t="shared" si="43"/>
        <v/>
      </c>
      <c r="AA178" s="1297" t="str">
        <f>IF(H178="","",IF(G178/HLOOKUP($H178,RentsUA!$M$8:$T$9,2,FALSE)&gt;1,"&gt; 80%","&lt;= 80%"))</f>
        <v/>
      </c>
      <c r="AB178" s="1106"/>
      <c r="AC178" s="1106"/>
      <c r="AD178" s="622"/>
      <c r="AE178" s="412"/>
      <c r="AF178" s="807" t="str">
        <f>IF(AD178="","",IF(AD178=Lists!$U$3,M178,IF(AD178=Lists!$U$4,V178,IF(AD178=Lists!$U$5,Y178-L178,AE178))))</f>
        <v/>
      </c>
      <c r="AG178" s="410" t="str">
        <f t="shared" si="44"/>
        <v/>
      </c>
      <c r="AH178" s="469" t="str">
        <f t="shared" si="45"/>
        <v/>
      </c>
      <c r="AI178" s="469" t="str">
        <f>IF($AF178=0,0,IFERROR(($L178+$AF178)/(HLOOKUP($D178,RentsUA!$K$12:$Q$35,19,FALSE)),""))</f>
        <v/>
      </c>
      <c r="AJ178" s="469" t="str">
        <f>IF($AF178=0,0,IFERROR(($AF178+K178+L178)/(HLOOKUP($D178,RentsUA!$K$12:$Q$35,19,FALSE)),""))</f>
        <v/>
      </c>
      <c r="AK178" s="469" t="str">
        <f t="shared" si="48"/>
        <v/>
      </c>
      <c r="AL178" s="469" t="str">
        <f t="shared" si="49"/>
        <v/>
      </c>
      <c r="AM178" s="1106" t="str">
        <f t="shared" si="50"/>
        <v/>
      </c>
      <c r="AN178" s="1106" t="str">
        <f>IFERROR(AM178*(1+'7a.20YrDetails'!$F$9),"")</f>
        <v/>
      </c>
      <c r="AO178" s="1106" t="str">
        <f>IFERROR(AN178*(1+'7a.20YrDetails'!$F$9),"")</f>
        <v/>
      </c>
      <c r="AP178" s="1106" t="str">
        <f>IFERROR(AO178*(1+'7a.20YrDetails'!$F$9),"")</f>
        <v/>
      </c>
      <c r="AQ178" s="1106" t="str">
        <f>IFERROR(AP178*(1+'7a.20YrDetails'!$F$9),"")</f>
        <v/>
      </c>
      <c r="AR178" s="674"/>
      <c r="AS178" s="672"/>
      <c r="AT178" s="1732" t="str">
        <f>IF($AF178=0,0,IFERROR(($AF178+L178)/(HLOOKUP($D178,RentsUA!$B$61:$H$62,2,FALSE)),""))</f>
        <v/>
      </c>
      <c r="AU178" s="1733" t="str">
        <f>IFERROR(G178/HLOOKUP(H178,RentsUA!$B$40:$I$41,2),"")</f>
        <v/>
      </c>
      <c r="BR178" s="404" t="str">
        <f t="shared" si="51"/>
        <v/>
      </c>
      <c r="BS178" s="5" t="str">
        <f t="array" ref="BS178">IFERROR(INDEX($BR$13:$BR$412, MATCH(0, COUNTIF($BS$12:$BS177, $BR$13:$BR$412), 0)),"")</f>
        <v/>
      </c>
      <c r="BT178" s="404" t="str">
        <f t="shared" si="46"/>
        <v/>
      </c>
      <c r="BU178" s="404" t="str">
        <f t="array" ref="BU178">IFERROR(INDEX($BT$13:$BT$412, MATCH(0, COUNTIF($BU$12:$BU177, $BT$13:$BT$412), 0)),"")</f>
        <v/>
      </c>
    </row>
    <row r="179" spans="1:73" s="404" customFormat="1" ht="13.2">
      <c r="A179" s="406">
        <f t="shared" si="52"/>
        <v>167</v>
      </c>
      <c r="B179" s="472"/>
      <c r="C179" s="470"/>
      <c r="D179" s="407"/>
      <c r="E179" s="407"/>
      <c r="F179" s="408"/>
      <c r="G179" s="409"/>
      <c r="H179" s="407"/>
      <c r="I179" s="1029" t="str">
        <f>IFERROR(G179/HLOOKUP(H179,RentsUA!$B$8:$J$9,2),"")</f>
        <v/>
      </c>
      <c r="J179" s="407"/>
      <c r="K179" s="412"/>
      <c r="L179" s="672">
        <f t="shared" si="41"/>
        <v>0</v>
      </c>
      <c r="M179" s="671"/>
      <c r="N179" s="410">
        <f t="shared" si="42"/>
        <v>0</v>
      </c>
      <c r="O179" s="469" t="str">
        <f>IF($M179=0,"",IFERROR(($L179+$M179)/(HLOOKUP($D179,RentsUA!$K$12:$Q$35,19,FALSE)),""))</f>
        <v/>
      </c>
      <c r="P179" s="469" t="str">
        <f>IF($M179=0,"",IFERROR(($M179+K179+L179)/(HLOOKUP($D179,RentsUA!$K$12:$Q$35,19,FALSE)),""))</f>
        <v/>
      </c>
      <c r="Q179" s="411"/>
      <c r="R179" s="673" t="str">
        <f>IF($Q179=0,"",VLOOKUP($Q179,RentsUA!$A$12:$H$35,MATCH($D179,RentsUA!$A$12:$H$12,0),FALSE))</f>
        <v/>
      </c>
      <c r="S179" s="409"/>
      <c r="T179" s="674"/>
      <c r="U179" s="672"/>
      <c r="V179" s="673" t="str">
        <f t="shared" si="47"/>
        <v/>
      </c>
      <c r="W179" s="470"/>
      <c r="X179" s="411"/>
      <c r="Y179" s="410" t="str">
        <f>IF(X179=0,"",VLOOKUP($X179,RentsUA!$A$12:$H$35,MATCH($D179,RentsUA!$A$12:$H$12,0),FALSE))</f>
        <v/>
      </c>
      <c r="Z179" s="410" t="str">
        <f t="shared" si="43"/>
        <v/>
      </c>
      <c r="AA179" s="1297" t="str">
        <f>IF(H179="","",IF(G179/HLOOKUP($H179,RentsUA!$M$8:$T$9,2,FALSE)&gt;1,"&gt; 80%","&lt;= 80%"))</f>
        <v/>
      </c>
      <c r="AB179" s="1106"/>
      <c r="AC179" s="1106"/>
      <c r="AD179" s="622"/>
      <c r="AE179" s="412"/>
      <c r="AF179" s="807" t="str">
        <f>IF(AD179="","",IF(AD179=Lists!$U$3,M179,IF(AD179=Lists!$U$4,V179,IF(AD179=Lists!$U$5,Y179-L179,AE179))))</f>
        <v/>
      </c>
      <c r="AG179" s="410" t="str">
        <f t="shared" si="44"/>
        <v/>
      </c>
      <c r="AH179" s="469" t="str">
        <f t="shared" si="45"/>
        <v/>
      </c>
      <c r="AI179" s="469" t="str">
        <f>IF($AF179=0,0,IFERROR(($L179+$AF179)/(HLOOKUP($D179,RentsUA!$K$12:$Q$35,19,FALSE)),""))</f>
        <v/>
      </c>
      <c r="AJ179" s="469" t="str">
        <f>IF($AF179=0,0,IFERROR(($AF179+K179+L179)/(HLOOKUP($D179,RentsUA!$K$12:$Q$35,19,FALSE)),""))</f>
        <v/>
      </c>
      <c r="AK179" s="469" t="str">
        <f t="shared" si="48"/>
        <v/>
      </c>
      <c r="AL179" s="469" t="str">
        <f t="shared" si="49"/>
        <v/>
      </c>
      <c r="AM179" s="1106" t="str">
        <f t="shared" si="50"/>
        <v/>
      </c>
      <c r="AN179" s="1106" t="str">
        <f>IFERROR(AM179*(1+'7a.20YrDetails'!$F$9),"")</f>
        <v/>
      </c>
      <c r="AO179" s="1106" t="str">
        <f>IFERROR(AN179*(1+'7a.20YrDetails'!$F$9),"")</f>
        <v/>
      </c>
      <c r="AP179" s="1106" t="str">
        <f>IFERROR(AO179*(1+'7a.20YrDetails'!$F$9),"")</f>
        <v/>
      </c>
      <c r="AQ179" s="1106" t="str">
        <f>IFERROR(AP179*(1+'7a.20YrDetails'!$F$9),"")</f>
        <v/>
      </c>
      <c r="AR179" s="674"/>
      <c r="AS179" s="672"/>
      <c r="AT179" s="1732" t="str">
        <f>IF($AF179=0,0,IFERROR(($AF179+L179)/(HLOOKUP($D179,RentsUA!$B$61:$H$62,2,FALSE)),""))</f>
        <v/>
      </c>
      <c r="AU179" s="1733" t="str">
        <f>IFERROR(G179/HLOOKUP(H179,RentsUA!$B$40:$I$41,2),"")</f>
        <v/>
      </c>
      <c r="BR179" s="404" t="str">
        <f t="shared" si="51"/>
        <v/>
      </c>
      <c r="BS179" s="5" t="str">
        <f t="array" ref="BS179">IFERROR(INDEX($BR$13:$BR$412, MATCH(0, COUNTIF($BS$12:$BS178, $BR$13:$BR$412), 0)),"")</f>
        <v/>
      </c>
      <c r="BT179" s="404" t="str">
        <f t="shared" si="46"/>
        <v/>
      </c>
      <c r="BU179" s="404" t="str">
        <f t="array" ref="BU179">IFERROR(INDEX($BT$13:$BT$412, MATCH(0, COUNTIF($BU$12:$BU178, $BT$13:$BT$412), 0)),"")</f>
        <v/>
      </c>
    </row>
    <row r="180" spans="1:73" s="404" customFormat="1" ht="13.2">
      <c r="A180" s="406">
        <f t="shared" si="52"/>
        <v>168</v>
      </c>
      <c r="B180" s="472"/>
      <c r="C180" s="470"/>
      <c r="D180" s="407"/>
      <c r="E180" s="407"/>
      <c r="F180" s="408"/>
      <c r="G180" s="409"/>
      <c r="H180" s="407"/>
      <c r="I180" s="1029" t="str">
        <f>IFERROR(G180/HLOOKUP(H180,RentsUA!$B$8:$J$9,2),"")</f>
        <v/>
      </c>
      <c r="J180" s="407"/>
      <c r="K180" s="412"/>
      <c r="L180" s="672">
        <f t="shared" si="41"/>
        <v>0</v>
      </c>
      <c r="M180" s="671"/>
      <c r="N180" s="410">
        <f t="shared" si="42"/>
        <v>0</v>
      </c>
      <c r="O180" s="469" t="str">
        <f>IF($M180=0,"",IFERROR(($L180+$M180)/(HLOOKUP($D180,RentsUA!$K$12:$Q$35,19,FALSE)),""))</f>
        <v/>
      </c>
      <c r="P180" s="469" t="str">
        <f>IF($M180=0,"",IFERROR(($M180+K180+L180)/(HLOOKUP($D180,RentsUA!$K$12:$Q$35,19,FALSE)),""))</f>
        <v/>
      </c>
      <c r="Q180" s="411"/>
      <c r="R180" s="673" t="str">
        <f>IF($Q180=0,"",VLOOKUP($Q180,RentsUA!$A$12:$H$35,MATCH($D180,RentsUA!$A$12:$H$12,0),FALSE))</f>
        <v/>
      </c>
      <c r="S180" s="409"/>
      <c r="T180" s="674"/>
      <c r="U180" s="672"/>
      <c r="V180" s="673" t="str">
        <f t="shared" si="47"/>
        <v/>
      </c>
      <c r="W180" s="470"/>
      <c r="X180" s="411"/>
      <c r="Y180" s="410" t="str">
        <f>IF(X180=0,"",VLOOKUP($X180,RentsUA!$A$12:$H$35,MATCH($D180,RentsUA!$A$12:$H$12,0),FALSE))</f>
        <v/>
      </c>
      <c r="Z180" s="410" t="str">
        <f t="shared" si="43"/>
        <v/>
      </c>
      <c r="AA180" s="1297" t="str">
        <f>IF(H180="","",IF(G180/HLOOKUP($H180,RentsUA!$M$8:$T$9,2,FALSE)&gt;1,"&gt; 80%","&lt;= 80%"))</f>
        <v/>
      </c>
      <c r="AB180" s="1106"/>
      <c r="AC180" s="1106"/>
      <c r="AD180" s="622"/>
      <c r="AE180" s="412"/>
      <c r="AF180" s="807" t="str">
        <f>IF(AD180="","",IF(AD180=Lists!$U$3,M180,IF(AD180=Lists!$U$4,V180,IF(AD180=Lists!$U$5,Y180-L180,AE180))))</f>
        <v/>
      </c>
      <c r="AG180" s="410" t="str">
        <f t="shared" si="44"/>
        <v/>
      </c>
      <c r="AH180" s="469" t="str">
        <f t="shared" si="45"/>
        <v/>
      </c>
      <c r="AI180" s="469" t="str">
        <f>IF($AF180=0,0,IFERROR(($L180+$AF180)/(HLOOKUP($D180,RentsUA!$K$12:$Q$35,19,FALSE)),""))</f>
        <v/>
      </c>
      <c r="AJ180" s="469" t="str">
        <f>IF($AF180=0,0,IFERROR(($AF180+K180+L180)/(HLOOKUP($D180,RentsUA!$K$12:$Q$35,19,FALSE)),""))</f>
        <v/>
      </c>
      <c r="AK180" s="469" t="str">
        <f t="shared" si="48"/>
        <v/>
      </c>
      <c r="AL180" s="469" t="str">
        <f t="shared" si="49"/>
        <v/>
      </c>
      <c r="AM180" s="1106" t="str">
        <f t="shared" si="50"/>
        <v/>
      </c>
      <c r="AN180" s="1106" t="str">
        <f>IFERROR(AM180*(1+'7a.20YrDetails'!$F$9),"")</f>
        <v/>
      </c>
      <c r="AO180" s="1106" t="str">
        <f>IFERROR(AN180*(1+'7a.20YrDetails'!$F$9),"")</f>
        <v/>
      </c>
      <c r="AP180" s="1106" t="str">
        <f>IFERROR(AO180*(1+'7a.20YrDetails'!$F$9),"")</f>
        <v/>
      </c>
      <c r="AQ180" s="1106" t="str">
        <f>IFERROR(AP180*(1+'7a.20YrDetails'!$F$9),"")</f>
        <v/>
      </c>
      <c r="AR180" s="674"/>
      <c r="AS180" s="672"/>
      <c r="AT180" s="1732" t="str">
        <f>IF($AF180=0,0,IFERROR(($AF180+L180)/(HLOOKUP($D180,RentsUA!$B$61:$H$62,2,FALSE)),""))</f>
        <v/>
      </c>
      <c r="AU180" s="1733" t="str">
        <f>IFERROR(G180/HLOOKUP(H180,RentsUA!$B$40:$I$41,2),"")</f>
        <v/>
      </c>
      <c r="BR180" s="404" t="str">
        <f t="shared" si="51"/>
        <v/>
      </c>
      <c r="BS180" s="5" t="str">
        <f t="array" ref="BS180">IFERROR(INDEX($BR$13:$BR$412, MATCH(0, COUNTIF($BS$12:$BS179, $BR$13:$BR$412), 0)),"")</f>
        <v/>
      </c>
      <c r="BT180" s="404" t="str">
        <f t="shared" si="46"/>
        <v/>
      </c>
      <c r="BU180" s="404" t="str">
        <f t="array" ref="BU180">IFERROR(INDEX($BT$13:$BT$412, MATCH(0, COUNTIF($BU$12:$BU179, $BT$13:$BT$412), 0)),"")</f>
        <v/>
      </c>
    </row>
    <row r="181" spans="1:73" s="404" customFormat="1" ht="13.2">
      <c r="A181" s="406">
        <f t="shared" si="52"/>
        <v>169</v>
      </c>
      <c r="B181" s="472"/>
      <c r="C181" s="470"/>
      <c r="D181" s="407"/>
      <c r="E181" s="407"/>
      <c r="F181" s="408"/>
      <c r="G181" s="409"/>
      <c r="H181" s="407"/>
      <c r="I181" s="1029" t="str">
        <f>IFERROR(G181/HLOOKUP(H181,RentsUA!$B$8:$J$9,2),"")</f>
        <v/>
      </c>
      <c r="J181" s="407"/>
      <c r="K181" s="412"/>
      <c r="L181" s="672">
        <f t="shared" si="41"/>
        <v>0</v>
      </c>
      <c r="M181" s="671"/>
      <c r="N181" s="410">
        <f t="shared" si="42"/>
        <v>0</v>
      </c>
      <c r="O181" s="469" t="str">
        <f>IF($M181=0,"",IFERROR(($L181+$M181)/(HLOOKUP($D181,RentsUA!$K$12:$Q$35,19,FALSE)),""))</f>
        <v/>
      </c>
      <c r="P181" s="469" t="str">
        <f>IF($M181=0,"",IFERROR(($M181+K181+L181)/(HLOOKUP($D181,RentsUA!$K$12:$Q$35,19,FALSE)),""))</f>
        <v/>
      </c>
      <c r="Q181" s="411"/>
      <c r="R181" s="673" t="str">
        <f>IF($Q181=0,"",VLOOKUP($Q181,RentsUA!$A$12:$H$35,MATCH($D181,RentsUA!$A$12:$H$12,0),FALSE))</f>
        <v/>
      </c>
      <c r="S181" s="409"/>
      <c r="T181" s="674"/>
      <c r="U181" s="672"/>
      <c r="V181" s="673" t="str">
        <f t="shared" si="47"/>
        <v/>
      </c>
      <c r="W181" s="470"/>
      <c r="X181" s="411"/>
      <c r="Y181" s="410" t="str">
        <f>IF(X181=0,"",VLOOKUP($X181,RentsUA!$A$12:$H$35,MATCH($D181,RentsUA!$A$12:$H$12,0),FALSE))</f>
        <v/>
      </c>
      <c r="Z181" s="410" t="str">
        <f t="shared" si="43"/>
        <v/>
      </c>
      <c r="AA181" s="1297" t="str">
        <f>IF(H181="","",IF(G181/HLOOKUP($H181,RentsUA!$M$8:$T$9,2,FALSE)&gt;1,"&gt; 80%","&lt;= 80%"))</f>
        <v/>
      </c>
      <c r="AB181" s="1106"/>
      <c r="AC181" s="1106"/>
      <c r="AD181" s="622"/>
      <c r="AE181" s="412"/>
      <c r="AF181" s="807" t="str">
        <f>IF(AD181="","",IF(AD181=Lists!$U$3,M181,IF(AD181=Lists!$U$4,V181,IF(AD181=Lists!$U$5,Y181-L181,AE181))))</f>
        <v/>
      </c>
      <c r="AG181" s="410" t="str">
        <f t="shared" si="44"/>
        <v/>
      </c>
      <c r="AH181" s="469" t="str">
        <f t="shared" si="45"/>
        <v/>
      </c>
      <c r="AI181" s="469" t="str">
        <f>IF($AF181=0,0,IFERROR(($L181+$AF181)/(HLOOKUP($D181,RentsUA!$K$12:$Q$35,19,FALSE)),""))</f>
        <v/>
      </c>
      <c r="AJ181" s="469" t="str">
        <f>IF($AF181=0,0,IFERROR(($AF181+K181+L181)/(HLOOKUP($D181,RentsUA!$K$12:$Q$35,19,FALSE)),""))</f>
        <v/>
      </c>
      <c r="AK181" s="469" t="str">
        <f t="shared" si="48"/>
        <v/>
      </c>
      <c r="AL181" s="469" t="str">
        <f t="shared" si="49"/>
        <v/>
      </c>
      <c r="AM181" s="1106" t="str">
        <f t="shared" si="50"/>
        <v/>
      </c>
      <c r="AN181" s="1106" t="str">
        <f>IFERROR(AM181*(1+'7a.20YrDetails'!$F$9),"")</f>
        <v/>
      </c>
      <c r="AO181" s="1106" t="str">
        <f>IFERROR(AN181*(1+'7a.20YrDetails'!$F$9),"")</f>
        <v/>
      </c>
      <c r="AP181" s="1106" t="str">
        <f>IFERROR(AO181*(1+'7a.20YrDetails'!$F$9),"")</f>
        <v/>
      </c>
      <c r="AQ181" s="1106" t="str">
        <f>IFERROR(AP181*(1+'7a.20YrDetails'!$F$9),"")</f>
        <v/>
      </c>
      <c r="AR181" s="674"/>
      <c r="AS181" s="672"/>
      <c r="AT181" s="1732" t="str">
        <f>IF($AF181=0,0,IFERROR(($AF181+L181)/(HLOOKUP($D181,RentsUA!$B$61:$H$62,2,FALSE)),""))</f>
        <v/>
      </c>
      <c r="AU181" s="1733" t="str">
        <f>IFERROR(G181/HLOOKUP(H181,RentsUA!$B$40:$I$41,2),"")</f>
        <v/>
      </c>
      <c r="BR181" s="404" t="str">
        <f t="shared" si="51"/>
        <v/>
      </c>
      <c r="BS181" s="5" t="str">
        <f t="array" ref="BS181">IFERROR(INDEX($BR$13:$BR$412, MATCH(0, COUNTIF($BS$12:$BS180, $BR$13:$BR$412), 0)),"")</f>
        <v/>
      </c>
      <c r="BT181" s="404" t="str">
        <f t="shared" si="46"/>
        <v/>
      </c>
      <c r="BU181" s="404" t="str">
        <f t="array" ref="BU181">IFERROR(INDEX($BT$13:$BT$412, MATCH(0, COUNTIF($BU$12:$BU180, $BT$13:$BT$412), 0)),"")</f>
        <v/>
      </c>
    </row>
    <row r="182" spans="1:73" s="404" customFormat="1" ht="13.2">
      <c r="A182" s="406">
        <f t="shared" si="52"/>
        <v>170</v>
      </c>
      <c r="B182" s="472"/>
      <c r="C182" s="470"/>
      <c r="D182" s="407"/>
      <c r="E182" s="407"/>
      <c r="F182" s="408"/>
      <c r="G182" s="409"/>
      <c r="H182" s="407"/>
      <c r="I182" s="1029" t="str">
        <f>IFERROR(G182/HLOOKUP(H182,RentsUA!$B$8:$J$9,2),"")</f>
        <v/>
      </c>
      <c r="J182" s="407"/>
      <c r="K182" s="412"/>
      <c r="L182" s="672">
        <f t="shared" si="41"/>
        <v>0</v>
      </c>
      <c r="M182" s="671"/>
      <c r="N182" s="410">
        <f t="shared" si="42"/>
        <v>0</v>
      </c>
      <c r="O182" s="469" t="str">
        <f>IF($M182=0,"",IFERROR(($L182+$M182)/(HLOOKUP($D182,RentsUA!$K$12:$Q$35,19,FALSE)),""))</f>
        <v/>
      </c>
      <c r="P182" s="469" t="str">
        <f>IF($M182=0,"",IFERROR(($M182+K182+L182)/(HLOOKUP($D182,RentsUA!$K$12:$Q$35,19,FALSE)),""))</f>
        <v/>
      </c>
      <c r="Q182" s="411"/>
      <c r="R182" s="673" t="str">
        <f>IF($Q182=0,"",VLOOKUP($Q182,RentsUA!$A$12:$H$35,MATCH($D182,RentsUA!$A$12:$H$12,0),FALSE))</f>
        <v/>
      </c>
      <c r="S182" s="409"/>
      <c r="T182" s="674"/>
      <c r="U182" s="672"/>
      <c r="V182" s="673" t="str">
        <f t="shared" si="47"/>
        <v/>
      </c>
      <c r="W182" s="470"/>
      <c r="X182" s="411"/>
      <c r="Y182" s="410" t="str">
        <f>IF(X182=0,"",VLOOKUP($X182,RentsUA!$A$12:$H$35,MATCH($D182,RentsUA!$A$12:$H$12,0),FALSE))</f>
        <v/>
      </c>
      <c r="Z182" s="410" t="str">
        <f t="shared" si="43"/>
        <v/>
      </c>
      <c r="AA182" s="1297" t="str">
        <f>IF(H182="","",IF(G182/HLOOKUP($H182,RentsUA!$M$8:$T$9,2,FALSE)&gt;1,"&gt; 80%","&lt;= 80%"))</f>
        <v/>
      </c>
      <c r="AB182" s="1106"/>
      <c r="AC182" s="1106"/>
      <c r="AD182" s="622"/>
      <c r="AE182" s="412"/>
      <c r="AF182" s="807" t="str">
        <f>IF(AD182="","",IF(AD182=Lists!$U$3,M182,IF(AD182=Lists!$U$4,V182,IF(AD182=Lists!$U$5,Y182-L182,AE182))))</f>
        <v/>
      </c>
      <c r="AG182" s="410" t="str">
        <f t="shared" si="44"/>
        <v/>
      </c>
      <c r="AH182" s="469" t="str">
        <f t="shared" si="45"/>
        <v/>
      </c>
      <c r="AI182" s="469" t="str">
        <f>IF($AF182=0,0,IFERROR(($L182+$AF182)/(HLOOKUP($D182,RentsUA!$K$12:$Q$35,19,FALSE)),""))</f>
        <v/>
      </c>
      <c r="AJ182" s="469" t="str">
        <f>IF($AF182=0,0,IFERROR(($AF182+K182+L182)/(HLOOKUP($D182,RentsUA!$K$12:$Q$35,19,FALSE)),""))</f>
        <v/>
      </c>
      <c r="AK182" s="469" t="str">
        <f t="shared" si="48"/>
        <v/>
      </c>
      <c r="AL182" s="469" t="str">
        <f t="shared" si="49"/>
        <v/>
      </c>
      <c r="AM182" s="1106" t="str">
        <f t="shared" si="50"/>
        <v/>
      </c>
      <c r="AN182" s="1106" t="str">
        <f>IFERROR(AM182*(1+'7a.20YrDetails'!$F$9),"")</f>
        <v/>
      </c>
      <c r="AO182" s="1106" t="str">
        <f>IFERROR(AN182*(1+'7a.20YrDetails'!$F$9),"")</f>
        <v/>
      </c>
      <c r="AP182" s="1106" t="str">
        <f>IFERROR(AO182*(1+'7a.20YrDetails'!$F$9),"")</f>
        <v/>
      </c>
      <c r="AQ182" s="1106" t="str">
        <f>IFERROR(AP182*(1+'7a.20YrDetails'!$F$9),"")</f>
        <v/>
      </c>
      <c r="AR182" s="674"/>
      <c r="AS182" s="672"/>
      <c r="AT182" s="1732" t="str">
        <f>IF($AF182=0,0,IFERROR(($AF182+L182)/(HLOOKUP($D182,RentsUA!$B$61:$H$62,2,FALSE)),""))</f>
        <v/>
      </c>
      <c r="AU182" s="1733" t="str">
        <f>IFERROR(G182/HLOOKUP(H182,RentsUA!$B$40:$I$41,2),"")</f>
        <v/>
      </c>
      <c r="BR182" s="404" t="str">
        <f t="shared" si="51"/>
        <v/>
      </c>
      <c r="BS182" s="5" t="str">
        <f t="array" ref="BS182">IFERROR(INDEX($BR$13:$BR$412, MATCH(0, COUNTIF($BS$12:$BS181, $BR$13:$BR$412), 0)),"")</f>
        <v/>
      </c>
      <c r="BT182" s="404" t="str">
        <f t="shared" si="46"/>
        <v/>
      </c>
      <c r="BU182" s="404" t="str">
        <f t="array" ref="BU182">IFERROR(INDEX($BT$13:$BT$412, MATCH(0, COUNTIF($BU$12:$BU181, $BT$13:$BT$412), 0)),"")</f>
        <v/>
      </c>
    </row>
    <row r="183" spans="1:73" s="404" customFormat="1" ht="13.2">
      <c r="A183" s="406">
        <f t="shared" si="52"/>
        <v>171</v>
      </c>
      <c r="B183" s="472"/>
      <c r="C183" s="470"/>
      <c r="D183" s="407"/>
      <c r="E183" s="407"/>
      <c r="F183" s="408"/>
      <c r="G183" s="409"/>
      <c r="H183" s="407"/>
      <c r="I183" s="1029" t="str">
        <f>IFERROR(G183/HLOOKUP(H183,RentsUA!$B$8:$J$9,2),"")</f>
        <v/>
      </c>
      <c r="J183" s="407"/>
      <c r="K183" s="412"/>
      <c r="L183" s="672">
        <f t="shared" si="41"/>
        <v>0</v>
      </c>
      <c r="M183" s="671"/>
      <c r="N183" s="410">
        <f t="shared" si="42"/>
        <v>0</v>
      </c>
      <c r="O183" s="469" t="str">
        <f>IF($M183=0,"",IFERROR(($L183+$M183)/(HLOOKUP($D183,RentsUA!$K$12:$Q$35,19,FALSE)),""))</f>
        <v/>
      </c>
      <c r="P183" s="469" t="str">
        <f>IF($M183=0,"",IFERROR(($M183+K183+L183)/(HLOOKUP($D183,RentsUA!$K$12:$Q$35,19,FALSE)),""))</f>
        <v/>
      </c>
      <c r="Q183" s="411"/>
      <c r="R183" s="673" t="str">
        <f>IF($Q183=0,"",VLOOKUP($Q183,RentsUA!$A$12:$H$35,MATCH($D183,RentsUA!$A$12:$H$12,0),FALSE))</f>
        <v/>
      </c>
      <c r="S183" s="409"/>
      <c r="T183" s="674"/>
      <c r="U183" s="672"/>
      <c r="V183" s="673" t="str">
        <f t="shared" si="47"/>
        <v/>
      </c>
      <c r="W183" s="470"/>
      <c r="X183" s="411"/>
      <c r="Y183" s="410" t="str">
        <f>IF(X183=0,"",VLOOKUP($X183,RentsUA!$A$12:$H$35,MATCH($D183,RentsUA!$A$12:$H$12,0),FALSE))</f>
        <v/>
      </c>
      <c r="Z183" s="410" t="str">
        <f t="shared" si="43"/>
        <v/>
      </c>
      <c r="AA183" s="1297" t="str">
        <f>IF(H183="","",IF(G183/HLOOKUP($H183,RentsUA!$M$8:$T$9,2,FALSE)&gt;1,"&gt; 80%","&lt;= 80%"))</f>
        <v/>
      </c>
      <c r="AB183" s="1106"/>
      <c r="AC183" s="1106"/>
      <c r="AD183" s="622"/>
      <c r="AE183" s="412"/>
      <c r="AF183" s="807" t="str">
        <f>IF(AD183="","",IF(AD183=Lists!$U$3,M183,IF(AD183=Lists!$U$4,V183,IF(AD183=Lists!$U$5,Y183-L183,AE183))))</f>
        <v/>
      </c>
      <c r="AG183" s="410" t="str">
        <f t="shared" si="44"/>
        <v/>
      </c>
      <c r="AH183" s="469" t="str">
        <f t="shared" si="45"/>
        <v/>
      </c>
      <c r="AI183" s="469" t="str">
        <f>IF($AF183=0,0,IFERROR(($L183+$AF183)/(HLOOKUP($D183,RentsUA!$K$12:$Q$35,19,FALSE)),""))</f>
        <v/>
      </c>
      <c r="AJ183" s="469" t="str">
        <f>IF($AF183=0,0,IFERROR(($AF183+K183+L183)/(HLOOKUP($D183,RentsUA!$K$12:$Q$35,19,FALSE)),""))</f>
        <v/>
      </c>
      <c r="AK183" s="469" t="str">
        <f t="shared" si="48"/>
        <v/>
      </c>
      <c r="AL183" s="469" t="str">
        <f t="shared" si="49"/>
        <v/>
      </c>
      <c r="AM183" s="1106" t="str">
        <f t="shared" si="50"/>
        <v/>
      </c>
      <c r="AN183" s="1106" t="str">
        <f>IFERROR(AM183*(1+'7a.20YrDetails'!$F$9),"")</f>
        <v/>
      </c>
      <c r="AO183" s="1106" t="str">
        <f>IFERROR(AN183*(1+'7a.20YrDetails'!$F$9),"")</f>
        <v/>
      </c>
      <c r="AP183" s="1106" t="str">
        <f>IFERROR(AO183*(1+'7a.20YrDetails'!$F$9),"")</f>
        <v/>
      </c>
      <c r="AQ183" s="1106" t="str">
        <f>IFERROR(AP183*(1+'7a.20YrDetails'!$F$9),"")</f>
        <v/>
      </c>
      <c r="AR183" s="674"/>
      <c r="AS183" s="672"/>
      <c r="AT183" s="1732" t="str">
        <f>IF($AF183=0,0,IFERROR(($AF183+L183)/(HLOOKUP($D183,RentsUA!$B$61:$H$62,2,FALSE)),""))</f>
        <v/>
      </c>
      <c r="AU183" s="1733" t="str">
        <f>IFERROR(G183/HLOOKUP(H183,RentsUA!$B$40:$I$41,2),"")</f>
        <v/>
      </c>
      <c r="BR183" s="404" t="str">
        <f t="shared" si="51"/>
        <v/>
      </c>
      <c r="BS183" s="5" t="str">
        <f t="array" ref="BS183">IFERROR(INDEX($BR$13:$BR$412, MATCH(0, COUNTIF($BS$12:$BS182, $BR$13:$BR$412), 0)),"")</f>
        <v/>
      </c>
      <c r="BT183" s="404" t="str">
        <f t="shared" si="46"/>
        <v/>
      </c>
      <c r="BU183" s="404" t="str">
        <f t="array" ref="BU183">IFERROR(INDEX($BT$13:$BT$412, MATCH(0, COUNTIF($BU$12:$BU182, $BT$13:$BT$412), 0)),"")</f>
        <v/>
      </c>
    </row>
    <row r="184" spans="1:73" s="404" customFormat="1" ht="13.2">
      <c r="A184" s="406">
        <f t="shared" si="52"/>
        <v>172</v>
      </c>
      <c r="B184" s="472"/>
      <c r="C184" s="470"/>
      <c r="D184" s="407"/>
      <c r="E184" s="407"/>
      <c r="F184" s="408"/>
      <c r="G184" s="409"/>
      <c r="H184" s="407"/>
      <c r="I184" s="1029" t="str">
        <f>IFERROR(G184/HLOOKUP(H184,RentsUA!$B$8:$J$9,2),"")</f>
        <v/>
      </c>
      <c r="J184" s="407"/>
      <c r="K184" s="412"/>
      <c r="L184" s="672">
        <f t="shared" si="41"/>
        <v>0</v>
      </c>
      <c r="M184" s="671"/>
      <c r="N184" s="410">
        <f t="shared" si="42"/>
        <v>0</v>
      </c>
      <c r="O184" s="469" t="str">
        <f>IF($M184=0,"",IFERROR(($L184+$M184)/(HLOOKUP($D184,RentsUA!$K$12:$Q$35,19,FALSE)),""))</f>
        <v/>
      </c>
      <c r="P184" s="469" t="str">
        <f>IF($M184=0,"",IFERROR(($M184+K184+L184)/(HLOOKUP($D184,RentsUA!$K$12:$Q$35,19,FALSE)),""))</f>
        <v/>
      </c>
      <c r="Q184" s="411"/>
      <c r="R184" s="673" t="str">
        <f>IF($Q184=0,"",VLOOKUP($Q184,RentsUA!$A$12:$H$35,MATCH($D184,RentsUA!$A$12:$H$12,0),FALSE))</f>
        <v/>
      </c>
      <c r="S184" s="409"/>
      <c r="T184" s="674"/>
      <c r="U184" s="672"/>
      <c r="V184" s="673" t="str">
        <f t="shared" si="47"/>
        <v/>
      </c>
      <c r="W184" s="470"/>
      <c r="X184" s="411"/>
      <c r="Y184" s="410" t="str">
        <f>IF(X184=0,"",VLOOKUP($X184,RentsUA!$A$12:$H$35,MATCH($D184,RentsUA!$A$12:$H$12,0),FALSE))</f>
        <v/>
      </c>
      <c r="Z184" s="410" t="str">
        <f t="shared" si="43"/>
        <v/>
      </c>
      <c r="AA184" s="1297" t="str">
        <f>IF(H184="","",IF(G184/HLOOKUP($H184,RentsUA!$M$8:$T$9,2,FALSE)&gt;1,"&gt; 80%","&lt;= 80%"))</f>
        <v/>
      </c>
      <c r="AB184" s="1106"/>
      <c r="AC184" s="1106"/>
      <c r="AD184" s="622"/>
      <c r="AE184" s="412"/>
      <c r="AF184" s="807" t="str">
        <f>IF(AD184="","",IF(AD184=Lists!$U$3,M184,IF(AD184=Lists!$U$4,V184,IF(AD184=Lists!$U$5,Y184-L184,AE184))))</f>
        <v/>
      </c>
      <c r="AG184" s="410" t="str">
        <f t="shared" si="44"/>
        <v/>
      </c>
      <c r="AH184" s="469" t="str">
        <f t="shared" si="45"/>
        <v/>
      </c>
      <c r="AI184" s="469" t="str">
        <f>IF($AF184=0,0,IFERROR(($L184+$AF184)/(HLOOKUP($D184,RentsUA!$K$12:$Q$35,19,FALSE)),""))</f>
        <v/>
      </c>
      <c r="AJ184" s="469" t="str">
        <f>IF($AF184=0,0,IFERROR(($AF184+K184+L184)/(HLOOKUP($D184,RentsUA!$K$12:$Q$35,19,FALSE)),""))</f>
        <v/>
      </c>
      <c r="AK184" s="469" t="str">
        <f t="shared" si="48"/>
        <v/>
      </c>
      <c r="AL184" s="469" t="str">
        <f t="shared" si="49"/>
        <v/>
      </c>
      <c r="AM184" s="1106" t="str">
        <f t="shared" si="50"/>
        <v/>
      </c>
      <c r="AN184" s="1106" t="str">
        <f>IFERROR(AM184*(1+'7a.20YrDetails'!$F$9),"")</f>
        <v/>
      </c>
      <c r="AO184" s="1106" t="str">
        <f>IFERROR(AN184*(1+'7a.20YrDetails'!$F$9),"")</f>
        <v/>
      </c>
      <c r="AP184" s="1106" t="str">
        <f>IFERROR(AO184*(1+'7a.20YrDetails'!$F$9),"")</f>
        <v/>
      </c>
      <c r="AQ184" s="1106" t="str">
        <f>IFERROR(AP184*(1+'7a.20YrDetails'!$F$9),"")</f>
        <v/>
      </c>
      <c r="AR184" s="674"/>
      <c r="AS184" s="672"/>
      <c r="AT184" s="1732" t="str">
        <f>IF($AF184=0,0,IFERROR(($AF184+L184)/(HLOOKUP($D184,RentsUA!$B$61:$H$62,2,FALSE)),""))</f>
        <v/>
      </c>
      <c r="AU184" s="1733" t="str">
        <f>IFERROR(G184/HLOOKUP(H184,RentsUA!$B$40:$I$41,2),"")</f>
        <v/>
      </c>
      <c r="BR184" s="404" t="str">
        <f t="shared" si="51"/>
        <v/>
      </c>
      <c r="BS184" s="5" t="str">
        <f t="array" ref="BS184">IFERROR(INDEX($BR$13:$BR$412, MATCH(0, COUNTIF($BS$12:$BS183, $BR$13:$BR$412), 0)),"")</f>
        <v/>
      </c>
      <c r="BT184" s="404" t="str">
        <f t="shared" si="46"/>
        <v/>
      </c>
      <c r="BU184" s="404" t="str">
        <f t="array" ref="BU184">IFERROR(INDEX($BT$13:$BT$412, MATCH(0, COUNTIF($BU$12:$BU183, $BT$13:$BT$412), 0)),"")</f>
        <v/>
      </c>
    </row>
    <row r="185" spans="1:73" s="404" customFormat="1" ht="13.2">
      <c r="A185" s="406">
        <f t="shared" si="52"/>
        <v>173</v>
      </c>
      <c r="B185" s="472"/>
      <c r="C185" s="470"/>
      <c r="D185" s="407"/>
      <c r="E185" s="407"/>
      <c r="F185" s="408"/>
      <c r="G185" s="409"/>
      <c r="H185" s="407"/>
      <c r="I185" s="1029" t="str">
        <f>IFERROR(G185/HLOOKUP(H185,RentsUA!$B$8:$J$9,2),"")</f>
        <v/>
      </c>
      <c r="J185" s="407"/>
      <c r="K185" s="412"/>
      <c r="L185" s="672">
        <f t="shared" si="41"/>
        <v>0</v>
      </c>
      <c r="M185" s="671"/>
      <c r="N185" s="410">
        <f t="shared" si="42"/>
        <v>0</v>
      </c>
      <c r="O185" s="469" t="str">
        <f>IF($M185=0,"",IFERROR(($L185+$M185)/(HLOOKUP($D185,RentsUA!$K$12:$Q$35,19,FALSE)),""))</f>
        <v/>
      </c>
      <c r="P185" s="469" t="str">
        <f>IF($M185=0,"",IFERROR(($M185+K185+L185)/(HLOOKUP($D185,RentsUA!$K$12:$Q$35,19,FALSE)),""))</f>
        <v/>
      </c>
      <c r="Q185" s="411"/>
      <c r="R185" s="673" t="str">
        <f>IF($Q185=0,"",VLOOKUP($Q185,RentsUA!$A$12:$H$35,MATCH($D185,RentsUA!$A$12:$H$12,0),FALSE))</f>
        <v/>
      </c>
      <c r="S185" s="409"/>
      <c r="T185" s="674"/>
      <c r="U185" s="672"/>
      <c r="V185" s="673" t="str">
        <f t="shared" si="47"/>
        <v/>
      </c>
      <c r="W185" s="470"/>
      <c r="X185" s="411"/>
      <c r="Y185" s="410" t="str">
        <f>IF(X185=0,"",VLOOKUP($X185,RentsUA!$A$12:$H$35,MATCH($D185,RentsUA!$A$12:$H$12,0),FALSE))</f>
        <v/>
      </c>
      <c r="Z185" s="410" t="str">
        <f t="shared" si="43"/>
        <v/>
      </c>
      <c r="AA185" s="1297" t="str">
        <f>IF(H185="","",IF(G185/HLOOKUP($H185,RentsUA!$M$8:$T$9,2,FALSE)&gt;1,"&gt; 80%","&lt;= 80%"))</f>
        <v/>
      </c>
      <c r="AB185" s="1106"/>
      <c r="AC185" s="1106"/>
      <c r="AD185" s="622"/>
      <c r="AE185" s="412"/>
      <c r="AF185" s="807" t="str">
        <f>IF(AD185="","",IF(AD185=Lists!$U$3,M185,IF(AD185=Lists!$U$4,V185,IF(AD185=Lists!$U$5,Y185-L185,AE185))))</f>
        <v/>
      </c>
      <c r="AG185" s="410" t="str">
        <f t="shared" si="44"/>
        <v/>
      </c>
      <c r="AH185" s="469" t="str">
        <f t="shared" si="45"/>
        <v/>
      </c>
      <c r="AI185" s="469" t="str">
        <f>IF($AF185=0,0,IFERROR(($L185+$AF185)/(HLOOKUP($D185,RentsUA!$K$12:$Q$35,19,FALSE)),""))</f>
        <v/>
      </c>
      <c r="AJ185" s="469" t="str">
        <f>IF($AF185=0,0,IFERROR(($AF185+K185+L185)/(HLOOKUP($D185,RentsUA!$K$12:$Q$35,19,FALSE)),""))</f>
        <v/>
      </c>
      <c r="AK185" s="469" t="str">
        <f t="shared" si="48"/>
        <v/>
      </c>
      <c r="AL185" s="469" t="str">
        <f t="shared" si="49"/>
        <v/>
      </c>
      <c r="AM185" s="1106" t="str">
        <f t="shared" si="50"/>
        <v/>
      </c>
      <c r="AN185" s="1106" t="str">
        <f>IFERROR(AM185*(1+'7a.20YrDetails'!$F$9),"")</f>
        <v/>
      </c>
      <c r="AO185" s="1106" t="str">
        <f>IFERROR(AN185*(1+'7a.20YrDetails'!$F$9),"")</f>
        <v/>
      </c>
      <c r="AP185" s="1106" t="str">
        <f>IFERROR(AO185*(1+'7a.20YrDetails'!$F$9),"")</f>
        <v/>
      </c>
      <c r="AQ185" s="1106" t="str">
        <f>IFERROR(AP185*(1+'7a.20YrDetails'!$F$9),"")</f>
        <v/>
      </c>
      <c r="AR185" s="674"/>
      <c r="AS185" s="672"/>
      <c r="AT185" s="1732" t="str">
        <f>IF($AF185=0,0,IFERROR(($AF185+L185)/(HLOOKUP($D185,RentsUA!$B$61:$H$62,2,FALSE)),""))</f>
        <v/>
      </c>
      <c r="AU185" s="1733" t="str">
        <f>IFERROR(G185/HLOOKUP(H185,RentsUA!$B$40:$I$41,2),"")</f>
        <v/>
      </c>
      <c r="BR185" s="404" t="str">
        <f t="shared" si="51"/>
        <v/>
      </c>
      <c r="BS185" s="5" t="str">
        <f t="array" ref="BS185">IFERROR(INDEX($BR$13:$BR$412, MATCH(0, COUNTIF($BS$12:$BS184, $BR$13:$BR$412), 0)),"")</f>
        <v/>
      </c>
      <c r="BT185" s="404" t="str">
        <f t="shared" si="46"/>
        <v/>
      </c>
      <c r="BU185" s="404" t="str">
        <f t="array" ref="BU185">IFERROR(INDEX($BT$13:$BT$412, MATCH(0, COUNTIF($BU$12:$BU184, $BT$13:$BT$412), 0)),"")</f>
        <v/>
      </c>
    </row>
    <row r="186" spans="1:73" s="404" customFormat="1" ht="13.2">
      <c r="A186" s="406">
        <f t="shared" si="52"/>
        <v>174</v>
      </c>
      <c r="B186" s="472"/>
      <c r="C186" s="470"/>
      <c r="D186" s="407"/>
      <c r="E186" s="407"/>
      <c r="F186" s="408"/>
      <c r="G186" s="409"/>
      <c r="H186" s="407"/>
      <c r="I186" s="1029" t="str">
        <f>IFERROR(G186/HLOOKUP(H186,RentsUA!$B$8:$J$9,2),"")</f>
        <v/>
      </c>
      <c r="J186" s="407"/>
      <c r="K186" s="412"/>
      <c r="L186" s="672">
        <f t="shared" si="41"/>
        <v>0</v>
      </c>
      <c r="M186" s="671"/>
      <c r="N186" s="410">
        <f t="shared" si="42"/>
        <v>0</v>
      </c>
      <c r="O186" s="469" t="str">
        <f>IF($M186=0,"",IFERROR(($L186+$M186)/(HLOOKUP($D186,RentsUA!$K$12:$Q$35,19,FALSE)),""))</f>
        <v/>
      </c>
      <c r="P186" s="469" t="str">
        <f>IF($M186=0,"",IFERROR(($M186+K186+L186)/(HLOOKUP($D186,RentsUA!$K$12:$Q$35,19,FALSE)),""))</f>
        <v/>
      </c>
      <c r="Q186" s="411"/>
      <c r="R186" s="673" t="str">
        <f>IF($Q186=0,"",VLOOKUP($Q186,RentsUA!$A$12:$H$35,MATCH($D186,RentsUA!$A$12:$H$12,0),FALSE))</f>
        <v/>
      </c>
      <c r="S186" s="409"/>
      <c r="T186" s="674"/>
      <c r="U186" s="672"/>
      <c r="V186" s="673" t="str">
        <f t="shared" si="47"/>
        <v/>
      </c>
      <c r="W186" s="470"/>
      <c r="X186" s="411"/>
      <c r="Y186" s="410" t="str">
        <f>IF(X186=0,"",VLOOKUP($X186,RentsUA!$A$12:$H$35,MATCH($D186,RentsUA!$A$12:$H$12,0),FALSE))</f>
        <v/>
      </c>
      <c r="Z186" s="410" t="str">
        <f t="shared" si="43"/>
        <v/>
      </c>
      <c r="AA186" s="1297" t="str">
        <f>IF(H186="","",IF(G186/HLOOKUP($H186,RentsUA!$M$8:$T$9,2,FALSE)&gt;1,"&gt; 80%","&lt;= 80%"))</f>
        <v/>
      </c>
      <c r="AB186" s="1106"/>
      <c r="AC186" s="1106"/>
      <c r="AD186" s="622"/>
      <c r="AE186" s="412"/>
      <c r="AF186" s="807" t="str">
        <f>IF(AD186="","",IF(AD186=Lists!$U$3,M186,IF(AD186=Lists!$U$4,V186,IF(AD186=Lists!$U$5,Y186-L186,AE186))))</f>
        <v/>
      </c>
      <c r="AG186" s="410" t="str">
        <f t="shared" si="44"/>
        <v/>
      </c>
      <c r="AH186" s="469" t="str">
        <f t="shared" si="45"/>
        <v/>
      </c>
      <c r="AI186" s="469" t="str">
        <f>IF($AF186=0,0,IFERROR(($L186+$AF186)/(HLOOKUP($D186,RentsUA!$K$12:$Q$35,19,FALSE)),""))</f>
        <v/>
      </c>
      <c r="AJ186" s="469" t="str">
        <f>IF($AF186=0,0,IFERROR(($AF186+K186+L186)/(HLOOKUP($D186,RentsUA!$K$12:$Q$35,19,FALSE)),""))</f>
        <v/>
      </c>
      <c r="AK186" s="469" t="str">
        <f t="shared" si="48"/>
        <v/>
      </c>
      <c r="AL186" s="469" t="str">
        <f t="shared" si="49"/>
        <v/>
      </c>
      <c r="AM186" s="1106" t="str">
        <f t="shared" si="50"/>
        <v/>
      </c>
      <c r="AN186" s="1106" t="str">
        <f>IFERROR(AM186*(1+'7a.20YrDetails'!$F$9),"")</f>
        <v/>
      </c>
      <c r="AO186" s="1106" t="str">
        <f>IFERROR(AN186*(1+'7a.20YrDetails'!$F$9),"")</f>
        <v/>
      </c>
      <c r="AP186" s="1106" t="str">
        <f>IFERROR(AO186*(1+'7a.20YrDetails'!$F$9),"")</f>
        <v/>
      </c>
      <c r="AQ186" s="1106" t="str">
        <f>IFERROR(AP186*(1+'7a.20YrDetails'!$F$9),"")</f>
        <v/>
      </c>
      <c r="AR186" s="674"/>
      <c r="AS186" s="672"/>
      <c r="AT186" s="1732" t="str">
        <f>IF($AF186=0,0,IFERROR(($AF186+L186)/(HLOOKUP($D186,RentsUA!$B$61:$H$62,2,FALSE)),""))</f>
        <v/>
      </c>
      <c r="AU186" s="1733" t="str">
        <f>IFERROR(G186/HLOOKUP(H186,RentsUA!$B$40:$I$41,2),"")</f>
        <v/>
      </c>
      <c r="BR186" s="404" t="str">
        <f t="shared" si="51"/>
        <v/>
      </c>
      <c r="BS186" s="5" t="str">
        <f t="array" ref="BS186">IFERROR(INDEX($BR$13:$BR$412, MATCH(0, COUNTIF($BS$12:$BS185, $BR$13:$BR$412), 0)),"")</f>
        <v/>
      </c>
      <c r="BT186" s="404" t="str">
        <f t="shared" si="46"/>
        <v/>
      </c>
      <c r="BU186" s="404" t="str">
        <f t="array" ref="BU186">IFERROR(INDEX($BT$13:$BT$412, MATCH(0, COUNTIF($BU$12:$BU185, $BT$13:$BT$412), 0)),"")</f>
        <v/>
      </c>
    </row>
    <row r="187" spans="1:73" s="404" customFormat="1" ht="13.2">
      <c r="A187" s="406">
        <f t="shared" si="52"/>
        <v>175</v>
      </c>
      <c r="B187" s="472"/>
      <c r="C187" s="470"/>
      <c r="D187" s="407"/>
      <c r="E187" s="407"/>
      <c r="F187" s="408"/>
      <c r="G187" s="409"/>
      <c r="H187" s="407"/>
      <c r="I187" s="1029" t="str">
        <f>IFERROR(G187/HLOOKUP(H187,RentsUA!$B$8:$J$9,2),"")</f>
        <v/>
      </c>
      <c r="J187" s="407"/>
      <c r="K187" s="412"/>
      <c r="L187" s="672">
        <f t="shared" si="41"/>
        <v>0</v>
      </c>
      <c r="M187" s="671"/>
      <c r="N187" s="410">
        <f t="shared" si="42"/>
        <v>0</v>
      </c>
      <c r="O187" s="469" t="str">
        <f>IF($M187=0,"",IFERROR(($L187+$M187)/(HLOOKUP($D187,RentsUA!$K$12:$Q$35,19,FALSE)),""))</f>
        <v/>
      </c>
      <c r="P187" s="469" t="str">
        <f>IF($M187=0,"",IFERROR(($M187+K187+L187)/(HLOOKUP($D187,RentsUA!$K$12:$Q$35,19,FALSE)),""))</f>
        <v/>
      </c>
      <c r="Q187" s="411"/>
      <c r="R187" s="673" t="str">
        <f>IF($Q187=0,"",VLOOKUP($Q187,RentsUA!$A$12:$H$35,MATCH($D187,RentsUA!$A$12:$H$12,0),FALSE))</f>
        <v/>
      </c>
      <c r="S187" s="409"/>
      <c r="T187" s="674"/>
      <c r="U187" s="672"/>
      <c r="V187" s="673" t="str">
        <f t="shared" si="47"/>
        <v/>
      </c>
      <c r="W187" s="470"/>
      <c r="X187" s="411"/>
      <c r="Y187" s="410" t="str">
        <f>IF(X187=0,"",VLOOKUP($X187,RentsUA!$A$12:$H$35,MATCH($D187,RentsUA!$A$12:$H$12,0),FALSE))</f>
        <v/>
      </c>
      <c r="Z187" s="410" t="str">
        <f t="shared" si="43"/>
        <v/>
      </c>
      <c r="AA187" s="1297" t="str">
        <f>IF(H187="","",IF(G187/HLOOKUP($H187,RentsUA!$M$8:$T$9,2,FALSE)&gt;1,"&gt; 80%","&lt;= 80%"))</f>
        <v/>
      </c>
      <c r="AB187" s="1106"/>
      <c r="AC187" s="1106"/>
      <c r="AD187" s="622"/>
      <c r="AE187" s="412"/>
      <c r="AF187" s="807" t="str">
        <f>IF(AD187="","",IF(AD187=Lists!$U$3,M187,IF(AD187=Lists!$U$4,V187,IF(AD187=Lists!$U$5,Y187-L187,AE187))))</f>
        <v/>
      </c>
      <c r="AG187" s="410" t="str">
        <f t="shared" si="44"/>
        <v/>
      </c>
      <c r="AH187" s="469" t="str">
        <f t="shared" si="45"/>
        <v/>
      </c>
      <c r="AI187" s="469" t="str">
        <f>IF($AF187=0,0,IFERROR(($L187+$AF187)/(HLOOKUP($D187,RentsUA!$K$12:$Q$35,19,FALSE)),""))</f>
        <v/>
      </c>
      <c r="AJ187" s="469" t="str">
        <f>IF($AF187=0,0,IFERROR(($AF187+K187+L187)/(HLOOKUP($D187,RentsUA!$K$12:$Q$35,19,FALSE)),""))</f>
        <v/>
      </c>
      <c r="AK187" s="469" t="str">
        <f t="shared" si="48"/>
        <v/>
      </c>
      <c r="AL187" s="469" t="str">
        <f t="shared" si="49"/>
        <v/>
      </c>
      <c r="AM187" s="1106" t="str">
        <f t="shared" si="50"/>
        <v/>
      </c>
      <c r="AN187" s="1106" t="str">
        <f>IFERROR(AM187*(1+'7a.20YrDetails'!$F$9),"")</f>
        <v/>
      </c>
      <c r="AO187" s="1106" t="str">
        <f>IFERROR(AN187*(1+'7a.20YrDetails'!$F$9),"")</f>
        <v/>
      </c>
      <c r="AP187" s="1106" t="str">
        <f>IFERROR(AO187*(1+'7a.20YrDetails'!$F$9),"")</f>
        <v/>
      </c>
      <c r="AQ187" s="1106" t="str">
        <f>IFERROR(AP187*(1+'7a.20YrDetails'!$F$9),"")</f>
        <v/>
      </c>
      <c r="AR187" s="674"/>
      <c r="AS187" s="672"/>
      <c r="AT187" s="1732" t="str">
        <f>IF($AF187=0,0,IFERROR(($AF187+L187)/(HLOOKUP($D187,RentsUA!$B$61:$H$62,2,FALSE)),""))</f>
        <v/>
      </c>
      <c r="AU187" s="1733" t="str">
        <f>IFERROR(G187/HLOOKUP(H187,RentsUA!$B$40:$I$41,2),"")</f>
        <v/>
      </c>
      <c r="BR187" s="404" t="str">
        <f t="shared" si="51"/>
        <v/>
      </c>
      <c r="BS187" s="5" t="str">
        <f t="array" ref="BS187">IFERROR(INDEX($BR$13:$BR$412, MATCH(0, COUNTIF($BS$12:$BS186, $BR$13:$BR$412), 0)),"")</f>
        <v/>
      </c>
      <c r="BT187" s="404" t="str">
        <f t="shared" si="46"/>
        <v/>
      </c>
      <c r="BU187" s="404" t="str">
        <f t="array" ref="BU187">IFERROR(INDEX($BT$13:$BT$412, MATCH(0, COUNTIF($BU$12:$BU186, $BT$13:$BT$412), 0)),"")</f>
        <v/>
      </c>
    </row>
    <row r="188" spans="1:73" s="404" customFormat="1" ht="13.2">
      <c r="A188" s="406">
        <f t="shared" si="52"/>
        <v>176</v>
      </c>
      <c r="B188" s="472"/>
      <c r="C188" s="470"/>
      <c r="D188" s="407"/>
      <c r="E188" s="407"/>
      <c r="F188" s="408"/>
      <c r="G188" s="409"/>
      <c r="H188" s="407"/>
      <c r="I188" s="1029" t="str">
        <f>IFERROR(G188/HLOOKUP(H188,RentsUA!$B$8:$J$9,2),"")</f>
        <v/>
      </c>
      <c r="J188" s="407"/>
      <c r="K188" s="412"/>
      <c r="L188" s="672">
        <f t="shared" si="41"/>
        <v>0</v>
      </c>
      <c r="M188" s="671"/>
      <c r="N188" s="410">
        <f t="shared" si="42"/>
        <v>0</v>
      </c>
      <c r="O188" s="469" t="str">
        <f>IF($M188=0,"",IFERROR(($L188+$M188)/(HLOOKUP($D188,RentsUA!$K$12:$Q$35,19,FALSE)),""))</f>
        <v/>
      </c>
      <c r="P188" s="469" t="str">
        <f>IF($M188=0,"",IFERROR(($M188+K188+L188)/(HLOOKUP($D188,RentsUA!$K$12:$Q$35,19,FALSE)),""))</f>
        <v/>
      </c>
      <c r="Q188" s="411"/>
      <c r="R188" s="673" t="str">
        <f>IF($Q188=0,"",VLOOKUP($Q188,RentsUA!$A$12:$H$35,MATCH($D188,RentsUA!$A$12:$H$12,0),FALSE))</f>
        <v/>
      </c>
      <c r="S188" s="409"/>
      <c r="T188" s="674"/>
      <c r="U188" s="672"/>
      <c r="V188" s="673" t="str">
        <f t="shared" si="47"/>
        <v/>
      </c>
      <c r="W188" s="470"/>
      <c r="X188" s="411"/>
      <c r="Y188" s="410" t="str">
        <f>IF(X188=0,"",VLOOKUP($X188,RentsUA!$A$12:$H$35,MATCH($D188,RentsUA!$A$12:$H$12,0),FALSE))</f>
        <v/>
      </c>
      <c r="Z188" s="410" t="str">
        <f t="shared" si="43"/>
        <v/>
      </c>
      <c r="AA188" s="1297" t="str">
        <f>IF(H188="","",IF(G188/HLOOKUP($H188,RentsUA!$M$8:$T$9,2,FALSE)&gt;1,"&gt; 80%","&lt;= 80%"))</f>
        <v/>
      </c>
      <c r="AB188" s="1106"/>
      <c r="AC188" s="1106"/>
      <c r="AD188" s="622"/>
      <c r="AE188" s="412"/>
      <c r="AF188" s="807" t="str">
        <f>IF(AD188="","",IF(AD188=Lists!$U$3,M188,IF(AD188=Lists!$U$4,V188,IF(AD188=Lists!$U$5,Y188-L188,AE188))))</f>
        <v/>
      </c>
      <c r="AG188" s="410" t="str">
        <f t="shared" si="44"/>
        <v/>
      </c>
      <c r="AH188" s="469" t="str">
        <f t="shared" si="45"/>
        <v/>
      </c>
      <c r="AI188" s="469" t="str">
        <f>IF($AF188=0,0,IFERROR(($L188+$AF188)/(HLOOKUP($D188,RentsUA!$K$12:$Q$35,19,FALSE)),""))</f>
        <v/>
      </c>
      <c r="AJ188" s="469" t="str">
        <f>IF($AF188=0,0,IFERROR(($AF188+K188+L188)/(HLOOKUP($D188,RentsUA!$K$12:$Q$35,19,FALSE)),""))</f>
        <v/>
      </c>
      <c r="AK188" s="469" t="str">
        <f t="shared" si="48"/>
        <v/>
      </c>
      <c r="AL188" s="469" t="str">
        <f t="shared" si="49"/>
        <v/>
      </c>
      <c r="AM188" s="1106" t="str">
        <f t="shared" si="50"/>
        <v/>
      </c>
      <c r="AN188" s="1106" t="str">
        <f>IFERROR(AM188*(1+'7a.20YrDetails'!$F$9),"")</f>
        <v/>
      </c>
      <c r="AO188" s="1106" t="str">
        <f>IFERROR(AN188*(1+'7a.20YrDetails'!$F$9),"")</f>
        <v/>
      </c>
      <c r="AP188" s="1106" t="str">
        <f>IFERROR(AO188*(1+'7a.20YrDetails'!$F$9),"")</f>
        <v/>
      </c>
      <c r="AQ188" s="1106" t="str">
        <f>IFERROR(AP188*(1+'7a.20YrDetails'!$F$9),"")</f>
        <v/>
      </c>
      <c r="AR188" s="674"/>
      <c r="AS188" s="672"/>
      <c r="AT188" s="1732" t="str">
        <f>IF($AF188=0,0,IFERROR(($AF188+L188)/(HLOOKUP($D188,RentsUA!$B$61:$H$62,2,FALSE)),""))</f>
        <v/>
      </c>
      <c r="AU188" s="1733" t="str">
        <f>IFERROR(G188/HLOOKUP(H188,RentsUA!$B$40:$I$41,2),"")</f>
        <v/>
      </c>
      <c r="BR188" s="404" t="str">
        <f t="shared" si="51"/>
        <v/>
      </c>
      <c r="BS188" s="5" t="str">
        <f t="array" ref="BS188">IFERROR(INDEX($BR$13:$BR$412, MATCH(0, COUNTIF($BS$12:$BS187, $BR$13:$BR$412), 0)),"")</f>
        <v/>
      </c>
      <c r="BT188" s="404" t="str">
        <f t="shared" si="46"/>
        <v/>
      </c>
      <c r="BU188" s="404" t="str">
        <f t="array" ref="BU188">IFERROR(INDEX($BT$13:$BT$412, MATCH(0, COUNTIF($BU$12:$BU187, $BT$13:$BT$412), 0)),"")</f>
        <v/>
      </c>
    </row>
    <row r="189" spans="1:73" s="404" customFormat="1" ht="13.2">
      <c r="A189" s="406">
        <f t="shared" si="52"/>
        <v>177</v>
      </c>
      <c r="B189" s="472"/>
      <c r="C189" s="470"/>
      <c r="D189" s="407"/>
      <c r="E189" s="407"/>
      <c r="F189" s="408"/>
      <c r="G189" s="409"/>
      <c r="H189" s="407"/>
      <c r="I189" s="1029" t="str">
        <f>IFERROR(G189/HLOOKUP(H189,RentsUA!$B$8:$J$9,2),"")</f>
        <v/>
      </c>
      <c r="J189" s="407"/>
      <c r="K189" s="412"/>
      <c r="L189" s="672">
        <f t="shared" si="41"/>
        <v>0</v>
      </c>
      <c r="M189" s="671"/>
      <c r="N189" s="410">
        <f t="shared" si="42"/>
        <v>0</v>
      </c>
      <c r="O189" s="469" t="str">
        <f>IF($M189=0,"",IFERROR(($L189+$M189)/(HLOOKUP($D189,RentsUA!$K$12:$Q$35,19,FALSE)),""))</f>
        <v/>
      </c>
      <c r="P189" s="469" t="str">
        <f>IF($M189=0,"",IFERROR(($M189+K189+L189)/(HLOOKUP($D189,RentsUA!$K$12:$Q$35,19,FALSE)),""))</f>
        <v/>
      </c>
      <c r="Q189" s="411"/>
      <c r="R189" s="673" t="str">
        <f>IF($Q189=0,"",VLOOKUP($Q189,RentsUA!$A$12:$H$35,MATCH($D189,RentsUA!$A$12:$H$12,0),FALSE))</f>
        <v/>
      </c>
      <c r="S189" s="409"/>
      <c r="T189" s="674"/>
      <c r="U189" s="672"/>
      <c r="V189" s="673" t="str">
        <f t="shared" si="47"/>
        <v/>
      </c>
      <c r="W189" s="470"/>
      <c r="X189" s="411"/>
      <c r="Y189" s="410" t="str">
        <f>IF(X189=0,"",VLOOKUP($X189,RentsUA!$A$12:$H$35,MATCH($D189,RentsUA!$A$12:$H$12,0),FALSE))</f>
        <v/>
      </c>
      <c r="Z189" s="410" t="str">
        <f t="shared" si="43"/>
        <v/>
      </c>
      <c r="AA189" s="1297" t="str">
        <f>IF(H189="","",IF(G189/HLOOKUP($H189,RentsUA!$M$8:$T$9,2,FALSE)&gt;1,"&gt; 80%","&lt;= 80%"))</f>
        <v/>
      </c>
      <c r="AB189" s="1106"/>
      <c r="AC189" s="1106"/>
      <c r="AD189" s="622"/>
      <c r="AE189" s="412"/>
      <c r="AF189" s="807" t="str">
        <f>IF(AD189="","",IF(AD189=Lists!$U$3,M189,IF(AD189=Lists!$U$4,V189,IF(AD189=Lists!$U$5,Y189-L189,AE189))))</f>
        <v/>
      </c>
      <c r="AG189" s="410" t="str">
        <f t="shared" si="44"/>
        <v/>
      </c>
      <c r="AH189" s="469" t="str">
        <f t="shared" si="45"/>
        <v/>
      </c>
      <c r="AI189" s="469" t="str">
        <f>IF($AF189=0,0,IFERROR(($L189+$AF189)/(HLOOKUP($D189,RentsUA!$K$12:$Q$35,19,FALSE)),""))</f>
        <v/>
      </c>
      <c r="AJ189" s="469" t="str">
        <f>IF($AF189=0,0,IFERROR(($AF189+K189+L189)/(HLOOKUP($D189,RentsUA!$K$12:$Q$35,19,FALSE)),""))</f>
        <v/>
      </c>
      <c r="AK189" s="469" t="str">
        <f t="shared" si="48"/>
        <v/>
      </c>
      <c r="AL189" s="469" t="str">
        <f t="shared" si="49"/>
        <v/>
      </c>
      <c r="AM189" s="1106" t="str">
        <f t="shared" si="50"/>
        <v/>
      </c>
      <c r="AN189" s="1106" t="str">
        <f>IFERROR(AM189*(1+'7a.20YrDetails'!$F$9),"")</f>
        <v/>
      </c>
      <c r="AO189" s="1106" t="str">
        <f>IFERROR(AN189*(1+'7a.20YrDetails'!$F$9),"")</f>
        <v/>
      </c>
      <c r="AP189" s="1106" t="str">
        <f>IFERROR(AO189*(1+'7a.20YrDetails'!$F$9),"")</f>
        <v/>
      </c>
      <c r="AQ189" s="1106" t="str">
        <f>IFERROR(AP189*(1+'7a.20YrDetails'!$F$9),"")</f>
        <v/>
      </c>
      <c r="AR189" s="674"/>
      <c r="AS189" s="672"/>
      <c r="AT189" s="1732" t="str">
        <f>IF($AF189=0,0,IFERROR(($AF189+L189)/(HLOOKUP($D189,RentsUA!$B$61:$H$62,2,FALSE)),""))</f>
        <v/>
      </c>
      <c r="AU189" s="1733" t="str">
        <f>IFERROR(G189/HLOOKUP(H189,RentsUA!$B$40:$I$41,2),"")</f>
        <v/>
      </c>
      <c r="BR189" s="404" t="str">
        <f t="shared" si="51"/>
        <v/>
      </c>
      <c r="BS189" s="5" t="str">
        <f t="array" ref="BS189">IFERROR(INDEX($BR$13:$BR$412, MATCH(0, COUNTIF($BS$12:$BS188, $BR$13:$BR$412), 0)),"")</f>
        <v/>
      </c>
      <c r="BT189" s="404" t="str">
        <f t="shared" si="46"/>
        <v/>
      </c>
      <c r="BU189" s="404" t="str">
        <f t="array" ref="BU189">IFERROR(INDEX($BT$13:$BT$412, MATCH(0, COUNTIF($BU$12:$BU188, $BT$13:$BT$412), 0)),"")</f>
        <v/>
      </c>
    </row>
    <row r="190" spans="1:73" s="404" customFormat="1" ht="13.2">
      <c r="A190" s="406">
        <f t="shared" si="52"/>
        <v>178</v>
      </c>
      <c r="B190" s="472"/>
      <c r="C190" s="470"/>
      <c r="D190" s="407"/>
      <c r="E190" s="407"/>
      <c r="F190" s="408"/>
      <c r="G190" s="409"/>
      <c r="H190" s="407"/>
      <c r="I190" s="1029" t="str">
        <f>IFERROR(G190/HLOOKUP(H190,RentsUA!$B$8:$J$9,2),"")</f>
        <v/>
      </c>
      <c r="J190" s="407"/>
      <c r="K190" s="412"/>
      <c r="L190" s="672">
        <f t="shared" si="41"/>
        <v>0</v>
      </c>
      <c r="M190" s="671"/>
      <c r="N190" s="410">
        <f t="shared" si="42"/>
        <v>0</v>
      </c>
      <c r="O190" s="469" t="str">
        <f>IF($M190=0,"",IFERROR(($L190+$M190)/(HLOOKUP($D190,RentsUA!$K$12:$Q$35,19,FALSE)),""))</f>
        <v/>
      </c>
      <c r="P190" s="469" t="str">
        <f>IF($M190=0,"",IFERROR(($M190+K190+L190)/(HLOOKUP($D190,RentsUA!$K$12:$Q$35,19,FALSE)),""))</f>
        <v/>
      </c>
      <c r="Q190" s="411"/>
      <c r="R190" s="673" t="str">
        <f>IF($Q190=0,"",VLOOKUP($Q190,RentsUA!$A$12:$H$35,MATCH($D190,RentsUA!$A$12:$H$12,0),FALSE))</f>
        <v/>
      </c>
      <c r="S190" s="409"/>
      <c r="T190" s="674"/>
      <c r="U190" s="672"/>
      <c r="V190" s="673" t="str">
        <f t="shared" si="47"/>
        <v/>
      </c>
      <c r="W190" s="470"/>
      <c r="X190" s="411"/>
      <c r="Y190" s="410" t="str">
        <f>IF(X190=0,"",VLOOKUP($X190,RentsUA!$A$12:$H$35,MATCH($D190,RentsUA!$A$12:$H$12,0),FALSE))</f>
        <v/>
      </c>
      <c r="Z190" s="410" t="str">
        <f t="shared" si="43"/>
        <v/>
      </c>
      <c r="AA190" s="1297" t="str">
        <f>IF(H190="","",IF(G190/HLOOKUP($H190,RentsUA!$M$8:$T$9,2,FALSE)&gt;1,"&gt; 80%","&lt;= 80%"))</f>
        <v/>
      </c>
      <c r="AB190" s="1106"/>
      <c r="AC190" s="1106"/>
      <c r="AD190" s="622"/>
      <c r="AE190" s="412"/>
      <c r="AF190" s="807" t="str">
        <f>IF(AD190="","",IF(AD190=Lists!$U$3,M190,IF(AD190=Lists!$U$4,V190,IF(AD190=Lists!$U$5,Y190-L190,AE190))))</f>
        <v/>
      </c>
      <c r="AG190" s="410" t="str">
        <f t="shared" si="44"/>
        <v/>
      </c>
      <c r="AH190" s="469" t="str">
        <f t="shared" si="45"/>
        <v/>
      </c>
      <c r="AI190" s="469" t="str">
        <f>IF($AF190=0,0,IFERROR(($L190+$AF190)/(HLOOKUP($D190,RentsUA!$K$12:$Q$35,19,FALSE)),""))</f>
        <v/>
      </c>
      <c r="AJ190" s="469" t="str">
        <f>IF($AF190=0,0,IFERROR(($AF190+K190+L190)/(HLOOKUP($D190,RentsUA!$K$12:$Q$35,19,FALSE)),""))</f>
        <v/>
      </c>
      <c r="AK190" s="469" t="str">
        <f t="shared" si="48"/>
        <v/>
      </c>
      <c r="AL190" s="469" t="str">
        <f t="shared" si="49"/>
        <v/>
      </c>
      <c r="AM190" s="1106" t="str">
        <f t="shared" si="50"/>
        <v/>
      </c>
      <c r="AN190" s="1106" t="str">
        <f>IFERROR(AM190*(1+'7a.20YrDetails'!$F$9),"")</f>
        <v/>
      </c>
      <c r="AO190" s="1106" t="str">
        <f>IFERROR(AN190*(1+'7a.20YrDetails'!$F$9),"")</f>
        <v/>
      </c>
      <c r="AP190" s="1106" t="str">
        <f>IFERROR(AO190*(1+'7a.20YrDetails'!$F$9),"")</f>
        <v/>
      </c>
      <c r="AQ190" s="1106" t="str">
        <f>IFERROR(AP190*(1+'7a.20YrDetails'!$F$9),"")</f>
        <v/>
      </c>
      <c r="AR190" s="674"/>
      <c r="AS190" s="672"/>
      <c r="AT190" s="1732" t="str">
        <f>IF($AF190=0,0,IFERROR(($AF190+L190)/(HLOOKUP($D190,RentsUA!$B$61:$H$62,2,FALSE)),""))</f>
        <v/>
      </c>
      <c r="AU190" s="1733" t="str">
        <f>IFERROR(G190/HLOOKUP(H190,RentsUA!$B$40:$I$41,2),"")</f>
        <v/>
      </c>
      <c r="BR190" s="404" t="str">
        <f t="shared" si="51"/>
        <v/>
      </c>
      <c r="BS190" s="5" t="str">
        <f t="array" ref="BS190">IFERROR(INDEX($BR$13:$BR$412, MATCH(0, COUNTIF($BS$12:$BS189, $BR$13:$BR$412), 0)),"")</f>
        <v/>
      </c>
      <c r="BT190" s="404" t="str">
        <f t="shared" si="46"/>
        <v/>
      </c>
      <c r="BU190" s="404" t="str">
        <f t="array" ref="BU190">IFERROR(INDEX($BT$13:$BT$412, MATCH(0, COUNTIF($BU$12:$BU189, $BT$13:$BT$412), 0)),"")</f>
        <v/>
      </c>
    </row>
    <row r="191" spans="1:73" s="404" customFormat="1" ht="13.2">
      <c r="A191" s="406">
        <f t="shared" si="52"/>
        <v>179</v>
      </c>
      <c r="B191" s="472"/>
      <c r="C191" s="470"/>
      <c r="D191" s="407"/>
      <c r="E191" s="407"/>
      <c r="F191" s="408"/>
      <c r="G191" s="409"/>
      <c r="H191" s="407"/>
      <c r="I191" s="1029" t="str">
        <f>IFERROR(G191/HLOOKUP(H191,RentsUA!$B$8:$J$9,2),"")</f>
        <v/>
      </c>
      <c r="J191" s="407"/>
      <c r="K191" s="412"/>
      <c r="L191" s="672">
        <f t="shared" si="41"/>
        <v>0</v>
      </c>
      <c r="M191" s="671"/>
      <c r="N191" s="410">
        <f t="shared" si="42"/>
        <v>0</v>
      </c>
      <c r="O191" s="469" t="str">
        <f>IF($M191=0,"",IFERROR(($L191+$M191)/(HLOOKUP($D191,RentsUA!$K$12:$Q$35,19,FALSE)),""))</f>
        <v/>
      </c>
      <c r="P191" s="469" t="str">
        <f>IF($M191=0,"",IFERROR(($M191+K191+L191)/(HLOOKUP($D191,RentsUA!$K$12:$Q$35,19,FALSE)),""))</f>
        <v/>
      </c>
      <c r="Q191" s="411"/>
      <c r="R191" s="673" t="str">
        <f>IF($Q191=0,"",VLOOKUP($Q191,RentsUA!$A$12:$H$35,MATCH($D191,RentsUA!$A$12:$H$12,0),FALSE))</f>
        <v/>
      </c>
      <c r="S191" s="409"/>
      <c r="T191" s="674"/>
      <c r="U191" s="672"/>
      <c r="V191" s="673" t="str">
        <f t="shared" si="47"/>
        <v/>
      </c>
      <c r="W191" s="470"/>
      <c r="X191" s="411"/>
      <c r="Y191" s="410" t="str">
        <f>IF(X191=0,"",VLOOKUP($X191,RentsUA!$A$12:$H$35,MATCH($D191,RentsUA!$A$12:$H$12,0),FALSE))</f>
        <v/>
      </c>
      <c r="Z191" s="410" t="str">
        <f t="shared" si="43"/>
        <v/>
      </c>
      <c r="AA191" s="1297" t="str">
        <f>IF(H191="","",IF(G191/HLOOKUP($H191,RentsUA!$M$8:$T$9,2,FALSE)&gt;1,"&gt; 80%","&lt;= 80%"))</f>
        <v/>
      </c>
      <c r="AB191" s="1106"/>
      <c r="AC191" s="1106"/>
      <c r="AD191" s="622"/>
      <c r="AE191" s="412"/>
      <c r="AF191" s="807" t="str">
        <f>IF(AD191="","",IF(AD191=Lists!$U$3,M191,IF(AD191=Lists!$U$4,V191,IF(AD191=Lists!$U$5,Y191-L191,AE191))))</f>
        <v/>
      </c>
      <c r="AG191" s="410" t="str">
        <f t="shared" si="44"/>
        <v/>
      </c>
      <c r="AH191" s="469" t="str">
        <f t="shared" si="45"/>
        <v/>
      </c>
      <c r="AI191" s="469" t="str">
        <f>IF($AF191=0,0,IFERROR(($L191+$AF191)/(HLOOKUP($D191,RentsUA!$K$12:$Q$35,19,FALSE)),""))</f>
        <v/>
      </c>
      <c r="AJ191" s="469" t="str">
        <f>IF($AF191=0,0,IFERROR(($AF191+K191+L191)/(HLOOKUP($D191,RentsUA!$K$12:$Q$35,19,FALSE)),""))</f>
        <v/>
      </c>
      <c r="AK191" s="469" t="str">
        <f t="shared" si="48"/>
        <v/>
      </c>
      <c r="AL191" s="469" t="str">
        <f t="shared" si="49"/>
        <v/>
      </c>
      <c r="AM191" s="1106" t="str">
        <f t="shared" si="50"/>
        <v/>
      </c>
      <c r="AN191" s="1106" t="str">
        <f>IFERROR(AM191*(1+'7a.20YrDetails'!$F$9),"")</f>
        <v/>
      </c>
      <c r="AO191" s="1106" t="str">
        <f>IFERROR(AN191*(1+'7a.20YrDetails'!$F$9),"")</f>
        <v/>
      </c>
      <c r="AP191" s="1106" t="str">
        <f>IFERROR(AO191*(1+'7a.20YrDetails'!$F$9),"")</f>
        <v/>
      </c>
      <c r="AQ191" s="1106" t="str">
        <f>IFERROR(AP191*(1+'7a.20YrDetails'!$F$9),"")</f>
        <v/>
      </c>
      <c r="AR191" s="674"/>
      <c r="AS191" s="672"/>
      <c r="AT191" s="1732" t="str">
        <f>IF($AF191=0,0,IFERROR(($AF191+L191)/(HLOOKUP($D191,RentsUA!$B$61:$H$62,2,FALSE)),""))</f>
        <v/>
      </c>
      <c r="AU191" s="1733" t="str">
        <f>IFERROR(G191/HLOOKUP(H191,RentsUA!$B$40:$I$41,2),"")</f>
        <v/>
      </c>
      <c r="BR191" s="404" t="str">
        <f t="shared" si="51"/>
        <v/>
      </c>
      <c r="BS191" s="5" t="str">
        <f t="array" ref="BS191">IFERROR(INDEX($BR$13:$BR$412, MATCH(0, COUNTIF($BS$12:$BS190, $BR$13:$BR$412), 0)),"")</f>
        <v/>
      </c>
      <c r="BT191" s="404" t="str">
        <f t="shared" si="46"/>
        <v/>
      </c>
      <c r="BU191" s="404" t="str">
        <f t="array" ref="BU191">IFERROR(INDEX($BT$13:$BT$412, MATCH(0, COUNTIF($BU$12:$BU190, $BT$13:$BT$412), 0)),"")</f>
        <v/>
      </c>
    </row>
    <row r="192" spans="1:73" s="404" customFormat="1" ht="13.2">
      <c r="A192" s="406">
        <f t="shared" si="52"/>
        <v>180</v>
      </c>
      <c r="B192" s="472"/>
      <c r="C192" s="470"/>
      <c r="D192" s="407"/>
      <c r="E192" s="407"/>
      <c r="F192" s="408"/>
      <c r="G192" s="409"/>
      <c r="H192" s="407"/>
      <c r="I192" s="1029" t="str">
        <f>IFERROR(G192/HLOOKUP(H192,RentsUA!$B$8:$J$9,2),"")</f>
        <v/>
      </c>
      <c r="J192" s="407"/>
      <c r="K192" s="412"/>
      <c r="L192" s="672">
        <f t="shared" si="41"/>
        <v>0</v>
      </c>
      <c r="M192" s="671"/>
      <c r="N192" s="410">
        <f t="shared" si="42"/>
        <v>0</v>
      </c>
      <c r="O192" s="469" t="str">
        <f>IF($M192=0,"",IFERROR(($L192+$M192)/(HLOOKUP($D192,RentsUA!$K$12:$Q$35,19,FALSE)),""))</f>
        <v/>
      </c>
      <c r="P192" s="469" t="str">
        <f>IF($M192=0,"",IFERROR(($M192+K192+L192)/(HLOOKUP($D192,RentsUA!$K$12:$Q$35,19,FALSE)),""))</f>
        <v/>
      </c>
      <c r="Q192" s="411"/>
      <c r="R192" s="673" t="str">
        <f>IF($Q192=0,"",VLOOKUP($Q192,RentsUA!$A$12:$H$35,MATCH($D192,RentsUA!$A$12:$H$12,0),FALSE))</f>
        <v/>
      </c>
      <c r="S192" s="409"/>
      <c r="T192" s="674"/>
      <c r="U192" s="672"/>
      <c r="V192" s="673" t="str">
        <f t="shared" si="47"/>
        <v/>
      </c>
      <c r="W192" s="470"/>
      <c r="X192" s="411"/>
      <c r="Y192" s="410" t="str">
        <f>IF(X192=0,"",VLOOKUP($X192,RentsUA!$A$12:$H$35,MATCH($D192,RentsUA!$A$12:$H$12,0),FALSE))</f>
        <v/>
      </c>
      <c r="Z192" s="410" t="str">
        <f t="shared" si="43"/>
        <v/>
      </c>
      <c r="AA192" s="1297" t="str">
        <f>IF(H192="","",IF(G192/HLOOKUP($H192,RentsUA!$M$8:$T$9,2,FALSE)&gt;1,"&gt; 80%","&lt;= 80%"))</f>
        <v/>
      </c>
      <c r="AB192" s="1106"/>
      <c r="AC192" s="1106"/>
      <c r="AD192" s="622"/>
      <c r="AE192" s="412"/>
      <c r="AF192" s="807" t="str">
        <f>IF(AD192="","",IF(AD192=Lists!$U$3,M192,IF(AD192=Lists!$U$4,V192,IF(AD192=Lists!$U$5,Y192-L192,AE192))))</f>
        <v/>
      </c>
      <c r="AG192" s="410" t="str">
        <f t="shared" si="44"/>
        <v/>
      </c>
      <c r="AH192" s="469" t="str">
        <f t="shared" si="45"/>
        <v/>
      </c>
      <c r="AI192" s="469" t="str">
        <f>IF($AF192=0,0,IFERROR(($L192+$AF192)/(HLOOKUP($D192,RentsUA!$K$12:$Q$35,19,FALSE)),""))</f>
        <v/>
      </c>
      <c r="AJ192" s="469" t="str">
        <f>IF($AF192=0,0,IFERROR(($AF192+K192+L192)/(HLOOKUP($D192,RentsUA!$K$12:$Q$35,19,FALSE)),""))</f>
        <v/>
      </c>
      <c r="AK192" s="469" t="str">
        <f t="shared" si="48"/>
        <v/>
      </c>
      <c r="AL192" s="469" t="str">
        <f t="shared" si="49"/>
        <v/>
      </c>
      <c r="AM192" s="1106" t="str">
        <f t="shared" si="50"/>
        <v/>
      </c>
      <c r="AN192" s="1106" t="str">
        <f>IFERROR(AM192*(1+'7a.20YrDetails'!$F$9),"")</f>
        <v/>
      </c>
      <c r="AO192" s="1106" t="str">
        <f>IFERROR(AN192*(1+'7a.20YrDetails'!$F$9),"")</f>
        <v/>
      </c>
      <c r="AP192" s="1106" t="str">
        <f>IFERROR(AO192*(1+'7a.20YrDetails'!$F$9),"")</f>
        <v/>
      </c>
      <c r="AQ192" s="1106" t="str">
        <f>IFERROR(AP192*(1+'7a.20YrDetails'!$F$9),"")</f>
        <v/>
      </c>
      <c r="AR192" s="674"/>
      <c r="AS192" s="672"/>
      <c r="AT192" s="1732" t="str">
        <f>IF($AF192=0,0,IFERROR(($AF192+L192)/(HLOOKUP($D192,RentsUA!$B$61:$H$62,2,FALSE)),""))</f>
        <v/>
      </c>
      <c r="AU192" s="1733" t="str">
        <f>IFERROR(G192/HLOOKUP(H192,RentsUA!$B$40:$I$41,2),"")</f>
        <v/>
      </c>
      <c r="BR192" s="404" t="str">
        <f t="shared" si="51"/>
        <v/>
      </c>
      <c r="BS192" s="5" t="str">
        <f t="array" ref="BS192">IFERROR(INDEX($BR$13:$BR$412, MATCH(0, COUNTIF($BS$12:$BS191, $BR$13:$BR$412), 0)),"")</f>
        <v/>
      </c>
      <c r="BT192" s="404" t="str">
        <f t="shared" si="46"/>
        <v/>
      </c>
      <c r="BU192" s="404" t="str">
        <f t="array" ref="BU192">IFERROR(INDEX($BT$13:$BT$412, MATCH(0, COUNTIF($BU$12:$BU191, $BT$13:$BT$412), 0)),"")</f>
        <v/>
      </c>
    </row>
    <row r="193" spans="1:73" s="404" customFormat="1" ht="13.2">
      <c r="A193" s="406">
        <f t="shared" si="52"/>
        <v>181</v>
      </c>
      <c r="B193" s="472"/>
      <c r="C193" s="470"/>
      <c r="D193" s="407"/>
      <c r="E193" s="407"/>
      <c r="F193" s="408"/>
      <c r="G193" s="409"/>
      <c r="H193" s="407"/>
      <c r="I193" s="1029" t="str">
        <f>IFERROR(G193/HLOOKUP(H193,RentsUA!$B$8:$J$9,2),"")</f>
        <v/>
      </c>
      <c r="J193" s="407"/>
      <c r="K193" s="412"/>
      <c r="L193" s="672">
        <f t="shared" si="41"/>
        <v>0</v>
      </c>
      <c r="M193" s="671"/>
      <c r="N193" s="410">
        <f t="shared" si="42"/>
        <v>0</v>
      </c>
      <c r="O193" s="469" t="str">
        <f>IF($M193=0,"",IFERROR(($L193+$M193)/(HLOOKUP($D193,RentsUA!$K$12:$Q$35,19,FALSE)),""))</f>
        <v/>
      </c>
      <c r="P193" s="469" t="str">
        <f>IF($M193=0,"",IFERROR(($M193+K193+L193)/(HLOOKUP($D193,RentsUA!$K$12:$Q$35,19,FALSE)),""))</f>
        <v/>
      </c>
      <c r="Q193" s="411"/>
      <c r="R193" s="673" t="str">
        <f>IF($Q193=0,"",VLOOKUP($Q193,RentsUA!$A$12:$H$35,MATCH($D193,RentsUA!$A$12:$H$12,0),FALSE))</f>
        <v/>
      </c>
      <c r="S193" s="409"/>
      <c r="T193" s="674"/>
      <c r="U193" s="672"/>
      <c r="V193" s="673" t="str">
        <f t="shared" si="47"/>
        <v/>
      </c>
      <c r="W193" s="470"/>
      <c r="X193" s="411"/>
      <c r="Y193" s="410" t="str">
        <f>IF(X193=0,"",VLOOKUP($X193,RentsUA!$A$12:$H$35,MATCH($D193,RentsUA!$A$12:$H$12,0),FALSE))</f>
        <v/>
      </c>
      <c r="Z193" s="410" t="str">
        <f t="shared" si="43"/>
        <v/>
      </c>
      <c r="AA193" s="1297" t="str">
        <f>IF(H193="","",IF(G193/HLOOKUP($H193,RentsUA!$M$8:$T$9,2,FALSE)&gt;1,"&gt; 80%","&lt;= 80%"))</f>
        <v/>
      </c>
      <c r="AB193" s="1106"/>
      <c r="AC193" s="1106"/>
      <c r="AD193" s="622"/>
      <c r="AE193" s="412"/>
      <c r="AF193" s="807" t="str">
        <f>IF(AD193="","",IF(AD193=Lists!$U$3,M193,IF(AD193=Lists!$U$4,V193,IF(AD193=Lists!$U$5,Y193-L193,AE193))))</f>
        <v/>
      </c>
      <c r="AG193" s="410" t="str">
        <f t="shared" si="44"/>
        <v/>
      </c>
      <c r="AH193" s="469" t="str">
        <f t="shared" si="45"/>
        <v/>
      </c>
      <c r="AI193" s="469" t="str">
        <f>IF($AF193=0,0,IFERROR(($L193+$AF193)/(HLOOKUP($D193,RentsUA!$K$12:$Q$35,19,FALSE)),""))</f>
        <v/>
      </c>
      <c r="AJ193" s="469" t="str">
        <f>IF($AF193=0,0,IFERROR(($AF193+K193+L193)/(HLOOKUP($D193,RentsUA!$K$12:$Q$35,19,FALSE)),""))</f>
        <v/>
      </c>
      <c r="AK193" s="469" t="str">
        <f t="shared" si="48"/>
        <v/>
      </c>
      <c r="AL193" s="469" t="str">
        <f t="shared" si="49"/>
        <v/>
      </c>
      <c r="AM193" s="1106" t="str">
        <f t="shared" si="50"/>
        <v/>
      </c>
      <c r="AN193" s="1106" t="str">
        <f>IFERROR(AM193*(1+'7a.20YrDetails'!$F$9),"")</f>
        <v/>
      </c>
      <c r="AO193" s="1106" t="str">
        <f>IFERROR(AN193*(1+'7a.20YrDetails'!$F$9),"")</f>
        <v/>
      </c>
      <c r="AP193" s="1106" t="str">
        <f>IFERROR(AO193*(1+'7a.20YrDetails'!$F$9),"")</f>
        <v/>
      </c>
      <c r="AQ193" s="1106" t="str">
        <f>IFERROR(AP193*(1+'7a.20YrDetails'!$F$9),"")</f>
        <v/>
      </c>
      <c r="AR193" s="674"/>
      <c r="AS193" s="672"/>
      <c r="AT193" s="1732" t="str">
        <f>IF($AF193=0,0,IFERROR(($AF193+L193)/(HLOOKUP($D193,RentsUA!$B$61:$H$62,2,FALSE)),""))</f>
        <v/>
      </c>
      <c r="AU193" s="1733" t="str">
        <f>IFERROR(G193/HLOOKUP(H193,RentsUA!$B$40:$I$41,2),"")</f>
        <v/>
      </c>
      <c r="BR193" s="404" t="str">
        <f t="shared" si="51"/>
        <v/>
      </c>
      <c r="BS193" s="5" t="str">
        <f t="array" ref="BS193">IFERROR(INDEX($BR$13:$BR$412, MATCH(0, COUNTIF($BS$12:$BS192, $BR$13:$BR$412), 0)),"")</f>
        <v/>
      </c>
      <c r="BT193" s="404" t="str">
        <f t="shared" si="46"/>
        <v/>
      </c>
      <c r="BU193" s="404" t="str">
        <f t="array" ref="BU193">IFERROR(INDEX($BT$13:$BT$412, MATCH(0, COUNTIF($BU$12:$BU192, $BT$13:$BT$412), 0)),"")</f>
        <v/>
      </c>
    </row>
    <row r="194" spans="1:73" s="404" customFormat="1" ht="13.2">
      <c r="A194" s="406">
        <f t="shared" si="52"/>
        <v>182</v>
      </c>
      <c r="B194" s="472"/>
      <c r="C194" s="470"/>
      <c r="D194" s="407"/>
      <c r="E194" s="407"/>
      <c r="F194" s="408"/>
      <c r="G194" s="409"/>
      <c r="H194" s="407"/>
      <c r="I194" s="1029" t="str">
        <f>IFERROR(G194/HLOOKUP(H194,RentsUA!$B$8:$J$9,2),"")</f>
        <v/>
      </c>
      <c r="J194" s="407"/>
      <c r="K194" s="412"/>
      <c r="L194" s="672">
        <f t="shared" si="41"/>
        <v>0</v>
      </c>
      <c r="M194" s="671"/>
      <c r="N194" s="410">
        <f t="shared" si="42"/>
        <v>0</v>
      </c>
      <c r="O194" s="469" t="str">
        <f>IF($M194=0,"",IFERROR(($L194+$M194)/(HLOOKUP($D194,RentsUA!$K$12:$Q$35,19,FALSE)),""))</f>
        <v/>
      </c>
      <c r="P194" s="469" t="str">
        <f>IF($M194=0,"",IFERROR(($M194+K194+L194)/(HLOOKUP($D194,RentsUA!$K$12:$Q$35,19,FALSE)),""))</f>
        <v/>
      </c>
      <c r="Q194" s="411"/>
      <c r="R194" s="673" t="str">
        <f>IF($Q194=0,"",VLOOKUP($Q194,RentsUA!$A$12:$H$35,MATCH($D194,RentsUA!$A$12:$H$12,0),FALSE))</f>
        <v/>
      </c>
      <c r="S194" s="409"/>
      <c r="T194" s="674"/>
      <c r="U194" s="672"/>
      <c r="V194" s="673" t="str">
        <f t="shared" si="47"/>
        <v/>
      </c>
      <c r="W194" s="470"/>
      <c r="X194" s="411"/>
      <c r="Y194" s="410" t="str">
        <f>IF(X194=0,"",VLOOKUP($X194,RentsUA!$A$12:$H$35,MATCH($D194,RentsUA!$A$12:$H$12,0),FALSE))</f>
        <v/>
      </c>
      <c r="Z194" s="410" t="str">
        <f t="shared" si="43"/>
        <v/>
      </c>
      <c r="AA194" s="1297" t="str">
        <f>IF(H194="","",IF(G194/HLOOKUP($H194,RentsUA!$M$8:$T$9,2,FALSE)&gt;1,"&gt; 80%","&lt;= 80%"))</f>
        <v/>
      </c>
      <c r="AB194" s="1106"/>
      <c r="AC194" s="1106"/>
      <c r="AD194" s="622"/>
      <c r="AE194" s="412"/>
      <c r="AF194" s="807" t="str">
        <f>IF(AD194="","",IF(AD194=Lists!$U$3,M194,IF(AD194=Lists!$U$4,V194,IF(AD194=Lists!$U$5,Y194-L194,AE194))))</f>
        <v/>
      </c>
      <c r="AG194" s="410" t="str">
        <f t="shared" si="44"/>
        <v/>
      </c>
      <c r="AH194" s="469" t="str">
        <f t="shared" si="45"/>
        <v/>
      </c>
      <c r="AI194" s="469" t="str">
        <f>IF($AF194=0,0,IFERROR(($L194+$AF194)/(HLOOKUP($D194,RentsUA!$K$12:$Q$35,19,FALSE)),""))</f>
        <v/>
      </c>
      <c r="AJ194" s="469" t="str">
        <f>IF($AF194=0,0,IFERROR(($AF194+K194+L194)/(HLOOKUP($D194,RentsUA!$K$12:$Q$35,19,FALSE)),""))</f>
        <v/>
      </c>
      <c r="AK194" s="469" t="str">
        <f t="shared" si="48"/>
        <v/>
      </c>
      <c r="AL194" s="469" t="str">
        <f t="shared" si="49"/>
        <v/>
      </c>
      <c r="AM194" s="1106" t="str">
        <f t="shared" si="50"/>
        <v/>
      </c>
      <c r="AN194" s="1106" t="str">
        <f>IFERROR(AM194*(1+'7a.20YrDetails'!$F$9),"")</f>
        <v/>
      </c>
      <c r="AO194" s="1106" t="str">
        <f>IFERROR(AN194*(1+'7a.20YrDetails'!$F$9),"")</f>
        <v/>
      </c>
      <c r="AP194" s="1106" t="str">
        <f>IFERROR(AO194*(1+'7a.20YrDetails'!$F$9),"")</f>
        <v/>
      </c>
      <c r="AQ194" s="1106" t="str">
        <f>IFERROR(AP194*(1+'7a.20YrDetails'!$F$9),"")</f>
        <v/>
      </c>
      <c r="AR194" s="674"/>
      <c r="AS194" s="672"/>
      <c r="AT194" s="1732" t="str">
        <f>IF($AF194=0,0,IFERROR(($AF194+L194)/(HLOOKUP($D194,RentsUA!$B$61:$H$62,2,FALSE)),""))</f>
        <v/>
      </c>
      <c r="AU194" s="1733" t="str">
        <f>IFERROR(G194/HLOOKUP(H194,RentsUA!$B$40:$I$41,2),"")</f>
        <v/>
      </c>
      <c r="BR194" s="404" t="str">
        <f t="shared" si="51"/>
        <v/>
      </c>
      <c r="BS194" s="5" t="str">
        <f t="array" ref="BS194">IFERROR(INDEX($BR$13:$BR$412, MATCH(0, COUNTIF($BS$12:$BS193, $BR$13:$BR$412), 0)),"")</f>
        <v/>
      </c>
      <c r="BT194" s="404" t="str">
        <f t="shared" si="46"/>
        <v/>
      </c>
      <c r="BU194" s="404" t="str">
        <f t="array" ref="BU194">IFERROR(INDEX($BT$13:$BT$412, MATCH(0, COUNTIF($BU$12:$BU193, $BT$13:$BT$412), 0)),"")</f>
        <v/>
      </c>
    </row>
    <row r="195" spans="1:73" s="404" customFormat="1" ht="13.2">
      <c r="A195" s="406">
        <f t="shared" si="52"/>
        <v>183</v>
      </c>
      <c r="B195" s="472"/>
      <c r="C195" s="470"/>
      <c r="D195" s="407"/>
      <c r="E195" s="407"/>
      <c r="F195" s="408"/>
      <c r="G195" s="409"/>
      <c r="H195" s="407"/>
      <c r="I195" s="1029" t="str">
        <f>IFERROR(G195/HLOOKUP(H195,RentsUA!$B$8:$J$9,2),"")</f>
        <v/>
      </c>
      <c r="J195" s="407"/>
      <c r="K195" s="412"/>
      <c r="L195" s="672">
        <f t="shared" si="41"/>
        <v>0</v>
      </c>
      <c r="M195" s="671"/>
      <c r="N195" s="410">
        <f t="shared" si="42"/>
        <v>0</v>
      </c>
      <c r="O195" s="469" t="str">
        <f>IF($M195=0,"",IFERROR(($L195+$M195)/(HLOOKUP($D195,RentsUA!$K$12:$Q$35,19,FALSE)),""))</f>
        <v/>
      </c>
      <c r="P195" s="469" t="str">
        <f>IF($M195=0,"",IFERROR(($M195+K195+L195)/(HLOOKUP($D195,RentsUA!$K$12:$Q$35,19,FALSE)),""))</f>
        <v/>
      </c>
      <c r="Q195" s="411"/>
      <c r="R195" s="673" t="str">
        <f>IF($Q195=0,"",VLOOKUP($Q195,RentsUA!$A$12:$H$35,MATCH($D195,RentsUA!$A$12:$H$12,0),FALSE))</f>
        <v/>
      </c>
      <c r="S195" s="409"/>
      <c r="T195" s="674"/>
      <c r="U195" s="672"/>
      <c r="V195" s="673" t="str">
        <f t="shared" si="47"/>
        <v/>
      </c>
      <c r="W195" s="470"/>
      <c r="X195" s="411"/>
      <c r="Y195" s="410" t="str">
        <f>IF(X195=0,"",VLOOKUP($X195,RentsUA!$A$12:$H$35,MATCH($D195,RentsUA!$A$12:$H$12,0),FALSE))</f>
        <v/>
      </c>
      <c r="Z195" s="410" t="str">
        <f t="shared" si="43"/>
        <v/>
      </c>
      <c r="AA195" s="1297" t="str">
        <f>IF(H195="","",IF(G195/HLOOKUP($H195,RentsUA!$M$8:$T$9,2,FALSE)&gt;1,"&gt; 80%","&lt;= 80%"))</f>
        <v/>
      </c>
      <c r="AB195" s="1106"/>
      <c r="AC195" s="1106"/>
      <c r="AD195" s="622"/>
      <c r="AE195" s="412"/>
      <c r="AF195" s="807" t="str">
        <f>IF(AD195="","",IF(AD195=Lists!$U$3,M195,IF(AD195=Lists!$U$4,V195,IF(AD195=Lists!$U$5,Y195-L195,AE195))))</f>
        <v/>
      </c>
      <c r="AG195" s="410" t="str">
        <f t="shared" si="44"/>
        <v/>
      </c>
      <c r="AH195" s="469" t="str">
        <f t="shared" si="45"/>
        <v/>
      </c>
      <c r="AI195" s="469" t="str">
        <f>IF($AF195=0,0,IFERROR(($L195+$AF195)/(HLOOKUP($D195,RentsUA!$K$12:$Q$35,19,FALSE)),""))</f>
        <v/>
      </c>
      <c r="AJ195" s="469" t="str">
        <f>IF($AF195=0,0,IFERROR(($AF195+K195+L195)/(HLOOKUP($D195,RentsUA!$K$12:$Q$35,19,FALSE)),""))</f>
        <v/>
      </c>
      <c r="AK195" s="469" t="str">
        <f t="shared" si="48"/>
        <v/>
      </c>
      <c r="AL195" s="469" t="str">
        <f t="shared" si="49"/>
        <v/>
      </c>
      <c r="AM195" s="1106" t="str">
        <f t="shared" si="50"/>
        <v/>
      </c>
      <c r="AN195" s="1106" t="str">
        <f>IFERROR(AM195*(1+'7a.20YrDetails'!$F$9),"")</f>
        <v/>
      </c>
      <c r="AO195" s="1106" t="str">
        <f>IFERROR(AN195*(1+'7a.20YrDetails'!$F$9),"")</f>
        <v/>
      </c>
      <c r="AP195" s="1106" t="str">
        <f>IFERROR(AO195*(1+'7a.20YrDetails'!$F$9),"")</f>
        <v/>
      </c>
      <c r="AQ195" s="1106" t="str">
        <f>IFERROR(AP195*(1+'7a.20YrDetails'!$F$9),"")</f>
        <v/>
      </c>
      <c r="AR195" s="674"/>
      <c r="AS195" s="672"/>
      <c r="AT195" s="1732" t="str">
        <f>IF($AF195=0,0,IFERROR(($AF195+L195)/(HLOOKUP($D195,RentsUA!$B$61:$H$62,2,FALSE)),""))</f>
        <v/>
      </c>
      <c r="AU195" s="1733" t="str">
        <f>IFERROR(G195/HLOOKUP(H195,RentsUA!$B$40:$I$41,2),"")</f>
        <v/>
      </c>
      <c r="BR195" s="404" t="str">
        <f t="shared" si="51"/>
        <v/>
      </c>
      <c r="BS195" s="5" t="str">
        <f t="array" ref="BS195">IFERROR(INDEX($BR$13:$BR$412, MATCH(0, COUNTIF($BS$12:$BS194, $BR$13:$BR$412), 0)),"")</f>
        <v/>
      </c>
      <c r="BT195" s="404" t="str">
        <f t="shared" si="46"/>
        <v/>
      </c>
      <c r="BU195" s="404" t="str">
        <f t="array" ref="BU195">IFERROR(INDEX($BT$13:$BT$412, MATCH(0, COUNTIF($BU$12:$BU194, $BT$13:$BT$412), 0)),"")</f>
        <v/>
      </c>
    </row>
    <row r="196" spans="1:73" s="404" customFormat="1" ht="13.2">
      <c r="A196" s="406">
        <f t="shared" si="52"/>
        <v>184</v>
      </c>
      <c r="B196" s="472"/>
      <c r="C196" s="470"/>
      <c r="D196" s="407"/>
      <c r="E196" s="407"/>
      <c r="F196" s="408"/>
      <c r="G196" s="409"/>
      <c r="H196" s="407"/>
      <c r="I196" s="1029" t="str">
        <f>IFERROR(G196/HLOOKUP(H196,RentsUA!$B$8:$J$9,2),"")</f>
        <v/>
      </c>
      <c r="J196" s="407"/>
      <c r="K196" s="412"/>
      <c r="L196" s="672">
        <f t="shared" si="41"/>
        <v>0</v>
      </c>
      <c r="M196" s="671"/>
      <c r="N196" s="410">
        <f t="shared" si="42"/>
        <v>0</v>
      </c>
      <c r="O196" s="469" t="str">
        <f>IF($M196=0,"",IFERROR(($L196+$M196)/(HLOOKUP($D196,RentsUA!$K$12:$Q$35,19,FALSE)),""))</f>
        <v/>
      </c>
      <c r="P196" s="469" t="str">
        <f>IF($M196=0,"",IFERROR(($M196+K196+L196)/(HLOOKUP($D196,RentsUA!$K$12:$Q$35,19,FALSE)),""))</f>
        <v/>
      </c>
      <c r="Q196" s="411"/>
      <c r="R196" s="673" t="str">
        <f>IF($Q196=0,"",VLOOKUP($Q196,RentsUA!$A$12:$H$35,MATCH($D196,RentsUA!$A$12:$H$12,0),FALSE))</f>
        <v/>
      </c>
      <c r="S196" s="409"/>
      <c r="T196" s="674"/>
      <c r="U196" s="672"/>
      <c r="V196" s="673" t="str">
        <f t="shared" si="47"/>
        <v/>
      </c>
      <c r="W196" s="470"/>
      <c r="X196" s="411"/>
      <c r="Y196" s="410" t="str">
        <f>IF(X196=0,"",VLOOKUP($X196,RentsUA!$A$12:$H$35,MATCH($D196,RentsUA!$A$12:$H$12,0),FALSE))</f>
        <v/>
      </c>
      <c r="Z196" s="410" t="str">
        <f t="shared" si="43"/>
        <v/>
      </c>
      <c r="AA196" s="1297" t="str">
        <f>IF(H196="","",IF(G196/HLOOKUP($H196,RentsUA!$M$8:$T$9,2,FALSE)&gt;1,"&gt; 80%","&lt;= 80%"))</f>
        <v/>
      </c>
      <c r="AB196" s="1106"/>
      <c r="AC196" s="1106"/>
      <c r="AD196" s="622"/>
      <c r="AE196" s="412"/>
      <c r="AF196" s="807" t="str">
        <f>IF(AD196="","",IF(AD196=Lists!$U$3,M196,IF(AD196=Lists!$U$4,V196,IF(AD196=Lists!$U$5,Y196-L196,AE196))))</f>
        <v/>
      </c>
      <c r="AG196" s="410" t="str">
        <f t="shared" si="44"/>
        <v/>
      </c>
      <c r="AH196" s="469" t="str">
        <f t="shared" si="45"/>
        <v/>
      </c>
      <c r="AI196" s="469" t="str">
        <f>IF($AF196=0,0,IFERROR(($L196+$AF196)/(HLOOKUP($D196,RentsUA!$K$12:$Q$35,19,FALSE)),""))</f>
        <v/>
      </c>
      <c r="AJ196" s="469" t="str">
        <f>IF($AF196=0,0,IFERROR(($AF196+K196+L196)/(HLOOKUP($D196,RentsUA!$K$12:$Q$35,19,FALSE)),""))</f>
        <v/>
      </c>
      <c r="AK196" s="469" t="str">
        <f t="shared" si="48"/>
        <v/>
      </c>
      <c r="AL196" s="469" t="str">
        <f t="shared" si="49"/>
        <v/>
      </c>
      <c r="AM196" s="1106" t="str">
        <f t="shared" si="50"/>
        <v/>
      </c>
      <c r="AN196" s="1106" t="str">
        <f>IFERROR(AM196*(1+'7a.20YrDetails'!$F$9),"")</f>
        <v/>
      </c>
      <c r="AO196" s="1106" t="str">
        <f>IFERROR(AN196*(1+'7a.20YrDetails'!$F$9),"")</f>
        <v/>
      </c>
      <c r="AP196" s="1106" t="str">
        <f>IFERROR(AO196*(1+'7a.20YrDetails'!$F$9),"")</f>
        <v/>
      </c>
      <c r="AQ196" s="1106" t="str">
        <f>IFERROR(AP196*(1+'7a.20YrDetails'!$F$9),"")</f>
        <v/>
      </c>
      <c r="AR196" s="674"/>
      <c r="AS196" s="672"/>
      <c r="AT196" s="1732" t="str">
        <f>IF($AF196=0,0,IFERROR(($AF196+L196)/(HLOOKUP($D196,RentsUA!$B$61:$H$62,2,FALSE)),""))</f>
        <v/>
      </c>
      <c r="AU196" s="1733" t="str">
        <f>IFERROR(G196/HLOOKUP(H196,RentsUA!$B$40:$I$41,2),"")</f>
        <v/>
      </c>
      <c r="BR196" s="404" t="str">
        <f t="shared" si="51"/>
        <v/>
      </c>
      <c r="BS196" s="5" t="str">
        <f t="array" ref="BS196">IFERROR(INDEX($BR$13:$BR$412, MATCH(0, COUNTIF($BS$12:$BS195, $BR$13:$BR$412), 0)),"")</f>
        <v/>
      </c>
      <c r="BT196" s="404" t="str">
        <f t="shared" si="46"/>
        <v/>
      </c>
      <c r="BU196" s="404" t="str">
        <f t="array" ref="BU196">IFERROR(INDEX($BT$13:$BT$412, MATCH(0, COUNTIF($BU$12:$BU195, $BT$13:$BT$412), 0)),"")</f>
        <v/>
      </c>
    </row>
    <row r="197" spans="1:73" s="404" customFormat="1" ht="13.2">
      <c r="A197" s="406">
        <f t="shared" si="52"/>
        <v>185</v>
      </c>
      <c r="B197" s="472"/>
      <c r="C197" s="470"/>
      <c r="D197" s="407"/>
      <c r="E197" s="407"/>
      <c r="F197" s="408"/>
      <c r="G197" s="409"/>
      <c r="H197" s="407"/>
      <c r="I197" s="1029" t="str">
        <f>IFERROR(G197/HLOOKUP(H197,RentsUA!$B$8:$J$9,2),"")</f>
        <v/>
      </c>
      <c r="J197" s="407"/>
      <c r="K197" s="412"/>
      <c r="L197" s="672">
        <f t="shared" si="41"/>
        <v>0</v>
      </c>
      <c r="M197" s="671"/>
      <c r="N197" s="410">
        <f t="shared" si="42"/>
        <v>0</v>
      </c>
      <c r="O197" s="469" t="str">
        <f>IF($M197=0,"",IFERROR(($L197+$M197)/(HLOOKUP($D197,RentsUA!$K$12:$Q$35,19,FALSE)),""))</f>
        <v/>
      </c>
      <c r="P197" s="469" t="str">
        <f>IF($M197=0,"",IFERROR(($M197+K197+L197)/(HLOOKUP($D197,RentsUA!$K$12:$Q$35,19,FALSE)),""))</f>
        <v/>
      </c>
      <c r="Q197" s="411"/>
      <c r="R197" s="673" t="str">
        <f>IF($Q197=0,"",VLOOKUP($Q197,RentsUA!$A$12:$H$35,MATCH($D197,RentsUA!$A$12:$H$12,0),FALSE))</f>
        <v/>
      </c>
      <c r="S197" s="409"/>
      <c r="T197" s="674"/>
      <c r="U197" s="672"/>
      <c r="V197" s="673" t="str">
        <f t="shared" si="47"/>
        <v/>
      </c>
      <c r="W197" s="470"/>
      <c r="X197" s="411"/>
      <c r="Y197" s="410" t="str">
        <f>IF(X197=0,"",VLOOKUP($X197,RentsUA!$A$12:$H$35,MATCH($D197,RentsUA!$A$12:$H$12,0),FALSE))</f>
        <v/>
      </c>
      <c r="Z197" s="410" t="str">
        <f t="shared" si="43"/>
        <v/>
      </c>
      <c r="AA197" s="1297" t="str">
        <f>IF(H197="","",IF(G197/HLOOKUP($H197,RentsUA!$M$8:$T$9,2,FALSE)&gt;1,"&gt; 80%","&lt;= 80%"))</f>
        <v/>
      </c>
      <c r="AB197" s="1106"/>
      <c r="AC197" s="1106"/>
      <c r="AD197" s="622"/>
      <c r="AE197" s="412"/>
      <c r="AF197" s="807" t="str">
        <f>IF(AD197="","",IF(AD197=Lists!$U$3,M197,IF(AD197=Lists!$U$4,V197,IF(AD197=Lists!$U$5,Y197-L197,AE197))))</f>
        <v/>
      </c>
      <c r="AG197" s="410" t="str">
        <f t="shared" si="44"/>
        <v/>
      </c>
      <c r="AH197" s="469" t="str">
        <f t="shared" si="45"/>
        <v/>
      </c>
      <c r="AI197" s="469" t="str">
        <f>IF($AF197=0,0,IFERROR(($L197+$AF197)/(HLOOKUP($D197,RentsUA!$K$12:$Q$35,19,FALSE)),""))</f>
        <v/>
      </c>
      <c r="AJ197" s="469" t="str">
        <f>IF($AF197=0,0,IFERROR(($AF197+K197+L197)/(HLOOKUP($D197,RentsUA!$K$12:$Q$35,19,FALSE)),""))</f>
        <v/>
      </c>
      <c r="AK197" s="469" t="str">
        <f t="shared" si="48"/>
        <v/>
      </c>
      <c r="AL197" s="469" t="str">
        <f t="shared" si="49"/>
        <v/>
      </c>
      <c r="AM197" s="1106" t="str">
        <f t="shared" si="50"/>
        <v/>
      </c>
      <c r="AN197" s="1106" t="str">
        <f>IFERROR(AM197*(1+'7a.20YrDetails'!$F$9),"")</f>
        <v/>
      </c>
      <c r="AO197" s="1106" t="str">
        <f>IFERROR(AN197*(1+'7a.20YrDetails'!$F$9),"")</f>
        <v/>
      </c>
      <c r="AP197" s="1106" t="str">
        <f>IFERROR(AO197*(1+'7a.20YrDetails'!$F$9),"")</f>
        <v/>
      </c>
      <c r="AQ197" s="1106" t="str">
        <f>IFERROR(AP197*(1+'7a.20YrDetails'!$F$9),"")</f>
        <v/>
      </c>
      <c r="AR197" s="674"/>
      <c r="AS197" s="672"/>
      <c r="AT197" s="1732" t="str">
        <f>IF($AF197=0,0,IFERROR(($AF197+L197)/(HLOOKUP($D197,RentsUA!$B$61:$H$62,2,FALSE)),""))</f>
        <v/>
      </c>
      <c r="AU197" s="1733" t="str">
        <f>IFERROR(G197/HLOOKUP(H197,RentsUA!$B$40:$I$41,2),"")</f>
        <v/>
      </c>
      <c r="BR197" s="404" t="str">
        <f t="shared" si="51"/>
        <v/>
      </c>
      <c r="BS197" s="5" t="str">
        <f t="array" ref="BS197">IFERROR(INDEX($BR$13:$BR$412, MATCH(0, COUNTIF($BS$12:$BS196, $BR$13:$BR$412), 0)),"")</f>
        <v/>
      </c>
      <c r="BT197" s="404" t="str">
        <f t="shared" si="46"/>
        <v/>
      </c>
      <c r="BU197" s="404" t="str">
        <f t="array" ref="BU197">IFERROR(INDEX($BT$13:$BT$412, MATCH(0, COUNTIF($BU$12:$BU196, $BT$13:$BT$412), 0)),"")</f>
        <v/>
      </c>
    </row>
    <row r="198" spans="1:73" s="404" customFormat="1" ht="13.2">
      <c r="A198" s="406">
        <f t="shared" si="52"/>
        <v>186</v>
      </c>
      <c r="B198" s="472"/>
      <c r="C198" s="470"/>
      <c r="D198" s="407"/>
      <c r="E198" s="407"/>
      <c r="F198" s="408"/>
      <c r="G198" s="409"/>
      <c r="H198" s="407"/>
      <c r="I198" s="1029" t="str">
        <f>IFERROR(G198/HLOOKUP(H198,RentsUA!$B$8:$J$9,2),"")</f>
        <v/>
      </c>
      <c r="J198" s="407"/>
      <c r="K198" s="412"/>
      <c r="L198" s="672">
        <f t="shared" si="41"/>
        <v>0</v>
      </c>
      <c r="M198" s="671"/>
      <c r="N198" s="410">
        <f t="shared" si="42"/>
        <v>0</v>
      </c>
      <c r="O198" s="469" t="str">
        <f>IF($M198=0,"",IFERROR(($L198+$M198)/(HLOOKUP($D198,RentsUA!$K$12:$Q$35,19,FALSE)),""))</f>
        <v/>
      </c>
      <c r="P198" s="469" t="str">
        <f>IF($M198=0,"",IFERROR(($M198+K198+L198)/(HLOOKUP($D198,RentsUA!$K$12:$Q$35,19,FALSE)),""))</f>
        <v/>
      </c>
      <c r="Q198" s="411"/>
      <c r="R198" s="673" t="str">
        <f>IF($Q198=0,"",VLOOKUP($Q198,RentsUA!$A$12:$H$35,MATCH($D198,RentsUA!$A$12:$H$12,0),FALSE))</f>
        <v/>
      </c>
      <c r="S198" s="409"/>
      <c r="T198" s="674"/>
      <c r="U198" s="672"/>
      <c r="V198" s="673" t="str">
        <f t="shared" si="47"/>
        <v/>
      </c>
      <c r="W198" s="470"/>
      <c r="X198" s="411"/>
      <c r="Y198" s="410" t="str">
        <f>IF(X198=0,"",VLOOKUP($X198,RentsUA!$A$12:$H$35,MATCH($D198,RentsUA!$A$12:$H$12,0),FALSE))</f>
        <v/>
      </c>
      <c r="Z198" s="410" t="str">
        <f t="shared" si="43"/>
        <v/>
      </c>
      <c r="AA198" s="1297" t="str">
        <f>IF(H198="","",IF(G198/HLOOKUP($H198,RentsUA!$M$8:$T$9,2,FALSE)&gt;1,"&gt; 80%","&lt;= 80%"))</f>
        <v/>
      </c>
      <c r="AB198" s="1106"/>
      <c r="AC198" s="1106"/>
      <c r="AD198" s="622"/>
      <c r="AE198" s="412"/>
      <c r="AF198" s="807" t="str">
        <f>IF(AD198="","",IF(AD198=Lists!$U$3,M198,IF(AD198=Lists!$U$4,V198,IF(AD198=Lists!$U$5,Y198-L198,AE198))))</f>
        <v/>
      </c>
      <c r="AG198" s="410" t="str">
        <f t="shared" si="44"/>
        <v/>
      </c>
      <c r="AH198" s="469" t="str">
        <f t="shared" si="45"/>
        <v/>
      </c>
      <c r="AI198" s="469" t="str">
        <f>IF($AF198=0,0,IFERROR(($L198+$AF198)/(HLOOKUP($D198,RentsUA!$K$12:$Q$35,19,FALSE)),""))</f>
        <v/>
      </c>
      <c r="AJ198" s="469" t="str">
        <f>IF($AF198=0,0,IFERROR(($AF198+K198+L198)/(HLOOKUP($D198,RentsUA!$K$12:$Q$35,19,FALSE)),""))</f>
        <v/>
      </c>
      <c r="AK198" s="469" t="str">
        <f t="shared" si="48"/>
        <v/>
      </c>
      <c r="AL198" s="469" t="str">
        <f t="shared" si="49"/>
        <v/>
      </c>
      <c r="AM198" s="1106" t="str">
        <f t="shared" si="50"/>
        <v/>
      </c>
      <c r="AN198" s="1106" t="str">
        <f>IFERROR(AM198*(1+'7a.20YrDetails'!$F$9),"")</f>
        <v/>
      </c>
      <c r="AO198" s="1106" t="str">
        <f>IFERROR(AN198*(1+'7a.20YrDetails'!$F$9),"")</f>
        <v/>
      </c>
      <c r="AP198" s="1106" t="str">
        <f>IFERROR(AO198*(1+'7a.20YrDetails'!$F$9),"")</f>
        <v/>
      </c>
      <c r="AQ198" s="1106" t="str">
        <f>IFERROR(AP198*(1+'7a.20YrDetails'!$F$9),"")</f>
        <v/>
      </c>
      <c r="AR198" s="674"/>
      <c r="AS198" s="672"/>
      <c r="AT198" s="1732" t="str">
        <f>IF($AF198=0,0,IFERROR(($AF198+L198)/(HLOOKUP($D198,RentsUA!$B$61:$H$62,2,FALSE)),""))</f>
        <v/>
      </c>
      <c r="AU198" s="1733" t="str">
        <f>IFERROR(G198/HLOOKUP(H198,RentsUA!$B$40:$I$41,2),"")</f>
        <v/>
      </c>
      <c r="BR198" s="404" t="str">
        <f t="shared" si="51"/>
        <v/>
      </c>
      <c r="BS198" s="5" t="str">
        <f t="array" ref="BS198">IFERROR(INDEX($BR$13:$BR$412, MATCH(0, COUNTIF($BS$12:$BS197, $BR$13:$BR$412), 0)),"")</f>
        <v/>
      </c>
      <c r="BT198" s="404" t="str">
        <f t="shared" si="46"/>
        <v/>
      </c>
      <c r="BU198" s="404" t="str">
        <f t="array" ref="BU198">IFERROR(INDEX($BT$13:$BT$412, MATCH(0, COUNTIF($BU$12:$BU197, $BT$13:$BT$412), 0)),"")</f>
        <v/>
      </c>
    </row>
    <row r="199" spans="1:73" s="404" customFormat="1" ht="13.2">
      <c r="A199" s="406">
        <f t="shared" si="52"/>
        <v>187</v>
      </c>
      <c r="B199" s="472"/>
      <c r="C199" s="470"/>
      <c r="D199" s="407"/>
      <c r="E199" s="407"/>
      <c r="F199" s="408"/>
      <c r="G199" s="409"/>
      <c r="H199" s="407"/>
      <c r="I199" s="1029" t="str">
        <f>IFERROR(G199/HLOOKUP(H199,RentsUA!$B$8:$J$9,2),"")</f>
        <v/>
      </c>
      <c r="J199" s="407"/>
      <c r="K199" s="412"/>
      <c r="L199" s="672">
        <f t="shared" si="41"/>
        <v>0</v>
      </c>
      <c r="M199" s="671"/>
      <c r="N199" s="410">
        <f t="shared" si="42"/>
        <v>0</v>
      </c>
      <c r="O199" s="469" t="str">
        <f>IF($M199=0,"",IFERROR(($L199+$M199)/(HLOOKUP($D199,RentsUA!$K$12:$Q$35,19,FALSE)),""))</f>
        <v/>
      </c>
      <c r="P199" s="469" t="str">
        <f>IF($M199=0,"",IFERROR(($M199+K199+L199)/(HLOOKUP($D199,RentsUA!$K$12:$Q$35,19,FALSE)),""))</f>
        <v/>
      </c>
      <c r="Q199" s="411"/>
      <c r="R199" s="673" t="str">
        <f>IF($Q199=0,"",VLOOKUP($Q199,RentsUA!$A$12:$H$35,MATCH($D199,RentsUA!$A$12:$H$12,0),FALSE))</f>
        <v/>
      </c>
      <c r="S199" s="409"/>
      <c r="T199" s="674"/>
      <c r="U199" s="672"/>
      <c r="V199" s="673" t="str">
        <f t="shared" si="47"/>
        <v/>
      </c>
      <c r="W199" s="470"/>
      <c r="X199" s="411"/>
      <c r="Y199" s="410" t="str">
        <f>IF(X199=0,"",VLOOKUP($X199,RentsUA!$A$12:$H$35,MATCH($D199,RentsUA!$A$12:$H$12,0),FALSE))</f>
        <v/>
      </c>
      <c r="Z199" s="410" t="str">
        <f t="shared" si="43"/>
        <v/>
      </c>
      <c r="AA199" s="1297" t="str">
        <f>IF(H199="","",IF(G199/HLOOKUP($H199,RentsUA!$M$8:$T$9,2,FALSE)&gt;1,"&gt; 80%","&lt;= 80%"))</f>
        <v/>
      </c>
      <c r="AB199" s="1106"/>
      <c r="AC199" s="1106"/>
      <c r="AD199" s="622"/>
      <c r="AE199" s="412"/>
      <c r="AF199" s="807" t="str">
        <f>IF(AD199="","",IF(AD199=Lists!$U$3,M199,IF(AD199=Lists!$U$4,V199,IF(AD199=Lists!$U$5,Y199-L199,AE199))))</f>
        <v/>
      </c>
      <c r="AG199" s="410" t="str">
        <f t="shared" si="44"/>
        <v/>
      </c>
      <c r="AH199" s="469" t="str">
        <f t="shared" si="45"/>
        <v/>
      </c>
      <c r="AI199" s="469" t="str">
        <f>IF($AF199=0,0,IFERROR(($L199+$AF199)/(HLOOKUP($D199,RentsUA!$K$12:$Q$35,19,FALSE)),""))</f>
        <v/>
      </c>
      <c r="AJ199" s="469" t="str">
        <f>IF($AF199=0,0,IFERROR(($AF199+K199+L199)/(HLOOKUP($D199,RentsUA!$K$12:$Q$35,19,FALSE)),""))</f>
        <v/>
      </c>
      <c r="AK199" s="469" t="str">
        <f t="shared" si="48"/>
        <v/>
      </c>
      <c r="AL199" s="469" t="str">
        <f t="shared" si="49"/>
        <v/>
      </c>
      <c r="AM199" s="1106" t="str">
        <f t="shared" si="50"/>
        <v/>
      </c>
      <c r="AN199" s="1106" t="str">
        <f>IFERROR(AM199*(1+'7a.20YrDetails'!$F$9),"")</f>
        <v/>
      </c>
      <c r="AO199" s="1106" t="str">
        <f>IFERROR(AN199*(1+'7a.20YrDetails'!$F$9),"")</f>
        <v/>
      </c>
      <c r="AP199" s="1106" t="str">
        <f>IFERROR(AO199*(1+'7a.20YrDetails'!$F$9),"")</f>
        <v/>
      </c>
      <c r="AQ199" s="1106" t="str">
        <f>IFERROR(AP199*(1+'7a.20YrDetails'!$F$9),"")</f>
        <v/>
      </c>
      <c r="AR199" s="674"/>
      <c r="AS199" s="672"/>
      <c r="AT199" s="1732" t="str">
        <f>IF($AF199=0,0,IFERROR(($AF199+L199)/(HLOOKUP($D199,RentsUA!$B$61:$H$62,2,FALSE)),""))</f>
        <v/>
      </c>
      <c r="AU199" s="1733" t="str">
        <f>IFERROR(G199/HLOOKUP(H199,RentsUA!$B$40:$I$41,2),"")</f>
        <v/>
      </c>
      <c r="BR199" s="404" t="str">
        <f t="shared" si="51"/>
        <v/>
      </c>
      <c r="BS199" s="5" t="str">
        <f t="array" ref="BS199">IFERROR(INDEX($BR$13:$BR$412, MATCH(0, COUNTIF($BS$12:$BS198, $BR$13:$BR$412), 0)),"")</f>
        <v/>
      </c>
      <c r="BT199" s="404" t="str">
        <f t="shared" si="46"/>
        <v/>
      </c>
      <c r="BU199" s="404" t="str">
        <f t="array" ref="BU199">IFERROR(INDEX($BT$13:$BT$412, MATCH(0, COUNTIF($BU$12:$BU198, $BT$13:$BT$412), 0)),"")</f>
        <v/>
      </c>
    </row>
    <row r="200" spans="1:73" s="404" customFormat="1" ht="13.2">
      <c r="A200" s="406">
        <f t="shared" si="52"/>
        <v>188</v>
      </c>
      <c r="B200" s="472"/>
      <c r="C200" s="470"/>
      <c r="D200" s="407"/>
      <c r="E200" s="407"/>
      <c r="F200" s="408"/>
      <c r="G200" s="409"/>
      <c r="H200" s="407"/>
      <c r="I200" s="1029" t="str">
        <f>IFERROR(G200/HLOOKUP(H200,RentsUA!$B$8:$J$9,2),"")</f>
        <v/>
      </c>
      <c r="J200" s="407"/>
      <c r="K200" s="412"/>
      <c r="L200" s="672">
        <f t="shared" si="41"/>
        <v>0</v>
      </c>
      <c r="M200" s="671"/>
      <c r="N200" s="410">
        <f t="shared" si="42"/>
        <v>0</v>
      </c>
      <c r="O200" s="469" t="str">
        <f>IF($M200=0,"",IFERROR(($L200+$M200)/(HLOOKUP($D200,RentsUA!$K$12:$Q$35,19,FALSE)),""))</f>
        <v/>
      </c>
      <c r="P200" s="469" t="str">
        <f>IF($M200=0,"",IFERROR(($M200+K200+L200)/(HLOOKUP($D200,RentsUA!$K$12:$Q$35,19,FALSE)),""))</f>
        <v/>
      </c>
      <c r="Q200" s="411"/>
      <c r="R200" s="673" t="str">
        <f>IF($Q200=0,"",VLOOKUP($Q200,RentsUA!$A$12:$H$35,MATCH($D200,RentsUA!$A$12:$H$12,0),FALSE))</f>
        <v/>
      </c>
      <c r="S200" s="409"/>
      <c r="T200" s="674"/>
      <c r="U200" s="672"/>
      <c r="V200" s="673" t="str">
        <f t="shared" si="47"/>
        <v/>
      </c>
      <c r="W200" s="470"/>
      <c r="X200" s="411"/>
      <c r="Y200" s="410" t="str">
        <f>IF(X200=0,"",VLOOKUP($X200,RentsUA!$A$12:$H$35,MATCH($D200,RentsUA!$A$12:$H$12,0),FALSE))</f>
        <v/>
      </c>
      <c r="Z200" s="410" t="str">
        <f t="shared" si="43"/>
        <v/>
      </c>
      <c r="AA200" s="1297" t="str">
        <f>IF(H200="","",IF(G200/HLOOKUP($H200,RentsUA!$M$8:$T$9,2,FALSE)&gt;1,"&gt; 80%","&lt;= 80%"))</f>
        <v/>
      </c>
      <c r="AB200" s="1106"/>
      <c r="AC200" s="1106"/>
      <c r="AD200" s="622"/>
      <c r="AE200" s="412"/>
      <c r="AF200" s="807" t="str">
        <f>IF(AD200="","",IF(AD200=Lists!$U$3,M200,IF(AD200=Lists!$U$4,V200,IF(AD200=Lists!$U$5,Y200-L200,AE200))))</f>
        <v/>
      </c>
      <c r="AG200" s="410" t="str">
        <f t="shared" si="44"/>
        <v/>
      </c>
      <c r="AH200" s="469" t="str">
        <f t="shared" si="45"/>
        <v/>
      </c>
      <c r="AI200" s="469" t="str">
        <f>IF($AF200=0,0,IFERROR(($L200+$AF200)/(HLOOKUP($D200,RentsUA!$K$12:$Q$35,19,FALSE)),""))</f>
        <v/>
      </c>
      <c r="AJ200" s="469" t="str">
        <f>IF($AF200=0,0,IFERROR(($AF200+K200+L200)/(HLOOKUP($D200,RentsUA!$K$12:$Q$35,19,FALSE)),""))</f>
        <v/>
      </c>
      <c r="AK200" s="469" t="str">
        <f t="shared" si="48"/>
        <v/>
      </c>
      <c r="AL200" s="469" t="str">
        <f t="shared" si="49"/>
        <v/>
      </c>
      <c r="AM200" s="1106" t="str">
        <f t="shared" si="50"/>
        <v/>
      </c>
      <c r="AN200" s="1106" t="str">
        <f>IFERROR(AM200*(1+'7a.20YrDetails'!$F$9),"")</f>
        <v/>
      </c>
      <c r="AO200" s="1106" t="str">
        <f>IFERROR(AN200*(1+'7a.20YrDetails'!$F$9),"")</f>
        <v/>
      </c>
      <c r="AP200" s="1106" t="str">
        <f>IFERROR(AO200*(1+'7a.20YrDetails'!$F$9),"")</f>
        <v/>
      </c>
      <c r="AQ200" s="1106" t="str">
        <f>IFERROR(AP200*(1+'7a.20YrDetails'!$F$9),"")</f>
        <v/>
      </c>
      <c r="AR200" s="674"/>
      <c r="AS200" s="672"/>
      <c r="AT200" s="1732" t="str">
        <f>IF($AF200=0,0,IFERROR(($AF200+L200)/(HLOOKUP($D200,RentsUA!$B$61:$H$62,2,FALSE)),""))</f>
        <v/>
      </c>
      <c r="AU200" s="1733" t="str">
        <f>IFERROR(G200/HLOOKUP(H200,RentsUA!$B$40:$I$41,2),"")</f>
        <v/>
      </c>
      <c r="BR200" s="404" t="str">
        <f t="shared" si="51"/>
        <v/>
      </c>
      <c r="BS200" s="5" t="str">
        <f t="array" ref="BS200">IFERROR(INDEX($BR$13:$BR$412, MATCH(0, COUNTIF($BS$12:$BS199, $BR$13:$BR$412), 0)),"")</f>
        <v/>
      </c>
      <c r="BT200" s="404" t="str">
        <f t="shared" si="46"/>
        <v/>
      </c>
      <c r="BU200" s="404" t="str">
        <f t="array" ref="BU200">IFERROR(INDEX($BT$13:$BT$412, MATCH(0, COUNTIF($BU$12:$BU199, $BT$13:$BT$412), 0)),"")</f>
        <v/>
      </c>
    </row>
    <row r="201" spans="1:73" s="404" customFormat="1" ht="13.2">
      <c r="A201" s="406">
        <f t="shared" si="52"/>
        <v>189</v>
      </c>
      <c r="B201" s="472"/>
      <c r="C201" s="470"/>
      <c r="D201" s="407"/>
      <c r="E201" s="407"/>
      <c r="F201" s="408"/>
      <c r="G201" s="409"/>
      <c r="H201" s="407"/>
      <c r="I201" s="1029" t="str">
        <f>IFERROR(G201/HLOOKUP(H201,RentsUA!$B$8:$J$9,2),"")</f>
        <v/>
      </c>
      <c r="J201" s="407"/>
      <c r="K201" s="412"/>
      <c r="L201" s="672">
        <f t="shared" si="41"/>
        <v>0</v>
      </c>
      <c r="M201" s="671"/>
      <c r="N201" s="410">
        <f t="shared" si="42"/>
        <v>0</v>
      </c>
      <c r="O201" s="469" t="str">
        <f>IF($M201=0,"",IFERROR(($L201+$M201)/(HLOOKUP($D201,RentsUA!$K$12:$Q$35,19,FALSE)),""))</f>
        <v/>
      </c>
      <c r="P201" s="469" t="str">
        <f>IF($M201=0,"",IFERROR(($M201+K201+L201)/(HLOOKUP($D201,RentsUA!$K$12:$Q$35,19,FALSE)),""))</f>
        <v/>
      </c>
      <c r="Q201" s="411"/>
      <c r="R201" s="673" t="str">
        <f>IF($Q201=0,"",VLOOKUP($Q201,RentsUA!$A$12:$H$35,MATCH($D201,RentsUA!$A$12:$H$12,0),FALSE))</f>
        <v/>
      </c>
      <c r="S201" s="409"/>
      <c r="T201" s="674"/>
      <c r="U201" s="672"/>
      <c r="V201" s="673" t="str">
        <f t="shared" si="47"/>
        <v/>
      </c>
      <c r="W201" s="470"/>
      <c r="X201" s="411"/>
      <c r="Y201" s="410" t="str">
        <f>IF(X201=0,"",VLOOKUP($X201,RentsUA!$A$12:$H$35,MATCH($D201,RentsUA!$A$12:$H$12,0),FALSE))</f>
        <v/>
      </c>
      <c r="Z201" s="410" t="str">
        <f t="shared" si="43"/>
        <v/>
      </c>
      <c r="AA201" s="1297" t="str">
        <f>IF(H201="","",IF(G201/HLOOKUP($H201,RentsUA!$M$8:$T$9,2,FALSE)&gt;1,"&gt; 80%","&lt;= 80%"))</f>
        <v/>
      </c>
      <c r="AB201" s="1106"/>
      <c r="AC201" s="1106"/>
      <c r="AD201" s="622"/>
      <c r="AE201" s="412"/>
      <c r="AF201" s="807" t="str">
        <f>IF(AD201="","",IF(AD201=Lists!$U$3,M201,IF(AD201=Lists!$U$4,V201,IF(AD201=Lists!$U$5,Y201-L201,AE201))))</f>
        <v/>
      </c>
      <c r="AG201" s="410" t="str">
        <f t="shared" si="44"/>
        <v/>
      </c>
      <c r="AH201" s="469" t="str">
        <f t="shared" si="45"/>
        <v/>
      </c>
      <c r="AI201" s="469" t="str">
        <f>IF($AF201=0,0,IFERROR(($L201+$AF201)/(HLOOKUP($D201,RentsUA!$K$12:$Q$35,19,FALSE)),""))</f>
        <v/>
      </c>
      <c r="AJ201" s="469" t="str">
        <f>IF($AF201=0,0,IFERROR(($AF201+K201+L201)/(HLOOKUP($D201,RentsUA!$K$12:$Q$35,19,FALSE)),""))</f>
        <v/>
      </c>
      <c r="AK201" s="469" t="str">
        <f t="shared" si="48"/>
        <v/>
      </c>
      <c r="AL201" s="469" t="str">
        <f t="shared" si="49"/>
        <v/>
      </c>
      <c r="AM201" s="1106" t="str">
        <f t="shared" si="50"/>
        <v/>
      </c>
      <c r="AN201" s="1106" t="str">
        <f>IFERROR(AM201*(1+'7a.20YrDetails'!$F$9),"")</f>
        <v/>
      </c>
      <c r="AO201" s="1106" t="str">
        <f>IFERROR(AN201*(1+'7a.20YrDetails'!$F$9),"")</f>
        <v/>
      </c>
      <c r="AP201" s="1106" t="str">
        <f>IFERROR(AO201*(1+'7a.20YrDetails'!$F$9),"")</f>
        <v/>
      </c>
      <c r="AQ201" s="1106" t="str">
        <f>IFERROR(AP201*(1+'7a.20YrDetails'!$F$9),"")</f>
        <v/>
      </c>
      <c r="AR201" s="674"/>
      <c r="AS201" s="672"/>
      <c r="AT201" s="1732" t="str">
        <f>IF($AF201=0,0,IFERROR(($AF201+L201)/(HLOOKUP($D201,RentsUA!$B$61:$H$62,2,FALSE)),""))</f>
        <v/>
      </c>
      <c r="AU201" s="1733" t="str">
        <f>IFERROR(G201/HLOOKUP(H201,RentsUA!$B$40:$I$41,2),"")</f>
        <v/>
      </c>
      <c r="BR201" s="404" t="str">
        <f t="shared" si="51"/>
        <v/>
      </c>
      <c r="BS201" s="5" t="str">
        <f t="array" ref="BS201">IFERROR(INDEX($BR$13:$BR$412, MATCH(0, COUNTIF($BS$12:$BS200, $BR$13:$BR$412), 0)),"")</f>
        <v/>
      </c>
      <c r="BT201" s="404" t="str">
        <f t="shared" si="46"/>
        <v/>
      </c>
      <c r="BU201" s="404" t="str">
        <f t="array" ref="BU201">IFERROR(INDEX($BT$13:$BT$412, MATCH(0, COUNTIF($BU$12:$BU200, $BT$13:$BT$412), 0)),"")</f>
        <v/>
      </c>
    </row>
    <row r="202" spans="1:73" s="404" customFormat="1" ht="13.2">
      <c r="A202" s="406">
        <f t="shared" si="52"/>
        <v>190</v>
      </c>
      <c r="B202" s="472"/>
      <c r="C202" s="470"/>
      <c r="D202" s="407"/>
      <c r="E202" s="407"/>
      <c r="F202" s="408"/>
      <c r="G202" s="409"/>
      <c r="H202" s="407"/>
      <c r="I202" s="1029" t="str">
        <f>IFERROR(G202/HLOOKUP(H202,RentsUA!$B$8:$J$9,2),"")</f>
        <v/>
      </c>
      <c r="J202" s="407"/>
      <c r="K202" s="412"/>
      <c r="L202" s="672">
        <f t="shared" si="41"/>
        <v>0</v>
      </c>
      <c r="M202" s="671"/>
      <c r="N202" s="410">
        <f t="shared" si="42"/>
        <v>0</v>
      </c>
      <c r="O202" s="469" t="str">
        <f>IF($M202=0,"",IFERROR(($L202+$M202)/(HLOOKUP($D202,RentsUA!$K$12:$Q$35,19,FALSE)),""))</f>
        <v/>
      </c>
      <c r="P202" s="469" t="str">
        <f>IF($M202=0,"",IFERROR(($M202+K202+L202)/(HLOOKUP($D202,RentsUA!$K$12:$Q$35,19,FALSE)),""))</f>
        <v/>
      </c>
      <c r="Q202" s="411"/>
      <c r="R202" s="673" t="str">
        <f>IF($Q202=0,"",VLOOKUP($Q202,RentsUA!$A$12:$H$35,MATCH($D202,RentsUA!$A$12:$H$12,0),FALSE))</f>
        <v/>
      </c>
      <c r="S202" s="409"/>
      <c r="T202" s="674"/>
      <c r="U202" s="672"/>
      <c r="V202" s="673" t="str">
        <f t="shared" si="47"/>
        <v/>
      </c>
      <c r="W202" s="470"/>
      <c r="X202" s="411"/>
      <c r="Y202" s="410" t="str">
        <f>IF(X202=0,"",VLOOKUP($X202,RentsUA!$A$12:$H$35,MATCH($D202,RentsUA!$A$12:$H$12,0),FALSE))</f>
        <v/>
      </c>
      <c r="Z202" s="410" t="str">
        <f t="shared" si="43"/>
        <v/>
      </c>
      <c r="AA202" s="1297" t="str">
        <f>IF(H202="","",IF(G202/HLOOKUP($H202,RentsUA!$M$8:$T$9,2,FALSE)&gt;1,"&gt; 80%","&lt;= 80%"))</f>
        <v/>
      </c>
      <c r="AB202" s="1106"/>
      <c r="AC202" s="1106"/>
      <c r="AD202" s="622"/>
      <c r="AE202" s="412"/>
      <c r="AF202" s="807" t="str">
        <f>IF(AD202="","",IF(AD202=Lists!$U$3,M202,IF(AD202=Lists!$U$4,V202,IF(AD202=Lists!$U$5,Y202-L202,AE202))))</f>
        <v/>
      </c>
      <c r="AG202" s="410" t="str">
        <f t="shared" si="44"/>
        <v/>
      </c>
      <c r="AH202" s="469" t="str">
        <f t="shared" si="45"/>
        <v/>
      </c>
      <c r="AI202" s="469" t="str">
        <f>IF($AF202=0,0,IFERROR(($L202+$AF202)/(HLOOKUP($D202,RentsUA!$K$12:$Q$35,19,FALSE)),""))</f>
        <v/>
      </c>
      <c r="AJ202" s="469" t="str">
        <f>IF($AF202=0,0,IFERROR(($AF202+K202+L202)/(HLOOKUP($D202,RentsUA!$K$12:$Q$35,19,FALSE)),""))</f>
        <v/>
      </c>
      <c r="AK202" s="469" t="str">
        <f t="shared" si="48"/>
        <v/>
      </c>
      <c r="AL202" s="469" t="str">
        <f t="shared" si="49"/>
        <v/>
      </c>
      <c r="AM202" s="1106" t="str">
        <f t="shared" si="50"/>
        <v/>
      </c>
      <c r="AN202" s="1106" t="str">
        <f>IFERROR(AM202*(1+'7a.20YrDetails'!$F$9),"")</f>
        <v/>
      </c>
      <c r="AO202" s="1106" t="str">
        <f>IFERROR(AN202*(1+'7a.20YrDetails'!$F$9),"")</f>
        <v/>
      </c>
      <c r="AP202" s="1106" t="str">
        <f>IFERROR(AO202*(1+'7a.20YrDetails'!$F$9),"")</f>
        <v/>
      </c>
      <c r="AQ202" s="1106" t="str">
        <f>IFERROR(AP202*(1+'7a.20YrDetails'!$F$9),"")</f>
        <v/>
      </c>
      <c r="AR202" s="674"/>
      <c r="AS202" s="672"/>
      <c r="AT202" s="1732" t="str">
        <f>IF($AF202=0,0,IFERROR(($AF202+L202)/(HLOOKUP($D202,RentsUA!$B$61:$H$62,2,FALSE)),""))</f>
        <v/>
      </c>
      <c r="AU202" s="1733" t="str">
        <f>IFERROR(G202/HLOOKUP(H202,RentsUA!$B$40:$I$41,2),"")</f>
        <v/>
      </c>
      <c r="BR202" s="404" t="str">
        <f t="shared" si="51"/>
        <v/>
      </c>
      <c r="BS202" s="5" t="str">
        <f t="array" ref="BS202">IFERROR(INDEX($BR$13:$BR$412, MATCH(0, COUNTIF($BS$12:$BS201, $BR$13:$BR$412), 0)),"")</f>
        <v/>
      </c>
      <c r="BT202" s="404" t="str">
        <f t="shared" si="46"/>
        <v/>
      </c>
      <c r="BU202" s="404" t="str">
        <f t="array" ref="BU202">IFERROR(INDEX($BT$13:$BT$412, MATCH(0, COUNTIF($BU$12:$BU201, $BT$13:$BT$412), 0)),"")</f>
        <v/>
      </c>
    </row>
    <row r="203" spans="1:73" s="404" customFormat="1" ht="13.2">
      <c r="A203" s="406">
        <f t="shared" si="52"/>
        <v>191</v>
      </c>
      <c r="B203" s="472"/>
      <c r="C203" s="470"/>
      <c r="D203" s="407"/>
      <c r="E203" s="407"/>
      <c r="F203" s="408"/>
      <c r="G203" s="409"/>
      <c r="H203" s="407"/>
      <c r="I203" s="1029" t="str">
        <f>IFERROR(G203/HLOOKUP(H203,RentsUA!$B$8:$J$9,2),"")</f>
        <v/>
      </c>
      <c r="J203" s="407"/>
      <c r="K203" s="412"/>
      <c r="L203" s="672">
        <f t="shared" si="41"/>
        <v>0</v>
      </c>
      <c r="M203" s="671"/>
      <c r="N203" s="410">
        <f t="shared" si="42"/>
        <v>0</v>
      </c>
      <c r="O203" s="469" t="str">
        <f>IF($M203=0,"",IFERROR(($L203+$M203)/(HLOOKUP($D203,RentsUA!$K$12:$Q$35,19,FALSE)),""))</f>
        <v/>
      </c>
      <c r="P203" s="469" t="str">
        <f>IF($M203=0,"",IFERROR(($M203+K203+L203)/(HLOOKUP($D203,RentsUA!$K$12:$Q$35,19,FALSE)),""))</f>
        <v/>
      </c>
      <c r="Q203" s="411"/>
      <c r="R203" s="673" t="str">
        <f>IF($Q203=0,"",VLOOKUP($Q203,RentsUA!$A$12:$H$35,MATCH($D203,RentsUA!$A$12:$H$12,0),FALSE))</f>
        <v/>
      </c>
      <c r="S203" s="409"/>
      <c r="T203" s="674"/>
      <c r="U203" s="672"/>
      <c r="V203" s="673" t="str">
        <f t="shared" si="47"/>
        <v/>
      </c>
      <c r="W203" s="470"/>
      <c r="X203" s="411"/>
      <c r="Y203" s="410" t="str">
        <f>IF(X203=0,"",VLOOKUP($X203,RentsUA!$A$12:$H$35,MATCH($D203,RentsUA!$A$12:$H$12,0),FALSE))</f>
        <v/>
      </c>
      <c r="Z203" s="410" t="str">
        <f t="shared" si="43"/>
        <v/>
      </c>
      <c r="AA203" s="1297" t="str">
        <f>IF(H203="","",IF(G203/HLOOKUP($H203,RentsUA!$M$8:$T$9,2,FALSE)&gt;1,"&gt; 80%","&lt;= 80%"))</f>
        <v/>
      </c>
      <c r="AB203" s="1106"/>
      <c r="AC203" s="1106"/>
      <c r="AD203" s="622"/>
      <c r="AE203" s="412"/>
      <c r="AF203" s="807" t="str">
        <f>IF(AD203="","",IF(AD203=Lists!$U$3,M203,IF(AD203=Lists!$U$4,V203,IF(AD203=Lists!$U$5,Y203-L203,AE203))))</f>
        <v/>
      </c>
      <c r="AG203" s="410" t="str">
        <f t="shared" si="44"/>
        <v/>
      </c>
      <c r="AH203" s="469" t="str">
        <f t="shared" si="45"/>
        <v/>
      </c>
      <c r="AI203" s="469" t="str">
        <f>IF($AF203=0,0,IFERROR(($L203+$AF203)/(HLOOKUP($D203,RentsUA!$K$12:$Q$35,19,FALSE)),""))</f>
        <v/>
      </c>
      <c r="AJ203" s="469" t="str">
        <f>IF($AF203=0,0,IFERROR(($AF203+K203+L203)/(HLOOKUP($D203,RentsUA!$K$12:$Q$35,19,FALSE)),""))</f>
        <v/>
      </c>
      <c r="AK203" s="469" t="str">
        <f t="shared" si="48"/>
        <v/>
      </c>
      <c r="AL203" s="469" t="str">
        <f t="shared" si="49"/>
        <v/>
      </c>
      <c r="AM203" s="1106" t="str">
        <f t="shared" si="50"/>
        <v/>
      </c>
      <c r="AN203" s="1106" t="str">
        <f>IFERROR(AM203*(1+'7a.20YrDetails'!$F$9),"")</f>
        <v/>
      </c>
      <c r="AO203" s="1106" t="str">
        <f>IFERROR(AN203*(1+'7a.20YrDetails'!$F$9),"")</f>
        <v/>
      </c>
      <c r="AP203" s="1106" t="str">
        <f>IFERROR(AO203*(1+'7a.20YrDetails'!$F$9),"")</f>
        <v/>
      </c>
      <c r="AQ203" s="1106" t="str">
        <f>IFERROR(AP203*(1+'7a.20YrDetails'!$F$9),"")</f>
        <v/>
      </c>
      <c r="AR203" s="674"/>
      <c r="AS203" s="672"/>
      <c r="AT203" s="1732" t="str">
        <f>IF($AF203=0,0,IFERROR(($AF203+L203)/(HLOOKUP($D203,RentsUA!$B$61:$H$62,2,FALSE)),""))</f>
        <v/>
      </c>
      <c r="AU203" s="1733" t="str">
        <f>IFERROR(G203/HLOOKUP(H203,RentsUA!$B$40:$I$41,2),"")</f>
        <v/>
      </c>
      <c r="BR203" s="404" t="str">
        <f t="shared" si="51"/>
        <v/>
      </c>
      <c r="BS203" s="5" t="str">
        <f t="array" ref="BS203">IFERROR(INDEX($BR$13:$BR$412, MATCH(0, COUNTIF($BS$12:$BS202, $BR$13:$BR$412), 0)),"")</f>
        <v/>
      </c>
      <c r="BT203" s="404" t="str">
        <f t="shared" si="46"/>
        <v/>
      </c>
      <c r="BU203" s="404" t="str">
        <f t="array" ref="BU203">IFERROR(INDEX($BT$13:$BT$412, MATCH(0, COUNTIF($BU$12:$BU202, $BT$13:$BT$412), 0)),"")</f>
        <v/>
      </c>
    </row>
    <row r="204" spans="1:73" s="404" customFormat="1" ht="13.2">
      <c r="A204" s="406">
        <f t="shared" si="52"/>
        <v>192</v>
      </c>
      <c r="B204" s="472"/>
      <c r="C204" s="470"/>
      <c r="D204" s="407"/>
      <c r="E204" s="407"/>
      <c r="F204" s="408"/>
      <c r="G204" s="409"/>
      <c r="H204" s="407"/>
      <c r="I204" s="1029" t="str">
        <f>IFERROR(G204/HLOOKUP(H204,RentsUA!$B$8:$J$9,2),"")</f>
        <v/>
      </c>
      <c r="J204" s="407"/>
      <c r="K204" s="412"/>
      <c r="L204" s="672">
        <f t="shared" si="41"/>
        <v>0</v>
      </c>
      <c r="M204" s="671"/>
      <c r="N204" s="410">
        <f t="shared" si="42"/>
        <v>0</v>
      </c>
      <c r="O204" s="469" t="str">
        <f>IF($M204=0,"",IFERROR(($L204+$M204)/(HLOOKUP($D204,RentsUA!$K$12:$Q$35,19,FALSE)),""))</f>
        <v/>
      </c>
      <c r="P204" s="469" t="str">
        <f>IF($M204=0,"",IFERROR(($M204+K204+L204)/(HLOOKUP($D204,RentsUA!$K$12:$Q$35,19,FALSE)),""))</f>
        <v/>
      </c>
      <c r="Q204" s="411"/>
      <c r="R204" s="673" t="str">
        <f>IF($Q204=0,"",VLOOKUP($Q204,RentsUA!$A$12:$H$35,MATCH($D204,RentsUA!$A$12:$H$12,0),FALSE))</f>
        <v/>
      </c>
      <c r="S204" s="409"/>
      <c r="T204" s="674"/>
      <c r="U204" s="672"/>
      <c r="V204" s="673" t="str">
        <f t="shared" si="47"/>
        <v/>
      </c>
      <c r="W204" s="470"/>
      <c r="X204" s="411"/>
      <c r="Y204" s="410" t="str">
        <f>IF(X204=0,"",VLOOKUP($X204,RentsUA!$A$12:$H$35,MATCH($D204,RentsUA!$A$12:$H$12,0),FALSE))</f>
        <v/>
      </c>
      <c r="Z204" s="410" t="str">
        <f t="shared" si="43"/>
        <v/>
      </c>
      <c r="AA204" s="1297" t="str">
        <f>IF(H204="","",IF(G204/HLOOKUP($H204,RentsUA!$M$8:$T$9,2,FALSE)&gt;1,"&gt; 80%","&lt;= 80%"))</f>
        <v/>
      </c>
      <c r="AB204" s="1106"/>
      <c r="AC204" s="1106"/>
      <c r="AD204" s="622"/>
      <c r="AE204" s="412"/>
      <c r="AF204" s="807" t="str">
        <f>IF(AD204="","",IF(AD204=Lists!$U$3,M204,IF(AD204=Lists!$U$4,V204,IF(AD204=Lists!$U$5,Y204-L204,AE204))))</f>
        <v/>
      </c>
      <c r="AG204" s="410" t="str">
        <f t="shared" si="44"/>
        <v/>
      </c>
      <c r="AH204" s="469" t="str">
        <f t="shared" si="45"/>
        <v/>
      </c>
      <c r="AI204" s="469" t="str">
        <f>IF($AF204=0,0,IFERROR(($L204+$AF204)/(HLOOKUP($D204,RentsUA!$K$12:$Q$35,19,FALSE)),""))</f>
        <v/>
      </c>
      <c r="AJ204" s="469" t="str">
        <f>IF($AF204=0,0,IFERROR(($AF204+K204+L204)/(HLOOKUP($D204,RentsUA!$K$12:$Q$35,19,FALSE)),""))</f>
        <v/>
      </c>
      <c r="AK204" s="469" t="str">
        <f t="shared" si="48"/>
        <v/>
      </c>
      <c r="AL204" s="469" t="str">
        <f t="shared" si="49"/>
        <v/>
      </c>
      <c r="AM204" s="1106" t="str">
        <f t="shared" si="50"/>
        <v/>
      </c>
      <c r="AN204" s="1106" t="str">
        <f>IFERROR(AM204*(1+'7a.20YrDetails'!$F$9),"")</f>
        <v/>
      </c>
      <c r="AO204" s="1106" t="str">
        <f>IFERROR(AN204*(1+'7a.20YrDetails'!$F$9),"")</f>
        <v/>
      </c>
      <c r="AP204" s="1106" t="str">
        <f>IFERROR(AO204*(1+'7a.20YrDetails'!$F$9),"")</f>
        <v/>
      </c>
      <c r="AQ204" s="1106" t="str">
        <f>IFERROR(AP204*(1+'7a.20YrDetails'!$F$9),"")</f>
        <v/>
      </c>
      <c r="AR204" s="674"/>
      <c r="AS204" s="672"/>
      <c r="AT204" s="1732" t="str">
        <f>IF($AF204=0,0,IFERROR(($AF204+L204)/(HLOOKUP($D204,RentsUA!$B$61:$H$62,2,FALSE)),""))</f>
        <v/>
      </c>
      <c r="AU204" s="1733" t="str">
        <f>IFERROR(G204/HLOOKUP(H204,RentsUA!$B$40:$I$41,2),"")</f>
        <v/>
      </c>
      <c r="BR204" s="404" t="str">
        <f t="shared" si="51"/>
        <v/>
      </c>
      <c r="BS204" s="5" t="str">
        <f t="array" ref="BS204">IFERROR(INDEX($BR$13:$BR$412, MATCH(0, COUNTIF($BS$12:$BS203, $BR$13:$BR$412), 0)),"")</f>
        <v/>
      </c>
      <c r="BT204" s="404" t="str">
        <f t="shared" si="46"/>
        <v/>
      </c>
      <c r="BU204" s="404" t="str">
        <f t="array" ref="BU204">IFERROR(INDEX($BT$13:$BT$412, MATCH(0, COUNTIF($BU$12:$BU203, $BT$13:$BT$412), 0)),"")</f>
        <v/>
      </c>
    </row>
    <row r="205" spans="1:73" s="404" customFormat="1" ht="13.2">
      <c r="A205" s="406">
        <f t="shared" si="52"/>
        <v>193</v>
      </c>
      <c r="B205" s="472"/>
      <c r="C205" s="470"/>
      <c r="D205" s="407"/>
      <c r="E205" s="407"/>
      <c r="F205" s="408"/>
      <c r="G205" s="409"/>
      <c r="H205" s="407"/>
      <c r="I205" s="1029" t="str">
        <f>IFERROR(G205/HLOOKUP(H205,RentsUA!$B$8:$J$9,2),"")</f>
        <v/>
      </c>
      <c r="J205" s="407"/>
      <c r="K205" s="412"/>
      <c r="L205" s="672">
        <f t="shared" ref="L205:L268" si="53">IF(D205="",0,HLOOKUP($D205,UA,7,FALSE))</f>
        <v>0</v>
      </c>
      <c r="M205" s="671"/>
      <c r="N205" s="410">
        <f t="shared" ref="N205:N268" si="54">M205+L205</f>
        <v>0</v>
      </c>
      <c r="O205" s="469" t="str">
        <f>IF($M205=0,"",IFERROR(($L205+$M205)/(HLOOKUP($D205,RentsUA!$K$12:$Q$35,19,FALSE)),""))</f>
        <v/>
      </c>
      <c r="P205" s="469" t="str">
        <f>IF($M205=0,"",IFERROR(($M205+K205+L205)/(HLOOKUP($D205,RentsUA!$K$12:$Q$35,19,FALSE)),""))</f>
        <v/>
      </c>
      <c r="Q205" s="411"/>
      <c r="R205" s="673" t="str">
        <f>IF($Q205=0,"",VLOOKUP($Q205,RentsUA!$A$12:$H$35,MATCH($D205,RentsUA!$A$12:$H$12,0),FALSE))</f>
        <v/>
      </c>
      <c r="S205" s="409"/>
      <c r="T205" s="674"/>
      <c r="U205" s="672"/>
      <c r="V205" s="673" t="str">
        <f t="shared" si="47"/>
        <v/>
      </c>
      <c r="W205" s="470"/>
      <c r="X205" s="411"/>
      <c r="Y205" s="410" t="str">
        <f>IF(X205=0,"",VLOOKUP($X205,RentsUA!$A$12:$H$35,MATCH($D205,RentsUA!$A$12:$H$12,0),FALSE))</f>
        <v/>
      </c>
      <c r="Z205" s="410" t="str">
        <f t="shared" ref="Z205:Z268" si="55">IF(Y205&lt;&gt;"",Y205-L205,"")</f>
        <v/>
      </c>
      <c r="AA205" s="1297" t="str">
        <f>IF(H205="","",IF(G205/HLOOKUP($H205,RentsUA!$M$8:$T$9,2,FALSE)&gt;1,"&gt; 80%","&lt;= 80%"))</f>
        <v/>
      </c>
      <c r="AB205" s="1106"/>
      <c r="AC205" s="1106"/>
      <c r="AD205" s="622"/>
      <c r="AE205" s="412"/>
      <c r="AF205" s="807" t="str">
        <f>IF(AD205="","",IF(AD205=Lists!$U$3,M205,IF(AD205=Lists!$U$4,V205,IF(AD205=Lists!$U$5,Y205-L205,AE205))))</f>
        <v/>
      </c>
      <c r="AG205" s="410" t="str">
        <f t="shared" ref="AG205:AG268" si="56">IFERROR(AF205+L205,"")</f>
        <v/>
      </c>
      <c r="AH205" s="469" t="str">
        <f t="shared" ref="AH205:AH268" si="57">IFERROR(($AF205-$M205)/$M205,"")</f>
        <v/>
      </c>
      <c r="AI205" s="469" t="str">
        <f>IF($AF205=0,0,IFERROR(($L205+$AF205)/(HLOOKUP($D205,RentsUA!$K$12:$Q$35,19,FALSE)),""))</f>
        <v/>
      </c>
      <c r="AJ205" s="469" t="str">
        <f>IF($AF205=0,0,IFERROR(($AF205+K205+L205)/(HLOOKUP($D205,RentsUA!$K$12:$Q$35,19,FALSE)),""))</f>
        <v/>
      </c>
      <c r="AK205" s="469" t="str">
        <f t="shared" si="48"/>
        <v/>
      </c>
      <c r="AL205" s="469" t="str">
        <f t="shared" si="49"/>
        <v/>
      </c>
      <c r="AM205" s="1106" t="str">
        <f t="shared" si="50"/>
        <v/>
      </c>
      <c r="AN205" s="1106" t="str">
        <f>IFERROR(AM205*(1+'7a.20YrDetails'!$F$9),"")</f>
        <v/>
      </c>
      <c r="AO205" s="1106" t="str">
        <f>IFERROR(AN205*(1+'7a.20YrDetails'!$F$9),"")</f>
        <v/>
      </c>
      <c r="AP205" s="1106" t="str">
        <f>IFERROR(AO205*(1+'7a.20YrDetails'!$F$9),"")</f>
        <v/>
      </c>
      <c r="AQ205" s="1106" t="str">
        <f>IFERROR(AP205*(1+'7a.20YrDetails'!$F$9),"")</f>
        <v/>
      </c>
      <c r="AR205" s="674"/>
      <c r="AS205" s="672"/>
      <c r="AT205" s="1732" t="str">
        <f>IF($AF205=0,0,IFERROR(($AF205+L205)/(HLOOKUP($D205,RentsUA!$B$61:$H$62,2,FALSE)),""))</f>
        <v/>
      </c>
      <c r="AU205" s="1733" t="str">
        <f>IFERROR(G205/HLOOKUP(H205,RentsUA!$B$40:$I$41,2),"")</f>
        <v/>
      </c>
      <c r="BR205" s="404" t="str">
        <f t="shared" si="51"/>
        <v/>
      </c>
      <c r="BS205" s="5" t="str">
        <f t="array" ref="BS205">IFERROR(INDEX($BR$13:$BR$412, MATCH(0, COUNTIF($BS$12:$BS204, $BR$13:$BR$412), 0)),"")</f>
        <v/>
      </c>
      <c r="BT205" s="404" t="str">
        <f t="shared" ref="BT205:BT268" si="58">IF(X205="","",CONCATENATE("MOHCD ",X205*100,"%"))</f>
        <v/>
      </c>
      <c r="BU205" s="404" t="str">
        <f t="array" ref="BU205">IFERROR(INDEX($BT$13:$BT$412, MATCH(0, COUNTIF($BU$12:$BU204, $BT$13:$BT$412), 0)),"")</f>
        <v/>
      </c>
    </row>
    <row r="206" spans="1:73" s="404" customFormat="1" ht="13.2">
      <c r="A206" s="406">
        <f t="shared" si="52"/>
        <v>194</v>
      </c>
      <c r="B206" s="472"/>
      <c r="C206" s="470"/>
      <c r="D206" s="407"/>
      <c r="E206" s="407"/>
      <c r="F206" s="408"/>
      <c r="G206" s="409"/>
      <c r="H206" s="407"/>
      <c r="I206" s="1029" t="str">
        <f>IFERROR(G206/HLOOKUP(H206,RentsUA!$B$8:$J$9,2),"")</f>
        <v/>
      </c>
      <c r="J206" s="407"/>
      <c r="K206" s="412"/>
      <c r="L206" s="672">
        <f t="shared" si="53"/>
        <v>0</v>
      </c>
      <c r="M206" s="671"/>
      <c r="N206" s="410">
        <f t="shared" si="54"/>
        <v>0</v>
      </c>
      <c r="O206" s="469" t="str">
        <f>IF($M206=0,"",IFERROR(($L206+$M206)/(HLOOKUP($D206,RentsUA!$K$12:$Q$35,19,FALSE)),""))</f>
        <v/>
      </c>
      <c r="P206" s="469" t="str">
        <f>IF($M206=0,"",IFERROR(($M206+K206+L206)/(HLOOKUP($D206,RentsUA!$K$12:$Q$35,19,FALSE)),""))</f>
        <v/>
      </c>
      <c r="Q206" s="411"/>
      <c r="R206" s="673" t="str">
        <f>IF($Q206=0,"",VLOOKUP($Q206,RentsUA!$A$12:$H$35,MATCH($D206,RentsUA!$A$12:$H$12,0),FALSE))</f>
        <v/>
      </c>
      <c r="S206" s="409"/>
      <c r="T206" s="674"/>
      <c r="U206" s="672"/>
      <c r="V206" s="673" t="str">
        <f t="shared" ref="V206:V269" si="59">IF(Q206&lt;&gt;"",R206-L206,IF(U206&lt;&gt;0,U206-L206,""))</f>
        <v/>
      </c>
      <c r="W206" s="470"/>
      <c r="X206" s="411"/>
      <c r="Y206" s="410" t="str">
        <f>IF(X206=0,"",VLOOKUP($X206,RentsUA!$A$12:$H$35,MATCH($D206,RentsUA!$A$12:$H$12,0),FALSE))</f>
        <v/>
      </c>
      <c r="Z206" s="410" t="str">
        <f t="shared" si="55"/>
        <v/>
      </c>
      <c r="AA206" s="1297" t="str">
        <f>IF(H206="","",IF(G206/HLOOKUP($H206,RentsUA!$M$8:$T$9,2,FALSE)&gt;1,"&gt; 80%","&lt;= 80%"))</f>
        <v/>
      </c>
      <c r="AB206" s="1106"/>
      <c r="AC206" s="1106"/>
      <c r="AD206" s="622"/>
      <c r="AE206" s="412"/>
      <c r="AF206" s="807" t="str">
        <f>IF(AD206="","",IF(AD206=Lists!$U$3,M206,IF(AD206=Lists!$U$4,V206,IF(AD206=Lists!$U$5,Y206-L206,AE206))))</f>
        <v/>
      </c>
      <c r="AG206" s="410" t="str">
        <f t="shared" si="56"/>
        <v/>
      </c>
      <c r="AH206" s="469" t="str">
        <f t="shared" si="57"/>
        <v/>
      </c>
      <c r="AI206" s="469" t="str">
        <f>IF($AF206=0,0,IFERROR(($L206+$AF206)/(HLOOKUP($D206,RentsUA!$K$12:$Q$35,19,FALSE)),""))</f>
        <v/>
      </c>
      <c r="AJ206" s="469" t="str">
        <f>IF($AF206=0,0,IFERROR(($AF206+K206+L206)/(HLOOKUP($D206,RentsUA!$K$12:$Q$35,19,FALSE)),""))</f>
        <v/>
      </c>
      <c r="AK206" s="469" t="str">
        <f t="shared" ref="AK206:AK269" si="60">IFERROR(AG206*12/G206,"")</f>
        <v/>
      </c>
      <c r="AL206" s="469" t="str">
        <f t="shared" ref="AL206:AL269" si="61">IFERROR(AF206*12/$G206,"")</f>
        <v/>
      </c>
      <c r="AM206" s="1106" t="str">
        <f t="shared" ref="AM206:AM269" si="62">AF206</f>
        <v/>
      </c>
      <c r="AN206" s="1106" t="str">
        <f>IFERROR(AM206*(1+'7a.20YrDetails'!$F$9),"")</f>
        <v/>
      </c>
      <c r="AO206" s="1106" t="str">
        <f>IFERROR(AN206*(1+'7a.20YrDetails'!$F$9),"")</f>
        <v/>
      </c>
      <c r="AP206" s="1106" t="str">
        <f>IFERROR(AO206*(1+'7a.20YrDetails'!$F$9),"")</f>
        <v/>
      </c>
      <c r="AQ206" s="1106" t="str">
        <f>IFERROR(AP206*(1+'7a.20YrDetails'!$F$9),"")</f>
        <v/>
      </c>
      <c r="AR206" s="674"/>
      <c r="AS206" s="672"/>
      <c r="AT206" s="1732" t="str">
        <f>IF($AF206=0,0,IFERROR(($AF206+L206)/(HLOOKUP($D206,RentsUA!$B$61:$H$62,2,FALSE)),""))</f>
        <v/>
      </c>
      <c r="AU206" s="1733" t="str">
        <f>IFERROR(G206/HLOOKUP(H206,RentsUA!$B$40:$I$41,2),"")</f>
        <v/>
      </c>
      <c r="BR206" s="404" t="str">
        <f t="shared" ref="BR206:BR269" si="63">IF(Q206&lt;&gt;"","MOHCD "&amp;Q206*100&amp;"%",IF(AND(Q206="",S206&lt;&gt;""),CONCATENATE(S206, " ",T206*100,"%"),""))</f>
        <v/>
      </c>
      <c r="BS206" s="5" t="str">
        <f t="array" ref="BS206">IFERROR(INDEX($BR$13:$BR$412, MATCH(0, COUNTIF($BS$12:$BS205, $BR$13:$BR$412), 0)),"")</f>
        <v/>
      </c>
      <c r="BT206" s="404" t="str">
        <f t="shared" si="58"/>
        <v/>
      </c>
      <c r="BU206" s="404" t="str">
        <f t="array" ref="BU206">IFERROR(INDEX($BT$13:$BT$412, MATCH(0, COUNTIF($BU$12:$BU205, $BT$13:$BT$412), 0)),"")</f>
        <v/>
      </c>
    </row>
    <row r="207" spans="1:73" s="404" customFormat="1" ht="13.2">
      <c r="A207" s="406">
        <f t="shared" ref="A207:A270" si="64">A206+1</f>
        <v>195</v>
      </c>
      <c r="B207" s="472"/>
      <c r="C207" s="470"/>
      <c r="D207" s="407"/>
      <c r="E207" s="407"/>
      <c r="F207" s="408"/>
      <c r="G207" s="409"/>
      <c r="H207" s="407"/>
      <c r="I207" s="1029" t="str">
        <f>IFERROR(G207/HLOOKUP(H207,RentsUA!$B$8:$J$9,2),"")</f>
        <v/>
      </c>
      <c r="J207" s="407"/>
      <c r="K207" s="412"/>
      <c r="L207" s="672">
        <f t="shared" si="53"/>
        <v>0</v>
      </c>
      <c r="M207" s="671"/>
      <c r="N207" s="410">
        <f t="shared" si="54"/>
        <v>0</v>
      </c>
      <c r="O207" s="469" t="str">
        <f>IF($M207=0,"",IFERROR(($L207+$M207)/(HLOOKUP($D207,RentsUA!$K$12:$Q$35,19,FALSE)),""))</f>
        <v/>
      </c>
      <c r="P207" s="469" t="str">
        <f>IF($M207=0,"",IFERROR(($M207+K207+L207)/(HLOOKUP($D207,RentsUA!$K$12:$Q$35,19,FALSE)),""))</f>
        <v/>
      </c>
      <c r="Q207" s="411"/>
      <c r="R207" s="673" t="str">
        <f>IF($Q207=0,"",VLOOKUP($Q207,RentsUA!$A$12:$H$35,MATCH($D207,RentsUA!$A$12:$H$12,0),FALSE))</f>
        <v/>
      </c>
      <c r="S207" s="409"/>
      <c r="T207" s="674"/>
      <c r="U207" s="672"/>
      <c r="V207" s="673" t="str">
        <f t="shared" si="59"/>
        <v/>
      </c>
      <c r="W207" s="470"/>
      <c r="X207" s="411"/>
      <c r="Y207" s="410" t="str">
        <f>IF(X207=0,"",VLOOKUP($X207,RentsUA!$A$12:$H$35,MATCH($D207,RentsUA!$A$12:$H$12,0),FALSE))</f>
        <v/>
      </c>
      <c r="Z207" s="410" t="str">
        <f t="shared" si="55"/>
        <v/>
      </c>
      <c r="AA207" s="1297" t="str">
        <f>IF(H207="","",IF(G207/HLOOKUP($H207,RentsUA!$M$8:$T$9,2,FALSE)&gt;1,"&gt; 80%","&lt;= 80%"))</f>
        <v/>
      </c>
      <c r="AB207" s="1106"/>
      <c r="AC207" s="1106"/>
      <c r="AD207" s="622"/>
      <c r="AE207" s="412"/>
      <c r="AF207" s="807" t="str">
        <f>IF(AD207="","",IF(AD207=Lists!$U$3,M207,IF(AD207=Lists!$U$4,V207,IF(AD207=Lists!$U$5,Y207-L207,AE207))))</f>
        <v/>
      </c>
      <c r="AG207" s="410" t="str">
        <f t="shared" si="56"/>
        <v/>
      </c>
      <c r="AH207" s="469" t="str">
        <f t="shared" si="57"/>
        <v/>
      </c>
      <c r="AI207" s="469" t="str">
        <f>IF($AF207=0,0,IFERROR(($L207+$AF207)/(HLOOKUP($D207,RentsUA!$K$12:$Q$35,19,FALSE)),""))</f>
        <v/>
      </c>
      <c r="AJ207" s="469" t="str">
        <f>IF($AF207=0,0,IFERROR(($AF207+K207+L207)/(HLOOKUP($D207,RentsUA!$K$12:$Q$35,19,FALSE)),""))</f>
        <v/>
      </c>
      <c r="AK207" s="469" t="str">
        <f t="shared" si="60"/>
        <v/>
      </c>
      <c r="AL207" s="469" t="str">
        <f t="shared" si="61"/>
        <v/>
      </c>
      <c r="AM207" s="1106" t="str">
        <f t="shared" si="62"/>
        <v/>
      </c>
      <c r="AN207" s="1106" t="str">
        <f>IFERROR(AM207*(1+'7a.20YrDetails'!$F$9),"")</f>
        <v/>
      </c>
      <c r="AO207" s="1106" t="str">
        <f>IFERROR(AN207*(1+'7a.20YrDetails'!$F$9),"")</f>
        <v/>
      </c>
      <c r="AP207" s="1106" t="str">
        <f>IFERROR(AO207*(1+'7a.20YrDetails'!$F$9),"")</f>
        <v/>
      </c>
      <c r="AQ207" s="1106" t="str">
        <f>IFERROR(AP207*(1+'7a.20YrDetails'!$F$9),"")</f>
        <v/>
      </c>
      <c r="AR207" s="674"/>
      <c r="AS207" s="672"/>
      <c r="AT207" s="1732" t="str">
        <f>IF($AF207=0,0,IFERROR(($AF207+L207)/(HLOOKUP($D207,RentsUA!$B$61:$H$62,2,FALSE)),""))</f>
        <v/>
      </c>
      <c r="AU207" s="1733" t="str">
        <f>IFERROR(G207/HLOOKUP(H207,RentsUA!$B$40:$I$41,2),"")</f>
        <v/>
      </c>
      <c r="BR207" s="404" t="str">
        <f t="shared" si="63"/>
        <v/>
      </c>
      <c r="BS207" s="5" t="str">
        <f t="array" ref="BS207">IFERROR(INDEX($BR$13:$BR$412, MATCH(0, COUNTIF($BS$12:$BS206, $BR$13:$BR$412), 0)),"")</f>
        <v/>
      </c>
      <c r="BT207" s="404" t="str">
        <f t="shared" si="58"/>
        <v/>
      </c>
      <c r="BU207" s="404" t="str">
        <f t="array" ref="BU207">IFERROR(INDEX($BT$13:$BT$412, MATCH(0, COUNTIF($BU$12:$BU206, $BT$13:$BT$412), 0)),"")</f>
        <v/>
      </c>
    </row>
    <row r="208" spans="1:73" s="404" customFormat="1" ht="13.2">
      <c r="A208" s="406">
        <f t="shared" si="64"/>
        <v>196</v>
      </c>
      <c r="B208" s="472"/>
      <c r="C208" s="470"/>
      <c r="D208" s="407"/>
      <c r="E208" s="407"/>
      <c r="F208" s="408"/>
      <c r="G208" s="409"/>
      <c r="H208" s="407"/>
      <c r="I208" s="1029" t="str">
        <f>IFERROR(G208/HLOOKUP(H208,RentsUA!$B$8:$J$9,2),"")</f>
        <v/>
      </c>
      <c r="J208" s="407"/>
      <c r="K208" s="412"/>
      <c r="L208" s="672">
        <f t="shared" si="53"/>
        <v>0</v>
      </c>
      <c r="M208" s="671"/>
      <c r="N208" s="410">
        <f t="shared" si="54"/>
        <v>0</v>
      </c>
      <c r="O208" s="469" t="str">
        <f>IF($M208=0,"",IFERROR(($L208+$M208)/(HLOOKUP($D208,RentsUA!$K$12:$Q$35,19,FALSE)),""))</f>
        <v/>
      </c>
      <c r="P208" s="469" t="str">
        <f>IF($M208=0,"",IFERROR(($M208+K208+L208)/(HLOOKUP($D208,RentsUA!$K$12:$Q$35,19,FALSE)),""))</f>
        <v/>
      </c>
      <c r="Q208" s="411"/>
      <c r="R208" s="673" t="str">
        <f>IF($Q208=0,"",VLOOKUP($Q208,RentsUA!$A$12:$H$35,MATCH($D208,RentsUA!$A$12:$H$12,0),FALSE))</f>
        <v/>
      </c>
      <c r="S208" s="409"/>
      <c r="T208" s="674"/>
      <c r="U208" s="672"/>
      <c r="V208" s="673" t="str">
        <f t="shared" si="59"/>
        <v/>
      </c>
      <c r="W208" s="470"/>
      <c r="X208" s="411"/>
      <c r="Y208" s="410" t="str">
        <f>IF(X208=0,"",VLOOKUP($X208,RentsUA!$A$12:$H$35,MATCH($D208,RentsUA!$A$12:$H$12,0),FALSE))</f>
        <v/>
      </c>
      <c r="Z208" s="410" t="str">
        <f t="shared" si="55"/>
        <v/>
      </c>
      <c r="AA208" s="1297" t="str">
        <f>IF(H208="","",IF(G208/HLOOKUP($H208,RentsUA!$M$8:$T$9,2,FALSE)&gt;1,"&gt; 80%","&lt;= 80%"))</f>
        <v/>
      </c>
      <c r="AB208" s="1106"/>
      <c r="AC208" s="1106"/>
      <c r="AD208" s="622"/>
      <c r="AE208" s="412"/>
      <c r="AF208" s="807" t="str">
        <f>IF(AD208="","",IF(AD208=Lists!$U$3,M208,IF(AD208=Lists!$U$4,V208,IF(AD208=Lists!$U$5,Y208-L208,AE208))))</f>
        <v/>
      </c>
      <c r="AG208" s="410" t="str">
        <f t="shared" si="56"/>
        <v/>
      </c>
      <c r="AH208" s="469" t="str">
        <f t="shared" si="57"/>
        <v/>
      </c>
      <c r="AI208" s="469" t="str">
        <f>IF($AF208=0,0,IFERROR(($L208+$AF208)/(HLOOKUP($D208,RentsUA!$K$12:$Q$35,19,FALSE)),""))</f>
        <v/>
      </c>
      <c r="AJ208" s="469" t="str">
        <f>IF($AF208=0,0,IFERROR(($AF208+K208+L208)/(HLOOKUP($D208,RentsUA!$K$12:$Q$35,19,FALSE)),""))</f>
        <v/>
      </c>
      <c r="AK208" s="469" t="str">
        <f t="shared" si="60"/>
        <v/>
      </c>
      <c r="AL208" s="469" t="str">
        <f t="shared" si="61"/>
        <v/>
      </c>
      <c r="AM208" s="1106" t="str">
        <f t="shared" si="62"/>
        <v/>
      </c>
      <c r="AN208" s="1106" t="str">
        <f>IFERROR(AM208*(1+'7a.20YrDetails'!$F$9),"")</f>
        <v/>
      </c>
      <c r="AO208" s="1106" t="str">
        <f>IFERROR(AN208*(1+'7a.20YrDetails'!$F$9),"")</f>
        <v/>
      </c>
      <c r="AP208" s="1106" t="str">
        <f>IFERROR(AO208*(1+'7a.20YrDetails'!$F$9),"")</f>
        <v/>
      </c>
      <c r="AQ208" s="1106" t="str">
        <f>IFERROR(AP208*(1+'7a.20YrDetails'!$F$9),"")</f>
        <v/>
      </c>
      <c r="AR208" s="674"/>
      <c r="AS208" s="672"/>
      <c r="AT208" s="1732" t="str">
        <f>IF($AF208=0,0,IFERROR(($AF208+L208)/(HLOOKUP($D208,RentsUA!$B$61:$H$62,2,FALSE)),""))</f>
        <v/>
      </c>
      <c r="AU208" s="1733" t="str">
        <f>IFERROR(G208/HLOOKUP(H208,RentsUA!$B$40:$I$41,2),"")</f>
        <v/>
      </c>
      <c r="BR208" s="404" t="str">
        <f t="shared" si="63"/>
        <v/>
      </c>
      <c r="BS208" s="5" t="str">
        <f t="array" ref="BS208">IFERROR(INDEX($BR$13:$BR$412, MATCH(0, COUNTIF($BS$12:$BS207, $BR$13:$BR$412), 0)),"")</f>
        <v/>
      </c>
      <c r="BT208" s="404" t="str">
        <f t="shared" si="58"/>
        <v/>
      </c>
      <c r="BU208" s="404" t="str">
        <f t="array" ref="BU208">IFERROR(INDEX($BT$13:$BT$412, MATCH(0, COUNTIF($BU$12:$BU207, $BT$13:$BT$412), 0)),"")</f>
        <v/>
      </c>
    </row>
    <row r="209" spans="1:73" s="404" customFormat="1" ht="13.2">
      <c r="A209" s="406">
        <f t="shared" si="64"/>
        <v>197</v>
      </c>
      <c r="B209" s="472"/>
      <c r="C209" s="470"/>
      <c r="D209" s="407"/>
      <c r="E209" s="407"/>
      <c r="F209" s="408"/>
      <c r="G209" s="409"/>
      <c r="H209" s="407"/>
      <c r="I209" s="1029" t="str">
        <f>IFERROR(G209/HLOOKUP(H209,RentsUA!$B$8:$J$9,2),"")</f>
        <v/>
      </c>
      <c r="J209" s="407"/>
      <c r="K209" s="412"/>
      <c r="L209" s="672">
        <f t="shared" si="53"/>
        <v>0</v>
      </c>
      <c r="M209" s="671"/>
      <c r="N209" s="410">
        <f t="shared" si="54"/>
        <v>0</v>
      </c>
      <c r="O209" s="469" t="str">
        <f>IF($M209=0,"",IFERROR(($L209+$M209)/(HLOOKUP($D209,RentsUA!$K$12:$Q$35,19,FALSE)),""))</f>
        <v/>
      </c>
      <c r="P209" s="469" t="str">
        <f>IF($M209=0,"",IFERROR(($M209+K209+L209)/(HLOOKUP($D209,RentsUA!$K$12:$Q$35,19,FALSE)),""))</f>
        <v/>
      </c>
      <c r="Q209" s="411"/>
      <c r="R209" s="673" t="str">
        <f>IF($Q209=0,"",VLOOKUP($Q209,RentsUA!$A$12:$H$35,MATCH($D209,RentsUA!$A$12:$H$12,0),FALSE))</f>
        <v/>
      </c>
      <c r="S209" s="409"/>
      <c r="T209" s="674"/>
      <c r="U209" s="672"/>
      <c r="V209" s="673" t="str">
        <f t="shared" si="59"/>
        <v/>
      </c>
      <c r="W209" s="470"/>
      <c r="X209" s="411"/>
      <c r="Y209" s="410" t="str">
        <f>IF(X209=0,"",VLOOKUP($X209,RentsUA!$A$12:$H$35,MATCH($D209,RentsUA!$A$12:$H$12,0),FALSE))</f>
        <v/>
      </c>
      <c r="Z209" s="410" t="str">
        <f t="shared" si="55"/>
        <v/>
      </c>
      <c r="AA209" s="1297" t="str">
        <f>IF(H209="","",IF(G209/HLOOKUP($H209,RentsUA!$M$8:$T$9,2,FALSE)&gt;1,"&gt; 80%","&lt;= 80%"))</f>
        <v/>
      </c>
      <c r="AB209" s="1106"/>
      <c r="AC209" s="1106"/>
      <c r="AD209" s="622"/>
      <c r="AE209" s="412"/>
      <c r="AF209" s="807" t="str">
        <f>IF(AD209="","",IF(AD209=Lists!$U$3,M209,IF(AD209=Lists!$U$4,V209,IF(AD209=Lists!$U$5,Y209-L209,AE209))))</f>
        <v/>
      </c>
      <c r="AG209" s="410" t="str">
        <f t="shared" si="56"/>
        <v/>
      </c>
      <c r="AH209" s="469" t="str">
        <f t="shared" si="57"/>
        <v/>
      </c>
      <c r="AI209" s="469" t="str">
        <f>IF($AF209=0,0,IFERROR(($L209+$AF209)/(HLOOKUP($D209,RentsUA!$K$12:$Q$35,19,FALSE)),""))</f>
        <v/>
      </c>
      <c r="AJ209" s="469" t="str">
        <f>IF($AF209=0,0,IFERROR(($AF209+K209+L209)/(HLOOKUP($D209,RentsUA!$K$12:$Q$35,19,FALSE)),""))</f>
        <v/>
      </c>
      <c r="AK209" s="469" t="str">
        <f t="shared" si="60"/>
        <v/>
      </c>
      <c r="AL209" s="469" t="str">
        <f t="shared" si="61"/>
        <v/>
      </c>
      <c r="AM209" s="1106" t="str">
        <f t="shared" si="62"/>
        <v/>
      </c>
      <c r="AN209" s="1106" t="str">
        <f>IFERROR(AM209*(1+'7a.20YrDetails'!$F$9),"")</f>
        <v/>
      </c>
      <c r="AO209" s="1106" t="str">
        <f>IFERROR(AN209*(1+'7a.20YrDetails'!$F$9),"")</f>
        <v/>
      </c>
      <c r="AP209" s="1106" t="str">
        <f>IFERROR(AO209*(1+'7a.20YrDetails'!$F$9),"")</f>
        <v/>
      </c>
      <c r="AQ209" s="1106" t="str">
        <f>IFERROR(AP209*(1+'7a.20YrDetails'!$F$9),"")</f>
        <v/>
      </c>
      <c r="AR209" s="674"/>
      <c r="AS209" s="672"/>
      <c r="AT209" s="1732" t="str">
        <f>IF($AF209=0,0,IFERROR(($AF209+L209)/(HLOOKUP($D209,RentsUA!$B$61:$H$62,2,FALSE)),""))</f>
        <v/>
      </c>
      <c r="AU209" s="1733" t="str">
        <f>IFERROR(G209/HLOOKUP(H209,RentsUA!$B$40:$I$41,2),"")</f>
        <v/>
      </c>
      <c r="BR209" s="404" t="str">
        <f t="shared" si="63"/>
        <v/>
      </c>
      <c r="BS209" s="5" t="str">
        <f t="array" ref="BS209">IFERROR(INDEX($BR$13:$BR$412, MATCH(0, COUNTIF($BS$12:$BS208, $BR$13:$BR$412), 0)),"")</f>
        <v/>
      </c>
      <c r="BT209" s="404" t="str">
        <f t="shared" si="58"/>
        <v/>
      </c>
      <c r="BU209" s="404" t="str">
        <f t="array" ref="BU209">IFERROR(INDEX($BT$13:$BT$412, MATCH(0, COUNTIF($BU$12:$BU208, $BT$13:$BT$412), 0)),"")</f>
        <v/>
      </c>
    </row>
    <row r="210" spans="1:73" s="404" customFormat="1" ht="13.2">
      <c r="A210" s="406">
        <f t="shared" si="64"/>
        <v>198</v>
      </c>
      <c r="B210" s="472"/>
      <c r="C210" s="470"/>
      <c r="D210" s="407"/>
      <c r="E210" s="407"/>
      <c r="F210" s="408"/>
      <c r="G210" s="409"/>
      <c r="H210" s="407"/>
      <c r="I210" s="1029" t="str">
        <f>IFERROR(G210/HLOOKUP(H210,RentsUA!$B$8:$J$9,2),"")</f>
        <v/>
      </c>
      <c r="J210" s="407"/>
      <c r="K210" s="412"/>
      <c r="L210" s="672">
        <f t="shared" si="53"/>
        <v>0</v>
      </c>
      <c r="M210" s="671"/>
      <c r="N210" s="410">
        <f t="shared" si="54"/>
        <v>0</v>
      </c>
      <c r="O210" s="469" t="str">
        <f>IF($M210=0,"",IFERROR(($L210+$M210)/(HLOOKUP($D210,RentsUA!$K$12:$Q$35,19,FALSE)),""))</f>
        <v/>
      </c>
      <c r="P210" s="469" t="str">
        <f>IF($M210=0,"",IFERROR(($M210+K210+L210)/(HLOOKUP($D210,RentsUA!$K$12:$Q$35,19,FALSE)),""))</f>
        <v/>
      </c>
      <c r="Q210" s="411"/>
      <c r="R210" s="673" t="str">
        <f>IF($Q210=0,"",VLOOKUP($Q210,RentsUA!$A$12:$H$35,MATCH($D210,RentsUA!$A$12:$H$12,0),FALSE))</f>
        <v/>
      </c>
      <c r="S210" s="409"/>
      <c r="T210" s="674"/>
      <c r="U210" s="672"/>
      <c r="V210" s="673" t="str">
        <f t="shared" si="59"/>
        <v/>
      </c>
      <c r="W210" s="470"/>
      <c r="X210" s="411"/>
      <c r="Y210" s="410" t="str">
        <f>IF(X210=0,"",VLOOKUP($X210,RentsUA!$A$12:$H$35,MATCH($D210,RentsUA!$A$12:$H$12,0),FALSE))</f>
        <v/>
      </c>
      <c r="Z210" s="410" t="str">
        <f t="shared" si="55"/>
        <v/>
      </c>
      <c r="AA210" s="1297" t="str">
        <f>IF(H210="","",IF(G210/HLOOKUP($H210,RentsUA!$M$8:$T$9,2,FALSE)&gt;1,"&gt; 80%","&lt;= 80%"))</f>
        <v/>
      </c>
      <c r="AB210" s="1106"/>
      <c r="AC210" s="1106"/>
      <c r="AD210" s="622"/>
      <c r="AE210" s="412"/>
      <c r="AF210" s="807" t="str">
        <f>IF(AD210="","",IF(AD210=Lists!$U$3,M210,IF(AD210=Lists!$U$4,V210,IF(AD210=Lists!$U$5,Y210-L210,AE210))))</f>
        <v/>
      </c>
      <c r="AG210" s="410" t="str">
        <f t="shared" si="56"/>
        <v/>
      </c>
      <c r="AH210" s="469" t="str">
        <f t="shared" si="57"/>
        <v/>
      </c>
      <c r="AI210" s="469" t="str">
        <f>IF($AF210=0,0,IFERROR(($L210+$AF210)/(HLOOKUP($D210,RentsUA!$K$12:$Q$35,19,FALSE)),""))</f>
        <v/>
      </c>
      <c r="AJ210" s="469" t="str">
        <f>IF($AF210=0,0,IFERROR(($AF210+K210+L210)/(HLOOKUP($D210,RentsUA!$K$12:$Q$35,19,FALSE)),""))</f>
        <v/>
      </c>
      <c r="AK210" s="469" t="str">
        <f t="shared" si="60"/>
        <v/>
      </c>
      <c r="AL210" s="469" t="str">
        <f t="shared" si="61"/>
        <v/>
      </c>
      <c r="AM210" s="1106" t="str">
        <f t="shared" si="62"/>
        <v/>
      </c>
      <c r="AN210" s="1106" t="str">
        <f>IFERROR(AM210*(1+'7a.20YrDetails'!$F$9),"")</f>
        <v/>
      </c>
      <c r="AO210" s="1106" t="str">
        <f>IFERROR(AN210*(1+'7a.20YrDetails'!$F$9),"")</f>
        <v/>
      </c>
      <c r="AP210" s="1106" t="str">
        <f>IFERROR(AO210*(1+'7a.20YrDetails'!$F$9),"")</f>
        <v/>
      </c>
      <c r="AQ210" s="1106" t="str">
        <f>IFERROR(AP210*(1+'7a.20YrDetails'!$F$9),"")</f>
        <v/>
      </c>
      <c r="AR210" s="674"/>
      <c r="AS210" s="672"/>
      <c r="AT210" s="1732" t="str">
        <f>IF($AF210=0,0,IFERROR(($AF210+L210)/(HLOOKUP($D210,RentsUA!$B$61:$H$62,2,FALSE)),""))</f>
        <v/>
      </c>
      <c r="AU210" s="1733" t="str">
        <f>IFERROR(G210/HLOOKUP(H210,RentsUA!$B$40:$I$41,2),"")</f>
        <v/>
      </c>
      <c r="BR210" s="404" t="str">
        <f t="shared" si="63"/>
        <v/>
      </c>
      <c r="BT210" s="404" t="str">
        <f t="shared" si="58"/>
        <v/>
      </c>
      <c r="BU210" s="404" t="str">
        <f t="array" ref="BU210">IFERROR(INDEX($BT$13:$BT$412, MATCH(0, COUNTIF($BU$12:$BU209, $BT$13:$BT$412), 0)),"")</f>
        <v/>
      </c>
    </row>
    <row r="211" spans="1:73" s="404" customFormat="1" ht="13.2">
      <c r="A211" s="406">
        <f t="shared" si="64"/>
        <v>199</v>
      </c>
      <c r="B211" s="472"/>
      <c r="C211" s="470"/>
      <c r="D211" s="407"/>
      <c r="E211" s="407"/>
      <c r="F211" s="408"/>
      <c r="G211" s="409"/>
      <c r="H211" s="407"/>
      <c r="I211" s="1029" t="str">
        <f>IFERROR(G211/HLOOKUP(H211,RentsUA!$B$8:$J$9,2),"")</f>
        <v/>
      </c>
      <c r="J211" s="407"/>
      <c r="K211" s="412"/>
      <c r="L211" s="672">
        <f t="shared" si="53"/>
        <v>0</v>
      </c>
      <c r="M211" s="671"/>
      <c r="N211" s="410">
        <f t="shared" si="54"/>
        <v>0</v>
      </c>
      <c r="O211" s="469" t="str">
        <f>IF($M211=0,"",IFERROR(($L211+$M211)/(HLOOKUP($D211,RentsUA!$K$12:$Q$35,19,FALSE)),""))</f>
        <v/>
      </c>
      <c r="P211" s="469" t="str">
        <f>IF($M211=0,"",IFERROR(($M211+K211+L211)/(HLOOKUP($D211,RentsUA!$K$12:$Q$35,19,FALSE)),""))</f>
        <v/>
      </c>
      <c r="Q211" s="411"/>
      <c r="R211" s="673" t="str">
        <f>IF($Q211=0,"",VLOOKUP($Q211,RentsUA!$A$12:$H$35,MATCH($D211,RentsUA!$A$12:$H$12,0),FALSE))</f>
        <v/>
      </c>
      <c r="S211" s="409"/>
      <c r="T211" s="674"/>
      <c r="U211" s="672"/>
      <c r="V211" s="673" t="str">
        <f t="shared" si="59"/>
        <v/>
      </c>
      <c r="W211" s="470"/>
      <c r="X211" s="411"/>
      <c r="Y211" s="410" t="str">
        <f>IF(X211=0,"",VLOOKUP($X211,RentsUA!$A$12:$H$35,MATCH($D211,RentsUA!$A$12:$H$12,0),FALSE))</f>
        <v/>
      </c>
      <c r="Z211" s="410" t="str">
        <f t="shared" si="55"/>
        <v/>
      </c>
      <c r="AA211" s="1297" t="str">
        <f>IF(H211="","",IF(G211/HLOOKUP($H211,RentsUA!$M$8:$T$9,2,FALSE)&gt;1,"&gt; 80%","&lt;= 80%"))</f>
        <v/>
      </c>
      <c r="AB211" s="1106"/>
      <c r="AC211" s="1106"/>
      <c r="AD211" s="622"/>
      <c r="AE211" s="412"/>
      <c r="AF211" s="807" t="str">
        <f>IF(AD211="","",IF(AD211=Lists!$U$3,M211,IF(AD211=Lists!$U$4,V211,IF(AD211=Lists!$U$5,Y211-L211,AE211))))</f>
        <v/>
      </c>
      <c r="AG211" s="410" t="str">
        <f t="shared" si="56"/>
        <v/>
      </c>
      <c r="AH211" s="469" t="str">
        <f t="shared" si="57"/>
        <v/>
      </c>
      <c r="AI211" s="469" t="str">
        <f>IF($AF211=0,0,IFERROR(($L211+$AF211)/(HLOOKUP($D211,RentsUA!$K$12:$Q$35,19,FALSE)),""))</f>
        <v/>
      </c>
      <c r="AJ211" s="469" t="str">
        <f>IF($AF211=0,0,IFERROR(($AF211+K211+L211)/(HLOOKUP($D211,RentsUA!$K$12:$Q$35,19,FALSE)),""))</f>
        <v/>
      </c>
      <c r="AK211" s="469" t="str">
        <f t="shared" si="60"/>
        <v/>
      </c>
      <c r="AL211" s="469" t="str">
        <f t="shared" si="61"/>
        <v/>
      </c>
      <c r="AM211" s="1106" t="str">
        <f t="shared" si="62"/>
        <v/>
      </c>
      <c r="AN211" s="1106" t="str">
        <f>IFERROR(AM211*(1+'7a.20YrDetails'!$F$9),"")</f>
        <v/>
      </c>
      <c r="AO211" s="1106" t="str">
        <f>IFERROR(AN211*(1+'7a.20YrDetails'!$F$9),"")</f>
        <v/>
      </c>
      <c r="AP211" s="1106" t="str">
        <f>IFERROR(AO211*(1+'7a.20YrDetails'!$F$9),"")</f>
        <v/>
      </c>
      <c r="AQ211" s="1106" t="str">
        <f>IFERROR(AP211*(1+'7a.20YrDetails'!$F$9),"")</f>
        <v/>
      </c>
      <c r="AR211" s="674"/>
      <c r="AS211" s="672"/>
      <c r="AT211" s="1732" t="str">
        <f>IF($AF211=0,0,IFERROR(($AF211+L211)/(HLOOKUP($D211,RentsUA!$B$61:$H$62,2,FALSE)),""))</f>
        <v/>
      </c>
      <c r="AU211" s="1733" t="str">
        <f>IFERROR(G211/HLOOKUP(H211,RentsUA!$B$40:$I$41,2),"")</f>
        <v/>
      </c>
      <c r="BR211" s="404" t="str">
        <f t="shared" si="63"/>
        <v/>
      </c>
      <c r="BS211" s="5" t="str">
        <f t="array" ref="BS211">IFERROR(INDEX($BR$13:$BR$412, MATCH(0, COUNTIF($BS$12:$BS210, $BR$13:$BR$412), 0)),"")</f>
        <v/>
      </c>
      <c r="BT211" s="404" t="str">
        <f t="shared" si="58"/>
        <v/>
      </c>
      <c r="BU211" s="404" t="str">
        <f t="array" ref="BU211">IFERROR(INDEX($BT$13:$BT$412, MATCH(0, COUNTIF($BU$12:$BU210, $BT$13:$BT$412), 0)),"")</f>
        <v/>
      </c>
    </row>
    <row r="212" spans="1:73" s="404" customFormat="1" ht="13.2">
      <c r="A212" s="406">
        <f t="shared" si="64"/>
        <v>200</v>
      </c>
      <c r="B212" s="472"/>
      <c r="C212" s="470"/>
      <c r="D212" s="407"/>
      <c r="E212" s="407"/>
      <c r="F212" s="408"/>
      <c r="G212" s="409"/>
      <c r="H212" s="407"/>
      <c r="I212" s="1029" t="str">
        <f>IFERROR(G212/HLOOKUP(H212,RentsUA!$B$8:$J$9,2),"")</f>
        <v/>
      </c>
      <c r="J212" s="407"/>
      <c r="K212" s="412"/>
      <c r="L212" s="672">
        <f t="shared" si="53"/>
        <v>0</v>
      </c>
      <c r="M212" s="671"/>
      <c r="N212" s="410">
        <f t="shared" si="54"/>
        <v>0</v>
      </c>
      <c r="O212" s="469" t="str">
        <f>IF($M212=0,"",IFERROR(($L212+$M212)/(HLOOKUP($D212,RentsUA!$K$12:$Q$35,19,FALSE)),""))</f>
        <v/>
      </c>
      <c r="P212" s="469" t="str">
        <f>IF($M212=0,"",IFERROR(($M212+K212+L212)/(HLOOKUP($D212,RentsUA!$K$12:$Q$35,19,FALSE)),""))</f>
        <v/>
      </c>
      <c r="Q212" s="411"/>
      <c r="R212" s="673" t="str">
        <f>IF($Q212=0,"",VLOOKUP($Q212,RentsUA!$A$12:$H$35,MATCH($D212,RentsUA!$A$12:$H$12,0),FALSE))</f>
        <v/>
      </c>
      <c r="S212" s="409"/>
      <c r="T212" s="674"/>
      <c r="U212" s="672"/>
      <c r="V212" s="673" t="str">
        <f t="shared" si="59"/>
        <v/>
      </c>
      <c r="W212" s="470"/>
      <c r="X212" s="411"/>
      <c r="Y212" s="410" t="str">
        <f>IF(X212=0,"",VLOOKUP($X212,RentsUA!$A$12:$H$35,MATCH($D212,RentsUA!$A$12:$H$12,0),FALSE))</f>
        <v/>
      </c>
      <c r="Z212" s="410" t="str">
        <f t="shared" si="55"/>
        <v/>
      </c>
      <c r="AA212" s="1297" t="str">
        <f>IF(H212="","",IF(G212/HLOOKUP($H212,RentsUA!$M$8:$T$9,2,FALSE)&gt;1,"&gt; 80%","&lt;= 80%"))</f>
        <v/>
      </c>
      <c r="AB212" s="1106"/>
      <c r="AC212" s="1106"/>
      <c r="AD212" s="622"/>
      <c r="AE212" s="412"/>
      <c r="AF212" s="807" t="str">
        <f>IF(AD212="","",IF(AD212=Lists!$U$3,M212,IF(AD212=Lists!$U$4,V212,IF(AD212=Lists!$U$5,Y212-L212,AE212))))</f>
        <v/>
      </c>
      <c r="AG212" s="410" t="str">
        <f t="shared" si="56"/>
        <v/>
      </c>
      <c r="AH212" s="469" t="str">
        <f t="shared" si="57"/>
        <v/>
      </c>
      <c r="AI212" s="469" t="str">
        <f>IF($AF212=0,0,IFERROR(($L212+$AF212)/(HLOOKUP($D212,RentsUA!$K$12:$Q$35,19,FALSE)),""))</f>
        <v/>
      </c>
      <c r="AJ212" s="469" t="str">
        <f>IF($AF212=0,0,IFERROR(($AF212+K212+L212)/(HLOOKUP($D212,RentsUA!$K$12:$Q$35,19,FALSE)),""))</f>
        <v/>
      </c>
      <c r="AK212" s="469" t="str">
        <f t="shared" si="60"/>
        <v/>
      </c>
      <c r="AL212" s="469" t="str">
        <f t="shared" si="61"/>
        <v/>
      </c>
      <c r="AM212" s="1106" t="str">
        <f t="shared" si="62"/>
        <v/>
      </c>
      <c r="AN212" s="1106" t="str">
        <f>IFERROR(AM212*(1+'7a.20YrDetails'!$F$9),"")</f>
        <v/>
      </c>
      <c r="AO212" s="1106" t="str">
        <f>IFERROR(AN212*(1+'7a.20YrDetails'!$F$9),"")</f>
        <v/>
      </c>
      <c r="AP212" s="1106" t="str">
        <f>IFERROR(AO212*(1+'7a.20YrDetails'!$F$9),"")</f>
        <v/>
      </c>
      <c r="AQ212" s="1106" t="str">
        <f>IFERROR(AP212*(1+'7a.20YrDetails'!$F$9),"")</f>
        <v/>
      </c>
      <c r="AR212" s="674"/>
      <c r="AS212" s="672"/>
      <c r="AT212" s="1732" t="str">
        <f>IF($AF212=0,0,IFERROR(($AF212+L212)/(HLOOKUP($D212,RentsUA!$B$61:$H$62,2,FALSE)),""))</f>
        <v/>
      </c>
      <c r="AU212" s="1733" t="str">
        <f>IFERROR(G212/HLOOKUP(H212,RentsUA!$B$40:$I$41,2),"")</f>
        <v/>
      </c>
      <c r="BR212" s="404" t="str">
        <f t="shared" si="63"/>
        <v/>
      </c>
      <c r="BT212" s="404" t="str">
        <f t="shared" si="58"/>
        <v/>
      </c>
    </row>
    <row r="213" spans="1:73" s="404" customFormat="1" ht="13.2">
      <c r="A213" s="406">
        <f t="shared" si="64"/>
        <v>201</v>
      </c>
      <c r="B213" s="472"/>
      <c r="C213" s="470"/>
      <c r="D213" s="407"/>
      <c r="E213" s="407"/>
      <c r="F213" s="408"/>
      <c r="G213" s="409"/>
      <c r="H213" s="407"/>
      <c r="I213" s="1029" t="str">
        <f>IFERROR(G213/HLOOKUP(H213,RentsUA!$B$8:$J$9,2),"")</f>
        <v/>
      </c>
      <c r="J213" s="407"/>
      <c r="K213" s="412"/>
      <c r="L213" s="672">
        <f t="shared" si="53"/>
        <v>0</v>
      </c>
      <c r="M213" s="671"/>
      <c r="N213" s="410">
        <f t="shared" si="54"/>
        <v>0</v>
      </c>
      <c r="O213" s="469" t="str">
        <f>IF($M213=0,"",IFERROR(($L213+$M213)/(HLOOKUP($D213,RentsUA!$K$12:$Q$35,19,FALSE)),""))</f>
        <v/>
      </c>
      <c r="P213" s="469" t="str">
        <f>IF($M213=0,"",IFERROR(($M213+K213+L213)/(HLOOKUP($D213,RentsUA!$K$12:$Q$35,19,FALSE)),""))</f>
        <v/>
      </c>
      <c r="Q213" s="411"/>
      <c r="R213" s="673" t="str">
        <f>IF($Q213=0,"",VLOOKUP($Q213,RentsUA!$A$12:$H$35,MATCH($D213,RentsUA!$A$12:$H$12,0),FALSE))</f>
        <v/>
      </c>
      <c r="S213" s="409"/>
      <c r="T213" s="674"/>
      <c r="U213" s="672"/>
      <c r="V213" s="673" t="str">
        <f t="shared" si="59"/>
        <v/>
      </c>
      <c r="W213" s="470"/>
      <c r="X213" s="411"/>
      <c r="Y213" s="410" t="str">
        <f>IF(X213=0,"",VLOOKUP($X213,RentsUA!$A$12:$H$35,MATCH($D213,RentsUA!$A$12:$H$12,0),FALSE))</f>
        <v/>
      </c>
      <c r="Z213" s="410" t="str">
        <f t="shared" si="55"/>
        <v/>
      </c>
      <c r="AA213" s="1297" t="str">
        <f>IF(H213="","",IF(G213/HLOOKUP($H213,RentsUA!$M$8:$T$9,2,FALSE)&gt;1,"&gt; 80%","&lt;= 80%"))</f>
        <v/>
      </c>
      <c r="AB213" s="1106"/>
      <c r="AC213" s="1106"/>
      <c r="AD213" s="622"/>
      <c r="AE213" s="412"/>
      <c r="AF213" s="807" t="str">
        <f>IF(AD213="","",IF(AD213=Lists!$U$3,M213,IF(AD213=Lists!$U$4,V213,IF(AD213=Lists!$U$5,Y213-L213,AE213))))</f>
        <v/>
      </c>
      <c r="AG213" s="410" t="str">
        <f t="shared" si="56"/>
        <v/>
      </c>
      <c r="AH213" s="469" t="str">
        <f t="shared" si="57"/>
        <v/>
      </c>
      <c r="AI213" s="469" t="str">
        <f>IF($AF213=0,0,IFERROR(($L213+$AF213)/(HLOOKUP($D213,RentsUA!$K$12:$Q$35,19,FALSE)),""))</f>
        <v/>
      </c>
      <c r="AJ213" s="469" t="str">
        <f>IF($AF213=0,0,IFERROR(($AF213+K213+L213)/(HLOOKUP($D213,RentsUA!$K$12:$Q$35,19,FALSE)),""))</f>
        <v/>
      </c>
      <c r="AK213" s="469" t="str">
        <f t="shared" si="60"/>
        <v/>
      </c>
      <c r="AL213" s="469" t="str">
        <f t="shared" si="61"/>
        <v/>
      </c>
      <c r="AM213" s="1106" t="str">
        <f t="shared" si="62"/>
        <v/>
      </c>
      <c r="AN213" s="1106" t="str">
        <f>IFERROR(AM213*(1+'7a.20YrDetails'!$F$9),"")</f>
        <v/>
      </c>
      <c r="AO213" s="1106" t="str">
        <f>IFERROR(AN213*(1+'7a.20YrDetails'!$F$9),"")</f>
        <v/>
      </c>
      <c r="AP213" s="1106" t="str">
        <f>IFERROR(AO213*(1+'7a.20YrDetails'!$F$9),"")</f>
        <v/>
      </c>
      <c r="AQ213" s="1106" t="str">
        <f>IFERROR(AP213*(1+'7a.20YrDetails'!$F$9),"")</f>
        <v/>
      </c>
      <c r="AR213" s="674"/>
      <c r="AS213" s="672"/>
      <c r="AT213" s="1732" t="str">
        <f>IF($AF213=0,0,IFERROR(($AF213+L213)/(HLOOKUP($D213,RentsUA!$B$61:$H$62,2,FALSE)),""))</f>
        <v/>
      </c>
      <c r="AU213" s="1733" t="str">
        <f>IFERROR(G213/HLOOKUP(H213,RentsUA!$B$40:$I$41,2),"")</f>
        <v/>
      </c>
      <c r="BR213" s="404" t="str">
        <f t="shared" si="63"/>
        <v/>
      </c>
      <c r="BT213" s="404" t="str">
        <f t="shared" si="58"/>
        <v/>
      </c>
    </row>
    <row r="214" spans="1:73" s="404" customFormat="1" ht="13.2">
      <c r="A214" s="406">
        <f t="shared" si="64"/>
        <v>202</v>
      </c>
      <c r="B214" s="472"/>
      <c r="C214" s="470"/>
      <c r="D214" s="407"/>
      <c r="E214" s="407"/>
      <c r="F214" s="408"/>
      <c r="G214" s="409"/>
      <c r="H214" s="407"/>
      <c r="I214" s="1029" t="str">
        <f>IFERROR(G214/HLOOKUP(H214,RentsUA!$B$8:$J$9,2),"")</f>
        <v/>
      </c>
      <c r="J214" s="407"/>
      <c r="K214" s="412"/>
      <c r="L214" s="672">
        <f t="shared" si="53"/>
        <v>0</v>
      </c>
      <c r="M214" s="671"/>
      <c r="N214" s="410">
        <f t="shared" si="54"/>
        <v>0</v>
      </c>
      <c r="O214" s="469" t="str">
        <f>IF($M214=0,"",IFERROR(($L214+$M214)/(HLOOKUP($D214,RentsUA!$K$12:$Q$35,19,FALSE)),""))</f>
        <v/>
      </c>
      <c r="P214" s="469" t="str">
        <f>IF($M214=0,"",IFERROR(($M214+K214+L214)/(HLOOKUP($D214,RentsUA!$K$12:$Q$35,19,FALSE)),""))</f>
        <v/>
      </c>
      <c r="Q214" s="411"/>
      <c r="R214" s="673" t="str">
        <f>IF($Q214=0,"",VLOOKUP($Q214,RentsUA!$A$12:$H$35,MATCH($D214,RentsUA!$A$12:$H$12,0),FALSE))</f>
        <v/>
      </c>
      <c r="S214" s="409"/>
      <c r="T214" s="674"/>
      <c r="U214" s="672"/>
      <c r="V214" s="673" t="str">
        <f t="shared" si="59"/>
        <v/>
      </c>
      <c r="W214" s="470"/>
      <c r="X214" s="411"/>
      <c r="Y214" s="410" t="str">
        <f>IF(X214=0,"",VLOOKUP($X214,RentsUA!$A$12:$H$35,MATCH($D214,RentsUA!$A$12:$H$12,0),FALSE))</f>
        <v/>
      </c>
      <c r="Z214" s="410" t="str">
        <f t="shared" si="55"/>
        <v/>
      </c>
      <c r="AA214" s="1297" t="str">
        <f>IF(H214="","",IF(G214/HLOOKUP($H214,RentsUA!$M$8:$T$9,2,FALSE)&gt;1,"&gt; 80%","&lt;= 80%"))</f>
        <v/>
      </c>
      <c r="AB214" s="1106"/>
      <c r="AC214" s="1106"/>
      <c r="AD214" s="622"/>
      <c r="AE214" s="412"/>
      <c r="AF214" s="807" t="str">
        <f>IF(AD214="","",IF(AD214=Lists!$U$3,M214,IF(AD214=Lists!$U$4,V214,IF(AD214=Lists!$U$5,Y214-L214,AE214))))</f>
        <v/>
      </c>
      <c r="AG214" s="410" t="str">
        <f t="shared" si="56"/>
        <v/>
      </c>
      <c r="AH214" s="469" t="str">
        <f t="shared" si="57"/>
        <v/>
      </c>
      <c r="AI214" s="469" t="str">
        <f>IF($AF214=0,0,IFERROR(($L214+$AF214)/(HLOOKUP($D214,RentsUA!$K$12:$Q$35,19,FALSE)),""))</f>
        <v/>
      </c>
      <c r="AJ214" s="469" t="str">
        <f>IF($AF214=0,0,IFERROR(($AF214+K214+L214)/(HLOOKUP($D214,RentsUA!$K$12:$Q$35,19,FALSE)),""))</f>
        <v/>
      </c>
      <c r="AK214" s="469" t="str">
        <f t="shared" si="60"/>
        <v/>
      </c>
      <c r="AL214" s="469" t="str">
        <f t="shared" si="61"/>
        <v/>
      </c>
      <c r="AM214" s="1106" t="str">
        <f t="shared" si="62"/>
        <v/>
      </c>
      <c r="AN214" s="1106" t="str">
        <f>IFERROR(AM214*(1+'7a.20YrDetails'!$F$9),"")</f>
        <v/>
      </c>
      <c r="AO214" s="1106" t="str">
        <f>IFERROR(AN214*(1+'7a.20YrDetails'!$F$9),"")</f>
        <v/>
      </c>
      <c r="AP214" s="1106" t="str">
        <f>IFERROR(AO214*(1+'7a.20YrDetails'!$F$9),"")</f>
        <v/>
      </c>
      <c r="AQ214" s="1106" t="str">
        <f>IFERROR(AP214*(1+'7a.20YrDetails'!$F$9),"")</f>
        <v/>
      </c>
      <c r="AR214" s="674"/>
      <c r="AS214" s="672"/>
      <c r="AT214" s="1732" t="str">
        <f>IF($AF214=0,0,IFERROR(($AF214+L214)/(HLOOKUP($D214,RentsUA!$B$61:$H$62,2,FALSE)),""))</f>
        <v/>
      </c>
      <c r="AU214" s="1733" t="str">
        <f>IFERROR(G214/HLOOKUP(H214,RentsUA!$B$40:$I$41,2),"")</f>
        <v/>
      </c>
      <c r="BR214" s="404" t="str">
        <f t="shared" si="63"/>
        <v/>
      </c>
      <c r="BT214" s="404" t="str">
        <f t="shared" si="58"/>
        <v/>
      </c>
    </row>
    <row r="215" spans="1:73" s="404" customFormat="1" ht="13.2">
      <c r="A215" s="406">
        <f t="shared" si="64"/>
        <v>203</v>
      </c>
      <c r="B215" s="472"/>
      <c r="C215" s="470"/>
      <c r="D215" s="407"/>
      <c r="E215" s="407"/>
      <c r="F215" s="408"/>
      <c r="G215" s="409"/>
      <c r="H215" s="407"/>
      <c r="I215" s="1029" t="str">
        <f>IFERROR(G215/HLOOKUP(H215,RentsUA!$B$8:$J$9,2),"")</f>
        <v/>
      </c>
      <c r="J215" s="407"/>
      <c r="K215" s="412"/>
      <c r="L215" s="672">
        <f t="shared" si="53"/>
        <v>0</v>
      </c>
      <c r="M215" s="671"/>
      <c r="N215" s="410">
        <f t="shared" si="54"/>
        <v>0</v>
      </c>
      <c r="O215" s="469" t="str">
        <f>IF($M215=0,"",IFERROR(($L215+$M215)/(HLOOKUP($D215,RentsUA!$K$12:$Q$35,19,FALSE)),""))</f>
        <v/>
      </c>
      <c r="P215" s="469" t="str">
        <f>IF($M215=0,"",IFERROR(($M215+K215+L215)/(HLOOKUP($D215,RentsUA!$K$12:$Q$35,19,FALSE)),""))</f>
        <v/>
      </c>
      <c r="Q215" s="411"/>
      <c r="R215" s="673" t="str">
        <f>IF($Q215=0,"",VLOOKUP($Q215,RentsUA!$A$12:$H$35,MATCH($D215,RentsUA!$A$12:$H$12,0),FALSE))</f>
        <v/>
      </c>
      <c r="S215" s="409"/>
      <c r="T215" s="674"/>
      <c r="U215" s="672"/>
      <c r="V215" s="673" t="str">
        <f t="shared" si="59"/>
        <v/>
      </c>
      <c r="W215" s="470"/>
      <c r="X215" s="411"/>
      <c r="Y215" s="410" t="str">
        <f>IF(X215=0,"",VLOOKUP($X215,RentsUA!$A$12:$H$35,MATCH($D215,RentsUA!$A$12:$H$12,0),FALSE))</f>
        <v/>
      </c>
      <c r="Z215" s="410" t="str">
        <f t="shared" si="55"/>
        <v/>
      </c>
      <c r="AA215" s="1297" t="str">
        <f>IF(H215="","",IF(G215/HLOOKUP($H215,RentsUA!$M$8:$T$9,2,FALSE)&gt;1,"&gt; 80%","&lt;= 80%"))</f>
        <v/>
      </c>
      <c r="AB215" s="1106"/>
      <c r="AC215" s="1106"/>
      <c r="AD215" s="622"/>
      <c r="AE215" s="412"/>
      <c r="AF215" s="807" t="str">
        <f>IF(AD215="","",IF(AD215=Lists!$U$3,M215,IF(AD215=Lists!$U$4,V215,IF(AD215=Lists!$U$5,Y215-L215,AE215))))</f>
        <v/>
      </c>
      <c r="AG215" s="410" t="str">
        <f t="shared" si="56"/>
        <v/>
      </c>
      <c r="AH215" s="469" t="str">
        <f t="shared" si="57"/>
        <v/>
      </c>
      <c r="AI215" s="469" t="str">
        <f>IF($AF215=0,0,IFERROR(($L215+$AF215)/(HLOOKUP($D215,RentsUA!$K$12:$Q$35,19,FALSE)),""))</f>
        <v/>
      </c>
      <c r="AJ215" s="469" t="str">
        <f>IF($AF215=0,0,IFERROR(($AF215+K215+L215)/(HLOOKUP($D215,RentsUA!$K$12:$Q$35,19,FALSE)),""))</f>
        <v/>
      </c>
      <c r="AK215" s="469" t="str">
        <f t="shared" si="60"/>
        <v/>
      </c>
      <c r="AL215" s="469" t="str">
        <f t="shared" si="61"/>
        <v/>
      </c>
      <c r="AM215" s="1106" t="str">
        <f t="shared" si="62"/>
        <v/>
      </c>
      <c r="AN215" s="1106" t="str">
        <f>IFERROR(AM215*(1+'7a.20YrDetails'!$F$9),"")</f>
        <v/>
      </c>
      <c r="AO215" s="1106" t="str">
        <f>IFERROR(AN215*(1+'7a.20YrDetails'!$F$9),"")</f>
        <v/>
      </c>
      <c r="AP215" s="1106" t="str">
        <f>IFERROR(AO215*(1+'7a.20YrDetails'!$F$9),"")</f>
        <v/>
      </c>
      <c r="AQ215" s="1106" t="str">
        <f>IFERROR(AP215*(1+'7a.20YrDetails'!$F$9),"")</f>
        <v/>
      </c>
      <c r="AR215" s="674"/>
      <c r="AS215" s="672"/>
      <c r="AT215" s="1732" t="str">
        <f>IF($AF215=0,0,IFERROR(($AF215+L215)/(HLOOKUP($D215,RentsUA!$B$61:$H$62,2,FALSE)),""))</f>
        <v/>
      </c>
      <c r="AU215" s="1733" t="str">
        <f>IFERROR(G215/HLOOKUP(H215,RentsUA!$B$40:$I$41,2),"")</f>
        <v/>
      </c>
      <c r="BR215" s="404" t="str">
        <f t="shared" si="63"/>
        <v/>
      </c>
      <c r="BT215" s="404" t="str">
        <f t="shared" si="58"/>
        <v/>
      </c>
    </row>
    <row r="216" spans="1:73" s="404" customFormat="1" ht="13.2">
      <c r="A216" s="406">
        <f t="shared" si="64"/>
        <v>204</v>
      </c>
      <c r="B216" s="472"/>
      <c r="C216" s="470"/>
      <c r="D216" s="407"/>
      <c r="E216" s="407"/>
      <c r="F216" s="408"/>
      <c r="G216" s="409"/>
      <c r="H216" s="407"/>
      <c r="I216" s="1029" t="str">
        <f>IFERROR(G216/HLOOKUP(H216,RentsUA!$B$8:$J$9,2),"")</f>
        <v/>
      </c>
      <c r="J216" s="407"/>
      <c r="K216" s="412"/>
      <c r="L216" s="672">
        <f t="shared" si="53"/>
        <v>0</v>
      </c>
      <c r="M216" s="671"/>
      <c r="N216" s="410">
        <f t="shared" si="54"/>
        <v>0</v>
      </c>
      <c r="O216" s="469" t="str">
        <f>IF($M216=0,"",IFERROR(($L216+$M216)/(HLOOKUP($D216,RentsUA!$K$12:$Q$35,19,FALSE)),""))</f>
        <v/>
      </c>
      <c r="P216" s="469" t="str">
        <f>IF($M216=0,"",IFERROR(($M216+K216+L216)/(HLOOKUP($D216,RentsUA!$K$12:$Q$35,19,FALSE)),""))</f>
        <v/>
      </c>
      <c r="Q216" s="411"/>
      <c r="R216" s="673" t="str">
        <f>IF($Q216=0,"",VLOOKUP($Q216,RentsUA!$A$12:$H$35,MATCH($D216,RentsUA!$A$12:$H$12,0),FALSE))</f>
        <v/>
      </c>
      <c r="S216" s="409"/>
      <c r="T216" s="674"/>
      <c r="U216" s="672"/>
      <c r="V216" s="673" t="str">
        <f t="shared" si="59"/>
        <v/>
      </c>
      <c r="W216" s="470"/>
      <c r="X216" s="411"/>
      <c r="Y216" s="410" t="str">
        <f>IF(X216=0,"",VLOOKUP($X216,RentsUA!$A$12:$H$35,MATCH($D216,RentsUA!$A$12:$H$12,0),FALSE))</f>
        <v/>
      </c>
      <c r="Z216" s="410" t="str">
        <f t="shared" si="55"/>
        <v/>
      </c>
      <c r="AA216" s="1297" t="str">
        <f>IF(H216="","",IF(G216/HLOOKUP($H216,RentsUA!$M$8:$T$9,2,FALSE)&gt;1,"&gt; 80%","&lt;= 80%"))</f>
        <v/>
      </c>
      <c r="AB216" s="1106"/>
      <c r="AC216" s="1106"/>
      <c r="AD216" s="622"/>
      <c r="AE216" s="412"/>
      <c r="AF216" s="807" t="str">
        <f>IF(AD216="","",IF(AD216=Lists!$U$3,M216,IF(AD216=Lists!$U$4,V216,IF(AD216=Lists!$U$5,Y216-L216,AE216))))</f>
        <v/>
      </c>
      <c r="AG216" s="410" t="str">
        <f t="shared" si="56"/>
        <v/>
      </c>
      <c r="AH216" s="469" t="str">
        <f t="shared" si="57"/>
        <v/>
      </c>
      <c r="AI216" s="469" t="str">
        <f>IF($AF216=0,0,IFERROR(($L216+$AF216)/(HLOOKUP($D216,RentsUA!$K$12:$Q$35,19,FALSE)),""))</f>
        <v/>
      </c>
      <c r="AJ216" s="469" t="str">
        <f>IF($AF216=0,0,IFERROR(($AF216+K216+L216)/(HLOOKUP($D216,RentsUA!$K$12:$Q$35,19,FALSE)),""))</f>
        <v/>
      </c>
      <c r="AK216" s="469" t="str">
        <f t="shared" si="60"/>
        <v/>
      </c>
      <c r="AL216" s="469" t="str">
        <f t="shared" si="61"/>
        <v/>
      </c>
      <c r="AM216" s="1106" t="str">
        <f t="shared" si="62"/>
        <v/>
      </c>
      <c r="AN216" s="1106" t="str">
        <f>IFERROR(AM216*(1+'7a.20YrDetails'!$F$9),"")</f>
        <v/>
      </c>
      <c r="AO216" s="1106" t="str">
        <f>IFERROR(AN216*(1+'7a.20YrDetails'!$F$9),"")</f>
        <v/>
      </c>
      <c r="AP216" s="1106" t="str">
        <f>IFERROR(AO216*(1+'7a.20YrDetails'!$F$9),"")</f>
        <v/>
      </c>
      <c r="AQ216" s="1106" t="str">
        <f>IFERROR(AP216*(1+'7a.20YrDetails'!$F$9),"")</f>
        <v/>
      </c>
      <c r="AR216" s="674"/>
      <c r="AS216" s="672"/>
      <c r="AT216" s="1732" t="str">
        <f>IF($AF216=0,0,IFERROR(($AF216+L216)/(HLOOKUP($D216,RentsUA!$B$61:$H$62,2,FALSE)),""))</f>
        <v/>
      </c>
      <c r="AU216" s="1733" t="str">
        <f>IFERROR(G216/HLOOKUP(H216,RentsUA!$B$40:$I$41,2),"")</f>
        <v/>
      </c>
      <c r="BR216" s="404" t="str">
        <f t="shared" si="63"/>
        <v/>
      </c>
      <c r="BT216" s="404" t="str">
        <f t="shared" si="58"/>
        <v/>
      </c>
    </row>
    <row r="217" spans="1:73" s="404" customFormat="1" ht="13.2">
      <c r="A217" s="406">
        <f t="shared" si="64"/>
        <v>205</v>
      </c>
      <c r="B217" s="472"/>
      <c r="C217" s="470"/>
      <c r="D217" s="407"/>
      <c r="E217" s="407"/>
      <c r="F217" s="408"/>
      <c r="G217" s="409"/>
      <c r="H217" s="407"/>
      <c r="I217" s="1029" t="str">
        <f>IFERROR(G217/HLOOKUP(H217,RentsUA!$B$8:$J$9,2),"")</f>
        <v/>
      </c>
      <c r="J217" s="407"/>
      <c r="K217" s="412"/>
      <c r="L217" s="672">
        <f t="shared" si="53"/>
        <v>0</v>
      </c>
      <c r="M217" s="671"/>
      <c r="N217" s="410">
        <f t="shared" si="54"/>
        <v>0</v>
      </c>
      <c r="O217" s="469" t="str">
        <f>IF($M217=0,"",IFERROR(($L217+$M217)/(HLOOKUP($D217,RentsUA!$K$12:$Q$35,19,FALSE)),""))</f>
        <v/>
      </c>
      <c r="P217" s="469" t="str">
        <f>IF($M217=0,"",IFERROR(($M217+K217+L217)/(HLOOKUP($D217,RentsUA!$K$12:$Q$35,19,FALSE)),""))</f>
        <v/>
      </c>
      <c r="Q217" s="411"/>
      <c r="R217" s="673" t="str">
        <f>IF($Q217=0,"",VLOOKUP($Q217,RentsUA!$A$12:$H$35,MATCH($D217,RentsUA!$A$12:$H$12,0),FALSE))</f>
        <v/>
      </c>
      <c r="S217" s="409"/>
      <c r="T217" s="674"/>
      <c r="U217" s="672"/>
      <c r="V217" s="673" t="str">
        <f t="shared" si="59"/>
        <v/>
      </c>
      <c r="W217" s="470"/>
      <c r="X217" s="411"/>
      <c r="Y217" s="410" t="str">
        <f>IF(X217=0,"",VLOOKUP($X217,RentsUA!$A$12:$H$35,MATCH($D217,RentsUA!$A$12:$H$12,0),FALSE))</f>
        <v/>
      </c>
      <c r="Z217" s="410" t="str">
        <f t="shared" si="55"/>
        <v/>
      </c>
      <c r="AA217" s="1297" t="str">
        <f>IF(H217="","",IF(G217/HLOOKUP($H217,RentsUA!$M$8:$T$9,2,FALSE)&gt;1,"&gt; 80%","&lt;= 80%"))</f>
        <v/>
      </c>
      <c r="AB217" s="1106"/>
      <c r="AC217" s="1106"/>
      <c r="AD217" s="622"/>
      <c r="AE217" s="412"/>
      <c r="AF217" s="807" t="str">
        <f>IF(AD217="","",IF(AD217=Lists!$U$3,M217,IF(AD217=Lists!$U$4,V217,IF(AD217=Lists!$U$5,Y217-L217,AE217))))</f>
        <v/>
      </c>
      <c r="AG217" s="410" t="str">
        <f t="shared" si="56"/>
        <v/>
      </c>
      <c r="AH217" s="469" t="str">
        <f t="shared" si="57"/>
        <v/>
      </c>
      <c r="AI217" s="469" t="str">
        <f>IF($AF217=0,0,IFERROR(($L217+$AF217)/(HLOOKUP($D217,RentsUA!$K$12:$Q$35,19,FALSE)),""))</f>
        <v/>
      </c>
      <c r="AJ217" s="469" t="str">
        <f>IF($AF217=0,0,IFERROR(($AF217+K217+L217)/(HLOOKUP($D217,RentsUA!$K$12:$Q$35,19,FALSE)),""))</f>
        <v/>
      </c>
      <c r="AK217" s="469" t="str">
        <f t="shared" si="60"/>
        <v/>
      </c>
      <c r="AL217" s="469" t="str">
        <f t="shared" si="61"/>
        <v/>
      </c>
      <c r="AM217" s="1106" t="str">
        <f t="shared" si="62"/>
        <v/>
      </c>
      <c r="AN217" s="1106" t="str">
        <f>IFERROR(AM217*(1+'7a.20YrDetails'!$F$9),"")</f>
        <v/>
      </c>
      <c r="AO217" s="1106" t="str">
        <f>IFERROR(AN217*(1+'7a.20YrDetails'!$F$9),"")</f>
        <v/>
      </c>
      <c r="AP217" s="1106" t="str">
        <f>IFERROR(AO217*(1+'7a.20YrDetails'!$F$9),"")</f>
        <v/>
      </c>
      <c r="AQ217" s="1106" t="str">
        <f>IFERROR(AP217*(1+'7a.20YrDetails'!$F$9),"")</f>
        <v/>
      </c>
      <c r="AR217" s="674"/>
      <c r="AS217" s="672"/>
      <c r="AT217" s="1732" t="str">
        <f>IF($AF217=0,0,IFERROR(($AF217+L217)/(HLOOKUP($D217,RentsUA!$B$61:$H$62,2,FALSE)),""))</f>
        <v/>
      </c>
      <c r="AU217" s="1733" t="str">
        <f>IFERROR(G217/HLOOKUP(H217,RentsUA!$B$40:$I$41,2),"")</f>
        <v/>
      </c>
      <c r="BR217" s="404" t="str">
        <f t="shared" si="63"/>
        <v/>
      </c>
      <c r="BT217" s="404" t="str">
        <f t="shared" si="58"/>
        <v/>
      </c>
    </row>
    <row r="218" spans="1:73" s="404" customFormat="1" ht="13.2">
      <c r="A218" s="406">
        <f t="shared" si="64"/>
        <v>206</v>
      </c>
      <c r="B218" s="472"/>
      <c r="C218" s="470"/>
      <c r="D218" s="407"/>
      <c r="E218" s="407"/>
      <c r="F218" s="408"/>
      <c r="G218" s="409"/>
      <c r="H218" s="407"/>
      <c r="I218" s="1029" t="str">
        <f>IFERROR(G218/HLOOKUP(H218,RentsUA!$B$8:$J$9,2),"")</f>
        <v/>
      </c>
      <c r="J218" s="407"/>
      <c r="K218" s="412"/>
      <c r="L218" s="672">
        <f t="shared" si="53"/>
        <v>0</v>
      </c>
      <c r="M218" s="671"/>
      <c r="N218" s="410">
        <f t="shared" si="54"/>
        <v>0</v>
      </c>
      <c r="O218" s="469" t="str">
        <f>IF($M218=0,"",IFERROR(($L218+$M218)/(HLOOKUP($D218,RentsUA!$K$12:$Q$35,19,FALSE)),""))</f>
        <v/>
      </c>
      <c r="P218" s="469" t="str">
        <f>IF($M218=0,"",IFERROR(($M218+K218+L218)/(HLOOKUP($D218,RentsUA!$K$12:$Q$35,19,FALSE)),""))</f>
        <v/>
      </c>
      <c r="Q218" s="411"/>
      <c r="R218" s="673" t="str">
        <f>IF($Q218=0,"",VLOOKUP($Q218,RentsUA!$A$12:$H$35,MATCH($D218,RentsUA!$A$12:$H$12,0),FALSE))</f>
        <v/>
      </c>
      <c r="S218" s="409"/>
      <c r="T218" s="674"/>
      <c r="U218" s="672"/>
      <c r="V218" s="673" t="str">
        <f t="shared" si="59"/>
        <v/>
      </c>
      <c r="W218" s="470"/>
      <c r="X218" s="411"/>
      <c r="Y218" s="410" t="str">
        <f>IF(X218=0,"",VLOOKUP($X218,RentsUA!$A$12:$H$35,MATCH($D218,RentsUA!$A$12:$H$12,0),FALSE))</f>
        <v/>
      </c>
      <c r="Z218" s="410" t="str">
        <f t="shared" si="55"/>
        <v/>
      </c>
      <c r="AA218" s="1297" t="str">
        <f>IF(H218="","",IF(G218/HLOOKUP($H218,RentsUA!$M$8:$T$9,2,FALSE)&gt;1,"&gt; 80%","&lt;= 80%"))</f>
        <v/>
      </c>
      <c r="AB218" s="1106"/>
      <c r="AC218" s="1106"/>
      <c r="AD218" s="622"/>
      <c r="AE218" s="412"/>
      <c r="AF218" s="807" t="str">
        <f>IF(AD218="","",IF(AD218=Lists!$U$3,M218,IF(AD218=Lists!$U$4,V218,IF(AD218=Lists!$U$5,Y218-L218,AE218))))</f>
        <v/>
      </c>
      <c r="AG218" s="410" t="str">
        <f t="shared" si="56"/>
        <v/>
      </c>
      <c r="AH218" s="469" t="str">
        <f t="shared" si="57"/>
        <v/>
      </c>
      <c r="AI218" s="469" t="str">
        <f>IF($AF218=0,0,IFERROR(($L218+$AF218)/(HLOOKUP($D218,RentsUA!$K$12:$Q$35,19,FALSE)),""))</f>
        <v/>
      </c>
      <c r="AJ218" s="469" t="str">
        <f>IF($AF218=0,0,IFERROR(($AF218+K218+L218)/(HLOOKUP($D218,RentsUA!$K$12:$Q$35,19,FALSE)),""))</f>
        <v/>
      </c>
      <c r="AK218" s="469" t="str">
        <f t="shared" si="60"/>
        <v/>
      </c>
      <c r="AL218" s="469" t="str">
        <f t="shared" si="61"/>
        <v/>
      </c>
      <c r="AM218" s="1106" t="str">
        <f t="shared" si="62"/>
        <v/>
      </c>
      <c r="AN218" s="1106" t="str">
        <f>IFERROR(AM218*(1+'7a.20YrDetails'!$F$9),"")</f>
        <v/>
      </c>
      <c r="AO218" s="1106" t="str">
        <f>IFERROR(AN218*(1+'7a.20YrDetails'!$F$9),"")</f>
        <v/>
      </c>
      <c r="AP218" s="1106" t="str">
        <f>IFERROR(AO218*(1+'7a.20YrDetails'!$F$9),"")</f>
        <v/>
      </c>
      <c r="AQ218" s="1106" t="str">
        <f>IFERROR(AP218*(1+'7a.20YrDetails'!$F$9),"")</f>
        <v/>
      </c>
      <c r="AR218" s="674"/>
      <c r="AS218" s="672"/>
      <c r="AT218" s="1732" t="str">
        <f>IF($AF218=0,0,IFERROR(($AF218+L218)/(HLOOKUP($D218,RentsUA!$B$61:$H$62,2,FALSE)),""))</f>
        <v/>
      </c>
      <c r="AU218" s="1733" t="str">
        <f>IFERROR(G218/HLOOKUP(H218,RentsUA!$B$40:$I$41,2),"")</f>
        <v/>
      </c>
      <c r="BR218" s="404" t="str">
        <f t="shared" si="63"/>
        <v/>
      </c>
      <c r="BT218" s="404" t="str">
        <f t="shared" si="58"/>
        <v/>
      </c>
    </row>
    <row r="219" spans="1:73" s="404" customFormat="1" ht="13.2">
      <c r="A219" s="406">
        <f t="shared" si="64"/>
        <v>207</v>
      </c>
      <c r="B219" s="472"/>
      <c r="C219" s="470"/>
      <c r="D219" s="407"/>
      <c r="E219" s="407"/>
      <c r="F219" s="408"/>
      <c r="G219" s="409"/>
      <c r="H219" s="407"/>
      <c r="I219" s="1029" t="str">
        <f>IFERROR(G219/HLOOKUP(H219,RentsUA!$B$8:$J$9,2),"")</f>
        <v/>
      </c>
      <c r="J219" s="407"/>
      <c r="K219" s="412"/>
      <c r="L219" s="672">
        <f t="shared" si="53"/>
        <v>0</v>
      </c>
      <c r="M219" s="671"/>
      <c r="N219" s="410">
        <f t="shared" si="54"/>
        <v>0</v>
      </c>
      <c r="O219" s="469" t="str">
        <f>IF($M219=0,"",IFERROR(($L219+$M219)/(HLOOKUP($D219,RentsUA!$K$12:$Q$35,19,FALSE)),""))</f>
        <v/>
      </c>
      <c r="P219" s="469" t="str">
        <f>IF($M219=0,"",IFERROR(($M219+K219+L219)/(HLOOKUP($D219,RentsUA!$K$12:$Q$35,19,FALSE)),""))</f>
        <v/>
      </c>
      <c r="Q219" s="411"/>
      <c r="R219" s="673" t="str">
        <f>IF($Q219=0,"",VLOOKUP($Q219,RentsUA!$A$12:$H$35,MATCH($D219,RentsUA!$A$12:$H$12,0),FALSE))</f>
        <v/>
      </c>
      <c r="S219" s="409"/>
      <c r="T219" s="674"/>
      <c r="U219" s="672"/>
      <c r="V219" s="673" t="str">
        <f t="shared" si="59"/>
        <v/>
      </c>
      <c r="W219" s="470"/>
      <c r="X219" s="411"/>
      <c r="Y219" s="410" t="str">
        <f>IF(X219=0,"",VLOOKUP($X219,RentsUA!$A$12:$H$35,MATCH($D219,RentsUA!$A$12:$H$12,0),FALSE))</f>
        <v/>
      </c>
      <c r="Z219" s="410" t="str">
        <f t="shared" si="55"/>
        <v/>
      </c>
      <c r="AA219" s="1297" t="str">
        <f>IF(H219="","",IF(G219/HLOOKUP($H219,RentsUA!$M$8:$T$9,2,FALSE)&gt;1,"&gt; 80%","&lt;= 80%"))</f>
        <v/>
      </c>
      <c r="AB219" s="1106"/>
      <c r="AC219" s="1106"/>
      <c r="AD219" s="622"/>
      <c r="AE219" s="412"/>
      <c r="AF219" s="807" t="str">
        <f>IF(AD219="","",IF(AD219=Lists!$U$3,M219,IF(AD219=Lists!$U$4,V219,IF(AD219=Lists!$U$5,Y219-L219,AE219))))</f>
        <v/>
      </c>
      <c r="AG219" s="410" t="str">
        <f t="shared" si="56"/>
        <v/>
      </c>
      <c r="AH219" s="469" t="str">
        <f t="shared" si="57"/>
        <v/>
      </c>
      <c r="AI219" s="469" t="str">
        <f>IF($AF219=0,0,IFERROR(($L219+$AF219)/(HLOOKUP($D219,RentsUA!$K$12:$Q$35,19,FALSE)),""))</f>
        <v/>
      </c>
      <c r="AJ219" s="469" t="str">
        <f>IF($AF219=0,0,IFERROR(($AF219+K219+L219)/(HLOOKUP($D219,RentsUA!$K$12:$Q$35,19,FALSE)),""))</f>
        <v/>
      </c>
      <c r="AK219" s="469" t="str">
        <f t="shared" si="60"/>
        <v/>
      </c>
      <c r="AL219" s="469" t="str">
        <f t="shared" si="61"/>
        <v/>
      </c>
      <c r="AM219" s="1106" t="str">
        <f t="shared" si="62"/>
        <v/>
      </c>
      <c r="AN219" s="1106" t="str">
        <f>IFERROR(AM219*(1+'7a.20YrDetails'!$F$9),"")</f>
        <v/>
      </c>
      <c r="AO219" s="1106" t="str">
        <f>IFERROR(AN219*(1+'7a.20YrDetails'!$F$9),"")</f>
        <v/>
      </c>
      <c r="AP219" s="1106" t="str">
        <f>IFERROR(AO219*(1+'7a.20YrDetails'!$F$9),"")</f>
        <v/>
      </c>
      <c r="AQ219" s="1106" t="str">
        <f>IFERROR(AP219*(1+'7a.20YrDetails'!$F$9),"")</f>
        <v/>
      </c>
      <c r="AR219" s="674"/>
      <c r="AS219" s="672"/>
      <c r="AT219" s="1732" t="str">
        <f>IF($AF219=0,0,IFERROR(($AF219+L219)/(HLOOKUP($D219,RentsUA!$B$61:$H$62,2,FALSE)),""))</f>
        <v/>
      </c>
      <c r="AU219" s="1733" t="str">
        <f>IFERROR(G219/HLOOKUP(H219,RentsUA!$B$40:$I$41,2),"")</f>
        <v/>
      </c>
      <c r="BR219" s="404" t="str">
        <f t="shared" si="63"/>
        <v/>
      </c>
      <c r="BT219" s="404" t="str">
        <f t="shared" si="58"/>
        <v/>
      </c>
    </row>
    <row r="220" spans="1:73" s="404" customFormat="1" ht="13.2">
      <c r="A220" s="406">
        <f t="shared" si="64"/>
        <v>208</v>
      </c>
      <c r="B220" s="472"/>
      <c r="C220" s="470"/>
      <c r="D220" s="407"/>
      <c r="E220" s="407"/>
      <c r="F220" s="408"/>
      <c r="G220" s="409"/>
      <c r="H220" s="407"/>
      <c r="I220" s="1029" t="str">
        <f>IFERROR(G220/HLOOKUP(H220,RentsUA!$B$8:$J$9,2),"")</f>
        <v/>
      </c>
      <c r="J220" s="407"/>
      <c r="K220" s="412"/>
      <c r="L220" s="672">
        <f t="shared" si="53"/>
        <v>0</v>
      </c>
      <c r="M220" s="671"/>
      <c r="N220" s="410">
        <f t="shared" si="54"/>
        <v>0</v>
      </c>
      <c r="O220" s="469" t="str">
        <f>IF($M220=0,"",IFERROR(($L220+$M220)/(HLOOKUP($D220,RentsUA!$K$12:$Q$35,19,FALSE)),""))</f>
        <v/>
      </c>
      <c r="P220" s="469" t="str">
        <f>IF($M220=0,"",IFERROR(($M220+K220+L220)/(HLOOKUP($D220,RentsUA!$K$12:$Q$35,19,FALSE)),""))</f>
        <v/>
      </c>
      <c r="Q220" s="411"/>
      <c r="R220" s="673" t="str">
        <f>IF($Q220=0,"",VLOOKUP($Q220,RentsUA!$A$12:$H$35,MATCH($D220,RentsUA!$A$12:$H$12,0),FALSE))</f>
        <v/>
      </c>
      <c r="S220" s="409"/>
      <c r="T220" s="674"/>
      <c r="U220" s="672"/>
      <c r="V220" s="673" t="str">
        <f t="shared" si="59"/>
        <v/>
      </c>
      <c r="W220" s="470"/>
      <c r="X220" s="411"/>
      <c r="Y220" s="410" t="str">
        <f>IF(X220=0,"",VLOOKUP($X220,RentsUA!$A$12:$H$35,MATCH($D220,RentsUA!$A$12:$H$12,0),FALSE))</f>
        <v/>
      </c>
      <c r="Z220" s="410" t="str">
        <f t="shared" si="55"/>
        <v/>
      </c>
      <c r="AA220" s="1297" t="str">
        <f>IF(H220="","",IF(G220/HLOOKUP($H220,RentsUA!$M$8:$T$9,2,FALSE)&gt;1,"&gt; 80%","&lt;= 80%"))</f>
        <v/>
      </c>
      <c r="AB220" s="1106"/>
      <c r="AC220" s="1106"/>
      <c r="AD220" s="622"/>
      <c r="AE220" s="412"/>
      <c r="AF220" s="807" t="str">
        <f>IF(AD220="","",IF(AD220=Lists!$U$3,M220,IF(AD220=Lists!$U$4,V220,IF(AD220=Lists!$U$5,Y220-L220,AE220))))</f>
        <v/>
      </c>
      <c r="AG220" s="410" t="str">
        <f t="shared" si="56"/>
        <v/>
      </c>
      <c r="AH220" s="469" t="str">
        <f t="shared" si="57"/>
        <v/>
      </c>
      <c r="AI220" s="469" t="str">
        <f>IF($AF220=0,0,IFERROR(($L220+$AF220)/(HLOOKUP($D220,RentsUA!$K$12:$Q$35,19,FALSE)),""))</f>
        <v/>
      </c>
      <c r="AJ220" s="469" t="str">
        <f>IF($AF220=0,0,IFERROR(($AF220+K220+L220)/(HLOOKUP($D220,RentsUA!$K$12:$Q$35,19,FALSE)),""))</f>
        <v/>
      </c>
      <c r="AK220" s="469" t="str">
        <f t="shared" si="60"/>
        <v/>
      </c>
      <c r="AL220" s="469" t="str">
        <f t="shared" si="61"/>
        <v/>
      </c>
      <c r="AM220" s="1106" t="str">
        <f t="shared" si="62"/>
        <v/>
      </c>
      <c r="AN220" s="1106" t="str">
        <f>IFERROR(AM220*(1+'7a.20YrDetails'!$F$9),"")</f>
        <v/>
      </c>
      <c r="AO220" s="1106" t="str">
        <f>IFERROR(AN220*(1+'7a.20YrDetails'!$F$9),"")</f>
        <v/>
      </c>
      <c r="AP220" s="1106" t="str">
        <f>IFERROR(AO220*(1+'7a.20YrDetails'!$F$9),"")</f>
        <v/>
      </c>
      <c r="AQ220" s="1106" t="str">
        <f>IFERROR(AP220*(1+'7a.20YrDetails'!$F$9),"")</f>
        <v/>
      </c>
      <c r="AR220" s="674"/>
      <c r="AS220" s="672"/>
      <c r="AT220" s="1732" t="str">
        <f>IF($AF220=0,0,IFERROR(($AF220+L220)/(HLOOKUP($D220,RentsUA!$B$61:$H$62,2,FALSE)),""))</f>
        <v/>
      </c>
      <c r="AU220" s="1733" t="str">
        <f>IFERROR(G220/HLOOKUP(H220,RentsUA!$B$40:$I$41,2),"")</f>
        <v/>
      </c>
      <c r="BR220" s="404" t="str">
        <f t="shared" si="63"/>
        <v/>
      </c>
      <c r="BT220" s="404" t="str">
        <f t="shared" si="58"/>
        <v/>
      </c>
    </row>
    <row r="221" spans="1:73" s="404" customFormat="1" ht="13.2">
      <c r="A221" s="406">
        <f t="shared" si="64"/>
        <v>209</v>
      </c>
      <c r="B221" s="472"/>
      <c r="C221" s="470"/>
      <c r="D221" s="407"/>
      <c r="E221" s="407"/>
      <c r="F221" s="408"/>
      <c r="G221" s="409"/>
      <c r="H221" s="407"/>
      <c r="I221" s="1029" t="str">
        <f>IFERROR(G221/HLOOKUP(H221,RentsUA!$B$8:$J$9,2),"")</f>
        <v/>
      </c>
      <c r="J221" s="407"/>
      <c r="K221" s="412"/>
      <c r="L221" s="672">
        <f t="shared" si="53"/>
        <v>0</v>
      </c>
      <c r="M221" s="671"/>
      <c r="N221" s="410">
        <f t="shared" si="54"/>
        <v>0</v>
      </c>
      <c r="O221" s="469" t="str">
        <f>IF($M221=0,"",IFERROR(($L221+$M221)/(HLOOKUP($D221,RentsUA!$K$12:$Q$35,19,FALSE)),""))</f>
        <v/>
      </c>
      <c r="P221" s="469" t="str">
        <f>IF($M221=0,"",IFERROR(($M221+K221+L221)/(HLOOKUP($D221,RentsUA!$K$12:$Q$35,19,FALSE)),""))</f>
        <v/>
      </c>
      <c r="Q221" s="411"/>
      <c r="R221" s="673" t="str">
        <f>IF($Q221=0,"",VLOOKUP($Q221,RentsUA!$A$12:$H$35,MATCH($D221,RentsUA!$A$12:$H$12,0),FALSE))</f>
        <v/>
      </c>
      <c r="S221" s="409"/>
      <c r="T221" s="674"/>
      <c r="U221" s="672"/>
      <c r="V221" s="673" t="str">
        <f t="shared" si="59"/>
        <v/>
      </c>
      <c r="W221" s="470"/>
      <c r="X221" s="411"/>
      <c r="Y221" s="410" t="str">
        <f>IF(X221=0,"",VLOOKUP($X221,RentsUA!$A$12:$H$35,MATCH($D221,RentsUA!$A$12:$H$12,0),FALSE))</f>
        <v/>
      </c>
      <c r="Z221" s="410" t="str">
        <f t="shared" si="55"/>
        <v/>
      </c>
      <c r="AA221" s="1297" t="str">
        <f>IF(H221="","",IF(G221/HLOOKUP($H221,RentsUA!$M$8:$T$9,2,FALSE)&gt;1,"&gt; 80%","&lt;= 80%"))</f>
        <v/>
      </c>
      <c r="AB221" s="1106"/>
      <c r="AC221" s="1106"/>
      <c r="AD221" s="622"/>
      <c r="AE221" s="412"/>
      <c r="AF221" s="807" t="str">
        <f>IF(AD221="","",IF(AD221=Lists!$U$3,M221,IF(AD221=Lists!$U$4,V221,IF(AD221=Lists!$U$5,Y221-L221,AE221))))</f>
        <v/>
      </c>
      <c r="AG221" s="410" t="str">
        <f t="shared" si="56"/>
        <v/>
      </c>
      <c r="AH221" s="469" t="str">
        <f t="shared" si="57"/>
        <v/>
      </c>
      <c r="AI221" s="469" t="str">
        <f>IF($AF221=0,0,IFERROR(($L221+$AF221)/(HLOOKUP($D221,RentsUA!$K$12:$Q$35,19,FALSE)),""))</f>
        <v/>
      </c>
      <c r="AJ221" s="469" t="str">
        <f>IF($AF221=0,0,IFERROR(($AF221+K221+L221)/(HLOOKUP($D221,RentsUA!$K$12:$Q$35,19,FALSE)),""))</f>
        <v/>
      </c>
      <c r="AK221" s="469" t="str">
        <f t="shared" si="60"/>
        <v/>
      </c>
      <c r="AL221" s="469" t="str">
        <f t="shared" si="61"/>
        <v/>
      </c>
      <c r="AM221" s="1106" t="str">
        <f t="shared" si="62"/>
        <v/>
      </c>
      <c r="AN221" s="1106" t="str">
        <f>IFERROR(AM221*(1+'7a.20YrDetails'!$F$9),"")</f>
        <v/>
      </c>
      <c r="AO221" s="1106" t="str">
        <f>IFERROR(AN221*(1+'7a.20YrDetails'!$F$9),"")</f>
        <v/>
      </c>
      <c r="AP221" s="1106" t="str">
        <f>IFERROR(AO221*(1+'7a.20YrDetails'!$F$9),"")</f>
        <v/>
      </c>
      <c r="AQ221" s="1106" t="str">
        <f>IFERROR(AP221*(1+'7a.20YrDetails'!$F$9),"")</f>
        <v/>
      </c>
      <c r="AR221" s="674"/>
      <c r="AS221" s="672"/>
      <c r="AT221" s="1732" t="str">
        <f>IF($AF221=0,0,IFERROR(($AF221+L221)/(HLOOKUP($D221,RentsUA!$B$61:$H$62,2,FALSE)),""))</f>
        <v/>
      </c>
      <c r="AU221" s="1733" t="str">
        <f>IFERROR(G221/HLOOKUP(H221,RentsUA!$B$40:$I$41,2),"")</f>
        <v/>
      </c>
      <c r="BR221" s="404" t="str">
        <f t="shared" si="63"/>
        <v/>
      </c>
      <c r="BT221" s="404" t="str">
        <f t="shared" si="58"/>
        <v/>
      </c>
    </row>
    <row r="222" spans="1:73" s="404" customFormat="1" ht="13.2">
      <c r="A222" s="406">
        <f t="shared" si="64"/>
        <v>210</v>
      </c>
      <c r="B222" s="472"/>
      <c r="C222" s="470"/>
      <c r="D222" s="407"/>
      <c r="E222" s="407"/>
      <c r="F222" s="408"/>
      <c r="G222" s="409"/>
      <c r="H222" s="407"/>
      <c r="I222" s="1029" t="str">
        <f>IFERROR(G222/HLOOKUP(H222,RentsUA!$B$8:$J$9,2),"")</f>
        <v/>
      </c>
      <c r="J222" s="407"/>
      <c r="K222" s="412"/>
      <c r="L222" s="672">
        <f t="shared" si="53"/>
        <v>0</v>
      </c>
      <c r="M222" s="671"/>
      <c r="N222" s="410">
        <f t="shared" si="54"/>
        <v>0</v>
      </c>
      <c r="O222" s="469" t="str">
        <f>IF($M222=0,"",IFERROR(($L222+$M222)/(HLOOKUP($D222,RentsUA!$K$12:$Q$35,19,FALSE)),""))</f>
        <v/>
      </c>
      <c r="P222" s="469" t="str">
        <f>IF($M222=0,"",IFERROR(($M222+K222+L222)/(HLOOKUP($D222,RentsUA!$K$12:$Q$35,19,FALSE)),""))</f>
        <v/>
      </c>
      <c r="Q222" s="411"/>
      <c r="R222" s="673" t="str">
        <f>IF($Q222=0,"",VLOOKUP($Q222,RentsUA!$A$12:$H$35,MATCH($D222,RentsUA!$A$12:$H$12,0),FALSE))</f>
        <v/>
      </c>
      <c r="S222" s="409"/>
      <c r="T222" s="674"/>
      <c r="U222" s="672"/>
      <c r="V222" s="673" t="str">
        <f t="shared" si="59"/>
        <v/>
      </c>
      <c r="W222" s="470"/>
      <c r="X222" s="411"/>
      <c r="Y222" s="410" t="str">
        <f>IF(X222=0,"",VLOOKUP($X222,RentsUA!$A$12:$H$35,MATCH($D222,RentsUA!$A$12:$H$12,0),FALSE))</f>
        <v/>
      </c>
      <c r="Z222" s="410" t="str">
        <f t="shared" si="55"/>
        <v/>
      </c>
      <c r="AA222" s="1297" t="str">
        <f>IF(H222="","",IF(G222/HLOOKUP($H222,RentsUA!$M$8:$T$9,2,FALSE)&gt;1,"&gt; 80%","&lt;= 80%"))</f>
        <v/>
      </c>
      <c r="AB222" s="1106"/>
      <c r="AC222" s="1106"/>
      <c r="AD222" s="622"/>
      <c r="AE222" s="412"/>
      <c r="AF222" s="807" t="str">
        <f>IF(AD222="","",IF(AD222=Lists!$U$3,M222,IF(AD222=Lists!$U$4,V222,IF(AD222=Lists!$U$5,Y222-L222,AE222))))</f>
        <v/>
      </c>
      <c r="AG222" s="410" t="str">
        <f t="shared" si="56"/>
        <v/>
      </c>
      <c r="AH222" s="469" t="str">
        <f t="shared" si="57"/>
        <v/>
      </c>
      <c r="AI222" s="469" t="str">
        <f>IF($AF222=0,0,IFERROR(($L222+$AF222)/(HLOOKUP($D222,RentsUA!$K$12:$Q$35,19,FALSE)),""))</f>
        <v/>
      </c>
      <c r="AJ222" s="469" t="str">
        <f>IF($AF222=0,0,IFERROR(($AF222+K222+L222)/(HLOOKUP($D222,RentsUA!$K$12:$Q$35,19,FALSE)),""))</f>
        <v/>
      </c>
      <c r="AK222" s="469" t="str">
        <f t="shared" si="60"/>
        <v/>
      </c>
      <c r="AL222" s="469" t="str">
        <f t="shared" si="61"/>
        <v/>
      </c>
      <c r="AM222" s="1106" t="str">
        <f t="shared" si="62"/>
        <v/>
      </c>
      <c r="AN222" s="1106" t="str">
        <f>IFERROR(AM222*(1+'7a.20YrDetails'!$F$9),"")</f>
        <v/>
      </c>
      <c r="AO222" s="1106" t="str">
        <f>IFERROR(AN222*(1+'7a.20YrDetails'!$F$9),"")</f>
        <v/>
      </c>
      <c r="AP222" s="1106" t="str">
        <f>IFERROR(AO222*(1+'7a.20YrDetails'!$F$9),"")</f>
        <v/>
      </c>
      <c r="AQ222" s="1106" t="str">
        <f>IFERROR(AP222*(1+'7a.20YrDetails'!$F$9),"")</f>
        <v/>
      </c>
      <c r="AR222" s="674"/>
      <c r="AS222" s="672"/>
      <c r="AT222" s="1732" t="str">
        <f>IF($AF222=0,0,IFERROR(($AF222+L222)/(HLOOKUP($D222,RentsUA!$B$61:$H$62,2,FALSE)),""))</f>
        <v/>
      </c>
      <c r="AU222" s="1733" t="str">
        <f>IFERROR(G222/HLOOKUP(H222,RentsUA!$B$40:$I$41,2),"")</f>
        <v/>
      </c>
      <c r="BR222" s="404" t="str">
        <f t="shared" si="63"/>
        <v/>
      </c>
      <c r="BT222" s="404" t="str">
        <f t="shared" si="58"/>
        <v/>
      </c>
    </row>
    <row r="223" spans="1:73" s="404" customFormat="1" ht="13.2">
      <c r="A223" s="406">
        <f t="shared" si="64"/>
        <v>211</v>
      </c>
      <c r="B223" s="472"/>
      <c r="C223" s="470"/>
      <c r="D223" s="407"/>
      <c r="E223" s="407"/>
      <c r="F223" s="408"/>
      <c r="G223" s="409"/>
      <c r="H223" s="407"/>
      <c r="I223" s="1029" t="str">
        <f>IFERROR(G223/HLOOKUP(H223,RentsUA!$B$8:$J$9,2),"")</f>
        <v/>
      </c>
      <c r="J223" s="407"/>
      <c r="K223" s="412"/>
      <c r="L223" s="672">
        <f t="shared" si="53"/>
        <v>0</v>
      </c>
      <c r="M223" s="671"/>
      <c r="N223" s="410">
        <f t="shared" si="54"/>
        <v>0</v>
      </c>
      <c r="O223" s="469" t="str">
        <f>IF($M223=0,"",IFERROR(($L223+$M223)/(HLOOKUP($D223,RentsUA!$K$12:$Q$35,19,FALSE)),""))</f>
        <v/>
      </c>
      <c r="P223" s="469" t="str">
        <f>IF($M223=0,"",IFERROR(($M223+K223+L223)/(HLOOKUP($D223,RentsUA!$K$12:$Q$35,19,FALSE)),""))</f>
        <v/>
      </c>
      <c r="Q223" s="411"/>
      <c r="R223" s="673" t="str">
        <f>IF($Q223=0,"",VLOOKUP($Q223,RentsUA!$A$12:$H$35,MATCH($D223,RentsUA!$A$12:$H$12,0),FALSE))</f>
        <v/>
      </c>
      <c r="S223" s="409"/>
      <c r="T223" s="674"/>
      <c r="U223" s="672"/>
      <c r="V223" s="673" t="str">
        <f t="shared" si="59"/>
        <v/>
      </c>
      <c r="W223" s="470"/>
      <c r="X223" s="411"/>
      <c r="Y223" s="410" t="str">
        <f>IF(X223=0,"",VLOOKUP($X223,RentsUA!$A$12:$H$35,MATCH($D223,RentsUA!$A$12:$H$12,0),FALSE))</f>
        <v/>
      </c>
      <c r="Z223" s="410" t="str">
        <f t="shared" si="55"/>
        <v/>
      </c>
      <c r="AA223" s="1297" t="str">
        <f>IF(H223="","",IF(G223/HLOOKUP($H223,RentsUA!$M$8:$T$9,2,FALSE)&gt;1,"&gt; 80%","&lt;= 80%"))</f>
        <v/>
      </c>
      <c r="AB223" s="1106"/>
      <c r="AC223" s="1106"/>
      <c r="AD223" s="622"/>
      <c r="AE223" s="412"/>
      <c r="AF223" s="807" t="str">
        <f>IF(AD223="","",IF(AD223=Lists!$U$3,M223,IF(AD223=Lists!$U$4,V223,IF(AD223=Lists!$U$5,Y223-L223,AE223))))</f>
        <v/>
      </c>
      <c r="AG223" s="410" t="str">
        <f t="shared" si="56"/>
        <v/>
      </c>
      <c r="AH223" s="469" t="str">
        <f t="shared" si="57"/>
        <v/>
      </c>
      <c r="AI223" s="469" t="str">
        <f>IF($AF223=0,0,IFERROR(($L223+$AF223)/(HLOOKUP($D223,RentsUA!$K$12:$Q$35,19,FALSE)),""))</f>
        <v/>
      </c>
      <c r="AJ223" s="469" t="str">
        <f>IF($AF223=0,0,IFERROR(($AF223+K223+L223)/(HLOOKUP($D223,RentsUA!$K$12:$Q$35,19,FALSE)),""))</f>
        <v/>
      </c>
      <c r="AK223" s="469" t="str">
        <f t="shared" si="60"/>
        <v/>
      </c>
      <c r="AL223" s="469" t="str">
        <f t="shared" si="61"/>
        <v/>
      </c>
      <c r="AM223" s="1106" t="str">
        <f t="shared" si="62"/>
        <v/>
      </c>
      <c r="AN223" s="1106" t="str">
        <f>IFERROR(AM223*(1+'7a.20YrDetails'!$F$9),"")</f>
        <v/>
      </c>
      <c r="AO223" s="1106" t="str">
        <f>IFERROR(AN223*(1+'7a.20YrDetails'!$F$9),"")</f>
        <v/>
      </c>
      <c r="AP223" s="1106" t="str">
        <f>IFERROR(AO223*(1+'7a.20YrDetails'!$F$9),"")</f>
        <v/>
      </c>
      <c r="AQ223" s="1106" t="str">
        <f>IFERROR(AP223*(1+'7a.20YrDetails'!$F$9),"")</f>
        <v/>
      </c>
      <c r="AR223" s="674"/>
      <c r="AS223" s="672"/>
      <c r="AT223" s="1732" t="str">
        <f>IF($AF223=0,0,IFERROR(($AF223+L223)/(HLOOKUP($D223,RentsUA!$B$61:$H$62,2,FALSE)),""))</f>
        <v/>
      </c>
      <c r="AU223" s="1733" t="str">
        <f>IFERROR(G223/HLOOKUP(H223,RentsUA!$B$40:$I$41,2),"")</f>
        <v/>
      </c>
      <c r="BR223" s="404" t="str">
        <f t="shared" si="63"/>
        <v/>
      </c>
      <c r="BT223" s="404" t="str">
        <f t="shared" si="58"/>
        <v/>
      </c>
    </row>
    <row r="224" spans="1:73" s="404" customFormat="1" ht="13.2">
      <c r="A224" s="406">
        <f t="shared" si="64"/>
        <v>212</v>
      </c>
      <c r="B224" s="472"/>
      <c r="C224" s="470"/>
      <c r="D224" s="407"/>
      <c r="E224" s="407"/>
      <c r="F224" s="408"/>
      <c r="G224" s="409"/>
      <c r="H224" s="407"/>
      <c r="I224" s="1029" t="str">
        <f>IFERROR(G224/HLOOKUP(H224,RentsUA!$B$8:$J$9,2),"")</f>
        <v/>
      </c>
      <c r="J224" s="407"/>
      <c r="K224" s="412"/>
      <c r="L224" s="672">
        <f t="shared" si="53"/>
        <v>0</v>
      </c>
      <c r="M224" s="671"/>
      <c r="N224" s="410">
        <f t="shared" si="54"/>
        <v>0</v>
      </c>
      <c r="O224" s="469" t="str">
        <f>IF($M224=0,"",IFERROR(($L224+$M224)/(HLOOKUP($D224,RentsUA!$K$12:$Q$35,19,FALSE)),""))</f>
        <v/>
      </c>
      <c r="P224" s="469" t="str">
        <f>IF($M224=0,"",IFERROR(($M224+K224+L224)/(HLOOKUP($D224,RentsUA!$K$12:$Q$35,19,FALSE)),""))</f>
        <v/>
      </c>
      <c r="Q224" s="411"/>
      <c r="R224" s="673" t="str">
        <f>IF($Q224=0,"",VLOOKUP($Q224,RentsUA!$A$12:$H$35,MATCH($D224,RentsUA!$A$12:$H$12,0),FALSE))</f>
        <v/>
      </c>
      <c r="S224" s="409"/>
      <c r="T224" s="674"/>
      <c r="U224" s="672"/>
      <c r="V224" s="673" t="str">
        <f t="shared" si="59"/>
        <v/>
      </c>
      <c r="W224" s="470"/>
      <c r="X224" s="411"/>
      <c r="Y224" s="410" t="str">
        <f>IF(X224=0,"",VLOOKUP($X224,RentsUA!$A$12:$H$35,MATCH($D224,RentsUA!$A$12:$H$12,0),FALSE))</f>
        <v/>
      </c>
      <c r="Z224" s="410" t="str">
        <f t="shared" si="55"/>
        <v/>
      </c>
      <c r="AA224" s="1297" t="str">
        <f>IF(H224="","",IF(G224/HLOOKUP($H224,RentsUA!$M$8:$T$9,2,FALSE)&gt;1,"&gt; 80%","&lt;= 80%"))</f>
        <v/>
      </c>
      <c r="AB224" s="1106"/>
      <c r="AC224" s="1106"/>
      <c r="AD224" s="622"/>
      <c r="AE224" s="412"/>
      <c r="AF224" s="807" t="str">
        <f>IF(AD224="","",IF(AD224=Lists!$U$3,M224,IF(AD224=Lists!$U$4,V224,IF(AD224=Lists!$U$5,Y224-L224,AE224))))</f>
        <v/>
      </c>
      <c r="AG224" s="410" t="str">
        <f t="shared" si="56"/>
        <v/>
      </c>
      <c r="AH224" s="469" t="str">
        <f t="shared" si="57"/>
        <v/>
      </c>
      <c r="AI224" s="469" t="str">
        <f>IF($AF224=0,0,IFERROR(($L224+$AF224)/(HLOOKUP($D224,RentsUA!$K$12:$Q$35,19,FALSE)),""))</f>
        <v/>
      </c>
      <c r="AJ224" s="469" t="str">
        <f>IF($AF224=0,0,IFERROR(($AF224+K224+L224)/(HLOOKUP($D224,RentsUA!$K$12:$Q$35,19,FALSE)),""))</f>
        <v/>
      </c>
      <c r="AK224" s="469" t="str">
        <f t="shared" si="60"/>
        <v/>
      </c>
      <c r="AL224" s="469" t="str">
        <f t="shared" si="61"/>
        <v/>
      </c>
      <c r="AM224" s="1106" t="str">
        <f t="shared" si="62"/>
        <v/>
      </c>
      <c r="AN224" s="1106" t="str">
        <f>IFERROR(AM224*(1+'7a.20YrDetails'!$F$9),"")</f>
        <v/>
      </c>
      <c r="AO224" s="1106" t="str">
        <f>IFERROR(AN224*(1+'7a.20YrDetails'!$F$9),"")</f>
        <v/>
      </c>
      <c r="AP224" s="1106" t="str">
        <f>IFERROR(AO224*(1+'7a.20YrDetails'!$F$9),"")</f>
        <v/>
      </c>
      <c r="AQ224" s="1106" t="str">
        <f>IFERROR(AP224*(1+'7a.20YrDetails'!$F$9),"")</f>
        <v/>
      </c>
      <c r="AR224" s="674"/>
      <c r="AS224" s="672"/>
      <c r="AT224" s="1732" t="str">
        <f>IF($AF224=0,0,IFERROR(($AF224+L224)/(HLOOKUP($D224,RentsUA!$B$61:$H$62,2,FALSE)),""))</f>
        <v/>
      </c>
      <c r="AU224" s="1733" t="str">
        <f>IFERROR(G224/HLOOKUP(H224,RentsUA!$B$40:$I$41,2),"")</f>
        <v/>
      </c>
      <c r="BR224" s="404" t="str">
        <f t="shared" si="63"/>
        <v/>
      </c>
      <c r="BT224" s="404" t="str">
        <f t="shared" si="58"/>
        <v/>
      </c>
    </row>
    <row r="225" spans="1:72" s="404" customFormat="1" ht="13.2">
      <c r="A225" s="406">
        <f t="shared" si="64"/>
        <v>213</v>
      </c>
      <c r="B225" s="472"/>
      <c r="C225" s="470"/>
      <c r="D225" s="407"/>
      <c r="E225" s="407"/>
      <c r="F225" s="408"/>
      <c r="G225" s="409"/>
      <c r="H225" s="407"/>
      <c r="I225" s="1029" t="str">
        <f>IFERROR(G225/HLOOKUP(H225,RentsUA!$B$8:$J$9,2),"")</f>
        <v/>
      </c>
      <c r="J225" s="407"/>
      <c r="K225" s="412"/>
      <c r="L225" s="672">
        <f t="shared" si="53"/>
        <v>0</v>
      </c>
      <c r="M225" s="671"/>
      <c r="N225" s="410">
        <f t="shared" si="54"/>
        <v>0</v>
      </c>
      <c r="O225" s="469" t="str">
        <f>IF($M225=0,"",IFERROR(($L225+$M225)/(HLOOKUP($D225,RentsUA!$K$12:$Q$35,19,FALSE)),""))</f>
        <v/>
      </c>
      <c r="P225" s="469" t="str">
        <f>IF($M225=0,"",IFERROR(($M225+K225+L225)/(HLOOKUP($D225,RentsUA!$K$12:$Q$35,19,FALSE)),""))</f>
        <v/>
      </c>
      <c r="Q225" s="411"/>
      <c r="R225" s="673" t="str">
        <f>IF($Q225=0,"",VLOOKUP($Q225,RentsUA!$A$12:$H$35,MATCH($D225,RentsUA!$A$12:$H$12,0),FALSE))</f>
        <v/>
      </c>
      <c r="S225" s="409"/>
      <c r="T225" s="674"/>
      <c r="U225" s="672"/>
      <c r="V225" s="673" t="str">
        <f t="shared" si="59"/>
        <v/>
      </c>
      <c r="W225" s="470"/>
      <c r="X225" s="411"/>
      <c r="Y225" s="410" t="str">
        <f>IF(X225=0,"",VLOOKUP($X225,RentsUA!$A$12:$H$35,MATCH($D225,RentsUA!$A$12:$H$12,0),FALSE))</f>
        <v/>
      </c>
      <c r="Z225" s="410" t="str">
        <f t="shared" si="55"/>
        <v/>
      </c>
      <c r="AA225" s="1297" t="str">
        <f>IF(H225="","",IF(G225/HLOOKUP($H225,RentsUA!$M$8:$T$9,2,FALSE)&gt;1,"&gt; 80%","&lt;= 80%"))</f>
        <v/>
      </c>
      <c r="AB225" s="1106"/>
      <c r="AC225" s="1106"/>
      <c r="AD225" s="622"/>
      <c r="AE225" s="412"/>
      <c r="AF225" s="807" t="str">
        <f>IF(AD225="","",IF(AD225=Lists!$U$3,M225,IF(AD225=Lists!$U$4,V225,IF(AD225=Lists!$U$5,Y225-L225,AE225))))</f>
        <v/>
      </c>
      <c r="AG225" s="410" t="str">
        <f t="shared" si="56"/>
        <v/>
      </c>
      <c r="AH225" s="469" t="str">
        <f t="shared" si="57"/>
        <v/>
      </c>
      <c r="AI225" s="469" t="str">
        <f>IF($AF225=0,0,IFERROR(($L225+$AF225)/(HLOOKUP($D225,RentsUA!$K$12:$Q$35,19,FALSE)),""))</f>
        <v/>
      </c>
      <c r="AJ225" s="469" t="str">
        <f>IF($AF225=0,0,IFERROR(($AF225+K225+L225)/(HLOOKUP($D225,RentsUA!$K$12:$Q$35,19,FALSE)),""))</f>
        <v/>
      </c>
      <c r="AK225" s="469" t="str">
        <f t="shared" si="60"/>
        <v/>
      </c>
      <c r="AL225" s="469" t="str">
        <f t="shared" si="61"/>
        <v/>
      </c>
      <c r="AM225" s="1106" t="str">
        <f t="shared" si="62"/>
        <v/>
      </c>
      <c r="AN225" s="1106" t="str">
        <f>IFERROR(AM225*(1+'7a.20YrDetails'!$F$9),"")</f>
        <v/>
      </c>
      <c r="AO225" s="1106" t="str">
        <f>IFERROR(AN225*(1+'7a.20YrDetails'!$F$9),"")</f>
        <v/>
      </c>
      <c r="AP225" s="1106" t="str">
        <f>IFERROR(AO225*(1+'7a.20YrDetails'!$F$9),"")</f>
        <v/>
      </c>
      <c r="AQ225" s="1106" t="str">
        <f>IFERROR(AP225*(1+'7a.20YrDetails'!$F$9),"")</f>
        <v/>
      </c>
      <c r="AR225" s="674"/>
      <c r="AS225" s="672"/>
      <c r="AT225" s="1732" t="str">
        <f>IF($AF225=0,0,IFERROR(($AF225+L225)/(HLOOKUP($D225,RentsUA!$B$61:$H$62,2,FALSE)),""))</f>
        <v/>
      </c>
      <c r="AU225" s="1733" t="str">
        <f>IFERROR(G225/HLOOKUP(H225,RentsUA!$B$40:$I$41,2),"")</f>
        <v/>
      </c>
      <c r="BR225" s="404" t="str">
        <f t="shared" si="63"/>
        <v/>
      </c>
      <c r="BT225" s="404" t="str">
        <f t="shared" si="58"/>
        <v/>
      </c>
    </row>
    <row r="226" spans="1:72" s="404" customFormat="1" ht="13.2">
      <c r="A226" s="406">
        <f t="shared" si="64"/>
        <v>214</v>
      </c>
      <c r="B226" s="472"/>
      <c r="C226" s="470"/>
      <c r="D226" s="407"/>
      <c r="E226" s="407"/>
      <c r="F226" s="408"/>
      <c r="G226" s="409"/>
      <c r="H226" s="407"/>
      <c r="I226" s="1029" t="str">
        <f>IFERROR(G226/HLOOKUP(H226,RentsUA!$B$8:$J$9,2),"")</f>
        <v/>
      </c>
      <c r="J226" s="407"/>
      <c r="K226" s="412"/>
      <c r="L226" s="672">
        <f t="shared" si="53"/>
        <v>0</v>
      </c>
      <c r="M226" s="671"/>
      <c r="N226" s="410">
        <f t="shared" si="54"/>
        <v>0</v>
      </c>
      <c r="O226" s="469" t="str">
        <f>IF($M226=0,"",IFERROR(($L226+$M226)/(HLOOKUP($D226,RentsUA!$K$12:$Q$35,19,FALSE)),""))</f>
        <v/>
      </c>
      <c r="P226" s="469" t="str">
        <f>IF($M226=0,"",IFERROR(($M226+K226+L226)/(HLOOKUP($D226,RentsUA!$K$12:$Q$35,19,FALSE)),""))</f>
        <v/>
      </c>
      <c r="Q226" s="411"/>
      <c r="R226" s="673" t="str">
        <f>IF($Q226=0,"",VLOOKUP($Q226,RentsUA!$A$12:$H$35,MATCH($D226,RentsUA!$A$12:$H$12,0),FALSE))</f>
        <v/>
      </c>
      <c r="S226" s="409"/>
      <c r="T226" s="674"/>
      <c r="U226" s="672"/>
      <c r="V226" s="673" t="str">
        <f t="shared" si="59"/>
        <v/>
      </c>
      <c r="W226" s="470"/>
      <c r="X226" s="411"/>
      <c r="Y226" s="410" t="str">
        <f>IF(X226=0,"",VLOOKUP($X226,RentsUA!$A$12:$H$35,MATCH($D226,RentsUA!$A$12:$H$12,0),FALSE))</f>
        <v/>
      </c>
      <c r="Z226" s="410" t="str">
        <f t="shared" si="55"/>
        <v/>
      </c>
      <c r="AA226" s="1297" t="str">
        <f>IF(H226="","",IF(G226/HLOOKUP($H226,RentsUA!$M$8:$T$9,2,FALSE)&gt;1,"&gt; 80%","&lt;= 80%"))</f>
        <v/>
      </c>
      <c r="AB226" s="1106"/>
      <c r="AC226" s="1106"/>
      <c r="AD226" s="622"/>
      <c r="AE226" s="412"/>
      <c r="AF226" s="807" t="str">
        <f>IF(AD226="","",IF(AD226=Lists!$U$3,M226,IF(AD226=Lists!$U$4,V226,IF(AD226=Lists!$U$5,Y226-L226,AE226))))</f>
        <v/>
      </c>
      <c r="AG226" s="410" t="str">
        <f t="shared" si="56"/>
        <v/>
      </c>
      <c r="AH226" s="469" t="str">
        <f t="shared" si="57"/>
        <v/>
      </c>
      <c r="AI226" s="469" t="str">
        <f>IF($AF226=0,0,IFERROR(($L226+$AF226)/(HLOOKUP($D226,RentsUA!$K$12:$Q$35,19,FALSE)),""))</f>
        <v/>
      </c>
      <c r="AJ226" s="469" t="str">
        <f>IF($AF226=0,0,IFERROR(($AF226+K226+L226)/(HLOOKUP($D226,RentsUA!$K$12:$Q$35,19,FALSE)),""))</f>
        <v/>
      </c>
      <c r="AK226" s="469" t="str">
        <f t="shared" si="60"/>
        <v/>
      </c>
      <c r="AL226" s="469" t="str">
        <f t="shared" si="61"/>
        <v/>
      </c>
      <c r="AM226" s="1106" t="str">
        <f t="shared" si="62"/>
        <v/>
      </c>
      <c r="AN226" s="1106" t="str">
        <f>IFERROR(AM226*(1+'7a.20YrDetails'!$F$9),"")</f>
        <v/>
      </c>
      <c r="AO226" s="1106" t="str">
        <f>IFERROR(AN226*(1+'7a.20YrDetails'!$F$9),"")</f>
        <v/>
      </c>
      <c r="AP226" s="1106" t="str">
        <f>IFERROR(AO226*(1+'7a.20YrDetails'!$F$9),"")</f>
        <v/>
      </c>
      <c r="AQ226" s="1106" t="str">
        <f>IFERROR(AP226*(1+'7a.20YrDetails'!$F$9),"")</f>
        <v/>
      </c>
      <c r="AR226" s="674"/>
      <c r="AS226" s="672"/>
      <c r="AT226" s="1732" t="str">
        <f>IF($AF226=0,0,IFERROR(($AF226+L226)/(HLOOKUP($D226,RentsUA!$B$61:$H$62,2,FALSE)),""))</f>
        <v/>
      </c>
      <c r="AU226" s="1733" t="str">
        <f>IFERROR(G226/HLOOKUP(H226,RentsUA!$B$40:$I$41,2),"")</f>
        <v/>
      </c>
      <c r="BR226" s="404" t="str">
        <f t="shared" si="63"/>
        <v/>
      </c>
      <c r="BT226" s="404" t="str">
        <f t="shared" si="58"/>
        <v/>
      </c>
    </row>
    <row r="227" spans="1:72" s="404" customFormat="1" ht="13.2">
      <c r="A227" s="406">
        <f t="shared" si="64"/>
        <v>215</v>
      </c>
      <c r="B227" s="472"/>
      <c r="C227" s="470"/>
      <c r="D227" s="407"/>
      <c r="E227" s="407"/>
      <c r="F227" s="408"/>
      <c r="G227" s="409"/>
      <c r="H227" s="407"/>
      <c r="I227" s="1029" t="str">
        <f>IFERROR(G227/HLOOKUP(H227,RentsUA!$B$8:$J$9,2),"")</f>
        <v/>
      </c>
      <c r="J227" s="407"/>
      <c r="K227" s="412"/>
      <c r="L227" s="672">
        <f t="shared" si="53"/>
        <v>0</v>
      </c>
      <c r="M227" s="671"/>
      <c r="N227" s="410">
        <f t="shared" si="54"/>
        <v>0</v>
      </c>
      <c r="O227" s="469" t="str">
        <f>IF($M227=0,"",IFERROR(($L227+$M227)/(HLOOKUP($D227,RentsUA!$K$12:$Q$35,19,FALSE)),""))</f>
        <v/>
      </c>
      <c r="P227" s="469" t="str">
        <f>IF($M227=0,"",IFERROR(($M227+K227+L227)/(HLOOKUP($D227,RentsUA!$K$12:$Q$35,19,FALSE)),""))</f>
        <v/>
      </c>
      <c r="Q227" s="411"/>
      <c r="R227" s="673" t="str">
        <f>IF($Q227=0,"",VLOOKUP($Q227,RentsUA!$A$12:$H$35,MATCH($D227,RentsUA!$A$12:$H$12,0),FALSE))</f>
        <v/>
      </c>
      <c r="S227" s="409"/>
      <c r="T227" s="674"/>
      <c r="U227" s="672"/>
      <c r="V227" s="673" t="str">
        <f t="shared" si="59"/>
        <v/>
      </c>
      <c r="W227" s="470"/>
      <c r="X227" s="411"/>
      <c r="Y227" s="410" t="str">
        <f>IF(X227=0,"",VLOOKUP($X227,RentsUA!$A$12:$H$35,MATCH($D227,RentsUA!$A$12:$H$12,0),FALSE))</f>
        <v/>
      </c>
      <c r="Z227" s="410" t="str">
        <f t="shared" si="55"/>
        <v/>
      </c>
      <c r="AA227" s="1297" t="str">
        <f>IF(H227="","",IF(G227/HLOOKUP($H227,RentsUA!$M$8:$T$9,2,FALSE)&gt;1,"&gt; 80%","&lt;= 80%"))</f>
        <v/>
      </c>
      <c r="AB227" s="1106"/>
      <c r="AC227" s="1106"/>
      <c r="AD227" s="622"/>
      <c r="AE227" s="412"/>
      <c r="AF227" s="807" t="str">
        <f>IF(AD227="","",IF(AD227=Lists!$U$3,M227,IF(AD227=Lists!$U$4,V227,IF(AD227=Lists!$U$5,Y227-L227,AE227))))</f>
        <v/>
      </c>
      <c r="AG227" s="410" t="str">
        <f t="shared" si="56"/>
        <v/>
      </c>
      <c r="AH227" s="469" t="str">
        <f t="shared" si="57"/>
        <v/>
      </c>
      <c r="AI227" s="469" t="str">
        <f>IF($AF227=0,0,IFERROR(($L227+$AF227)/(HLOOKUP($D227,RentsUA!$K$12:$Q$35,19,FALSE)),""))</f>
        <v/>
      </c>
      <c r="AJ227" s="469" t="str">
        <f>IF($AF227=0,0,IFERROR(($AF227+K227+L227)/(HLOOKUP($D227,RentsUA!$K$12:$Q$35,19,FALSE)),""))</f>
        <v/>
      </c>
      <c r="AK227" s="469" t="str">
        <f t="shared" si="60"/>
        <v/>
      </c>
      <c r="AL227" s="469" t="str">
        <f t="shared" si="61"/>
        <v/>
      </c>
      <c r="AM227" s="1106" t="str">
        <f t="shared" si="62"/>
        <v/>
      </c>
      <c r="AN227" s="1106" t="str">
        <f>IFERROR(AM227*(1+'7a.20YrDetails'!$F$9),"")</f>
        <v/>
      </c>
      <c r="AO227" s="1106" t="str">
        <f>IFERROR(AN227*(1+'7a.20YrDetails'!$F$9),"")</f>
        <v/>
      </c>
      <c r="AP227" s="1106" t="str">
        <f>IFERROR(AO227*(1+'7a.20YrDetails'!$F$9),"")</f>
        <v/>
      </c>
      <c r="AQ227" s="1106" t="str">
        <f>IFERROR(AP227*(1+'7a.20YrDetails'!$F$9),"")</f>
        <v/>
      </c>
      <c r="AR227" s="674"/>
      <c r="AS227" s="672"/>
      <c r="AT227" s="1732" t="str">
        <f>IF($AF227=0,0,IFERROR(($AF227+L227)/(HLOOKUP($D227,RentsUA!$B$61:$H$62,2,FALSE)),""))</f>
        <v/>
      </c>
      <c r="AU227" s="1733" t="str">
        <f>IFERROR(G227/HLOOKUP(H227,RentsUA!$B$40:$I$41,2),"")</f>
        <v/>
      </c>
      <c r="BR227" s="404" t="str">
        <f t="shared" si="63"/>
        <v/>
      </c>
      <c r="BT227" s="404" t="str">
        <f t="shared" si="58"/>
        <v/>
      </c>
    </row>
    <row r="228" spans="1:72" s="404" customFormat="1" ht="13.2">
      <c r="A228" s="406">
        <f t="shared" si="64"/>
        <v>216</v>
      </c>
      <c r="B228" s="472"/>
      <c r="C228" s="470"/>
      <c r="D228" s="407"/>
      <c r="E228" s="407"/>
      <c r="F228" s="408"/>
      <c r="G228" s="409"/>
      <c r="H228" s="407"/>
      <c r="I228" s="1029" t="str">
        <f>IFERROR(G228/HLOOKUP(H228,RentsUA!$B$8:$J$9,2),"")</f>
        <v/>
      </c>
      <c r="J228" s="407"/>
      <c r="K228" s="412"/>
      <c r="L228" s="672">
        <f t="shared" si="53"/>
        <v>0</v>
      </c>
      <c r="M228" s="671"/>
      <c r="N228" s="410">
        <f t="shared" si="54"/>
        <v>0</v>
      </c>
      <c r="O228" s="469" t="str">
        <f>IF($M228=0,"",IFERROR(($L228+$M228)/(HLOOKUP($D228,RentsUA!$K$12:$Q$35,19,FALSE)),""))</f>
        <v/>
      </c>
      <c r="P228" s="469" t="str">
        <f>IF($M228=0,"",IFERROR(($M228+K228+L228)/(HLOOKUP($D228,RentsUA!$K$12:$Q$35,19,FALSE)),""))</f>
        <v/>
      </c>
      <c r="Q228" s="411"/>
      <c r="R228" s="673" t="str">
        <f>IF($Q228=0,"",VLOOKUP($Q228,RentsUA!$A$12:$H$35,MATCH($D228,RentsUA!$A$12:$H$12,0),FALSE))</f>
        <v/>
      </c>
      <c r="S228" s="409"/>
      <c r="T228" s="674"/>
      <c r="U228" s="672"/>
      <c r="V228" s="673" t="str">
        <f t="shared" si="59"/>
        <v/>
      </c>
      <c r="W228" s="470"/>
      <c r="X228" s="411"/>
      <c r="Y228" s="410" t="str">
        <f>IF(X228=0,"",VLOOKUP($X228,RentsUA!$A$12:$H$35,MATCH($D228,RentsUA!$A$12:$H$12,0),FALSE))</f>
        <v/>
      </c>
      <c r="Z228" s="410" t="str">
        <f t="shared" si="55"/>
        <v/>
      </c>
      <c r="AA228" s="1297" t="str">
        <f>IF(H228="","",IF(G228/HLOOKUP($H228,RentsUA!$M$8:$T$9,2,FALSE)&gt;1,"&gt; 80%","&lt;= 80%"))</f>
        <v/>
      </c>
      <c r="AB228" s="1106"/>
      <c r="AC228" s="1106"/>
      <c r="AD228" s="622"/>
      <c r="AE228" s="412"/>
      <c r="AF228" s="807" t="str">
        <f>IF(AD228="","",IF(AD228=Lists!$U$3,M228,IF(AD228=Lists!$U$4,V228,IF(AD228=Lists!$U$5,Y228-L228,AE228))))</f>
        <v/>
      </c>
      <c r="AG228" s="410" t="str">
        <f t="shared" si="56"/>
        <v/>
      </c>
      <c r="AH228" s="469" t="str">
        <f t="shared" si="57"/>
        <v/>
      </c>
      <c r="AI228" s="469" t="str">
        <f>IF($AF228=0,0,IFERROR(($L228+$AF228)/(HLOOKUP($D228,RentsUA!$K$12:$Q$35,19,FALSE)),""))</f>
        <v/>
      </c>
      <c r="AJ228" s="469" t="str">
        <f>IF($AF228=0,0,IFERROR(($AF228+K228+L228)/(HLOOKUP($D228,RentsUA!$K$12:$Q$35,19,FALSE)),""))</f>
        <v/>
      </c>
      <c r="AK228" s="469" t="str">
        <f t="shared" si="60"/>
        <v/>
      </c>
      <c r="AL228" s="469" t="str">
        <f t="shared" si="61"/>
        <v/>
      </c>
      <c r="AM228" s="1106" t="str">
        <f t="shared" si="62"/>
        <v/>
      </c>
      <c r="AN228" s="1106" t="str">
        <f>IFERROR(AM228*(1+'7a.20YrDetails'!$F$9),"")</f>
        <v/>
      </c>
      <c r="AO228" s="1106" t="str">
        <f>IFERROR(AN228*(1+'7a.20YrDetails'!$F$9),"")</f>
        <v/>
      </c>
      <c r="AP228" s="1106" t="str">
        <f>IFERROR(AO228*(1+'7a.20YrDetails'!$F$9),"")</f>
        <v/>
      </c>
      <c r="AQ228" s="1106" t="str">
        <f>IFERROR(AP228*(1+'7a.20YrDetails'!$F$9),"")</f>
        <v/>
      </c>
      <c r="AR228" s="674"/>
      <c r="AS228" s="672"/>
      <c r="AT228" s="1732" t="str">
        <f>IF($AF228=0,0,IFERROR(($AF228+L228)/(HLOOKUP($D228,RentsUA!$B$61:$H$62,2,FALSE)),""))</f>
        <v/>
      </c>
      <c r="AU228" s="1733" t="str">
        <f>IFERROR(G228/HLOOKUP(H228,RentsUA!$B$40:$I$41,2),"")</f>
        <v/>
      </c>
      <c r="BR228" s="404" t="str">
        <f t="shared" si="63"/>
        <v/>
      </c>
      <c r="BT228" s="404" t="str">
        <f t="shared" si="58"/>
        <v/>
      </c>
    </row>
    <row r="229" spans="1:72" s="404" customFormat="1" ht="13.2">
      <c r="A229" s="406">
        <f t="shared" si="64"/>
        <v>217</v>
      </c>
      <c r="B229" s="472"/>
      <c r="C229" s="470"/>
      <c r="D229" s="407"/>
      <c r="E229" s="407"/>
      <c r="F229" s="408"/>
      <c r="G229" s="409"/>
      <c r="H229" s="407"/>
      <c r="I229" s="1029" t="str">
        <f>IFERROR(G229/HLOOKUP(H229,RentsUA!$B$8:$J$9,2),"")</f>
        <v/>
      </c>
      <c r="J229" s="407"/>
      <c r="K229" s="412"/>
      <c r="L229" s="672">
        <f t="shared" si="53"/>
        <v>0</v>
      </c>
      <c r="M229" s="671"/>
      <c r="N229" s="410">
        <f t="shared" si="54"/>
        <v>0</v>
      </c>
      <c r="O229" s="469" t="str">
        <f>IF($M229=0,"",IFERROR(($L229+$M229)/(HLOOKUP($D229,RentsUA!$K$12:$Q$35,19,FALSE)),""))</f>
        <v/>
      </c>
      <c r="P229" s="469" t="str">
        <f>IF($M229=0,"",IFERROR(($M229+K229+L229)/(HLOOKUP($D229,RentsUA!$K$12:$Q$35,19,FALSE)),""))</f>
        <v/>
      </c>
      <c r="Q229" s="411"/>
      <c r="R229" s="673" t="str">
        <f>IF($Q229=0,"",VLOOKUP($Q229,RentsUA!$A$12:$H$35,MATCH($D229,RentsUA!$A$12:$H$12,0),FALSE))</f>
        <v/>
      </c>
      <c r="S229" s="409"/>
      <c r="T229" s="674"/>
      <c r="U229" s="672"/>
      <c r="V229" s="673" t="str">
        <f t="shared" si="59"/>
        <v/>
      </c>
      <c r="W229" s="470"/>
      <c r="X229" s="411"/>
      <c r="Y229" s="410" t="str">
        <f>IF(X229=0,"",VLOOKUP($X229,RentsUA!$A$12:$H$35,MATCH($D229,RentsUA!$A$12:$H$12,0),FALSE))</f>
        <v/>
      </c>
      <c r="Z229" s="410" t="str">
        <f t="shared" si="55"/>
        <v/>
      </c>
      <c r="AA229" s="1297" t="str">
        <f>IF(H229="","",IF(G229/HLOOKUP($H229,RentsUA!$M$8:$T$9,2,FALSE)&gt;1,"&gt; 80%","&lt;= 80%"))</f>
        <v/>
      </c>
      <c r="AB229" s="1106"/>
      <c r="AC229" s="1106"/>
      <c r="AD229" s="622"/>
      <c r="AE229" s="412"/>
      <c r="AF229" s="807" t="str">
        <f>IF(AD229="","",IF(AD229=Lists!$U$3,M229,IF(AD229=Lists!$U$4,V229,IF(AD229=Lists!$U$5,Y229-L229,AE229))))</f>
        <v/>
      </c>
      <c r="AG229" s="410" t="str">
        <f t="shared" si="56"/>
        <v/>
      </c>
      <c r="AH229" s="469" t="str">
        <f t="shared" si="57"/>
        <v/>
      </c>
      <c r="AI229" s="469" t="str">
        <f>IF($AF229=0,0,IFERROR(($L229+$AF229)/(HLOOKUP($D229,RentsUA!$K$12:$Q$35,19,FALSE)),""))</f>
        <v/>
      </c>
      <c r="AJ229" s="469" t="str">
        <f>IF($AF229=0,0,IFERROR(($AF229+K229+L229)/(HLOOKUP($D229,RentsUA!$K$12:$Q$35,19,FALSE)),""))</f>
        <v/>
      </c>
      <c r="AK229" s="469" t="str">
        <f t="shared" si="60"/>
        <v/>
      </c>
      <c r="AL229" s="469" t="str">
        <f t="shared" si="61"/>
        <v/>
      </c>
      <c r="AM229" s="1106" t="str">
        <f t="shared" si="62"/>
        <v/>
      </c>
      <c r="AN229" s="1106" t="str">
        <f>IFERROR(AM229*(1+'7a.20YrDetails'!$F$9),"")</f>
        <v/>
      </c>
      <c r="AO229" s="1106" t="str">
        <f>IFERROR(AN229*(1+'7a.20YrDetails'!$F$9),"")</f>
        <v/>
      </c>
      <c r="AP229" s="1106" t="str">
        <f>IFERROR(AO229*(1+'7a.20YrDetails'!$F$9),"")</f>
        <v/>
      </c>
      <c r="AQ229" s="1106" t="str">
        <f>IFERROR(AP229*(1+'7a.20YrDetails'!$F$9),"")</f>
        <v/>
      </c>
      <c r="AR229" s="674"/>
      <c r="AS229" s="672"/>
      <c r="AT229" s="1732" t="str">
        <f>IF($AF229=0,0,IFERROR(($AF229+L229)/(HLOOKUP($D229,RentsUA!$B$61:$H$62,2,FALSE)),""))</f>
        <v/>
      </c>
      <c r="AU229" s="1733" t="str">
        <f>IFERROR(G229/HLOOKUP(H229,RentsUA!$B$40:$I$41,2),"")</f>
        <v/>
      </c>
      <c r="BR229" s="404" t="str">
        <f t="shared" si="63"/>
        <v/>
      </c>
      <c r="BT229" s="404" t="str">
        <f t="shared" si="58"/>
        <v/>
      </c>
    </row>
    <row r="230" spans="1:72" s="404" customFormat="1" ht="13.2">
      <c r="A230" s="406">
        <f t="shared" si="64"/>
        <v>218</v>
      </c>
      <c r="B230" s="472"/>
      <c r="C230" s="470"/>
      <c r="D230" s="407"/>
      <c r="E230" s="407"/>
      <c r="F230" s="408"/>
      <c r="G230" s="409"/>
      <c r="H230" s="407"/>
      <c r="I230" s="1029" t="str">
        <f>IFERROR(G230/HLOOKUP(H230,RentsUA!$B$8:$J$9,2),"")</f>
        <v/>
      </c>
      <c r="J230" s="407"/>
      <c r="K230" s="412"/>
      <c r="L230" s="672">
        <f t="shared" si="53"/>
        <v>0</v>
      </c>
      <c r="M230" s="671"/>
      <c r="N230" s="410">
        <f t="shared" si="54"/>
        <v>0</v>
      </c>
      <c r="O230" s="469" t="str">
        <f>IF($M230=0,"",IFERROR(($L230+$M230)/(HLOOKUP($D230,RentsUA!$K$12:$Q$35,19,FALSE)),""))</f>
        <v/>
      </c>
      <c r="P230" s="469" t="str">
        <f>IF($M230=0,"",IFERROR(($M230+K230+L230)/(HLOOKUP($D230,RentsUA!$K$12:$Q$35,19,FALSE)),""))</f>
        <v/>
      </c>
      <c r="Q230" s="411"/>
      <c r="R230" s="673" t="str">
        <f>IF($Q230=0,"",VLOOKUP($Q230,RentsUA!$A$12:$H$35,MATCH($D230,RentsUA!$A$12:$H$12,0),FALSE))</f>
        <v/>
      </c>
      <c r="S230" s="409"/>
      <c r="T230" s="674"/>
      <c r="U230" s="672"/>
      <c r="V230" s="673" t="str">
        <f t="shared" si="59"/>
        <v/>
      </c>
      <c r="W230" s="470"/>
      <c r="X230" s="411"/>
      <c r="Y230" s="410" t="str">
        <f>IF(X230=0,"",VLOOKUP($X230,RentsUA!$A$12:$H$35,MATCH($D230,RentsUA!$A$12:$H$12,0),FALSE))</f>
        <v/>
      </c>
      <c r="Z230" s="410" t="str">
        <f t="shared" si="55"/>
        <v/>
      </c>
      <c r="AA230" s="1297" t="str">
        <f>IF(H230="","",IF(G230/HLOOKUP($H230,RentsUA!$M$8:$T$9,2,FALSE)&gt;1,"&gt; 80%","&lt;= 80%"))</f>
        <v/>
      </c>
      <c r="AB230" s="1106"/>
      <c r="AC230" s="1106"/>
      <c r="AD230" s="622"/>
      <c r="AE230" s="412"/>
      <c r="AF230" s="807" t="str">
        <f>IF(AD230="","",IF(AD230=Lists!$U$3,M230,IF(AD230=Lists!$U$4,V230,IF(AD230=Lists!$U$5,Y230-L230,AE230))))</f>
        <v/>
      </c>
      <c r="AG230" s="410" t="str">
        <f t="shared" si="56"/>
        <v/>
      </c>
      <c r="AH230" s="469" t="str">
        <f t="shared" si="57"/>
        <v/>
      </c>
      <c r="AI230" s="469" t="str">
        <f>IF($AF230=0,0,IFERROR(($L230+$AF230)/(HLOOKUP($D230,RentsUA!$K$12:$Q$35,19,FALSE)),""))</f>
        <v/>
      </c>
      <c r="AJ230" s="469" t="str">
        <f>IF($AF230=0,0,IFERROR(($AF230+K230+L230)/(HLOOKUP($D230,RentsUA!$K$12:$Q$35,19,FALSE)),""))</f>
        <v/>
      </c>
      <c r="AK230" s="469" t="str">
        <f t="shared" si="60"/>
        <v/>
      </c>
      <c r="AL230" s="469" t="str">
        <f t="shared" si="61"/>
        <v/>
      </c>
      <c r="AM230" s="1106" t="str">
        <f t="shared" si="62"/>
        <v/>
      </c>
      <c r="AN230" s="1106" t="str">
        <f>IFERROR(AM230*(1+'7a.20YrDetails'!$F$9),"")</f>
        <v/>
      </c>
      <c r="AO230" s="1106" t="str">
        <f>IFERROR(AN230*(1+'7a.20YrDetails'!$F$9),"")</f>
        <v/>
      </c>
      <c r="AP230" s="1106" t="str">
        <f>IFERROR(AO230*(1+'7a.20YrDetails'!$F$9),"")</f>
        <v/>
      </c>
      <c r="AQ230" s="1106" t="str">
        <f>IFERROR(AP230*(1+'7a.20YrDetails'!$F$9),"")</f>
        <v/>
      </c>
      <c r="AR230" s="674"/>
      <c r="AS230" s="672"/>
      <c r="AT230" s="1732" t="str">
        <f>IF($AF230=0,0,IFERROR(($AF230+L230)/(HLOOKUP($D230,RentsUA!$B$61:$H$62,2,FALSE)),""))</f>
        <v/>
      </c>
      <c r="AU230" s="1733" t="str">
        <f>IFERROR(G230/HLOOKUP(H230,RentsUA!$B$40:$I$41,2),"")</f>
        <v/>
      </c>
      <c r="BR230" s="404" t="str">
        <f t="shared" si="63"/>
        <v/>
      </c>
      <c r="BT230" s="404" t="str">
        <f t="shared" si="58"/>
        <v/>
      </c>
    </row>
    <row r="231" spans="1:72" s="404" customFormat="1" ht="13.2">
      <c r="A231" s="406">
        <f t="shared" si="64"/>
        <v>219</v>
      </c>
      <c r="B231" s="472"/>
      <c r="C231" s="470"/>
      <c r="D231" s="407"/>
      <c r="E231" s="407"/>
      <c r="F231" s="408"/>
      <c r="G231" s="409"/>
      <c r="H231" s="407"/>
      <c r="I231" s="1029" t="str">
        <f>IFERROR(G231/HLOOKUP(H231,RentsUA!$B$8:$J$9,2),"")</f>
        <v/>
      </c>
      <c r="J231" s="407"/>
      <c r="K231" s="412"/>
      <c r="L231" s="672">
        <f t="shared" si="53"/>
        <v>0</v>
      </c>
      <c r="M231" s="671"/>
      <c r="N231" s="410">
        <f t="shared" si="54"/>
        <v>0</v>
      </c>
      <c r="O231" s="469" t="str">
        <f>IF($M231=0,"",IFERROR(($L231+$M231)/(HLOOKUP($D231,RentsUA!$K$12:$Q$35,19,FALSE)),""))</f>
        <v/>
      </c>
      <c r="P231" s="469" t="str">
        <f>IF($M231=0,"",IFERROR(($M231+K231+L231)/(HLOOKUP($D231,RentsUA!$K$12:$Q$35,19,FALSE)),""))</f>
        <v/>
      </c>
      <c r="Q231" s="411"/>
      <c r="R231" s="673" t="str">
        <f>IF($Q231=0,"",VLOOKUP($Q231,RentsUA!$A$12:$H$35,MATCH($D231,RentsUA!$A$12:$H$12,0),FALSE))</f>
        <v/>
      </c>
      <c r="S231" s="409"/>
      <c r="T231" s="674"/>
      <c r="U231" s="672"/>
      <c r="V231" s="673" t="str">
        <f t="shared" si="59"/>
        <v/>
      </c>
      <c r="W231" s="470"/>
      <c r="X231" s="411"/>
      <c r="Y231" s="410" t="str">
        <f>IF(X231=0,"",VLOOKUP($X231,RentsUA!$A$12:$H$35,MATCH($D231,RentsUA!$A$12:$H$12,0),FALSE))</f>
        <v/>
      </c>
      <c r="Z231" s="410" t="str">
        <f t="shared" si="55"/>
        <v/>
      </c>
      <c r="AA231" s="1297" t="str">
        <f>IF(H231="","",IF(G231/HLOOKUP($H231,RentsUA!$M$8:$T$9,2,FALSE)&gt;1,"&gt; 80%","&lt;= 80%"))</f>
        <v/>
      </c>
      <c r="AB231" s="1106"/>
      <c r="AC231" s="1106"/>
      <c r="AD231" s="622"/>
      <c r="AE231" s="412"/>
      <c r="AF231" s="807" t="str">
        <f>IF(AD231="","",IF(AD231=Lists!$U$3,M231,IF(AD231=Lists!$U$4,V231,IF(AD231=Lists!$U$5,Y231-L231,AE231))))</f>
        <v/>
      </c>
      <c r="AG231" s="410" t="str">
        <f t="shared" si="56"/>
        <v/>
      </c>
      <c r="AH231" s="469" t="str">
        <f t="shared" si="57"/>
        <v/>
      </c>
      <c r="AI231" s="469" t="str">
        <f>IF($AF231=0,0,IFERROR(($L231+$AF231)/(HLOOKUP($D231,RentsUA!$K$12:$Q$35,19,FALSE)),""))</f>
        <v/>
      </c>
      <c r="AJ231" s="469" t="str">
        <f>IF($AF231=0,0,IFERROR(($AF231+K231+L231)/(HLOOKUP($D231,RentsUA!$K$12:$Q$35,19,FALSE)),""))</f>
        <v/>
      </c>
      <c r="AK231" s="469" t="str">
        <f t="shared" si="60"/>
        <v/>
      </c>
      <c r="AL231" s="469" t="str">
        <f t="shared" si="61"/>
        <v/>
      </c>
      <c r="AM231" s="1106" t="str">
        <f t="shared" si="62"/>
        <v/>
      </c>
      <c r="AN231" s="1106" t="str">
        <f>IFERROR(AM231*(1+'7a.20YrDetails'!$F$9),"")</f>
        <v/>
      </c>
      <c r="AO231" s="1106" t="str">
        <f>IFERROR(AN231*(1+'7a.20YrDetails'!$F$9),"")</f>
        <v/>
      </c>
      <c r="AP231" s="1106" t="str">
        <f>IFERROR(AO231*(1+'7a.20YrDetails'!$F$9),"")</f>
        <v/>
      </c>
      <c r="AQ231" s="1106" t="str">
        <f>IFERROR(AP231*(1+'7a.20YrDetails'!$F$9),"")</f>
        <v/>
      </c>
      <c r="AR231" s="674"/>
      <c r="AS231" s="672"/>
      <c r="AT231" s="1732" t="str">
        <f>IF($AF231=0,0,IFERROR(($AF231+L231)/(HLOOKUP($D231,RentsUA!$B$61:$H$62,2,FALSE)),""))</f>
        <v/>
      </c>
      <c r="AU231" s="1733" t="str">
        <f>IFERROR(G231/HLOOKUP(H231,RentsUA!$B$40:$I$41,2),"")</f>
        <v/>
      </c>
      <c r="BR231" s="404" t="str">
        <f t="shared" si="63"/>
        <v/>
      </c>
      <c r="BT231" s="404" t="str">
        <f t="shared" si="58"/>
        <v/>
      </c>
    </row>
    <row r="232" spans="1:72" s="404" customFormat="1" ht="13.2">
      <c r="A232" s="406">
        <f t="shared" si="64"/>
        <v>220</v>
      </c>
      <c r="B232" s="472"/>
      <c r="C232" s="470"/>
      <c r="D232" s="407"/>
      <c r="E232" s="407"/>
      <c r="F232" s="408"/>
      <c r="G232" s="409"/>
      <c r="H232" s="407"/>
      <c r="I232" s="1029" t="str">
        <f>IFERROR(G232/HLOOKUP(H232,RentsUA!$B$8:$J$9,2),"")</f>
        <v/>
      </c>
      <c r="J232" s="407"/>
      <c r="K232" s="412"/>
      <c r="L232" s="672">
        <f t="shared" si="53"/>
        <v>0</v>
      </c>
      <c r="M232" s="671"/>
      <c r="N232" s="410">
        <f t="shared" si="54"/>
        <v>0</v>
      </c>
      <c r="O232" s="469" t="str">
        <f>IF($M232=0,"",IFERROR(($L232+$M232)/(HLOOKUP($D232,RentsUA!$K$12:$Q$35,19,FALSE)),""))</f>
        <v/>
      </c>
      <c r="P232" s="469" t="str">
        <f>IF($M232=0,"",IFERROR(($M232+K232+L232)/(HLOOKUP($D232,RentsUA!$K$12:$Q$35,19,FALSE)),""))</f>
        <v/>
      </c>
      <c r="Q232" s="411"/>
      <c r="R232" s="673" t="str">
        <f>IF($Q232=0,"",VLOOKUP($Q232,RentsUA!$A$12:$H$35,MATCH($D232,RentsUA!$A$12:$H$12,0),FALSE))</f>
        <v/>
      </c>
      <c r="S232" s="409"/>
      <c r="T232" s="674"/>
      <c r="U232" s="672"/>
      <c r="V232" s="673" t="str">
        <f t="shared" si="59"/>
        <v/>
      </c>
      <c r="W232" s="470"/>
      <c r="X232" s="411"/>
      <c r="Y232" s="410" t="str">
        <f>IF(X232=0,"",VLOOKUP($X232,RentsUA!$A$12:$H$35,MATCH($D232,RentsUA!$A$12:$H$12,0),FALSE))</f>
        <v/>
      </c>
      <c r="Z232" s="410" t="str">
        <f t="shared" si="55"/>
        <v/>
      </c>
      <c r="AA232" s="1297" t="str">
        <f>IF(H232="","",IF(G232/HLOOKUP($H232,RentsUA!$M$8:$T$9,2,FALSE)&gt;1,"&gt; 80%","&lt;= 80%"))</f>
        <v/>
      </c>
      <c r="AB232" s="1106"/>
      <c r="AC232" s="1106"/>
      <c r="AD232" s="622"/>
      <c r="AE232" s="412"/>
      <c r="AF232" s="807" t="str">
        <f>IF(AD232="","",IF(AD232=Lists!$U$3,M232,IF(AD232=Lists!$U$4,V232,IF(AD232=Lists!$U$5,Y232-L232,AE232))))</f>
        <v/>
      </c>
      <c r="AG232" s="410" t="str">
        <f t="shared" si="56"/>
        <v/>
      </c>
      <c r="AH232" s="469" t="str">
        <f t="shared" si="57"/>
        <v/>
      </c>
      <c r="AI232" s="469" t="str">
        <f>IF($AF232=0,0,IFERROR(($L232+$AF232)/(HLOOKUP($D232,RentsUA!$K$12:$Q$35,19,FALSE)),""))</f>
        <v/>
      </c>
      <c r="AJ232" s="469" t="str">
        <f>IF($AF232=0,0,IFERROR(($AF232+K232+L232)/(HLOOKUP($D232,RentsUA!$K$12:$Q$35,19,FALSE)),""))</f>
        <v/>
      </c>
      <c r="AK232" s="469" t="str">
        <f t="shared" si="60"/>
        <v/>
      </c>
      <c r="AL232" s="469" t="str">
        <f t="shared" si="61"/>
        <v/>
      </c>
      <c r="AM232" s="1106" t="str">
        <f t="shared" si="62"/>
        <v/>
      </c>
      <c r="AN232" s="1106" t="str">
        <f>IFERROR(AM232*(1+'7a.20YrDetails'!$F$9),"")</f>
        <v/>
      </c>
      <c r="AO232" s="1106" t="str">
        <f>IFERROR(AN232*(1+'7a.20YrDetails'!$F$9),"")</f>
        <v/>
      </c>
      <c r="AP232" s="1106" t="str">
        <f>IFERROR(AO232*(1+'7a.20YrDetails'!$F$9),"")</f>
        <v/>
      </c>
      <c r="AQ232" s="1106" t="str">
        <f>IFERROR(AP232*(1+'7a.20YrDetails'!$F$9),"")</f>
        <v/>
      </c>
      <c r="AR232" s="674"/>
      <c r="AS232" s="672"/>
      <c r="AT232" s="1732" t="str">
        <f>IF($AF232=0,0,IFERROR(($AF232+L232)/(HLOOKUP($D232,RentsUA!$B$61:$H$62,2,FALSE)),""))</f>
        <v/>
      </c>
      <c r="AU232" s="1733" t="str">
        <f>IFERROR(G232/HLOOKUP(H232,RentsUA!$B$40:$I$41,2),"")</f>
        <v/>
      </c>
      <c r="BR232" s="404" t="str">
        <f t="shared" si="63"/>
        <v/>
      </c>
      <c r="BT232" s="404" t="str">
        <f t="shared" si="58"/>
        <v/>
      </c>
    </row>
    <row r="233" spans="1:72" s="404" customFormat="1" ht="13.2">
      <c r="A233" s="406">
        <f t="shared" si="64"/>
        <v>221</v>
      </c>
      <c r="B233" s="472"/>
      <c r="C233" s="470"/>
      <c r="D233" s="407"/>
      <c r="E233" s="407"/>
      <c r="F233" s="408"/>
      <c r="G233" s="409"/>
      <c r="H233" s="407"/>
      <c r="I233" s="1029" t="str">
        <f>IFERROR(G233/HLOOKUP(H233,RentsUA!$B$8:$J$9,2),"")</f>
        <v/>
      </c>
      <c r="J233" s="407"/>
      <c r="K233" s="412"/>
      <c r="L233" s="672">
        <f t="shared" si="53"/>
        <v>0</v>
      </c>
      <c r="M233" s="671"/>
      <c r="N233" s="410">
        <f t="shared" si="54"/>
        <v>0</v>
      </c>
      <c r="O233" s="469" t="str">
        <f>IF($M233=0,"",IFERROR(($L233+$M233)/(HLOOKUP($D233,RentsUA!$K$12:$Q$35,19,FALSE)),""))</f>
        <v/>
      </c>
      <c r="P233" s="469" t="str">
        <f>IF($M233=0,"",IFERROR(($M233+K233+L233)/(HLOOKUP($D233,RentsUA!$K$12:$Q$35,19,FALSE)),""))</f>
        <v/>
      </c>
      <c r="Q233" s="411"/>
      <c r="R233" s="673" t="str">
        <f>IF($Q233=0,"",VLOOKUP($Q233,RentsUA!$A$12:$H$35,MATCH($D233,RentsUA!$A$12:$H$12,0),FALSE))</f>
        <v/>
      </c>
      <c r="S233" s="409"/>
      <c r="T233" s="674"/>
      <c r="U233" s="672"/>
      <c r="V233" s="673" t="str">
        <f t="shared" si="59"/>
        <v/>
      </c>
      <c r="W233" s="470"/>
      <c r="X233" s="411"/>
      <c r="Y233" s="410" t="str">
        <f>IF(X233=0,"",VLOOKUP($X233,RentsUA!$A$12:$H$35,MATCH($D233,RentsUA!$A$12:$H$12,0),FALSE))</f>
        <v/>
      </c>
      <c r="Z233" s="410" t="str">
        <f t="shared" si="55"/>
        <v/>
      </c>
      <c r="AA233" s="1297" t="str">
        <f>IF(H233="","",IF(G233/HLOOKUP($H233,RentsUA!$M$8:$T$9,2,FALSE)&gt;1,"&gt; 80%","&lt;= 80%"))</f>
        <v/>
      </c>
      <c r="AB233" s="1106"/>
      <c r="AC233" s="1106"/>
      <c r="AD233" s="622"/>
      <c r="AE233" s="412"/>
      <c r="AF233" s="807" t="str">
        <f>IF(AD233="","",IF(AD233=Lists!$U$3,M233,IF(AD233=Lists!$U$4,V233,IF(AD233=Lists!$U$5,Y233-L233,AE233))))</f>
        <v/>
      </c>
      <c r="AG233" s="410" t="str">
        <f t="shared" si="56"/>
        <v/>
      </c>
      <c r="AH233" s="469" t="str">
        <f t="shared" si="57"/>
        <v/>
      </c>
      <c r="AI233" s="469" t="str">
        <f>IF($AF233=0,0,IFERROR(($L233+$AF233)/(HLOOKUP($D233,RentsUA!$K$12:$Q$35,19,FALSE)),""))</f>
        <v/>
      </c>
      <c r="AJ233" s="469" t="str">
        <f>IF($AF233=0,0,IFERROR(($AF233+K233+L233)/(HLOOKUP($D233,RentsUA!$K$12:$Q$35,19,FALSE)),""))</f>
        <v/>
      </c>
      <c r="AK233" s="469" t="str">
        <f t="shared" si="60"/>
        <v/>
      </c>
      <c r="AL233" s="469" t="str">
        <f t="shared" si="61"/>
        <v/>
      </c>
      <c r="AM233" s="1106" t="str">
        <f t="shared" si="62"/>
        <v/>
      </c>
      <c r="AN233" s="1106" t="str">
        <f>IFERROR(AM233*(1+'7a.20YrDetails'!$F$9),"")</f>
        <v/>
      </c>
      <c r="AO233" s="1106" t="str">
        <f>IFERROR(AN233*(1+'7a.20YrDetails'!$F$9),"")</f>
        <v/>
      </c>
      <c r="AP233" s="1106" t="str">
        <f>IFERROR(AO233*(1+'7a.20YrDetails'!$F$9),"")</f>
        <v/>
      </c>
      <c r="AQ233" s="1106" t="str">
        <f>IFERROR(AP233*(1+'7a.20YrDetails'!$F$9),"")</f>
        <v/>
      </c>
      <c r="AR233" s="674"/>
      <c r="AS233" s="672"/>
      <c r="AT233" s="1732" t="str">
        <f>IF($AF233=0,0,IFERROR(($AF233+L233)/(HLOOKUP($D233,RentsUA!$B$61:$H$62,2,FALSE)),""))</f>
        <v/>
      </c>
      <c r="AU233" s="1733" t="str">
        <f>IFERROR(G233/HLOOKUP(H233,RentsUA!$B$40:$I$41,2),"")</f>
        <v/>
      </c>
      <c r="BR233" s="404" t="str">
        <f t="shared" si="63"/>
        <v/>
      </c>
      <c r="BT233" s="404" t="str">
        <f t="shared" si="58"/>
        <v/>
      </c>
    </row>
    <row r="234" spans="1:72" s="404" customFormat="1" ht="13.2">
      <c r="A234" s="406">
        <f t="shared" si="64"/>
        <v>222</v>
      </c>
      <c r="B234" s="472"/>
      <c r="C234" s="470"/>
      <c r="D234" s="407"/>
      <c r="E234" s="407"/>
      <c r="F234" s="408"/>
      <c r="G234" s="409"/>
      <c r="H234" s="407"/>
      <c r="I234" s="1029" t="str">
        <f>IFERROR(G234/HLOOKUP(H234,RentsUA!$B$8:$J$9,2),"")</f>
        <v/>
      </c>
      <c r="J234" s="407"/>
      <c r="K234" s="412"/>
      <c r="L234" s="672">
        <f t="shared" si="53"/>
        <v>0</v>
      </c>
      <c r="M234" s="671"/>
      <c r="N234" s="410">
        <f t="shared" si="54"/>
        <v>0</v>
      </c>
      <c r="O234" s="469" t="str">
        <f>IF($M234=0,"",IFERROR(($L234+$M234)/(HLOOKUP($D234,RentsUA!$K$12:$Q$35,19,FALSE)),""))</f>
        <v/>
      </c>
      <c r="P234" s="469" t="str">
        <f>IF($M234=0,"",IFERROR(($M234+K234+L234)/(HLOOKUP($D234,RentsUA!$K$12:$Q$35,19,FALSE)),""))</f>
        <v/>
      </c>
      <c r="Q234" s="411"/>
      <c r="R234" s="673" t="str">
        <f>IF($Q234=0,"",VLOOKUP($Q234,RentsUA!$A$12:$H$35,MATCH($D234,RentsUA!$A$12:$H$12,0),FALSE))</f>
        <v/>
      </c>
      <c r="S234" s="409"/>
      <c r="T234" s="674"/>
      <c r="U234" s="672"/>
      <c r="V234" s="673" t="str">
        <f t="shared" si="59"/>
        <v/>
      </c>
      <c r="W234" s="470"/>
      <c r="X234" s="411"/>
      <c r="Y234" s="410" t="str">
        <f>IF(X234=0,"",VLOOKUP($X234,RentsUA!$A$12:$H$35,MATCH($D234,RentsUA!$A$12:$H$12,0),FALSE))</f>
        <v/>
      </c>
      <c r="Z234" s="410" t="str">
        <f t="shared" si="55"/>
        <v/>
      </c>
      <c r="AA234" s="1297" t="str">
        <f>IF(H234="","",IF(G234/HLOOKUP($H234,RentsUA!$M$8:$T$9,2,FALSE)&gt;1,"&gt; 80%","&lt;= 80%"))</f>
        <v/>
      </c>
      <c r="AB234" s="1106"/>
      <c r="AC234" s="1106"/>
      <c r="AD234" s="622"/>
      <c r="AE234" s="412"/>
      <c r="AF234" s="807" t="str">
        <f>IF(AD234="","",IF(AD234=Lists!$U$3,M234,IF(AD234=Lists!$U$4,V234,IF(AD234=Lists!$U$5,Y234-L234,AE234))))</f>
        <v/>
      </c>
      <c r="AG234" s="410" t="str">
        <f t="shared" si="56"/>
        <v/>
      </c>
      <c r="AH234" s="469" t="str">
        <f t="shared" si="57"/>
        <v/>
      </c>
      <c r="AI234" s="469" t="str">
        <f>IF($AF234=0,0,IFERROR(($L234+$AF234)/(HLOOKUP($D234,RentsUA!$K$12:$Q$35,19,FALSE)),""))</f>
        <v/>
      </c>
      <c r="AJ234" s="469" t="str">
        <f>IF($AF234=0,0,IFERROR(($AF234+K234+L234)/(HLOOKUP($D234,RentsUA!$K$12:$Q$35,19,FALSE)),""))</f>
        <v/>
      </c>
      <c r="AK234" s="469" t="str">
        <f t="shared" si="60"/>
        <v/>
      </c>
      <c r="AL234" s="469" t="str">
        <f t="shared" si="61"/>
        <v/>
      </c>
      <c r="AM234" s="1106" t="str">
        <f t="shared" si="62"/>
        <v/>
      </c>
      <c r="AN234" s="1106" t="str">
        <f>IFERROR(AM234*(1+'7a.20YrDetails'!$F$9),"")</f>
        <v/>
      </c>
      <c r="AO234" s="1106" t="str">
        <f>IFERROR(AN234*(1+'7a.20YrDetails'!$F$9),"")</f>
        <v/>
      </c>
      <c r="AP234" s="1106" t="str">
        <f>IFERROR(AO234*(1+'7a.20YrDetails'!$F$9),"")</f>
        <v/>
      </c>
      <c r="AQ234" s="1106" t="str">
        <f>IFERROR(AP234*(1+'7a.20YrDetails'!$F$9),"")</f>
        <v/>
      </c>
      <c r="AR234" s="674"/>
      <c r="AS234" s="672"/>
      <c r="AT234" s="1732" t="str">
        <f>IF($AF234=0,0,IFERROR(($AF234+L234)/(HLOOKUP($D234,RentsUA!$B$61:$H$62,2,FALSE)),""))</f>
        <v/>
      </c>
      <c r="AU234" s="1733" t="str">
        <f>IFERROR(G234/HLOOKUP(H234,RentsUA!$B$40:$I$41,2),"")</f>
        <v/>
      </c>
      <c r="BR234" s="404" t="str">
        <f t="shared" si="63"/>
        <v/>
      </c>
      <c r="BT234" s="404" t="str">
        <f t="shared" si="58"/>
        <v/>
      </c>
    </row>
    <row r="235" spans="1:72" s="404" customFormat="1" ht="13.2">
      <c r="A235" s="406">
        <f t="shared" si="64"/>
        <v>223</v>
      </c>
      <c r="B235" s="472"/>
      <c r="C235" s="470"/>
      <c r="D235" s="407"/>
      <c r="E235" s="407"/>
      <c r="F235" s="408"/>
      <c r="G235" s="409"/>
      <c r="H235" s="407"/>
      <c r="I235" s="1029" t="str">
        <f>IFERROR(G235/HLOOKUP(H235,RentsUA!$B$8:$J$9,2),"")</f>
        <v/>
      </c>
      <c r="J235" s="407"/>
      <c r="K235" s="412"/>
      <c r="L235" s="672">
        <f t="shared" si="53"/>
        <v>0</v>
      </c>
      <c r="M235" s="671"/>
      <c r="N235" s="410">
        <f t="shared" si="54"/>
        <v>0</v>
      </c>
      <c r="O235" s="469" t="str">
        <f>IF($M235=0,"",IFERROR(($L235+$M235)/(HLOOKUP($D235,RentsUA!$K$12:$Q$35,19,FALSE)),""))</f>
        <v/>
      </c>
      <c r="P235" s="469" t="str">
        <f>IF($M235=0,"",IFERROR(($M235+K235+L235)/(HLOOKUP($D235,RentsUA!$K$12:$Q$35,19,FALSE)),""))</f>
        <v/>
      </c>
      <c r="Q235" s="411"/>
      <c r="R235" s="673" t="str">
        <f>IF($Q235=0,"",VLOOKUP($Q235,RentsUA!$A$12:$H$35,MATCH($D235,RentsUA!$A$12:$H$12,0),FALSE))</f>
        <v/>
      </c>
      <c r="S235" s="409"/>
      <c r="T235" s="674"/>
      <c r="U235" s="672"/>
      <c r="V235" s="673" t="str">
        <f t="shared" si="59"/>
        <v/>
      </c>
      <c r="W235" s="470"/>
      <c r="X235" s="411"/>
      <c r="Y235" s="410" t="str">
        <f>IF(X235=0,"",VLOOKUP($X235,RentsUA!$A$12:$H$35,MATCH($D235,RentsUA!$A$12:$H$12,0),FALSE))</f>
        <v/>
      </c>
      <c r="Z235" s="410" t="str">
        <f t="shared" si="55"/>
        <v/>
      </c>
      <c r="AA235" s="1297" t="str">
        <f>IF(H235="","",IF(G235/HLOOKUP($H235,RentsUA!$M$8:$T$9,2,FALSE)&gt;1,"&gt; 80%","&lt;= 80%"))</f>
        <v/>
      </c>
      <c r="AB235" s="1106"/>
      <c r="AC235" s="1106"/>
      <c r="AD235" s="622"/>
      <c r="AE235" s="412"/>
      <c r="AF235" s="807" t="str">
        <f>IF(AD235="","",IF(AD235=Lists!$U$3,M235,IF(AD235=Lists!$U$4,V235,IF(AD235=Lists!$U$5,Y235-L235,AE235))))</f>
        <v/>
      </c>
      <c r="AG235" s="410" t="str">
        <f t="shared" si="56"/>
        <v/>
      </c>
      <c r="AH235" s="469" t="str">
        <f t="shared" si="57"/>
        <v/>
      </c>
      <c r="AI235" s="469" t="str">
        <f>IF($AF235=0,0,IFERROR(($L235+$AF235)/(HLOOKUP($D235,RentsUA!$K$12:$Q$35,19,FALSE)),""))</f>
        <v/>
      </c>
      <c r="AJ235" s="469" t="str">
        <f>IF($AF235=0,0,IFERROR(($AF235+K235+L235)/(HLOOKUP($D235,RentsUA!$K$12:$Q$35,19,FALSE)),""))</f>
        <v/>
      </c>
      <c r="AK235" s="469" t="str">
        <f t="shared" si="60"/>
        <v/>
      </c>
      <c r="AL235" s="469" t="str">
        <f t="shared" si="61"/>
        <v/>
      </c>
      <c r="AM235" s="1106" t="str">
        <f t="shared" si="62"/>
        <v/>
      </c>
      <c r="AN235" s="1106" t="str">
        <f>IFERROR(AM235*(1+'7a.20YrDetails'!$F$9),"")</f>
        <v/>
      </c>
      <c r="AO235" s="1106" t="str">
        <f>IFERROR(AN235*(1+'7a.20YrDetails'!$F$9),"")</f>
        <v/>
      </c>
      <c r="AP235" s="1106" t="str">
        <f>IFERROR(AO235*(1+'7a.20YrDetails'!$F$9),"")</f>
        <v/>
      </c>
      <c r="AQ235" s="1106" t="str">
        <f>IFERROR(AP235*(1+'7a.20YrDetails'!$F$9),"")</f>
        <v/>
      </c>
      <c r="AR235" s="674"/>
      <c r="AS235" s="672"/>
      <c r="AT235" s="1732" t="str">
        <f>IF($AF235=0,0,IFERROR(($AF235+L235)/(HLOOKUP($D235,RentsUA!$B$61:$H$62,2,FALSE)),""))</f>
        <v/>
      </c>
      <c r="AU235" s="1733" t="str">
        <f>IFERROR(G235/HLOOKUP(H235,RentsUA!$B$40:$I$41,2),"")</f>
        <v/>
      </c>
      <c r="BR235" s="404" t="str">
        <f t="shared" si="63"/>
        <v/>
      </c>
      <c r="BT235" s="404" t="str">
        <f t="shared" si="58"/>
        <v/>
      </c>
    </row>
    <row r="236" spans="1:72" s="404" customFormat="1" ht="13.2">
      <c r="A236" s="406">
        <f t="shared" si="64"/>
        <v>224</v>
      </c>
      <c r="B236" s="472"/>
      <c r="C236" s="470"/>
      <c r="D236" s="407"/>
      <c r="E236" s="407"/>
      <c r="F236" s="408"/>
      <c r="G236" s="409"/>
      <c r="H236" s="407"/>
      <c r="I236" s="1029" t="str">
        <f>IFERROR(G236/HLOOKUP(H236,RentsUA!$B$8:$J$9,2),"")</f>
        <v/>
      </c>
      <c r="J236" s="407"/>
      <c r="K236" s="412"/>
      <c r="L236" s="672">
        <f t="shared" si="53"/>
        <v>0</v>
      </c>
      <c r="M236" s="671"/>
      <c r="N236" s="410">
        <f t="shared" si="54"/>
        <v>0</v>
      </c>
      <c r="O236" s="469" t="str">
        <f>IF($M236=0,"",IFERROR(($L236+$M236)/(HLOOKUP($D236,RentsUA!$K$12:$Q$35,19,FALSE)),""))</f>
        <v/>
      </c>
      <c r="P236" s="469" t="str">
        <f>IF($M236=0,"",IFERROR(($M236+K236+L236)/(HLOOKUP($D236,RentsUA!$K$12:$Q$35,19,FALSE)),""))</f>
        <v/>
      </c>
      <c r="Q236" s="411"/>
      <c r="R236" s="673" t="str">
        <f>IF($Q236=0,"",VLOOKUP($Q236,RentsUA!$A$12:$H$35,MATCH($D236,RentsUA!$A$12:$H$12,0),FALSE))</f>
        <v/>
      </c>
      <c r="S236" s="409"/>
      <c r="T236" s="674"/>
      <c r="U236" s="672"/>
      <c r="V236" s="673" t="str">
        <f t="shared" si="59"/>
        <v/>
      </c>
      <c r="W236" s="470"/>
      <c r="X236" s="411"/>
      <c r="Y236" s="410" t="str">
        <f>IF(X236=0,"",VLOOKUP($X236,RentsUA!$A$12:$H$35,MATCH($D236,RentsUA!$A$12:$H$12,0),FALSE))</f>
        <v/>
      </c>
      <c r="Z236" s="410" t="str">
        <f t="shared" si="55"/>
        <v/>
      </c>
      <c r="AA236" s="1297" t="str">
        <f>IF(H236="","",IF(G236/HLOOKUP($H236,RentsUA!$M$8:$T$9,2,FALSE)&gt;1,"&gt; 80%","&lt;= 80%"))</f>
        <v/>
      </c>
      <c r="AB236" s="1106"/>
      <c r="AC236" s="1106"/>
      <c r="AD236" s="622"/>
      <c r="AE236" s="412"/>
      <c r="AF236" s="807" t="str">
        <f>IF(AD236="","",IF(AD236=Lists!$U$3,M236,IF(AD236=Lists!$U$4,V236,IF(AD236=Lists!$U$5,Y236-L236,AE236))))</f>
        <v/>
      </c>
      <c r="AG236" s="410" t="str">
        <f t="shared" si="56"/>
        <v/>
      </c>
      <c r="AH236" s="469" t="str">
        <f t="shared" si="57"/>
        <v/>
      </c>
      <c r="AI236" s="469" t="str">
        <f>IF($AF236=0,0,IFERROR(($L236+$AF236)/(HLOOKUP($D236,RentsUA!$K$12:$Q$35,19,FALSE)),""))</f>
        <v/>
      </c>
      <c r="AJ236" s="469" t="str">
        <f>IF($AF236=0,0,IFERROR(($AF236+K236+L236)/(HLOOKUP($D236,RentsUA!$K$12:$Q$35,19,FALSE)),""))</f>
        <v/>
      </c>
      <c r="AK236" s="469" t="str">
        <f t="shared" si="60"/>
        <v/>
      </c>
      <c r="AL236" s="469" t="str">
        <f t="shared" si="61"/>
        <v/>
      </c>
      <c r="AM236" s="1106" t="str">
        <f t="shared" si="62"/>
        <v/>
      </c>
      <c r="AN236" s="1106" t="str">
        <f>IFERROR(AM236*(1+'7a.20YrDetails'!$F$9),"")</f>
        <v/>
      </c>
      <c r="AO236" s="1106" t="str">
        <f>IFERROR(AN236*(1+'7a.20YrDetails'!$F$9),"")</f>
        <v/>
      </c>
      <c r="AP236" s="1106" t="str">
        <f>IFERROR(AO236*(1+'7a.20YrDetails'!$F$9),"")</f>
        <v/>
      </c>
      <c r="AQ236" s="1106" t="str">
        <f>IFERROR(AP236*(1+'7a.20YrDetails'!$F$9),"")</f>
        <v/>
      </c>
      <c r="AR236" s="674"/>
      <c r="AS236" s="672"/>
      <c r="AT236" s="1732" t="str">
        <f>IF($AF236=0,0,IFERROR(($AF236+L236)/(HLOOKUP($D236,RentsUA!$B$61:$H$62,2,FALSE)),""))</f>
        <v/>
      </c>
      <c r="AU236" s="1733" t="str">
        <f>IFERROR(G236/HLOOKUP(H236,RentsUA!$B$40:$I$41,2),"")</f>
        <v/>
      </c>
      <c r="BR236" s="404" t="str">
        <f t="shared" si="63"/>
        <v/>
      </c>
      <c r="BT236" s="404" t="str">
        <f t="shared" si="58"/>
        <v/>
      </c>
    </row>
    <row r="237" spans="1:72" s="404" customFormat="1" ht="13.2">
      <c r="A237" s="406">
        <f t="shared" si="64"/>
        <v>225</v>
      </c>
      <c r="B237" s="472"/>
      <c r="C237" s="470"/>
      <c r="D237" s="407"/>
      <c r="E237" s="407"/>
      <c r="F237" s="408"/>
      <c r="G237" s="409"/>
      <c r="H237" s="407"/>
      <c r="I237" s="1029" t="str">
        <f>IFERROR(G237/HLOOKUP(H237,RentsUA!$B$8:$J$9,2),"")</f>
        <v/>
      </c>
      <c r="J237" s="407"/>
      <c r="K237" s="412"/>
      <c r="L237" s="672">
        <f t="shared" si="53"/>
        <v>0</v>
      </c>
      <c r="M237" s="671"/>
      <c r="N237" s="410">
        <f t="shared" si="54"/>
        <v>0</v>
      </c>
      <c r="O237" s="469" t="str">
        <f>IF($M237=0,"",IFERROR(($L237+$M237)/(HLOOKUP($D237,RentsUA!$K$12:$Q$35,19,FALSE)),""))</f>
        <v/>
      </c>
      <c r="P237" s="469" t="str">
        <f>IF($M237=0,"",IFERROR(($M237+K237+L237)/(HLOOKUP($D237,RentsUA!$K$12:$Q$35,19,FALSE)),""))</f>
        <v/>
      </c>
      <c r="Q237" s="411"/>
      <c r="R237" s="673" t="str">
        <f>IF($Q237=0,"",VLOOKUP($Q237,RentsUA!$A$12:$H$35,MATCH($D237,RentsUA!$A$12:$H$12,0),FALSE))</f>
        <v/>
      </c>
      <c r="S237" s="409"/>
      <c r="T237" s="674"/>
      <c r="U237" s="672"/>
      <c r="V237" s="673" t="str">
        <f t="shared" si="59"/>
        <v/>
      </c>
      <c r="W237" s="470"/>
      <c r="X237" s="411"/>
      <c r="Y237" s="410" t="str">
        <f>IF(X237=0,"",VLOOKUP($X237,RentsUA!$A$12:$H$35,MATCH($D237,RentsUA!$A$12:$H$12,0),FALSE))</f>
        <v/>
      </c>
      <c r="Z237" s="410" t="str">
        <f t="shared" si="55"/>
        <v/>
      </c>
      <c r="AA237" s="1297" t="str">
        <f>IF(H237="","",IF(G237/HLOOKUP($H237,RentsUA!$M$8:$T$9,2,FALSE)&gt;1,"&gt; 80%","&lt;= 80%"))</f>
        <v/>
      </c>
      <c r="AB237" s="1106"/>
      <c r="AC237" s="1106"/>
      <c r="AD237" s="622"/>
      <c r="AE237" s="412"/>
      <c r="AF237" s="807" t="str">
        <f>IF(AD237="","",IF(AD237=Lists!$U$3,M237,IF(AD237=Lists!$U$4,V237,IF(AD237=Lists!$U$5,Y237-L237,AE237))))</f>
        <v/>
      </c>
      <c r="AG237" s="410" t="str">
        <f t="shared" si="56"/>
        <v/>
      </c>
      <c r="AH237" s="469" t="str">
        <f t="shared" si="57"/>
        <v/>
      </c>
      <c r="AI237" s="469" t="str">
        <f>IF($AF237=0,0,IFERROR(($L237+$AF237)/(HLOOKUP($D237,RentsUA!$K$12:$Q$35,19,FALSE)),""))</f>
        <v/>
      </c>
      <c r="AJ237" s="469" t="str">
        <f>IF($AF237=0,0,IFERROR(($AF237+K237+L237)/(HLOOKUP($D237,RentsUA!$K$12:$Q$35,19,FALSE)),""))</f>
        <v/>
      </c>
      <c r="AK237" s="469" t="str">
        <f t="shared" si="60"/>
        <v/>
      </c>
      <c r="AL237" s="469" t="str">
        <f t="shared" si="61"/>
        <v/>
      </c>
      <c r="AM237" s="1106" t="str">
        <f t="shared" si="62"/>
        <v/>
      </c>
      <c r="AN237" s="1106" t="str">
        <f>IFERROR(AM237*(1+'7a.20YrDetails'!$F$9),"")</f>
        <v/>
      </c>
      <c r="AO237" s="1106" t="str">
        <f>IFERROR(AN237*(1+'7a.20YrDetails'!$F$9),"")</f>
        <v/>
      </c>
      <c r="AP237" s="1106" t="str">
        <f>IFERROR(AO237*(1+'7a.20YrDetails'!$F$9),"")</f>
        <v/>
      </c>
      <c r="AQ237" s="1106" t="str">
        <f>IFERROR(AP237*(1+'7a.20YrDetails'!$F$9),"")</f>
        <v/>
      </c>
      <c r="AR237" s="674"/>
      <c r="AS237" s="672"/>
      <c r="AT237" s="1732" t="str">
        <f>IF($AF237=0,0,IFERROR(($AF237+L237)/(HLOOKUP($D237,RentsUA!$B$61:$H$62,2,FALSE)),""))</f>
        <v/>
      </c>
      <c r="AU237" s="1733" t="str">
        <f>IFERROR(G237/HLOOKUP(H237,RentsUA!$B$40:$I$41,2),"")</f>
        <v/>
      </c>
      <c r="BR237" s="404" t="str">
        <f t="shared" si="63"/>
        <v/>
      </c>
      <c r="BT237" s="404" t="str">
        <f t="shared" si="58"/>
        <v/>
      </c>
    </row>
    <row r="238" spans="1:72" s="404" customFormat="1" ht="13.2">
      <c r="A238" s="406">
        <f t="shared" si="64"/>
        <v>226</v>
      </c>
      <c r="B238" s="472"/>
      <c r="C238" s="470"/>
      <c r="D238" s="407"/>
      <c r="E238" s="407"/>
      <c r="F238" s="408"/>
      <c r="G238" s="409"/>
      <c r="H238" s="407"/>
      <c r="I238" s="1029" t="str">
        <f>IFERROR(G238/HLOOKUP(H238,RentsUA!$B$8:$J$9,2),"")</f>
        <v/>
      </c>
      <c r="J238" s="407"/>
      <c r="K238" s="412"/>
      <c r="L238" s="672">
        <f t="shared" si="53"/>
        <v>0</v>
      </c>
      <c r="M238" s="671"/>
      <c r="N238" s="410">
        <f t="shared" si="54"/>
        <v>0</v>
      </c>
      <c r="O238" s="469" t="str">
        <f>IF($M238=0,"",IFERROR(($L238+$M238)/(HLOOKUP($D238,RentsUA!$K$12:$Q$35,19,FALSE)),""))</f>
        <v/>
      </c>
      <c r="P238" s="469" t="str">
        <f>IF($M238=0,"",IFERROR(($M238+K238+L238)/(HLOOKUP($D238,RentsUA!$K$12:$Q$35,19,FALSE)),""))</f>
        <v/>
      </c>
      <c r="Q238" s="411"/>
      <c r="R238" s="673" t="str">
        <f>IF($Q238=0,"",VLOOKUP($Q238,RentsUA!$A$12:$H$35,MATCH($D238,RentsUA!$A$12:$H$12,0),FALSE))</f>
        <v/>
      </c>
      <c r="S238" s="409"/>
      <c r="T238" s="674"/>
      <c r="U238" s="672"/>
      <c r="V238" s="673" t="str">
        <f t="shared" si="59"/>
        <v/>
      </c>
      <c r="W238" s="470"/>
      <c r="X238" s="411"/>
      <c r="Y238" s="410" t="str">
        <f>IF(X238=0,"",VLOOKUP($X238,RentsUA!$A$12:$H$35,MATCH($D238,RentsUA!$A$12:$H$12,0),FALSE))</f>
        <v/>
      </c>
      <c r="Z238" s="410" t="str">
        <f t="shared" si="55"/>
        <v/>
      </c>
      <c r="AA238" s="1297" t="str">
        <f>IF(H238="","",IF(G238/HLOOKUP($H238,RentsUA!$M$8:$T$9,2,FALSE)&gt;1,"&gt; 80%","&lt;= 80%"))</f>
        <v/>
      </c>
      <c r="AB238" s="1106"/>
      <c r="AC238" s="1106"/>
      <c r="AD238" s="622"/>
      <c r="AE238" s="412"/>
      <c r="AF238" s="807" t="str">
        <f>IF(AD238="","",IF(AD238=Lists!$U$3,M238,IF(AD238=Lists!$U$4,V238,IF(AD238=Lists!$U$5,Y238-L238,AE238))))</f>
        <v/>
      </c>
      <c r="AG238" s="410" t="str">
        <f t="shared" si="56"/>
        <v/>
      </c>
      <c r="AH238" s="469" t="str">
        <f t="shared" si="57"/>
        <v/>
      </c>
      <c r="AI238" s="469" t="str">
        <f>IF($AF238=0,0,IFERROR(($L238+$AF238)/(HLOOKUP($D238,RentsUA!$K$12:$Q$35,19,FALSE)),""))</f>
        <v/>
      </c>
      <c r="AJ238" s="469" t="str">
        <f>IF($AF238=0,0,IFERROR(($AF238+K238+L238)/(HLOOKUP($D238,RentsUA!$K$12:$Q$35,19,FALSE)),""))</f>
        <v/>
      </c>
      <c r="AK238" s="469" t="str">
        <f t="shared" si="60"/>
        <v/>
      </c>
      <c r="AL238" s="469" t="str">
        <f t="shared" si="61"/>
        <v/>
      </c>
      <c r="AM238" s="1106" t="str">
        <f t="shared" si="62"/>
        <v/>
      </c>
      <c r="AN238" s="1106" t="str">
        <f>IFERROR(AM238*(1+'7a.20YrDetails'!$F$9),"")</f>
        <v/>
      </c>
      <c r="AO238" s="1106" t="str">
        <f>IFERROR(AN238*(1+'7a.20YrDetails'!$F$9),"")</f>
        <v/>
      </c>
      <c r="AP238" s="1106" t="str">
        <f>IFERROR(AO238*(1+'7a.20YrDetails'!$F$9),"")</f>
        <v/>
      </c>
      <c r="AQ238" s="1106" t="str">
        <f>IFERROR(AP238*(1+'7a.20YrDetails'!$F$9),"")</f>
        <v/>
      </c>
      <c r="AR238" s="674"/>
      <c r="AS238" s="672"/>
      <c r="AT238" s="1732" t="str">
        <f>IF($AF238=0,0,IFERROR(($AF238+L238)/(HLOOKUP($D238,RentsUA!$B$61:$H$62,2,FALSE)),""))</f>
        <v/>
      </c>
      <c r="AU238" s="1733" t="str">
        <f>IFERROR(G238/HLOOKUP(H238,RentsUA!$B$40:$I$41,2),"")</f>
        <v/>
      </c>
      <c r="BR238" s="404" t="str">
        <f t="shared" si="63"/>
        <v/>
      </c>
      <c r="BT238" s="404" t="str">
        <f t="shared" si="58"/>
        <v/>
      </c>
    </row>
    <row r="239" spans="1:72" s="404" customFormat="1" ht="13.2">
      <c r="A239" s="406">
        <f t="shared" si="64"/>
        <v>227</v>
      </c>
      <c r="B239" s="472"/>
      <c r="C239" s="470"/>
      <c r="D239" s="407"/>
      <c r="E239" s="407"/>
      <c r="F239" s="408"/>
      <c r="G239" s="409"/>
      <c r="H239" s="407"/>
      <c r="I239" s="1029" t="str">
        <f>IFERROR(G239/HLOOKUP(H239,RentsUA!$B$8:$J$9,2),"")</f>
        <v/>
      </c>
      <c r="J239" s="407"/>
      <c r="K239" s="412"/>
      <c r="L239" s="672">
        <f t="shared" si="53"/>
        <v>0</v>
      </c>
      <c r="M239" s="671"/>
      <c r="N239" s="410">
        <f t="shared" si="54"/>
        <v>0</v>
      </c>
      <c r="O239" s="469" t="str">
        <f>IF($M239=0,"",IFERROR(($L239+$M239)/(HLOOKUP($D239,RentsUA!$K$12:$Q$35,19,FALSE)),""))</f>
        <v/>
      </c>
      <c r="P239" s="469" t="str">
        <f>IF($M239=0,"",IFERROR(($M239+K239+L239)/(HLOOKUP($D239,RentsUA!$K$12:$Q$35,19,FALSE)),""))</f>
        <v/>
      </c>
      <c r="Q239" s="411"/>
      <c r="R239" s="673" t="str">
        <f>IF($Q239=0,"",VLOOKUP($Q239,RentsUA!$A$12:$H$35,MATCH($D239,RentsUA!$A$12:$H$12,0),FALSE))</f>
        <v/>
      </c>
      <c r="S239" s="409"/>
      <c r="T239" s="674"/>
      <c r="U239" s="672"/>
      <c r="V239" s="673" t="str">
        <f t="shared" si="59"/>
        <v/>
      </c>
      <c r="W239" s="470"/>
      <c r="X239" s="411"/>
      <c r="Y239" s="410" t="str">
        <f>IF(X239=0,"",VLOOKUP($X239,RentsUA!$A$12:$H$35,MATCH($D239,RentsUA!$A$12:$H$12,0),FALSE))</f>
        <v/>
      </c>
      <c r="Z239" s="410" t="str">
        <f t="shared" si="55"/>
        <v/>
      </c>
      <c r="AA239" s="1297" t="str">
        <f>IF(H239="","",IF(G239/HLOOKUP($H239,RentsUA!$M$8:$T$9,2,FALSE)&gt;1,"&gt; 80%","&lt;= 80%"))</f>
        <v/>
      </c>
      <c r="AB239" s="1106"/>
      <c r="AC239" s="1106"/>
      <c r="AD239" s="622"/>
      <c r="AE239" s="412"/>
      <c r="AF239" s="807" t="str">
        <f>IF(AD239="","",IF(AD239=Lists!$U$3,M239,IF(AD239=Lists!$U$4,V239,IF(AD239=Lists!$U$5,Y239-L239,AE239))))</f>
        <v/>
      </c>
      <c r="AG239" s="410" t="str">
        <f t="shared" si="56"/>
        <v/>
      </c>
      <c r="AH239" s="469" t="str">
        <f t="shared" si="57"/>
        <v/>
      </c>
      <c r="AI239" s="469" t="str">
        <f>IF($AF239=0,0,IFERROR(($L239+$AF239)/(HLOOKUP($D239,RentsUA!$K$12:$Q$35,19,FALSE)),""))</f>
        <v/>
      </c>
      <c r="AJ239" s="469" t="str">
        <f>IF($AF239=0,0,IFERROR(($AF239+K239+L239)/(HLOOKUP($D239,RentsUA!$K$12:$Q$35,19,FALSE)),""))</f>
        <v/>
      </c>
      <c r="AK239" s="469" t="str">
        <f t="shared" si="60"/>
        <v/>
      </c>
      <c r="AL239" s="469" t="str">
        <f t="shared" si="61"/>
        <v/>
      </c>
      <c r="AM239" s="1106" t="str">
        <f t="shared" si="62"/>
        <v/>
      </c>
      <c r="AN239" s="1106" t="str">
        <f>IFERROR(AM239*(1+'7a.20YrDetails'!$F$9),"")</f>
        <v/>
      </c>
      <c r="AO239" s="1106" t="str">
        <f>IFERROR(AN239*(1+'7a.20YrDetails'!$F$9),"")</f>
        <v/>
      </c>
      <c r="AP239" s="1106" t="str">
        <f>IFERROR(AO239*(1+'7a.20YrDetails'!$F$9),"")</f>
        <v/>
      </c>
      <c r="AQ239" s="1106" t="str">
        <f>IFERROR(AP239*(1+'7a.20YrDetails'!$F$9),"")</f>
        <v/>
      </c>
      <c r="AR239" s="674"/>
      <c r="AS239" s="672"/>
      <c r="AT239" s="1732" t="str">
        <f>IF($AF239=0,0,IFERROR(($AF239+L239)/(HLOOKUP($D239,RentsUA!$B$61:$H$62,2,FALSE)),""))</f>
        <v/>
      </c>
      <c r="AU239" s="1733" t="str">
        <f>IFERROR(G239/HLOOKUP(H239,RentsUA!$B$40:$I$41,2),"")</f>
        <v/>
      </c>
      <c r="BR239" s="404" t="str">
        <f t="shared" si="63"/>
        <v/>
      </c>
      <c r="BT239" s="404" t="str">
        <f t="shared" si="58"/>
        <v/>
      </c>
    </row>
    <row r="240" spans="1:72" s="404" customFormat="1" ht="13.2">
      <c r="A240" s="406">
        <f t="shared" si="64"/>
        <v>228</v>
      </c>
      <c r="B240" s="472"/>
      <c r="C240" s="470"/>
      <c r="D240" s="407"/>
      <c r="E240" s="407"/>
      <c r="F240" s="408"/>
      <c r="G240" s="409"/>
      <c r="H240" s="407"/>
      <c r="I240" s="1029" t="str">
        <f>IFERROR(G240/HLOOKUP(H240,RentsUA!$B$8:$J$9,2),"")</f>
        <v/>
      </c>
      <c r="J240" s="407"/>
      <c r="K240" s="412"/>
      <c r="L240" s="672">
        <f t="shared" si="53"/>
        <v>0</v>
      </c>
      <c r="M240" s="671"/>
      <c r="N240" s="410">
        <f t="shared" si="54"/>
        <v>0</v>
      </c>
      <c r="O240" s="469" t="str">
        <f>IF($M240=0,"",IFERROR(($L240+$M240)/(HLOOKUP($D240,RentsUA!$K$12:$Q$35,19,FALSE)),""))</f>
        <v/>
      </c>
      <c r="P240" s="469" t="str">
        <f>IF($M240=0,"",IFERROR(($M240+K240+L240)/(HLOOKUP($D240,RentsUA!$K$12:$Q$35,19,FALSE)),""))</f>
        <v/>
      </c>
      <c r="Q240" s="411"/>
      <c r="R240" s="673" t="str">
        <f>IF($Q240=0,"",VLOOKUP($Q240,RentsUA!$A$12:$H$35,MATCH($D240,RentsUA!$A$12:$H$12,0),FALSE))</f>
        <v/>
      </c>
      <c r="S240" s="409"/>
      <c r="T240" s="674"/>
      <c r="U240" s="672"/>
      <c r="V240" s="673" t="str">
        <f t="shared" si="59"/>
        <v/>
      </c>
      <c r="W240" s="470"/>
      <c r="X240" s="411"/>
      <c r="Y240" s="410" t="str">
        <f>IF(X240=0,"",VLOOKUP($X240,RentsUA!$A$12:$H$35,MATCH($D240,RentsUA!$A$12:$H$12,0),FALSE))</f>
        <v/>
      </c>
      <c r="Z240" s="410" t="str">
        <f t="shared" si="55"/>
        <v/>
      </c>
      <c r="AA240" s="1297" t="str">
        <f>IF(H240="","",IF(G240/HLOOKUP($H240,RentsUA!$M$8:$T$9,2,FALSE)&gt;1,"&gt; 80%","&lt;= 80%"))</f>
        <v/>
      </c>
      <c r="AB240" s="1106"/>
      <c r="AC240" s="1106"/>
      <c r="AD240" s="622"/>
      <c r="AE240" s="412"/>
      <c r="AF240" s="807" t="str">
        <f>IF(AD240="","",IF(AD240=Lists!$U$3,M240,IF(AD240=Lists!$U$4,V240,IF(AD240=Lists!$U$5,Y240-L240,AE240))))</f>
        <v/>
      </c>
      <c r="AG240" s="410" t="str">
        <f t="shared" si="56"/>
        <v/>
      </c>
      <c r="AH240" s="469" t="str">
        <f t="shared" si="57"/>
        <v/>
      </c>
      <c r="AI240" s="469" t="str">
        <f>IF($AF240=0,0,IFERROR(($L240+$AF240)/(HLOOKUP($D240,RentsUA!$K$12:$Q$35,19,FALSE)),""))</f>
        <v/>
      </c>
      <c r="AJ240" s="469" t="str">
        <f>IF($AF240=0,0,IFERROR(($AF240+K240+L240)/(HLOOKUP($D240,RentsUA!$K$12:$Q$35,19,FALSE)),""))</f>
        <v/>
      </c>
      <c r="AK240" s="469" t="str">
        <f t="shared" si="60"/>
        <v/>
      </c>
      <c r="AL240" s="469" t="str">
        <f t="shared" si="61"/>
        <v/>
      </c>
      <c r="AM240" s="1106" t="str">
        <f t="shared" si="62"/>
        <v/>
      </c>
      <c r="AN240" s="1106" t="str">
        <f>IFERROR(AM240*(1+'7a.20YrDetails'!$F$9),"")</f>
        <v/>
      </c>
      <c r="AO240" s="1106" t="str">
        <f>IFERROR(AN240*(1+'7a.20YrDetails'!$F$9),"")</f>
        <v/>
      </c>
      <c r="AP240" s="1106" t="str">
        <f>IFERROR(AO240*(1+'7a.20YrDetails'!$F$9),"")</f>
        <v/>
      </c>
      <c r="AQ240" s="1106" t="str">
        <f>IFERROR(AP240*(1+'7a.20YrDetails'!$F$9),"")</f>
        <v/>
      </c>
      <c r="AR240" s="674"/>
      <c r="AS240" s="672"/>
      <c r="AT240" s="1732" t="str">
        <f>IF($AF240=0,0,IFERROR(($AF240+L240)/(HLOOKUP($D240,RentsUA!$B$61:$H$62,2,FALSE)),""))</f>
        <v/>
      </c>
      <c r="AU240" s="1733" t="str">
        <f>IFERROR(G240/HLOOKUP(H240,RentsUA!$B$40:$I$41,2),"")</f>
        <v/>
      </c>
      <c r="BR240" s="404" t="str">
        <f t="shared" si="63"/>
        <v/>
      </c>
      <c r="BT240" s="404" t="str">
        <f t="shared" si="58"/>
        <v/>
      </c>
    </row>
    <row r="241" spans="1:72" s="404" customFormat="1" ht="13.2">
      <c r="A241" s="406">
        <f t="shared" si="64"/>
        <v>229</v>
      </c>
      <c r="B241" s="472"/>
      <c r="C241" s="470"/>
      <c r="D241" s="407"/>
      <c r="E241" s="407"/>
      <c r="F241" s="408"/>
      <c r="G241" s="409"/>
      <c r="H241" s="407"/>
      <c r="I241" s="1029" t="str">
        <f>IFERROR(G241/HLOOKUP(H241,RentsUA!$B$8:$J$9,2),"")</f>
        <v/>
      </c>
      <c r="J241" s="407"/>
      <c r="K241" s="412"/>
      <c r="L241" s="672">
        <f t="shared" si="53"/>
        <v>0</v>
      </c>
      <c r="M241" s="671"/>
      <c r="N241" s="410">
        <f t="shared" si="54"/>
        <v>0</v>
      </c>
      <c r="O241" s="469" t="str">
        <f>IF($M241=0,"",IFERROR(($L241+$M241)/(HLOOKUP($D241,RentsUA!$K$12:$Q$35,19,FALSE)),""))</f>
        <v/>
      </c>
      <c r="P241" s="469" t="str">
        <f>IF($M241=0,"",IFERROR(($M241+K241+L241)/(HLOOKUP($D241,RentsUA!$K$12:$Q$35,19,FALSE)),""))</f>
        <v/>
      </c>
      <c r="Q241" s="411"/>
      <c r="R241" s="673" t="str">
        <f>IF($Q241=0,"",VLOOKUP($Q241,RentsUA!$A$12:$H$35,MATCH($D241,RentsUA!$A$12:$H$12,0),FALSE))</f>
        <v/>
      </c>
      <c r="S241" s="409"/>
      <c r="T241" s="674"/>
      <c r="U241" s="672"/>
      <c r="V241" s="673" t="str">
        <f t="shared" si="59"/>
        <v/>
      </c>
      <c r="W241" s="470"/>
      <c r="X241" s="411"/>
      <c r="Y241" s="410" t="str">
        <f>IF(X241=0,"",VLOOKUP($X241,RentsUA!$A$12:$H$35,MATCH($D241,RentsUA!$A$12:$H$12,0),FALSE))</f>
        <v/>
      </c>
      <c r="Z241" s="410" t="str">
        <f t="shared" si="55"/>
        <v/>
      </c>
      <c r="AA241" s="1297" t="str">
        <f>IF(H241="","",IF(G241/HLOOKUP($H241,RentsUA!$M$8:$T$9,2,FALSE)&gt;1,"&gt; 80%","&lt;= 80%"))</f>
        <v/>
      </c>
      <c r="AB241" s="1106"/>
      <c r="AC241" s="1106"/>
      <c r="AD241" s="622"/>
      <c r="AE241" s="412"/>
      <c r="AF241" s="807" t="str">
        <f>IF(AD241="","",IF(AD241=Lists!$U$3,M241,IF(AD241=Lists!$U$4,V241,IF(AD241=Lists!$U$5,Y241-L241,AE241))))</f>
        <v/>
      </c>
      <c r="AG241" s="410" t="str">
        <f t="shared" si="56"/>
        <v/>
      </c>
      <c r="AH241" s="469" t="str">
        <f t="shared" si="57"/>
        <v/>
      </c>
      <c r="AI241" s="469" t="str">
        <f>IF($AF241=0,0,IFERROR(($L241+$AF241)/(HLOOKUP($D241,RentsUA!$K$12:$Q$35,19,FALSE)),""))</f>
        <v/>
      </c>
      <c r="AJ241" s="469" t="str">
        <f>IF($AF241=0,0,IFERROR(($AF241+K241+L241)/(HLOOKUP($D241,RentsUA!$K$12:$Q$35,19,FALSE)),""))</f>
        <v/>
      </c>
      <c r="AK241" s="469" t="str">
        <f t="shared" si="60"/>
        <v/>
      </c>
      <c r="AL241" s="469" t="str">
        <f t="shared" si="61"/>
        <v/>
      </c>
      <c r="AM241" s="1106" t="str">
        <f t="shared" si="62"/>
        <v/>
      </c>
      <c r="AN241" s="1106" t="str">
        <f>IFERROR(AM241*(1+'7a.20YrDetails'!$F$9),"")</f>
        <v/>
      </c>
      <c r="AO241" s="1106" t="str">
        <f>IFERROR(AN241*(1+'7a.20YrDetails'!$F$9),"")</f>
        <v/>
      </c>
      <c r="AP241" s="1106" t="str">
        <f>IFERROR(AO241*(1+'7a.20YrDetails'!$F$9),"")</f>
        <v/>
      </c>
      <c r="AQ241" s="1106" t="str">
        <f>IFERROR(AP241*(1+'7a.20YrDetails'!$F$9),"")</f>
        <v/>
      </c>
      <c r="AR241" s="674"/>
      <c r="AS241" s="672"/>
      <c r="AT241" s="1732" t="str">
        <f>IF($AF241=0,0,IFERROR(($AF241+L241)/(HLOOKUP($D241,RentsUA!$B$61:$H$62,2,FALSE)),""))</f>
        <v/>
      </c>
      <c r="AU241" s="1733" t="str">
        <f>IFERROR(G241/HLOOKUP(H241,RentsUA!$B$40:$I$41,2),"")</f>
        <v/>
      </c>
      <c r="BR241" s="404" t="str">
        <f t="shared" si="63"/>
        <v/>
      </c>
      <c r="BT241" s="404" t="str">
        <f t="shared" si="58"/>
        <v/>
      </c>
    </row>
    <row r="242" spans="1:72" s="404" customFormat="1" ht="13.2">
      <c r="A242" s="406">
        <f t="shared" si="64"/>
        <v>230</v>
      </c>
      <c r="B242" s="472"/>
      <c r="C242" s="470"/>
      <c r="D242" s="407"/>
      <c r="E242" s="407"/>
      <c r="F242" s="408"/>
      <c r="G242" s="409"/>
      <c r="H242" s="407"/>
      <c r="I242" s="1029" t="str">
        <f>IFERROR(G242/HLOOKUP(H242,RentsUA!$B$8:$J$9,2),"")</f>
        <v/>
      </c>
      <c r="J242" s="407"/>
      <c r="K242" s="412"/>
      <c r="L242" s="672">
        <f t="shared" si="53"/>
        <v>0</v>
      </c>
      <c r="M242" s="671"/>
      <c r="N242" s="410">
        <f t="shared" si="54"/>
        <v>0</v>
      </c>
      <c r="O242" s="469" t="str">
        <f>IF($M242=0,"",IFERROR(($L242+$M242)/(HLOOKUP($D242,RentsUA!$K$12:$Q$35,19,FALSE)),""))</f>
        <v/>
      </c>
      <c r="P242" s="469" t="str">
        <f>IF($M242=0,"",IFERROR(($M242+K242+L242)/(HLOOKUP($D242,RentsUA!$K$12:$Q$35,19,FALSE)),""))</f>
        <v/>
      </c>
      <c r="Q242" s="411"/>
      <c r="R242" s="673" t="str">
        <f>IF($Q242=0,"",VLOOKUP($Q242,RentsUA!$A$12:$H$35,MATCH($D242,RentsUA!$A$12:$H$12,0),FALSE))</f>
        <v/>
      </c>
      <c r="S242" s="409"/>
      <c r="T242" s="674"/>
      <c r="U242" s="672"/>
      <c r="V242" s="673" t="str">
        <f t="shared" si="59"/>
        <v/>
      </c>
      <c r="W242" s="470"/>
      <c r="X242" s="411"/>
      <c r="Y242" s="410" t="str">
        <f>IF(X242=0,"",VLOOKUP($X242,RentsUA!$A$12:$H$35,MATCH($D242,RentsUA!$A$12:$H$12,0),FALSE))</f>
        <v/>
      </c>
      <c r="Z242" s="410" t="str">
        <f t="shared" si="55"/>
        <v/>
      </c>
      <c r="AA242" s="1297" t="str">
        <f>IF(H242="","",IF(G242/HLOOKUP($H242,RentsUA!$M$8:$T$9,2,FALSE)&gt;1,"&gt; 80%","&lt;= 80%"))</f>
        <v/>
      </c>
      <c r="AB242" s="1106"/>
      <c r="AC242" s="1106"/>
      <c r="AD242" s="622"/>
      <c r="AE242" s="412"/>
      <c r="AF242" s="807" t="str">
        <f>IF(AD242="","",IF(AD242=Lists!$U$3,M242,IF(AD242=Lists!$U$4,V242,IF(AD242=Lists!$U$5,Y242-L242,AE242))))</f>
        <v/>
      </c>
      <c r="AG242" s="410" t="str">
        <f t="shared" si="56"/>
        <v/>
      </c>
      <c r="AH242" s="469" t="str">
        <f t="shared" si="57"/>
        <v/>
      </c>
      <c r="AI242" s="469" t="str">
        <f>IF($AF242=0,0,IFERROR(($L242+$AF242)/(HLOOKUP($D242,RentsUA!$K$12:$Q$35,19,FALSE)),""))</f>
        <v/>
      </c>
      <c r="AJ242" s="469" t="str">
        <f>IF($AF242=0,0,IFERROR(($AF242+K242+L242)/(HLOOKUP($D242,RentsUA!$K$12:$Q$35,19,FALSE)),""))</f>
        <v/>
      </c>
      <c r="AK242" s="469" t="str">
        <f t="shared" si="60"/>
        <v/>
      </c>
      <c r="AL242" s="469" t="str">
        <f t="shared" si="61"/>
        <v/>
      </c>
      <c r="AM242" s="1106" t="str">
        <f t="shared" si="62"/>
        <v/>
      </c>
      <c r="AN242" s="1106" t="str">
        <f>IFERROR(AM242*(1+'7a.20YrDetails'!$F$9),"")</f>
        <v/>
      </c>
      <c r="AO242" s="1106" t="str">
        <f>IFERROR(AN242*(1+'7a.20YrDetails'!$F$9),"")</f>
        <v/>
      </c>
      <c r="AP242" s="1106" t="str">
        <f>IFERROR(AO242*(1+'7a.20YrDetails'!$F$9),"")</f>
        <v/>
      </c>
      <c r="AQ242" s="1106" t="str">
        <f>IFERROR(AP242*(1+'7a.20YrDetails'!$F$9),"")</f>
        <v/>
      </c>
      <c r="AR242" s="674"/>
      <c r="AS242" s="672"/>
      <c r="AT242" s="1732" t="str">
        <f>IF($AF242=0,0,IFERROR(($AF242+L242)/(HLOOKUP($D242,RentsUA!$B$61:$H$62,2,FALSE)),""))</f>
        <v/>
      </c>
      <c r="AU242" s="1733" t="str">
        <f>IFERROR(G242/HLOOKUP(H242,RentsUA!$B$40:$I$41,2),"")</f>
        <v/>
      </c>
      <c r="BR242" s="404" t="str">
        <f t="shared" si="63"/>
        <v/>
      </c>
      <c r="BT242" s="404" t="str">
        <f t="shared" si="58"/>
        <v/>
      </c>
    </row>
    <row r="243" spans="1:72" s="404" customFormat="1" ht="13.2">
      <c r="A243" s="406">
        <f t="shared" si="64"/>
        <v>231</v>
      </c>
      <c r="B243" s="472"/>
      <c r="C243" s="470"/>
      <c r="D243" s="407"/>
      <c r="E243" s="407"/>
      <c r="F243" s="408"/>
      <c r="G243" s="409"/>
      <c r="H243" s="407"/>
      <c r="I243" s="1029" t="str">
        <f>IFERROR(G243/HLOOKUP(H243,RentsUA!$B$8:$J$9,2),"")</f>
        <v/>
      </c>
      <c r="J243" s="407"/>
      <c r="K243" s="412"/>
      <c r="L243" s="672">
        <f t="shared" si="53"/>
        <v>0</v>
      </c>
      <c r="M243" s="671"/>
      <c r="N243" s="410">
        <f t="shared" si="54"/>
        <v>0</v>
      </c>
      <c r="O243" s="469" t="str">
        <f>IF($M243=0,"",IFERROR(($L243+$M243)/(HLOOKUP($D243,RentsUA!$K$12:$Q$35,19,FALSE)),""))</f>
        <v/>
      </c>
      <c r="P243" s="469" t="str">
        <f>IF($M243=0,"",IFERROR(($M243+K243+L243)/(HLOOKUP($D243,RentsUA!$K$12:$Q$35,19,FALSE)),""))</f>
        <v/>
      </c>
      <c r="Q243" s="411"/>
      <c r="R243" s="673" t="str">
        <f>IF($Q243=0,"",VLOOKUP($Q243,RentsUA!$A$12:$H$35,MATCH($D243,RentsUA!$A$12:$H$12,0),FALSE))</f>
        <v/>
      </c>
      <c r="S243" s="409"/>
      <c r="T243" s="674"/>
      <c r="U243" s="672"/>
      <c r="V243" s="673" t="str">
        <f t="shared" si="59"/>
        <v/>
      </c>
      <c r="W243" s="470"/>
      <c r="X243" s="411"/>
      <c r="Y243" s="410" t="str">
        <f>IF(X243=0,"",VLOOKUP($X243,RentsUA!$A$12:$H$35,MATCH($D243,RentsUA!$A$12:$H$12,0),FALSE))</f>
        <v/>
      </c>
      <c r="Z243" s="410" t="str">
        <f t="shared" si="55"/>
        <v/>
      </c>
      <c r="AA243" s="1297" t="str">
        <f>IF(H243="","",IF(G243/HLOOKUP($H243,RentsUA!$M$8:$T$9,2,FALSE)&gt;1,"&gt; 80%","&lt;= 80%"))</f>
        <v/>
      </c>
      <c r="AB243" s="1106"/>
      <c r="AC243" s="1106"/>
      <c r="AD243" s="622"/>
      <c r="AE243" s="412"/>
      <c r="AF243" s="807" t="str">
        <f>IF(AD243="","",IF(AD243=Lists!$U$3,M243,IF(AD243=Lists!$U$4,V243,IF(AD243=Lists!$U$5,Y243-L243,AE243))))</f>
        <v/>
      </c>
      <c r="AG243" s="410" t="str">
        <f t="shared" si="56"/>
        <v/>
      </c>
      <c r="AH243" s="469" t="str">
        <f t="shared" si="57"/>
        <v/>
      </c>
      <c r="AI243" s="469" t="str">
        <f>IF($AF243=0,0,IFERROR(($L243+$AF243)/(HLOOKUP($D243,RentsUA!$K$12:$Q$35,19,FALSE)),""))</f>
        <v/>
      </c>
      <c r="AJ243" s="469" t="str">
        <f>IF($AF243=0,0,IFERROR(($AF243+K243+L243)/(HLOOKUP($D243,RentsUA!$K$12:$Q$35,19,FALSE)),""))</f>
        <v/>
      </c>
      <c r="AK243" s="469" t="str">
        <f t="shared" si="60"/>
        <v/>
      </c>
      <c r="AL243" s="469" t="str">
        <f t="shared" si="61"/>
        <v/>
      </c>
      <c r="AM243" s="1106" t="str">
        <f t="shared" si="62"/>
        <v/>
      </c>
      <c r="AN243" s="1106" t="str">
        <f>IFERROR(AM243*(1+'7a.20YrDetails'!$F$9),"")</f>
        <v/>
      </c>
      <c r="AO243" s="1106" t="str">
        <f>IFERROR(AN243*(1+'7a.20YrDetails'!$F$9),"")</f>
        <v/>
      </c>
      <c r="AP243" s="1106" t="str">
        <f>IFERROR(AO243*(1+'7a.20YrDetails'!$F$9),"")</f>
        <v/>
      </c>
      <c r="AQ243" s="1106" t="str">
        <f>IFERROR(AP243*(1+'7a.20YrDetails'!$F$9),"")</f>
        <v/>
      </c>
      <c r="AR243" s="674"/>
      <c r="AS243" s="672"/>
      <c r="AT243" s="1732" t="str">
        <f>IF($AF243=0,0,IFERROR(($AF243+L243)/(HLOOKUP($D243,RentsUA!$B$61:$H$62,2,FALSE)),""))</f>
        <v/>
      </c>
      <c r="AU243" s="1733" t="str">
        <f>IFERROR(G243/HLOOKUP(H243,RentsUA!$B$40:$I$41,2),"")</f>
        <v/>
      </c>
      <c r="BR243" s="404" t="str">
        <f t="shared" si="63"/>
        <v/>
      </c>
      <c r="BT243" s="404" t="str">
        <f t="shared" si="58"/>
        <v/>
      </c>
    </row>
    <row r="244" spans="1:72" s="404" customFormat="1" ht="13.2">
      <c r="A244" s="406">
        <f t="shared" si="64"/>
        <v>232</v>
      </c>
      <c r="B244" s="472"/>
      <c r="C244" s="470"/>
      <c r="D244" s="407"/>
      <c r="E244" s="407"/>
      <c r="F244" s="408"/>
      <c r="G244" s="409"/>
      <c r="H244" s="407"/>
      <c r="I244" s="1029" t="str">
        <f>IFERROR(G244/HLOOKUP(H244,RentsUA!$B$8:$J$9,2),"")</f>
        <v/>
      </c>
      <c r="J244" s="407"/>
      <c r="K244" s="412"/>
      <c r="L244" s="672">
        <f t="shared" si="53"/>
        <v>0</v>
      </c>
      <c r="M244" s="671"/>
      <c r="N244" s="410">
        <f t="shared" si="54"/>
        <v>0</v>
      </c>
      <c r="O244" s="469" t="str">
        <f>IF($M244=0,"",IFERROR(($L244+$M244)/(HLOOKUP($D244,RentsUA!$K$12:$Q$35,19,FALSE)),""))</f>
        <v/>
      </c>
      <c r="P244" s="469" t="str">
        <f>IF($M244=0,"",IFERROR(($M244+K244+L244)/(HLOOKUP($D244,RentsUA!$K$12:$Q$35,19,FALSE)),""))</f>
        <v/>
      </c>
      <c r="Q244" s="411"/>
      <c r="R244" s="673" t="str">
        <f>IF($Q244=0,"",VLOOKUP($Q244,RentsUA!$A$12:$H$35,MATCH($D244,RentsUA!$A$12:$H$12,0),FALSE))</f>
        <v/>
      </c>
      <c r="S244" s="409"/>
      <c r="T244" s="674"/>
      <c r="U244" s="672"/>
      <c r="V244" s="673" t="str">
        <f t="shared" si="59"/>
        <v/>
      </c>
      <c r="W244" s="470"/>
      <c r="X244" s="411"/>
      <c r="Y244" s="410" t="str">
        <f>IF(X244=0,"",VLOOKUP($X244,RentsUA!$A$12:$H$35,MATCH($D244,RentsUA!$A$12:$H$12,0),FALSE))</f>
        <v/>
      </c>
      <c r="Z244" s="410" t="str">
        <f t="shared" si="55"/>
        <v/>
      </c>
      <c r="AA244" s="1297" t="str">
        <f>IF(H244="","",IF(G244/HLOOKUP($H244,RentsUA!$M$8:$T$9,2,FALSE)&gt;1,"&gt; 80%","&lt;= 80%"))</f>
        <v/>
      </c>
      <c r="AB244" s="1106"/>
      <c r="AC244" s="1106"/>
      <c r="AD244" s="622"/>
      <c r="AE244" s="412"/>
      <c r="AF244" s="807" t="str">
        <f>IF(AD244="","",IF(AD244=Lists!$U$3,M244,IF(AD244=Lists!$U$4,V244,IF(AD244=Lists!$U$5,Y244-L244,AE244))))</f>
        <v/>
      </c>
      <c r="AG244" s="410" t="str">
        <f t="shared" si="56"/>
        <v/>
      </c>
      <c r="AH244" s="469" t="str">
        <f t="shared" si="57"/>
        <v/>
      </c>
      <c r="AI244" s="469" t="str">
        <f>IF($AF244=0,0,IFERROR(($L244+$AF244)/(HLOOKUP($D244,RentsUA!$K$12:$Q$35,19,FALSE)),""))</f>
        <v/>
      </c>
      <c r="AJ244" s="469" t="str">
        <f>IF($AF244=0,0,IFERROR(($AF244+K244+L244)/(HLOOKUP($D244,RentsUA!$K$12:$Q$35,19,FALSE)),""))</f>
        <v/>
      </c>
      <c r="AK244" s="469" t="str">
        <f t="shared" si="60"/>
        <v/>
      </c>
      <c r="AL244" s="469" t="str">
        <f t="shared" si="61"/>
        <v/>
      </c>
      <c r="AM244" s="1106" t="str">
        <f t="shared" si="62"/>
        <v/>
      </c>
      <c r="AN244" s="1106" t="str">
        <f>IFERROR(AM244*(1+'7a.20YrDetails'!$F$9),"")</f>
        <v/>
      </c>
      <c r="AO244" s="1106" t="str">
        <f>IFERROR(AN244*(1+'7a.20YrDetails'!$F$9),"")</f>
        <v/>
      </c>
      <c r="AP244" s="1106" t="str">
        <f>IFERROR(AO244*(1+'7a.20YrDetails'!$F$9),"")</f>
        <v/>
      </c>
      <c r="AQ244" s="1106" t="str">
        <f>IFERROR(AP244*(1+'7a.20YrDetails'!$F$9),"")</f>
        <v/>
      </c>
      <c r="AR244" s="674"/>
      <c r="AS244" s="672"/>
      <c r="AT244" s="1732" t="str">
        <f>IF($AF244=0,0,IFERROR(($AF244+L244)/(HLOOKUP($D244,RentsUA!$B$61:$H$62,2,FALSE)),""))</f>
        <v/>
      </c>
      <c r="AU244" s="1733" t="str">
        <f>IFERROR(G244/HLOOKUP(H244,RentsUA!$B$40:$I$41,2),"")</f>
        <v/>
      </c>
      <c r="BR244" s="404" t="str">
        <f t="shared" si="63"/>
        <v/>
      </c>
      <c r="BT244" s="404" t="str">
        <f t="shared" si="58"/>
        <v/>
      </c>
    </row>
    <row r="245" spans="1:72" s="404" customFormat="1" ht="13.2">
      <c r="A245" s="406">
        <f t="shared" si="64"/>
        <v>233</v>
      </c>
      <c r="B245" s="472"/>
      <c r="C245" s="470"/>
      <c r="D245" s="407"/>
      <c r="E245" s="407"/>
      <c r="F245" s="408"/>
      <c r="G245" s="409"/>
      <c r="H245" s="407"/>
      <c r="I245" s="1029" t="str">
        <f>IFERROR(G245/HLOOKUP(H245,RentsUA!$B$8:$J$9,2),"")</f>
        <v/>
      </c>
      <c r="J245" s="407"/>
      <c r="K245" s="412"/>
      <c r="L245" s="672">
        <f t="shared" si="53"/>
        <v>0</v>
      </c>
      <c r="M245" s="671"/>
      <c r="N245" s="410">
        <f t="shared" si="54"/>
        <v>0</v>
      </c>
      <c r="O245" s="469" t="str">
        <f>IF($M245=0,"",IFERROR(($L245+$M245)/(HLOOKUP($D245,RentsUA!$K$12:$Q$35,19,FALSE)),""))</f>
        <v/>
      </c>
      <c r="P245" s="469" t="str">
        <f>IF($M245=0,"",IFERROR(($M245+K245+L245)/(HLOOKUP($D245,RentsUA!$K$12:$Q$35,19,FALSE)),""))</f>
        <v/>
      </c>
      <c r="Q245" s="411"/>
      <c r="R245" s="673" t="str">
        <f>IF($Q245=0,"",VLOOKUP($Q245,RentsUA!$A$12:$H$35,MATCH($D245,RentsUA!$A$12:$H$12,0),FALSE))</f>
        <v/>
      </c>
      <c r="S245" s="409"/>
      <c r="T245" s="674"/>
      <c r="U245" s="672"/>
      <c r="V245" s="673" t="str">
        <f t="shared" si="59"/>
        <v/>
      </c>
      <c r="W245" s="470"/>
      <c r="X245" s="411"/>
      <c r="Y245" s="410" t="str">
        <f>IF(X245=0,"",VLOOKUP($X245,RentsUA!$A$12:$H$35,MATCH($D245,RentsUA!$A$12:$H$12,0),FALSE))</f>
        <v/>
      </c>
      <c r="Z245" s="410" t="str">
        <f t="shared" si="55"/>
        <v/>
      </c>
      <c r="AA245" s="1297" t="str">
        <f>IF(H245="","",IF(G245/HLOOKUP($H245,RentsUA!$M$8:$T$9,2,FALSE)&gt;1,"&gt; 80%","&lt;= 80%"))</f>
        <v/>
      </c>
      <c r="AB245" s="1106"/>
      <c r="AC245" s="1106"/>
      <c r="AD245" s="622"/>
      <c r="AE245" s="412"/>
      <c r="AF245" s="807" t="str">
        <f>IF(AD245="","",IF(AD245=Lists!$U$3,M245,IF(AD245=Lists!$U$4,V245,IF(AD245=Lists!$U$5,Y245-L245,AE245))))</f>
        <v/>
      </c>
      <c r="AG245" s="410" t="str">
        <f t="shared" si="56"/>
        <v/>
      </c>
      <c r="AH245" s="469" t="str">
        <f t="shared" si="57"/>
        <v/>
      </c>
      <c r="AI245" s="469" t="str">
        <f>IF($AF245=0,0,IFERROR(($L245+$AF245)/(HLOOKUP($D245,RentsUA!$K$12:$Q$35,19,FALSE)),""))</f>
        <v/>
      </c>
      <c r="AJ245" s="469" t="str">
        <f>IF($AF245=0,0,IFERROR(($AF245+K245+L245)/(HLOOKUP($D245,RentsUA!$K$12:$Q$35,19,FALSE)),""))</f>
        <v/>
      </c>
      <c r="AK245" s="469" t="str">
        <f t="shared" si="60"/>
        <v/>
      </c>
      <c r="AL245" s="469" t="str">
        <f t="shared" si="61"/>
        <v/>
      </c>
      <c r="AM245" s="1106" t="str">
        <f t="shared" si="62"/>
        <v/>
      </c>
      <c r="AN245" s="1106" t="str">
        <f>IFERROR(AM245*(1+'7a.20YrDetails'!$F$9),"")</f>
        <v/>
      </c>
      <c r="AO245" s="1106" t="str">
        <f>IFERROR(AN245*(1+'7a.20YrDetails'!$F$9),"")</f>
        <v/>
      </c>
      <c r="AP245" s="1106" t="str">
        <f>IFERROR(AO245*(1+'7a.20YrDetails'!$F$9),"")</f>
        <v/>
      </c>
      <c r="AQ245" s="1106" t="str">
        <f>IFERROR(AP245*(1+'7a.20YrDetails'!$F$9),"")</f>
        <v/>
      </c>
      <c r="AR245" s="674"/>
      <c r="AS245" s="672"/>
      <c r="AT245" s="1732" t="str">
        <f>IF($AF245=0,0,IFERROR(($AF245+L245)/(HLOOKUP($D245,RentsUA!$B$61:$H$62,2,FALSE)),""))</f>
        <v/>
      </c>
      <c r="AU245" s="1733" t="str">
        <f>IFERROR(G245/HLOOKUP(H245,RentsUA!$B$40:$I$41,2),"")</f>
        <v/>
      </c>
      <c r="BR245" s="404" t="str">
        <f t="shared" si="63"/>
        <v/>
      </c>
      <c r="BT245" s="404" t="str">
        <f t="shared" si="58"/>
        <v/>
      </c>
    </row>
    <row r="246" spans="1:72" s="404" customFormat="1" ht="13.2">
      <c r="A246" s="406">
        <f t="shared" si="64"/>
        <v>234</v>
      </c>
      <c r="B246" s="472"/>
      <c r="C246" s="470"/>
      <c r="D246" s="407"/>
      <c r="E246" s="407"/>
      <c r="F246" s="408"/>
      <c r="G246" s="409"/>
      <c r="H246" s="407"/>
      <c r="I246" s="1029" t="str">
        <f>IFERROR(G246/HLOOKUP(H246,RentsUA!$B$8:$J$9,2),"")</f>
        <v/>
      </c>
      <c r="J246" s="407"/>
      <c r="K246" s="412"/>
      <c r="L246" s="672">
        <f t="shared" si="53"/>
        <v>0</v>
      </c>
      <c r="M246" s="671"/>
      <c r="N246" s="410">
        <f t="shared" si="54"/>
        <v>0</v>
      </c>
      <c r="O246" s="469" t="str">
        <f>IF($M246=0,"",IFERROR(($L246+$M246)/(HLOOKUP($D246,RentsUA!$K$12:$Q$35,19,FALSE)),""))</f>
        <v/>
      </c>
      <c r="P246" s="469" t="str">
        <f>IF($M246=0,"",IFERROR(($M246+K246+L246)/(HLOOKUP($D246,RentsUA!$K$12:$Q$35,19,FALSE)),""))</f>
        <v/>
      </c>
      <c r="Q246" s="411"/>
      <c r="R246" s="673" t="str">
        <f>IF($Q246=0,"",VLOOKUP($Q246,RentsUA!$A$12:$H$35,MATCH($D246,RentsUA!$A$12:$H$12,0),FALSE))</f>
        <v/>
      </c>
      <c r="S246" s="409"/>
      <c r="T246" s="674"/>
      <c r="U246" s="672"/>
      <c r="V246" s="673" t="str">
        <f t="shared" si="59"/>
        <v/>
      </c>
      <c r="W246" s="470"/>
      <c r="X246" s="411"/>
      <c r="Y246" s="410" t="str">
        <f>IF(X246=0,"",VLOOKUP($X246,RentsUA!$A$12:$H$35,MATCH($D246,RentsUA!$A$12:$H$12,0),FALSE))</f>
        <v/>
      </c>
      <c r="Z246" s="410" t="str">
        <f t="shared" si="55"/>
        <v/>
      </c>
      <c r="AA246" s="1297" t="str">
        <f>IF(H246="","",IF(G246/HLOOKUP($H246,RentsUA!$M$8:$T$9,2,FALSE)&gt;1,"&gt; 80%","&lt;= 80%"))</f>
        <v/>
      </c>
      <c r="AB246" s="1106"/>
      <c r="AC246" s="1106"/>
      <c r="AD246" s="622"/>
      <c r="AE246" s="412"/>
      <c r="AF246" s="807" t="str">
        <f>IF(AD246="","",IF(AD246=Lists!$U$3,M246,IF(AD246=Lists!$U$4,V246,IF(AD246=Lists!$U$5,Y246-L246,AE246))))</f>
        <v/>
      </c>
      <c r="AG246" s="410" t="str">
        <f t="shared" si="56"/>
        <v/>
      </c>
      <c r="AH246" s="469" t="str">
        <f t="shared" si="57"/>
        <v/>
      </c>
      <c r="AI246" s="469" t="str">
        <f>IF($AF246=0,0,IFERROR(($L246+$AF246)/(HLOOKUP($D246,RentsUA!$K$12:$Q$35,19,FALSE)),""))</f>
        <v/>
      </c>
      <c r="AJ246" s="469" t="str">
        <f>IF($AF246=0,0,IFERROR(($AF246+K246+L246)/(HLOOKUP($D246,RentsUA!$K$12:$Q$35,19,FALSE)),""))</f>
        <v/>
      </c>
      <c r="AK246" s="469" t="str">
        <f t="shared" si="60"/>
        <v/>
      </c>
      <c r="AL246" s="469" t="str">
        <f t="shared" si="61"/>
        <v/>
      </c>
      <c r="AM246" s="1106" t="str">
        <f t="shared" si="62"/>
        <v/>
      </c>
      <c r="AN246" s="1106" t="str">
        <f>IFERROR(AM246*(1+'7a.20YrDetails'!$F$9),"")</f>
        <v/>
      </c>
      <c r="AO246" s="1106" t="str">
        <f>IFERROR(AN246*(1+'7a.20YrDetails'!$F$9),"")</f>
        <v/>
      </c>
      <c r="AP246" s="1106" t="str">
        <f>IFERROR(AO246*(1+'7a.20YrDetails'!$F$9),"")</f>
        <v/>
      </c>
      <c r="AQ246" s="1106" t="str">
        <f>IFERROR(AP246*(1+'7a.20YrDetails'!$F$9),"")</f>
        <v/>
      </c>
      <c r="AR246" s="674"/>
      <c r="AS246" s="672"/>
      <c r="AT246" s="1732" t="str">
        <f>IF($AF246=0,0,IFERROR(($AF246+L246)/(HLOOKUP($D246,RentsUA!$B$61:$H$62,2,FALSE)),""))</f>
        <v/>
      </c>
      <c r="AU246" s="1733" t="str">
        <f>IFERROR(G246/HLOOKUP(H246,RentsUA!$B$40:$I$41,2),"")</f>
        <v/>
      </c>
      <c r="BR246" s="404" t="str">
        <f t="shared" si="63"/>
        <v/>
      </c>
      <c r="BT246" s="404" t="str">
        <f t="shared" si="58"/>
        <v/>
      </c>
    </row>
    <row r="247" spans="1:72" s="404" customFormat="1" ht="13.2">
      <c r="A247" s="406">
        <f t="shared" si="64"/>
        <v>235</v>
      </c>
      <c r="B247" s="472"/>
      <c r="C247" s="470"/>
      <c r="D247" s="407"/>
      <c r="E247" s="407"/>
      <c r="F247" s="408"/>
      <c r="G247" s="409"/>
      <c r="H247" s="407"/>
      <c r="I247" s="1029" t="str">
        <f>IFERROR(G247/HLOOKUP(H247,RentsUA!$B$8:$J$9,2),"")</f>
        <v/>
      </c>
      <c r="J247" s="407"/>
      <c r="K247" s="412"/>
      <c r="L247" s="672">
        <f t="shared" si="53"/>
        <v>0</v>
      </c>
      <c r="M247" s="671"/>
      <c r="N247" s="410">
        <f t="shared" si="54"/>
        <v>0</v>
      </c>
      <c r="O247" s="469" t="str">
        <f>IF($M247=0,"",IFERROR(($L247+$M247)/(HLOOKUP($D247,RentsUA!$K$12:$Q$35,19,FALSE)),""))</f>
        <v/>
      </c>
      <c r="P247" s="469" t="str">
        <f>IF($M247=0,"",IFERROR(($M247+K247+L247)/(HLOOKUP($D247,RentsUA!$K$12:$Q$35,19,FALSE)),""))</f>
        <v/>
      </c>
      <c r="Q247" s="411"/>
      <c r="R247" s="673" t="str">
        <f>IF($Q247=0,"",VLOOKUP($Q247,RentsUA!$A$12:$H$35,MATCH($D247,RentsUA!$A$12:$H$12,0),FALSE))</f>
        <v/>
      </c>
      <c r="S247" s="409"/>
      <c r="T247" s="674"/>
      <c r="U247" s="672"/>
      <c r="V247" s="673" t="str">
        <f t="shared" si="59"/>
        <v/>
      </c>
      <c r="W247" s="470"/>
      <c r="X247" s="411"/>
      <c r="Y247" s="410" t="str">
        <f>IF(X247=0,"",VLOOKUP($X247,RentsUA!$A$12:$H$35,MATCH($D247,RentsUA!$A$12:$H$12,0),FALSE))</f>
        <v/>
      </c>
      <c r="Z247" s="410" t="str">
        <f t="shared" si="55"/>
        <v/>
      </c>
      <c r="AA247" s="1297" t="str">
        <f>IF(H247="","",IF(G247/HLOOKUP($H247,RentsUA!$M$8:$T$9,2,FALSE)&gt;1,"&gt; 80%","&lt;= 80%"))</f>
        <v/>
      </c>
      <c r="AB247" s="1106"/>
      <c r="AC247" s="1106"/>
      <c r="AD247" s="622"/>
      <c r="AE247" s="412"/>
      <c r="AF247" s="807" t="str">
        <f>IF(AD247="","",IF(AD247=Lists!$U$3,M247,IF(AD247=Lists!$U$4,V247,IF(AD247=Lists!$U$5,Y247-L247,AE247))))</f>
        <v/>
      </c>
      <c r="AG247" s="410" t="str">
        <f t="shared" si="56"/>
        <v/>
      </c>
      <c r="AH247" s="469" t="str">
        <f t="shared" si="57"/>
        <v/>
      </c>
      <c r="AI247" s="469" t="str">
        <f>IF($AF247=0,0,IFERROR(($L247+$AF247)/(HLOOKUP($D247,RentsUA!$K$12:$Q$35,19,FALSE)),""))</f>
        <v/>
      </c>
      <c r="AJ247" s="469" t="str">
        <f>IF($AF247=0,0,IFERROR(($AF247+K247+L247)/(HLOOKUP($D247,RentsUA!$K$12:$Q$35,19,FALSE)),""))</f>
        <v/>
      </c>
      <c r="AK247" s="469" t="str">
        <f t="shared" si="60"/>
        <v/>
      </c>
      <c r="AL247" s="469" t="str">
        <f t="shared" si="61"/>
        <v/>
      </c>
      <c r="AM247" s="1106" t="str">
        <f t="shared" si="62"/>
        <v/>
      </c>
      <c r="AN247" s="1106" t="str">
        <f>IFERROR(AM247*(1+'7a.20YrDetails'!$F$9),"")</f>
        <v/>
      </c>
      <c r="AO247" s="1106" t="str">
        <f>IFERROR(AN247*(1+'7a.20YrDetails'!$F$9),"")</f>
        <v/>
      </c>
      <c r="AP247" s="1106" t="str">
        <f>IFERROR(AO247*(1+'7a.20YrDetails'!$F$9),"")</f>
        <v/>
      </c>
      <c r="AQ247" s="1106" t="str">
        <f>IFERROR(AP247*(1+'7a.20YrDetails'!$F$9),"")</f>
        <v/>
      </c>
      <c r="AR247" s="674"/>
      <c r="AS247" s="672"/>
      <c r="AT247" s="1732" t="str">
        <f>IF($AF247=0,0,IFERROR(($AF247+L247)/(HLOOKUP($D247,RentsUA!$B$61:$H$62,2,FALSE)),""))</f>
        <v/>
      </c>
      <c r="AU247" s="1733" t="str">
        <f>IFERROR(G247/HLOOKUP(H247,RentsUA!$B$40:$I$41,2),"")</f>
        <v/>
      </c>
      <c r="BR247" s="404" t="str">
        <f t="shared" si="63"/>
        <v/>
      </c>
      <c r="BT247" s="404" t="str">
        <f t="shared" si="58"/>
        <v/>
      </c>
    </row>
    <row r="248" spans="1:72" s="404" customFormat="1" ht="13.2">
      <c r="A248" s="406">
        <f t="shared" si="64"/>
        <v>236</v>
      </c>
      <c r="B248" s="472"/>
      <c r="C248" s="470"/>
      <c r="D248" s="407"/>
      <c r="E248" s="407"/>
      <c r="F248" s="408"/>
      <c r="G248" s="409"/>
      <c r="H248" s="407"/>
      <c r="I248" s="1029" t="str">
        <f>IFERROR(G248/HLOOKUP(H248,RentsUA!$B$8:$J$9,2),"")</f>
        <v/>
      </c>
      <c r="J248" s="407"/>
      <c r="K248" s="412"/>
      <c r="L248" s="672">
        <f t="shared" si="53"/>
        <v>0</v>
      </c>
      <c r="M248" s="671"/>
      <c r="N248" s="410">
        <f t="shared" si="54"/>
        <v>0</v>
      </c>
      <c r="O248" s="469" t="str">
        <f>IF($M248=0,"",IFERROR(($L248+$M248)/(HLOOKUP($D248,RentsUA!$K$12:$Q$35,19,FALSE)),""))</f>
        <v/>
      </c>
      <c r="P248" s="469" t="str">
        <f>IF($M248=0,"",IFERROR(($M248+K248+L248)/(HLOOKUP($D248,RentsUA!$K$12:$Q$35,19,FALSE)),""))</f>
        <v/>
      </c>
      <c r="Q248" s="411"/>
      <c r="R248" s="673" t="str">
        <f>IF($Q248=0,"",VLOOKUP($Q248,RentsUA!$A$12:$H$35,MATCH($D248,RentsUA!$A$12:$H$12,0),FALSE))</f>
        <v/>
      </c>
      <c r="S248" s="409"/>
      <c r="T248" s="674"/>
      <c r="U248" s="672"/>
      <c r="V248" s="673" t="str">
        <f t="shared" si="59"/>
        <v/>
      </c>
      <c r="W248" s="470"/>
      <c r="X248" s="411"/>
      <c r="Y248" s="410" t="str">
        <f>IF(X248=0,"",VLOOKUP($X248,RentsUA!$A$12:$H$35,MATCH($D248,RentsUA!$A$12:$H$12,0),FALSE))</f>
        <v/>
      </c>
      <c r="Z248" s="410" t="str">
        <f t="shared" si="55"/>
        <v/>
      </c>
      <c r="AA248" s="1297" t="str">
        <f>IF(H248="","",IF(G248/HLOOKUP($H248,RentsUA!$M$8:$T$9,2,FALSE)&gt;1,"&gt; 80%","&lt;= 80%"))</f>
        <v/>
      </c>
      <c r="AB248" s="1106"/>
      <c r="AC248" s="1106"/>
      <c r="AD248" s="622"/>
      <c r="AE248" s="412"/>
      <c r="AF248" s="807" t="str">
        <f>IF(AD248="","",IF(AD248=Lists!$U$3,M248,IF(AD248=Lists!$U$4,V248,IF(AD248=Lists!$U$5,Y248-L248,AE248))))</f>
        <v/>
      </c>
      <c r="AG248" s="410" t="str">
        <f t="shared" si="56"/>
        <v/>
      </c>
      <c r="AH248" s="469" t="str">
        <f t="shared" si="57"/>
        <v/>
      </c>
      <c r="AI248" s="469" t="str">
        <f>IF($AF248=0,0,IFERROR(($L248+$AF248)/(HLOOKUP($D248,RentsUA!$K$12:$Q$35,19,FALSE)),""))</f>
        <v/>
      </c>
      <c r="AJ248" s="469" t="str">
        <f>IF($AF248=0,0,IFERROR(($AF248+K248+L248)/(HLOOKUP($D248,RentsUA!$K$12:$Q$35,19,FALSE)),""))</f>
        <v/>
      </c>
      <c r="AK248" s="469" t="str">
        <f t="shared" si="60"/>
        <v/>
      </c>
      <c r="AL248" s="469" t="str">
        <f t="shared" si="61"/>
        <v/>
      </c>
      <c r="AM248" s="1106" t="str">
        <f t="shared" si="62"/>
        <v/>
      </c>
      <c r="AN248" s="1106" t="str">
        <f>IFERROR(AM248*(1+'7a.20YrDetails'!$F$9),"")</f>
        <v/>
      </c>
      <c r="AO248" s="1106" t="str">
        <f>IFERROR(AN248*(1+'7a.20YrDetails'!$F$9),"")</f>
        <v/>
      </c>
      <c r="AP248" s="1106" t="str">
        <f>IFERROR(AO248*(1+'7a.20YrDetails'!$F$9),"")</f>
        <v/>
      </c>
      <c r="AQ248" s="1106" t="str">
        <f>IFERROR(AP248*(1+'7a.20YrDetails'!$F$9),"")</f>
        <v/>
      </c>
      <c r="AR248" s="674"/>
      <c r="AS248" s="672"/>
      <c r="AT248" s="1732" t="str">
        <f>IF($AF248=0,0,IFERROR(($AF248+L248)/(HLOOKUP($D248,RentsUA!$B$61:$H$62,2,FALSE)),""))</f>
        <v/>
      </c>
      <c r="AU248" s="1733" t="str">
        <f>IFERROR(G248/HLOOKUP(H248,RentsUA!$B$40:$I$41,2),"")</f>
        <v/>
      </c>
      <c r="BR248" s="404" t="str">
        <f t="shared" si="63"/>
        <v/>
      </c>
      <c r="BT248" s="404" t="str">
        <f t="shared" si="58"/>
        <v/>
      </c>
    </row>
    <row r="249" spans="1:72" s="404" customFormat="1" ht="13.2">
      <c r="A249" s="406">
        <f t="shared" si="64"/>
        <v>237</v>
      </c>
      <c r="B249" s="472"/>
      <c r="C249" s="470"/>
      <c r="D249" s="407"/>
      <c r="E249" s="407"/>
      <c r="F249" s="408"/>
      <c r="G249" s="409"/>
      <c r="H249" s="407"/>
      <c r="I249" s="1029" t="str">
        <f>IFERROR(G249/HLOOKUP(H249,RentsUA!$B$8:$J$9,2),"")</f>
        <v/>
      </c>
      <c r="J249" s="407"/>
      <c r="K249" s="412"/>
      <c r="L249" s="672">
        <f t="shared" si="53"/>
        <v>0</v>
      </c>
      <c r="M249" s="671"/>
      <c r="N249" s="410">
        <f t="shared" si="54"/>
        <v>0</v>
      </c>
      <c r="O249" s="469" t="str">
        <f>IF($M249=0,"",IFERROR(($L249+$M249)/(HLOOKUP($D249,RentsUA!$K$12:$Q$35,19,FALSE)),""))</f>
        <v/>
      </c>
      <c r="P249" s="469" t="str">
        <f>IF($M249=0,"",IFERROR(($M249+K249+L249)/(HLOOKUP($D249,RentsUA!$K$12:$Q$35,19,FALSE)),""))</f>
        <v/>
      </c>
      <c r="Q249" s="411"/>
      <c r="R249" s="673" t="str">
        <f>IF($Q249=0,"",VLOOKUP($Q249,RentsUA!$A$12:$H$35,MATCH($D249,RentsUA!$A$12:$H$12,0),FALSE))</f>
        <v/>
      </c>
      <c r="S249" s="409"/>
      <c r="T249" s="674"/>
      <c r="U249" s="672"/>
      <c r="V249" s="673" t="str">
        <f t="shared" si="59"/>
        <v/>
      </c>
      <c r="W249" s="470"/>
      <c r="X249" s="411"/>
      <c r="Y249" s="410" t="str">
        <f>IF(X249=0,"",VLOOKUP($X249,RentsUA!$A$12:$H$35,MATCH($D249,RentsUA!$A$12:$H$12,0),FALSE))</f>
        <v/>
      </c>
      <c r="Z249" s="410" t="str">
        <f t="shared" si="55"/>
        <v/>
      </c>
      <c r="AA249" s="1297" t="str">
        <f>IF(H249="","",IF(G249/HLOOKUP($H249,RentsUA!$M$8:$T$9,2,FALSE)&gt;1,"&gt; 80%","&lt;= 80%"))</f>
        <v/>
      </c>
      <c r="AB249" s="1106"/>
      <c r="AC249" s="1106"/>
      <c r="AD249" s="622"/>
      <c r="AE249" s="412"/>
      <c r="AF249" s="807" t="str">
        <f>IF(AD249="","",IF(AD249=Lists!$U$3,M249,IF(AD249=Lists!$U$4,V249,IF(AD249=Lists!$U$5,Y249-L249,AE249))))</f>
        <v/>
      </c>
      <c r="AG249" s="410" t="str">
        <f t="shared" si="56"/>
        <v/>
      </c>
      <c r="AH249" s="469" t="str">
        <f t="shared" si="57"/>
        <v/>
      </c>
      <c r="AI249" s="469" t="str">
        <f>IF($AF249=0,0,IFERROR(($L249+$AF249)/(HLOOKUP($D249,RentsUA!$K$12:$Q$35,19,FALSE)),""))</f>
        <v/>
      </c>
      <c r="AJ249" s="469" t="str">
        <f>IF($AF249=0,0,IFERROR(($AF249+K249+L249)/(HLOOKUP($D249,RentsUA!$K$12:$Q$35,19,FALSE)),""))</f>
        <v/>
      </c>
      <c r="AK249" s="469" t="str">
        <f t="shared" si="60"/>
        <v/>
      </c>
      <c r="AL249" s="469" t="str">
        <f t="shared" si="61"/>
        <v/>
      </c>
      <c r="AM249" s="1106" t="str">
        <f t="shared" si="62"/>
        <v/>
      </c>
      <c r="AN249" s="1106" t="str">
        <f>IFERROR(AM249*(1+'7a.20YrDetails'!$F$9),"")</f>
        <v/>
      </c>
      <c r="AO249" s="1106" t="str">
        <f>IFERROR(AN249*(1+'7a.20YrDetails'!$F$9),"")</f>
        <v/>
      </c>
      <c r="AP249" s="1106" t="str">
        <f>IFERROR(AO249*(1+'7a.20YrDetails'!$F$9),"")</f>
        <v/>
      </c>
      <c r="AQ249" s="1106" t="str">
        <f>IFERROR(AP249*(1+'7a.20YrDetails'!$F$9),"")</f>
        <v/>
      </c>
      <c r="AR249" s="674"/>
      <c r="AS249" s="672"/>
      <c r="AT249" s="1732" t="str">
        <f>IF($AF249=0,0,IFERROR(($AF249+L249)/(HLOOKUP($D249,RentsUA!$B$61:$H$62,2,FALSE)),""))</f>
        <v/>
      </c>
      <c r="AU249" s="1733" t="str">
        <f>IFERROR(G249/HLOOKUP(H249,RentsUA!$B$40:$I$41,2),"")</f>
        <v/>
      </c>
      <c r="BR249" s="404" t="str">
        <f t="shared" si="63"/>
        <v/>
      </c>
      <c r="BT249" s="404" t="str">
        <f t="shared" si="58"/>
        <v/>
      </c>
    </row>
    <row r="250" spans="1:72" s="404" customFormat="1" ht="13.2">
      <c r="A250" s="406">
        <f t="shared" si="64"/>
        <v>238</v>
      </c>
      <c r="B250" s="472"/>
      <c r="C250" s="470"/>
      <c r="D250" s="407"/>
      <c r="E250" s="407"/>
      <c r="F250" s="408"/>
      <c r="G250" s="409"/>
      <c r="H250" s="407"/>
      <c r="I250" s="1029" t="str">
        <f>IFERROR(G250/HLOOKUP(H250,RentsUA!$B$8:$J$9,2),"")</f>
        <v/>
      </c>
      <c r="J250" s="407"/>
      <c r="K250" s="412"/>
      <c r="L250" s="672">
        <f t="shared" si="53"/>
        <v>0</v>
      </c>
      <c r="M250" s="671"/>
      <c r="N250" s="410">
        <f t="shared" si="54"/>
        <v>0</v>
      </c>
      <c r="O250" s="469" t="str">
        <f>IF($M250=0,"",IFERROR(($L250+$M250)/(HLOOKUP($D250,RentsUA!$K$12:$Q$35,19,FALSE)),""))</f>
        <v/>
      </c>
      <c r="P250" s="469" t="str">
        <f>IF($M250=0,"",IFERROR(($M250+K250+L250)/(HLOOKUP($D250,RentsUA!$K$12:$Q$35,19,FALSE)),""))</f>
        <v/>
      </c>
      <c r="Q250" s="411"/>
      <c r="R250" s="673" t="str">
        <f>IF($Q250=0,"",VLOOKUP($Q250,RentsUA!$A$12:$H$35,MATCH($D250,RentsUA!$A$12:$H$12,0),FALSE))</f>
        <v/>
      </c>
      <c r="S250" s="409"/>
      <c r="T250" s="674"/>
      <c r="U250" s="672"/>
      <c r="V250" s="673" t="str">
        <f t="shared" si="59"/>
        <v/>
      </c>
      <c r="W250" s="470"/>
      <c r="X250" s="411"/>
      <c r="Y250" s="410" t="str">
        <f>IF(X250=0,"",VLOOKUP($X250,RentsUA!$A$12:$H$35,MATCH($D250,RentsUA!$A$12:$H$12,0),FALSE))</f>
        <v/>
      </c>
      <c r="Z250" s="410" t="str">
        <f t="shared" si="55"/>
        <v/>
      </c>
      <c r="AA250" s="1297" t="str">
        <f>IF(H250="","",IF(G250/HLOOKUP($H250,RentsUA!$M$8:$T$9,2,FALSE)&gt;1,"&gt; 80%","&lt;= 80%"))</f>
        <v/>
      </c>
      <c r="AB250" s="1106"/>
      <c r="AC250" s="1106"/>
      <c r="AD250" s="622"/>
      <c r="AE250" s="412"/>
      <c r="AF250" s="807" t="str">
        <f>IF(AD250="","",IF(AD250=Lists!$U$3,M250,IF(AD250=Lists!$U$4,V250,IF(AD250=Lists!$U$5,Y250-L250,AE250))))</f>
        <v/>
      </c>
      <c r="AG250" s="410" t="str">
        <f t="shared" si="56"/>
        <v/>
      </c>
      <c r="AH250" s="469" t="str">
        <f t="shared" si="57"/>
        <v/>
      </c>
      <c r="AI250" s="469" t="str">
        <f>IF($AF250=0,0,IFERROR(($L250+$AF250)/(HLOOKUP($D250,RentsUA!$K$12:$Q$35,19,FALSE)),""))</f>
        <v/>
      </c>
      <c r="AJ250" s="469" t="str">
        <f>IF($AF250=0,0,IFERROR(($AF250+K250+L250)/(HLOOKUP($D250,RentsUA!$K$12:$Q$35,19,FALSE)),""))</f>
        <v/>
      </c>
      <c r="AK250" s="469" t="str">
        <f t="shared" si="60"/>
        <v/>
      </c>
      <c r="AL250" s="469" t="str">
        <f t="shared" si="61"/>
        <v/>
      </c>
      <c r="AM250" s="1106" t="str">
        <f t="shared" si="62"/>
        <v/>
      </c>
      <c r="AN250" s="1106" t="str">
        <f>IFERROR(AM250*(1+'7a.20YrDetails'!$F$9),"")</f>
        <v/>
      </c>
      <c r="AO250" s="1106" t="str">
        <f>IFERROR(AN250*(1+'7a.20YrDetails'!$F$9),"")</f>
        <v/>
      </c>
      <c r="AP250" s="1106" t="str">
        <f>IFERROR(AO250*(1+'7a.20YrDetails'!$F$9),"")</f>
        <v/>
      </c>
      <c r="AQ250" s="1106" t="str">
        <f>IFERROR(AP250*(1+'7a.20YrDetails'!$F$9),"")</f>
        <v/>
      </c>
      <c r="AR250" s="674"/>
      <c r="AS250" s="672"/>
      <c r="AT250" s="1732" t="str">
        <f>IF($AF250=0,0,IFERROR(($AF250+L250)/(HLOOKUP($D250,RentsUA!$B$61:$H$62,2,FALSE)),""))</f>
        <v/>
      </c>
      <c r="AU250" s="1733" t="str">
        <f>IFERROR(G250/HLOOKUP(H250,RentsUA!$B$40:$I$41,2),"")</f>
        <v/>
      </c>
      <c r="BR250" s="404" t="str">
        <f t="shared" si="63"/>
        <v/>
      </c>
      <c r="BT250" s="404" t="str">
        <f t="shared" si="58"/>
        <v/>
      </c>
    </row>
    <row r="251" spans="1:72" s="404" customFormat="1" ht="13.2">
      <c r="A251" s="406">
        <f t="shared" si="64"/>
        <v>239</v>
      </c>
      <c r="B251" s="472"/>
      <c r="C251" s="470"/>
      <c r="D251" s="407"/>
      <c r="E251" s="407"/>
      <c r="F251" s="408"/>
      <c r="G251" s="409"/>
      <c r="H251" s="407"/>
      <c r="I251" s="1029" t="str">
        <f>IFERROR(G251/HLOOKUP(H251,RentsUA!$B$8:$J$9,2),"")</f>
        <v/>
      </c>
      <c r="J251" s="407"/>
      <c r="K251" s="412"/>
      <c r="L251" s="672">
        <f t="shared" si="53"/>
        <v>0</v>
      </c>
      <c r="M251" s="671"/>
      <c r="N251" s="410">
        <f t="shared" si="54"/>
        <v>0</v>
      </c>
      <c r="O251" s="469" t="str">
        <f>IF($M251=0,"",IFERROR(($L251+$M251)/(HLOOKUP($D251,RentsUA!$K$12:$Q$35,19,FALSE)),""))</f>
        <v/>
      </c>
      <c r="P251" s="469" t="str">
        <f>IF($M251=0,"",IFERROR(($M251+K251+L251)/(HLOOKUP($D251,RentsUA!$K$12:$Q$35,19,FALSE)),""))</f>
        <v/>
      </c>
      <c r="Q251" s="411"/>
      <c r="R251" s="673" t="str">
        <f>IF($Q251=0,"",VLOOKUP($Q251,RentsUA!$A$12:$H$35,MATCH($D251,RentsUA!$A$12:$H$12,0),FALSE))</f>
        <v/>
      </c>
      <c r="S251" s="409"/>
      <c r="T251" s="674"/>
      <c r="U251" s="672"/>
      <c r="V251" s="673" t="str">
        <f t="shared" si="59"/>
        <v/>
      </c>
      <c r="W251" s="470"/>
      <c r="X251" s="411"/>
      <c r="Y251" s="410" t="str">
        <f>IF(X251=0,"",VLOOKUP($X251,RentsUA!$A$12:$H$35,MATCH($D251,RentsUA!$A$12:$H$12,0),FALSE))</f>
        <v/>
      </c>
      <c r="Z251" s="410" t="str">
        <f t="shared" si="55"/>
        <v/>
      </c>
      <c r="AA251" s="1297" t="str">
        <f>IF(H251="","",IF(G251/HLOOKUP($H251,RentsUA!$M$8:$T$9,2,FALSE)&gt;1,"&gt; 80%","&lt;= 80%"))</f>
        <v/>
      </c>
      <c r="AB251" s="1106"/>
      <c r="AC251" s="1106"/>
      <c r="AD251" s="622"/>
      <c r="AE251" s="412"/>
      <c r="AF251" s="807" t="str">
        <f>IF(AD251="","",IF(AD251=Lists!$U$3,M251,IF(AD251=Lists!$U$4,V251,IF(AD251=Lists!$U$5,Y251-L251,AE251))))</f>
        <v/>
      </c>
      <c r="AG251" s="410" t="str">
        <f t="shared" si="56"/>
        <v/>
      </c>
      <c r="AH251" s="469" t="str">
        <f t="shared" si="57"/>
        <v/>
      </c>
      <c r="AI251" s="469" t="str">
        <f>IF($AF251=0,0,IFERROR(($L251+$AF251)/(HLOOKUP($D251,RentsUA!$K$12:$Q$35,19,FALSE)),""))</f>
        <v/>
      </c>
      <c r="AJ251" s="469" t="str">
        <f>IF($AF251=0,0,IFERROR(($AF251+K251+L251)/(HLOOKUP($D251,RentsUA!$K$12:$Q$35,19,FALSE)),""))</f>
        <v/>
      </c>
      <c r="AK251" s="469" t="str">
        <f t="shared" si="60"/>
        <v/>
      </c>
      <c r="AL251" s="469" t="str">
        <f t="shared" si="61"/>
        <v/>
      </c>
      <c r="AM251" s="1106" t="str">
        <f t="shared" si="62"/>
        <v/>
      </c>
      <c r="AN251" s="1106" t="str">
        <f>IFERROR(AM251*(1+'7a.20YrDetails'!$F$9),"")</f>
        <v/>
      </c>
      <c r="AO251" s="1106" t="str">
        <f>IFERROR(AN251*(1+'7a.20YrDetails'!$F$9),"")</f>
        <v/>
      </c>
      <c r="AP251" s="1106" t="str">
        <f>IFERROR(AO251*(1+'7a.20YrDetails'!$F$9),"")</f>
        <v/>
      </c>
      <c r="AQ251" s="1106" t="str">
        <f>IFERROR(AP251*(1+'7a.20YrDetails'!$F$9),"")</f>
        <v/>
      </c>
      <c r="AR251" s="674"/>
      <c r="AS251" s="672"/>
      <c r="AT251" s="1732" t="str">
        <f>IF($AF251=0,0,IFERROR(($AF251+L251)/(HLOOKUP($D251,RentsUA!$B$61:$H$62,2,FALSE)),""))</f>
        <v/>
      </c>
      <c r="AU251" s="1733" t="str">
        <f>IFERROR(G251/HLOOKUP(H251,RentsUA!$B$40:$I$41,2),"")</f>
        <v/>
      </c>
      <c r="BR251" s="404" t="str">
        <f t="shared" si="63"/>
        <v/>
      </c>
      <c r="BT251" s="404" t="str">
        <f t="shared" si="58"/>
        <v/>
      </c>
    </row>
    <row r="252" spans="1:72" s="404" customFormat="1" ht="13.2">
      <c r="A252" s="406">
        <f t="shared" si="64"/>
        <v>240</v>
      </c>
      <c r="B252" s="472"/>
      <c r="C252" s="470"/>
      <c r="D252" s="407"/>
      <c r="E252" s="407"/>
      <c r="F252" s="408"/>
      <c r="G252" s="409"/>
      <c r="H252" s="407"/>
      <c r="I252" s="1029" t="str">
        <f>IFERROR(G252/HLOOKUP(H252,RentsUA!$B$8:$J$9,2),"")</f>
        <v/>
      </c>
      <c r="J252" s="407"/>
      <c r="K252" s="412"/>
      <c r="L252" s="672">
        <f t="shared" si="53"/>
        <v>0</v>
      </c>
      <c r="M252" s="671"/>
      <c r="N252" s="410">
        <f t="shared" si="54"/>
        <v>0</v>
      </c>
      <c r="O252" s="469" t="str">
        <f>IF($M252=0,"",IFERROR(($L252+$M252)/(HLOOKUP($D252,RentsUA!$K$12:$Q$35,19,FALSE)),""))</f>
        <v/>
      </c>
      <c r="P252" s="469" t="str">
        <f>IF($M252=0,"",IFERROR(($M252+K252+L252)/(HLOOKUP($D252,RentsUA!$K$12:$Q$35,19,FALSE)),""))</f>
        <v/>
      </c>
      <c r="Q252" s="411"/>
      <c r="R252" s="673" t="str">
        <f>IF($Q252=0,"",VLOOKUP($Q252,RentsUA!$A$12:$H$35,MATCH($D252,RentsUA!$A$12:$H$12,0),FALSE))</f>
        <v/>
      </c>
      <c r="S252" s="409"/>
      <c r="T252" s="674"/>
      <c r="U252" s="672"/>
      <c r="V252" s="673" t="str">
        <f t="shared" si="59"/>
        <v/>
      </c>
      <c r="W252" s="470"/>
      <c r="X252" s="411"/>
      <c r="Y252" s="410" t="str">
        <f>IF(X252=0,"",VLOOKUP($X252,RentsUA!$A$12:$H$35,MATCH($D252,RentsUA!$A$12:$H$12,0),FALSE))</f>
        <v/>
      </c>
      <c r="Z252" s="410" t="str">
        <f t="shared" si="55"/>
        <v/>
      </c>
      <c r="AA252" s="1297" t="str">
        <f>IF(H252="","",IF(G252/HLOOKUP($H252,RentsUA!$M$8:$T$9,2,FALSE)&gt;1,"&gt; 80%","&lt;= 80%"))</f>
        <v/>
      </c>
      <c r="AB252" s="1106"/>
      <c r="AC252" s="1106"/>
      <c r="AD252" s="622"/>
      <c r="AE252" s="412"/>
      <c r="AF252" s="807" t="str">
        <f>IF(AD252="","",IF(AD252=Lists!$U$3,M252,IF(AD252=Lists!$U$4,V252,IF(AD252=Lists!$U$5,Y252-L252,AE252))))</f>
        <v/>
      </c>
      <c r="AG252" s="410" t="str">
        <f t="shared" si="56"/>
        <v/>
      </c>
      <c r="AH252" s="469" t="str">
        <f t="shared" si="57"/>
        <v/>
      </c>
      <c r="AI252" s="469" t="str">
        <f>IF($AF252=0,0,IFERROR(($L252+$AF252)/(HLOOKUP($D252,RentsUA!$K$12:$Q$35,19,FALSE)),""))</f>
        <v/>
      </c>
      <c r="AJ252" s="469" t="str">
        <f>IF($AF252=0,0,IFERROR(($AF252+K252+L252)/(HLOOKUP($D252,RentsUA!$K$12:$Q$35,19,FALSE)),""))</f>
        <v/>
      </c>
      <c r="AK252" s="469" t="str">
        <f t="shared" si="60"/>
        <v/>
      </c>
      <c r="AL252" s="469" t="str">
        <f t="shared" si="61"/>
        <v/>
      </c>
      <c r="AM252" s="1106" t="str">
        <f t="shared" si="62"/>
        <v/>
      </c>
      <c r="AN252" s="1106" t="str">
        <f>IFERROR(AM252*(1+'7a.20YrDetails'!$F$9),"")</f>
        <v/>
      </c>
      <c r="AO252" s="1106" t="str">
        <f>IFERROR(AN252*(1+'7a.20YrDetails'!$F$9),"")</f>
        <v/>
      </c>
      <c r="AP252" s="1106" t="str">
        <f>IFERROR(AO252*(1+'7a.20YrDetails'!$F$9),"")</f>
        <v/>
      </c>
      <c r="AQ252" s="1106" t="str">
        <f>IFERROR(AP252*(1+'7a.20YrDetails'!$F$9),"")</f>
        <v/>
      </c>
      <c r="AR252" s="674"/>
      <c r="AS252" s="672"/>
      <c r="AT252" s="1732" t="str">
        <f>IF($AF252=0,0,IFERROR(($AF252+L252)/(HLOOKUP($D252,RentsUA!$B$61:$H$62,2,FALSE)),""))</f>
        <v/>
      </c>
      <c r="AU252" s="1733" t="str">
        <f>IFERROR(G252/HLOOKUP(H252,RentsUA!$B$40:$I$41,2),"")</f>
        <v/>
      </c>
      <c r="BR252" s="404" t="str">
        <f t="shared" si="63"/>
        <v/>
      </c>
      <c r="BT252" s="404" t="str">
        <f t="shared" si="58"/>
        <v/>
      </c>
    </row>
    <row r="253" spans="1:72" s="404" customFormat="1" ht="13.2">
      <c r="A253" s="406">
        <f t="shared" si="64"/>
        <v>241</v>
      </c>
      <c r="B253" s="472"/>
      <c r="C253" s="470"/>
      <c r="D253" s="407"/>
      <c r="E253" s="407"/>
      <c r="F253" s="408"/>
      <c r="G253" s="409"/>
      <c r="H253" s="407"/>
      <c r="I253" s="1029" t="str">
        <f>IFERROR(G253/HLOOKUP(H253,RentsUA!$B$8:$J$9,2),"")</f>
        <v/>
      </c>
      <c r="J253" s="407"/>
      <c r="K253" s="412"/>
      <c r="L253" s="672">
        <f t="shared" si="53"/>
        <v>0</v>
      </c>
      <c r="M253" s="671"/>
      <c r="N253" s="410">
        <f t="shared" si="54"/>
        <v>0</v>
      </c>
      <c r="O253" s="469" t="str">
        <f>IF($M253=0,"",IFERROR(($L253+$M253)/(HLOOKUP($D253,RentsUA!$K$12:$Q$35,19,FALSE)),""))</f>
        <v/>
      </c>
      <c r="P253" s="469" t="str">
        <f>IF($M253=0,"",IFERROR(($M253+K253+L253)/(HLOOKUP($D253,RentsUA!$K$12:$Q$35,19,FALSE)),""))</f>
        <v/>
      </c>
      <c r="Q253" s="411"/>
      <c r="R253" s="673" t="str">
        <f>IF($Q253=0,"",VLOOKUP($Q253,RentsUA!$A$12:$H$35,MATCH($D253,RentsUA!$A$12:$H$12,0),FALSE))</f>
        <v/>
      </c>
      <c r="S253" s="409"/>
      <c r="T253" s="674"/>
      <c r="U253" s="672"/>
      <c r="V253" s="673" t="str">
        <f t="shared" si="59"/>
        <v/>
      </c>
      <c r="W253" s="470"/>
      <c r="X253" s="411"/>
      <c r="Y253" s="410" t="str">
        <f>IF(X253=0,"",VLOOKUP($X253,RentsUA!$A$12:$H$35,MATCH($D253,RentsUA!$A$12:$H$12,0),FALSE))</f>
        <v/>
      </c>
      <c r="Z253" s="410" t="str">
        <f t="shared" si="55"/>
        <v/>
      </c>
      <c r="AA253" s="1297" t="str">
        <f>IF(H253="","",IF(G253/HLOOKUP($H253,RentsUA!$M$8:$T$9,2,FALSE)&gt;1,"&gt; 80%","&lt;= 80%"))</f>
        <v/>
      </c>
      <c r="AB253" s="1106"/>
      <c r="AC253" s="1106"/>
      <c r="AD253" s="622"/>
      <c r="AE253" s="412"/>
      <c r="AF253" s="807" t="str">
        <f>IF(AD253="","",IF(AD253=Lists!$U$3,M253,IF(AD253=Lists!$U$4,V253,IF(AD253=Lists!$U$5,Y253-L253,AE253))))</f>
        <v/>
      </c>
      <c r="AG253" s="410" t="str">
        <f t="shared" si="56"/>
        <v/>
      </c>
      <c r="AH253" s="469" t="str">
        <f t="shared" si="57"/>
        <v/>
      </c>
      <c r="AI253" s="469" t="str">
        <f>IF($AF253=0,0,IFERROR(($L253+$AF253)/(HLOOKUP($D253,RentsUA!$K$12:$Q$35,19,FALSE)),""))</f>
        <v/>
      </c>
      <c r="AJ253" s="469" t="str">
        <f>IF($AF253=0,0,IFERROR(($AF253+K253+L253)/(HLOOKUP($D253,RentsUA!$K$12:$Q$35,19,FALSE)),""))</f>
        <v/>
      </c>
      <c r="AK253" s="469" t="str">
        <f t="shared" si="60"/>
        <v/>
      </c>
      <c r="AL253" s="469" t="str">
        <f t="shared" si="61"/>
        <v/>
      </c>
      <c r="AM253" s="1106" t="str">
        <f t="shared" si="62"/>
        <v/>
      </c>
      <c r="AN253" s="1106" t="str">
        <f>IFERROR(AM253*(1+'7a.20YrDetails'!$F$9),"")</f>
        <v/>
      </c>
      <c r="AO253" s="1106" t="str">
        <f>IFERROR(AN253*(1+'7a.20YrDetails'!$F$9),"")</f>
        <v/>
      </c>
      <c r="AP253" s="1106" t="str">
        <f>IFERROR(AO253*(1+'7a.20YrDetails'!$F$9),"")</f>
        <v/>
      </c>
      <c r="AQ253" s="1106" t="str">
        <f>IFERROR(AP253*(1+'7a.20YrDetails'!$F$9),"")</f>
        <v/>
      </c>
      <c r="AR253" s="674"/>
      <c r="AS253" s="672"/>
      <c r="AT253" s="1732" t="str">
        <f>IF($AF253=0,0,IFERROR(($AF253+L253)/(HLOOKUP($D253,RentsUA!$B$61:$H$62,2,FALSE)),""))</f>
        <v/>
      </c>
      <c r="AU253" s="1733" t="str">
        <f>IFERROR(G253/HLOOKUP(H253,RentsUA!$B$40:$I$41,2),"")</f>
        <v/>
      </c>
      <c r="BR253" s="404" t="str">
        <f t="shared" si="63"/>
        <v/>
      </c>
      <c r="BT253" s="404" t="str">
        <f t="shared" si="58"/>
        <v/>
      </c>
    </row>
    <row r="254" spans="1:72" s="404" customFormat="1" ht="13.2">
      <c r="A254" s="406">
        <f t="shared" si="64"/>
        <v>242</v>
      </c>
      <c r="B254" s="472"/>
      <c r="C254" s="470"/>
      <c r="D254" s="407"/>
      <c r="E254" s="407"/>
      <c r="F254" s="408"/>
      <c r="G254" s="409"/>
      <c r="H254" s="407"/>
      <c r="I254" s="1029" t="str">
        <f>IFERROR(G254/HLOOKUP(H254,RentsUA!$B$8:$J$9,2),"")</f>
        <v/>
      </c>
      <c r="J254" s="407"/>
      <c r="K254" s="412"/>
      <c r="L254" s="672">
        <f t="shared" si="53"/>
        <v>0</v>
      </c>
      <c r="M254" s="671"/>
      <c r="N254" s="410">
        <f t="shared" si="54"/>
        <v>0</v>
      </c>
      <c r="O254" s="469" t="str">
        <f>IF($M254=0,"",IFERROR(($L254+$M254)/(HLOOKUP($D254,RentsUA!$K$12:$Q$35,19,FALSE)),""))</f>
        <v/>
      </c>
      <c r="P254" s="469" t="str">
        <f>IF($M254=0,"",IFERROR(($M254+K254+L254)/(HLOOKUP($D254,RentsUA!$K$12:$Q$35,19,FALSE)),""))</f>
        <v/>
      </c>
      <c r="Q254" s="411"/>
      <c r="R254" s="673" t="str">
        <f>IF($Q254=0,"",VLOOKUP($Q254,RentsUA!$A$12:$H$35,MATCH($D254,RentsUA!$A$12:$H$12,0),FALSE))</f>
        <v/>
      </c>
      <c r="S254" s="409"/>
      <c r="T254" s="674"/>
      <c r="U254" s="672"/>
      <c r="V254" s="673" t="str">
        <f t="shared" si="59"/>
        <v/>
      </c>
      <c r="W254" s="470"/>
      <c r="X254" s="411"/>
      <c r="Y254" s="410" t="str">
        <f>IF(X254=0,"",VLOOKUP($X254,RentsUA!$A$12:$H$35,MATCH($D254,RentsUA!$A$12:$H$12,0),FALSE))</f>
        <v/>
      </c>
      <c r="Z254" s="410" t="str">
        <f t="shared" si="55"/>
        <v/>
      </c>
      <c r="AA254" s="1297" t="str">
        <f>IF(H254="","",IF(G254/HLOOKUP($H254,RentsUA!$M$8:$T$9,2,FALSE)&gt;1,"&gt; 80%","&lt;= 80%"))</f>
        <v/>
      </c>
      <c r="AB254" s="1106"/>
      <c r="AC254" s="1106"/>
      <c r="AD254" s="622"/>
      <c r="AE254" s="412"/>
      <c r="AF254" s="807" t="str">
        <f>IF(AD254="","",IF(AD254=Lists!$U$3,M254,IF(AD254=Lists!$U$4,V254,IF(AD254=Lists!$U$5,Y254-L254,AE254))))</f>
        <v/>
      </c>
      <c r="AG254" s="410" t="str">
        <f t="shared" si="56"/>
        <v/>
      </c>
      <c r="AH254" s="469" t="str">
        <f t="shared" si="57"/>
        <v/>
      </c>
      <c r="AI254" s="469" t="str">
        <f>IF($AF254=0,0,IFERROR(($L254+$AF254)/(HLOOKUP($D254,RentsUA!$K$12:$Q$35,19,FALSE)),""))</f>
        <v/>
      </c>
      <c r="AJ254" s="469" t="str">
        <f>IF($AF254=0,0,IFERROR(($AF254+K254+L254)/(HLOOKUP($D254,RentsUA!$K$12:$Q$35,19,FALSE)),""))</f>
        <v/>
      </c>
      <c r="AK254" s="469" t="str">
        <f t="shared" si="60"/>
        <v/>
      </c>
      <c r="AL254" s="469" t="str">
        <f t="shared" si="61"/>
        <v/>
      </c>
      <c r="AM254" s="1106" t="str">
        <f t="shared" si="62"/>
        <v/>
      </c>
      <c r="AN254" s="1106" t="str">
        <f>IFERROR(AM254*(1+'7a.20YrDetails'!$F$9),"")</f>
        <v/>
      </c>
      <c r="AO254" s="1106" t="str">
        <f>IFERROR(AN254*(1+'7a.20YrDetails'!$F$9),"")</f>
        <v/>
      </c>
      <c r="AP254" s="1106" t="str">
        <f>IFERROR(AO254*(1+'7a.20YrDetails'!$F$9),"")</f>
        <v/>
      </c>
      <c r="AQ254" s="1106" t="str">
        <f>IFERROR(AP254*(1+'7a.20YrDetails'!$F$9),"")</f>
        <v/>
      </c>
      <c r="AR254" s="674"/>
      <c r="AS254" s="672"/>
      <c r="AT254" s="1732" t="str">
        <f>IF($AF254=0,0,IFERROR(($AF254+L254)/(HLOOKUP($D254,RentsUA!$B$61:$H$62,2,FALSE)),""))</f>
        <v/>
      </c>
      <c r="AU254" s="1733" t="str">
        <f>IFERROR(G254/HLOOKUP(H254,RentsUA!$B$40:$I$41,2),"")</f>
        <v/>
      </c>
      <c r="BR254" s="404" t="str">
        <f t="shared" si="63"/>
        <v/>
      </c>
      <c r="BT254" s="404" t="str">
        <f t="shared" si="58"/>
        <v/>
      </c>
    </row>
    <row r="255" spans="1:72" s="404" customFormat="1" ht="13.2">
      <c r="A255" s="406">
        <f t="shared" si="64"/>
        <v>243</v>
      </c>
      <c r="B255" s="472"/>
      <c r="C255" s="470"/>
      <c r="D255" s="407"/>
      <c r="E255" s="407"/>
      <c r="F255" s="408"/>
      <c r="G255" s="409"/>
      <c r="H255" s="407"/>
      <c r="I255" s="1029" t="str">
        <f>IFERROR(G255/HLOOKUP(H255,RentsUA!$B$8:$J$9,2),"")</f>
        <v/>
      </c>
      <c r="J255" s="407"/>
      <c r="K255" s="412"/>
      <c r="L255" s="672">
        <f t="shared" si="53"/>
        <v>0</v>
      </c>
      <c r="M255" s="671"/>
      <c r="N255" s="410">
        <f t="shared" si="54"/>
        <v>0</v>
      </c>
      <c r="O255" s="469" t="str">
        <f>IF($M255=0,"",IFERROR(($L255+$M255)/(HLOOKUP($D255,RentsUA!$K$12:$Q$35,19,FALSE)),""))</f>
        <v/>
      </c>
      <c r="P255" s="469" t="str">
        <f>IF($M255=0,"",IFERROR(($M255+K255+L255)/(HLOOKUP($D255,RentsUA!$K$12:$Q$35,19,FALSE)),""))</f>
        <v/>
      </c>
      <c r="Q255" s="411"/>
      <c r="R255" s="673" t="str">
        <f>IF($Q255=0,"",VLOOKUP($Q255,RentsUA!$A$12:$H$35,MATCH($D255,RentsUA!$A$12:$H$12,0),FALSE))</f>
        <v/>
      </c>
      <c r="S255" s="409"/>
      <c r="T255" s="674"/>
      <c r="U255" s="672"/>
      <c r="V255" s="673" t="str">
        <f t="shared" si="59"/>
        <v/>
      </c>
      <c r="W255" s="470"/>
      <c r="X255" s="411"/>
      <c r="Y255" s="410" t="str">
        <f>IF(X255=0,"",VLOOKUP($X255,RentsUA!$A$12:$H$35,MATCH($D255,RentsUA!$A$12:$H$12,0),FALSE))</f>
        <v/>
      </c>
      <c r="Z255" s="410" t="str">
        <f t="shared" si="55"/>
        <v/>
      </c>
      <c r="AA255" s="1297" t="str">
        <f>IF(H255="","",IF(G255/HLOOKUP($H255,RentsUA!$M$8:$T$9,2,FALSE)&gt;1,"&gt; 80%","&lt;= 80%"))</f>
        <v/>
      </c>
      <c r="AB255" s="1106"/>
      <c r="AC255" s="1106"/>
      <c r="AD255" s="622"/>
      <c r="AE255" s="412"/>
      <c r="AF255" s="807" t="str">
        <f>IF(AD255="","",IF(AD255=Lists!$U$3,M255,IF(AD255=Lists!$U$4,V255,IF(AD255=Lists!$U$5,Y255-L255,AE255))))</f>
        <v/>
      </c>
      <c r="AG255" s="410" t="str">
        <f t="shared" si="56"/>
        <v/>
      </c>
      <c r="AH255" s="469" t="str">
        <f t="shared" si="57"/>
        <v/>
      </c>
      <c r="AI255" s="469" t="str">
        <f>IF($AF255=0,0,IFERROR(($L255+$AF255)/(HLOOKUP($D255,RentsUA!$K$12:$Q$35,19,FALSE)),""))</f>
        <v/>
      </c>
      <c r="AJ255" s="469" t="str">
        <f>IF($AF255=0,0,IFERROR(($AF255+K255+L255)/(HLOOKUP($D255,RentsUA!$K$12:$Q$35,19,FALSE)),""))</f>
        <v/>
      </c>
      <c r="AK255" s="469" t="str">
        <f t="shared" si="60"/>
        <v/>
      </c>
      <c r="AL255" s="469" t="str">
        <f t="shared" si="61"/>
        <v/>
      </c>
      <c r="AM255" s="1106" t="str">
        <f t="shared" si="62"/>
        <v/>
      </c>
      <c r="AN255" s="1106" t="str">
        <f>IFERROR(AM255*(1+'7a.20YrDetails'!$F$9),"")</f>
        <v/>
      </c>
      <c r="AO255" s="1106" t="str">
        <f>IFERROR(AN255*(1+'7a.20YrDetails'!$F$9),"")</f>
        <v/>
      </c>
      <c r="AP255" s="1106" t="str">
        <f>IFERROR(AO255*(1+'7a.20YrDetails'!$F$9),"")</f>
        <v/>
      </c>
      <c r="AQ255" s="1106" t="str">
        <f>IFERROR(AP255*(1+'7a.20YrDetails'!$F$9),"")</f>
        <v/>
      </c>
      <c r="AR255" s="674"/>
      <c r="AS255" s="672"/>
      <c r="AT255" s="1732" t="str">
        <f>IF($AF255=0,0,IFERROR(($AF255+L255)/(HLOOKUP($D255,RentsUA!$B$61:$H$62,2,FALSE)),""))</f>
        <v/>
      </c>
      <c r="AU255" s="1733" t="str">
        <f>IFERROR(G255/HLOOKUP(H255,RentsUA!$B$40:$I$41,2),"")</f>
        <v/>
      </c>
      <c r="BR255" s="404" t="str">
        <f t="shared" si="63"/>
        <v/>
      </c>
      <c r="BT255" s="404" t="str">
        <f t="shared" si="58"/>
        <v/>
      </c>
    </row>
    <row r="256" spans="1:72" s="404" customFormat="1" ht="13.2">
      <c r="A256" s="406">
        <f t="shared" si="64"/>
        <v>244</v>
      </c>
      <c r="B256" s="472"/>
      <c r="C256" s="470"/>
      <c r="D256" s="407"/>
      <c r="E256" s="407"/>
      <c r="F256" s="408"/>
      <c r="G256" s="409"/>
      <c r="H256" s="407"/>
      <c r="I256" s="1029" t="str">
        <f>IFERROR(G256/HLOOKUP(H256,RentsUA!$B$8:$J$9,2),"")</f>
        <v/>
      </c>
      <c r="J256" s="407"/>
      <c r="K256" s="412"/>
      <c r="L256" s="672">
        <f t="shared" si="53"/>
        <v>0</v>
      </c>
      <c r="M256" s="671"/>
      <c r="N256" s="410">
        <f t="shared" si="54"/>
        <v>0</v>
      </c>
      <c r="O256" s="469" t="str">
        <f>IF($M256=0,"",IFERROR(($L256+$M256)/(HLOOKUP($D256,RentsUA!$K$12:$Q$35,19,FALSE)),""))</f>
        <v/>
      </c>
      <c r="P256" s="469" t="str">
        <f>IF($M256=0,"",IFERROR(($M256+K256+L256)/(HLOOKUP($D256,RentsUA!$K$12:$Q$35,19,FALSE)),""))</f>
        <v/>
      </c>
      <c r="Q256" s="411"/>
      <c r="R256" s="673" t="str">
        <f>IF($Q256=0,"",VLOOKUP($Q256,RentsUA!$A$12:$H$35,MATCH($D256,RentsUA!$A$12:$H$12,0),FALSE))</f>
        <v/>
      </c>
      <c r="S256" s="409"/>
      <c r="T256" s="674"/>
      <c r="U256" s="672"/>
      <c r="V256" s="673" t="str">
        <f t="shared" si="59"/>
        <v/>
      </c>
      <c r="W256" s="470"/>
      <c r="X256" s="411"/>
      <c r="Y256" s="410" t="str">
        <f>IF(X256=0,"",VLOOKUP($X256,RentsUA!$A$12:$H$35,MATCH($D256,RentsUA!$A$12:$H$12,0),FALSE))</f>
        <v/>
      </c>
      <c r="Z256" s="410" t="str">
        <f t="shared" si="55"/>
        <v/>
      </c>
      <c r="AA256" s="1297" t="str">
        <f>IF(H256="","",IF(G256/HLOOKUP($H256,RentsUA!$M$8:$T$9,2,FALSE)&gt;1,"&gt; 80%","&lt;= 80%"))</f>
        <v/>
      </c>
      <c r="AB256" s="1106"/>
      <c r="AC256" s="1106"/>
      <c r="AD256" s="622"/>
      <c r="AE256" s="412"/>
      <c r="AF256" s="807" t="str">
        <f>IF(AD256="","",IF(AD256=Lists!$U$3,M256,IF(AD256=Lists!$U$4,V256,IF(AD256=Lists!$U$5,Y256-L256,AE256))))</f>
        <v/>
      </c>
      <c r="AG256" s="410" t="str">
        <f t="shared" si="56"/>
        <v/>
      </c>
      <c r="AH256" s="469" t="str">
        <f t="shared" si="57"/>
        <v/>
      </c>
      <c r="AI256" s="469" t="str">
        <f>IF($AF256=0,0,IFERROR(($L256+$AF256)/(HLOOKUP($D256,RentsUA!$K$12:$Q$35,19,FALSE)),""))</f>
        <v/>
      </c>
      <c r="AJ256" s="469" t="str">
        <f>IF($AF256=0,0,IFERROR(($AF256+K256+L256)/(HLOOKUP($D256,RentsUA!$K$12:$Q$35,19,FALSE)),""))</f>
        <v/>
      </c>
      <c r="AK256" s="469" t="str">
        <f t="shared" si="60"/>
        <v/>
      </c>
      <c r="AL256" s="469" t="str">
        <f t="shared" si="61"/>
        <v/>
      </c>
      <c r="AM256" s="1106" t="str">
        <f t="shared" si="62"/>
        <v/>
      </c>
      <c r="AN256" s="1106" t="str">
        <f>IFERROR(AM256*(1+'7a.20YrDetails'!$F$9),"")</f>
        <v/>
      </c>
      <c r="AO256" s="1106" t="str">
        <f>IFERROR(AN256*(1+'7a.20YrDetails'!$F$9),"")</f>
        <v/>
      </c>
      <c r="AP256" s="1106" t="str">
        <f>IFERROR(AO256*(1+'7a.20YrDetails'!$F$9),"")</f>
        <v/>
      </c>
      <c r="AQ256" s="1106" t="str">
        <f>IFERROR(AP256*(1+'7a.20YrDetails'!$F$9),"")</f>
        <v/>
      </c>
      <c r="AR256" s="674"/>
      <c r="AS256" s="672"/>
      <c r="AT256" s="1732" t="str">
        <f>IF($AF256=0,0,IFERROR(($AF256+L256)/(HLOOKUP($D256,RentsUA!$B$61:$H$62,2,FALSE)),""))</f>
        <v/>
      </c>
      <c r="AU256" s="1733" t="str">
        <f>IFERROR(G256/HLOOKUP(H256,RentsUA!$B$40:$I$41,2),"")</f>
        <v/>
      </c>
      <c r="BR256" s="404" t="str">
        <f t="shared" si="63"/>
        <v/>
      </c>
      <c r="BT256" s="404" t="str">
        <f t="shared" si="58"/>
        <v/>
      </c>
    </row>
    <row r="257" spans="1:72" s="404" customFormat="1" ht="13.2">
      <c r="A257" s="406">
        <f t="shared" si="64"/>
        <v>245</v>
      </c>
      <c r="B257" s="472"/>
      <c r="C257" s="470"/>
      <c r="D257" s="407"/>
      <c r="E257" s="407"/>
      <c r="F257" s="408"/>
      <c r="G257" s="409"/>
      <c r="H257" s="407"/>
      <c r="I257" s="1029" t="str">
        <f>IFERROR(G257/HLOOKUP(H257,RentsUA!$B$8:$J$9,2),"")</f>
        <v/>
      </c>
      <c r="J257" s="407"/>
      <c r="K257" s="412"/>
      <c r="L257" s="672">
        <f t="shared" si="53"/>
        <v>0</v>
      </c>
      <c r="M257" s="671"/>
      <c r="N257" s="410">
        <f t="shared" si="54"/>
        <v>0</v>
      </c>
      <c r="O257" s="469" t="str">
        <f>IF($M257=0,"",IFERROR(($L257+$M257)/(HLOOKUP($D257,RentsUA!$K$12:$Q$35,19,FALSE)),""))</f>
        <v/>
      </c>
      <c r="P257" s="469" t="str">
        <f>IF($M257=0,"",IFERROR(($M257+K257+L257)/(HLOOKUP($D257,RentsUA!$K$12:$Q$35,19,FALSE)),""))</f>
        <v/>
      </c>
      <c r="Q257" s="411"/>
      <c r="R257" s="673" t="str">
        <f>IF($Q257=0,"",VLOOKUP($Q257,RentsUA!$A$12:$H$35,MATCH($D257,RentsUA!$A$12:$H$12,0),FALSE))</f>
        <v/>
      </c>
      <c r="S257" s="409"/>
      <c r="T257" s="674"/>
      <c r="U257" s="672"/>
      <c r="V257" s="673" t="str">
        <f t="shared" si="59"/>
        <v/>
      </c>
      <c r="W257" s="470"/>
      <c r="X257" s="411"/>
      <c r="Y257" s="410" t="str">
        <f>IF(X257=0,"",VLOOKUP($X257,RentsUA!$A$12:$H$35,MATCH($D257,RentsUA!$A$12:$H$12,0),FALSE))</f>
        <v/>
      </c>
      <c r="Z257" s="410" t="str">
        <f t="shared" si="55"/>
        <v/>
      </c>
      <c r="AA257" s="1297" t="str">
        <f>IF(H257="","",IF(G257/HLOOKUP($H257,RentsUA!$M$8:$T$9,2,FALSE)&gt;1,"&gt; 80%","&lt;= 80%"))</f>
        <v/>
      </c>
      <c r="AB257" s="1106"/>
      <c r="AC257" s="1106"/>
      <c r="AD257" s="622"/>
      <c r="AE257" s="412"/>
      <c r="AF257" s="807" t="str">
        <f>IF(AD257="","",IF(AD257=Lists!$U$3,M257,IF(AD257=Lists!$U$4,V257,IF(AD257=Lists!$U$5,Y257-L257,AE257))))</f>
        <v/>
      </c>
      <c r="AG257" s="410" t="str">
        <f t="shared" si="56"/>
        <v/>
      </c>
      <c r="AH257" s="469" t="str">
        <f t="shared" si="57"/>
        <v/>
      </c>
      <c r="AI257" s="469" t="str">
        <f>IF($AF257=0,0,IFERROR(($L257+$AF257)/(HLOOKUP($D257,RentsUA!$K$12:$Q$35,19,FALSE)),""))</f>
        <v/>
      </c>
      <c r="AJ257" s="469" t="str">
        <f>IF($AF257=0,0,IFERROR(($AF257+K257+L257)/(HLOOKUP($D257,RentsUA!$K$12:$Q$35,19,FALSE)),""))</f>
        <v/>
      </c>
      <c r="AK257" s="469" t="str">
        <f t="shared" si="60"/>
        <v/>
      </c>
      <c r="AL257" s="469" t="str">
        <f t="shared" si="61"/>
        <v/>
      </c>
      <c r="AM257" s="1106" t="str">
        <f t="shared" si="62"/>
        <v/>
      </c>
      <c r="AN257" s="1106" t="str">
        <f>IFERROR(AM257*(1+'7a.20YrDetails'!$F$9),"")</f>
        <v/>
      </c>
      <c r="AO257" s="1106" t="str">
        <f>IFERROR(AN257*(1+'7a.20YrDetails'!$F$9),"")</f>
        <v/>
      </c>
      <c r="AP257" s="1106" t="str">
        <f>IFERROR(AO257*(1+'7a.20YrDetails'!$F$9),"")</f>
        <v/>
      </c>
      <c r="AQ257" s="1106" t="str">
        <f>IFERROR(AP257*(1+'7a.20YrDetails'!$F$9),"")</f>
        <v/>
      </c>
      <c r="AR257" s="674"/>
      <c r="AS257" s="672"/>
      <c r="AT257" s="1732" t="str">
        <f>IF($AF257=0,0,IFERROR(($AF257+L257)/(HLOOKUP($D257,RentsUA!$B$61:$H$62,2,FALSE)),""))</f>
        <v/>
      </c>
      <c r="AU257" s="1733" t="str">
        <f>IFERROR(G257/HLOOKUP(H257,RentsUA!$B$40:$I$41,2),"")</f>
        <v/>
      </c>
      <c r="BR257" s="404" t="str">
        <f t="shared" si="63"/>
        <v/>
      </c>
      <c r="BT257" s="404" t="str">
        <f t="shared" si="58"/>
        <v/>
      </c>
    </row>
    <row r="258" spans="1:72" s="404" customFormat="1" ht="13.2">
      <c r="A258" s="406">
        <f t="shared" si="64"/>
        <v>246</v>
      </c>
      <c r="B258" s="472"/>
      <c r="C258" s="470"/>
      <c r="D258" s="407"/>
      <c r="E258" s="407"/>
      <c r="F258" s="408"/>
      <c r="G258" s="409"/>
      <c r="H258" s="407"/>
      <c r="I258" s="1029" t="str">
        <f>IFERROR(G258/HLOOKUP(H258,RentsUA!$B$8:$J$9,2),"")</f>
        <v/>
      </c>
      <c r="J258" s="407"/>
      <c r="K258" s="412"/>
      <c r="L258" s="672">
        <f t="shared" si="53"/>
        <v>0</v>
      </c>
      <c r="M258" s="671"/>
      <c r="N258" s="410">
        <f t="shared" si="54"/>
        <v>0</v>
      </c>
      <c r="O258" s="469" t="str">
        <f>IF($M258=0,"",IFERROR(($L258+$M258)/(HLOOKUP($D258,RentsUA!$K$12:$Q$35,19,FALSE)),""))</f>
        <v/>
      </c>
      <c r="P258" s="469" t="str">
        <f>IF($M258=0,"",IFERROR(($M258+K258+L258)/(HLOOKUP($D258,RentsUA!$K$12:$Q$35,19,FALSE)),""))</f>
        <v/>
      </c>
      <c r="Q258" s="411"/>
      <c r="R258" s="673" t="str">
        <f>IF($Q258=0,"",VLOOKUP($Q258,RentsUA!$A$12:$H$35,MATCH($D258,RentsUA!$A$12:$H$12,0),FALSE))</f>
        <v/>
      </c>
      <c r="S258" s="409"/>
      <c r="T258" s="674"/>
      <c r="U258" s="672"/>
      <c r="V258" s="673" t="str">
        <f t="shared" si="59"/>
        <v/>
      </c>
      <c r="W258" s="470"/>
      <c r="X258" s="411"/>
      <c r="Y258" s="410" t="str">
        <f>IF(X258=0,"",VLOOKUP($X258,RentsUA!$A$12:$H$35,MATCH($D258,RentsUA!$A$12:$H$12,0),FALSE))</f>
        <v/>
      </c>
      <c r="Z258" s="410" t="str">
        <f t="shared" si="55"/>
        <v/>
      </c>
      <c r="AA258" s="1297" t="str">
        <f>IF(H258="","",IF(G258/HLOOKUP($H258,RentsUA!$M$8:$T$9,2,FALSE)&gt;1,"&gt; 80%","&lt;= 80%"))</f>
        <v/>
      </c>
      <c r="AB258" s="1106"/>
      <c r="AC258" s="1106"/>
      <c r="AD258" s="622"/>
      <c r="AE258" s="412"/>
      <c r="AF258" s="807" t="str">
        <f>IF(AD258="","",IF(AD258=Lists!$U$3,M258,IF(AD258=Lists!$U$4,V258,IF(AD258=Lists!$U$5,Y258-L258,AE258))))</f>
        <v/>
      </c>
      <c r="AG258" s="410" t="str">
        <f t="shared" si="56"/>
        <v/>
      </c>
      <c r="AH258" s="469" t="str">
        <f t="shared" si="57"/>
        <v/>
      </c>
      <c r="AI258" s="469" t="str">
        <f>IF($AF258=0,0,IFERROR(($L258+$AF258)/(HLOOKUP($D258,RentsUA!$K$12:$Q$35,19,FALSE)),""))</f>
        <v/>
      </c>
      <c r="AJ258" s="469" t="str">
        <f>IF($AF258=0,0,IFERROR(($AF258+K258+L258)/(HLOOKUP($D258,RentsUA!$K$12:$Q$35,19,FALSE)),""))</f>
        <v/>
      </c>
      <c r="AK258" s="469" t="str">
        <f t="shared" si="60"/>
        <v/>
      </c>
      <c r="AL258" s="469" t="str">
        <f t="shared" si="61"/>
        <v/>
      </c>
      <c r="AM258" s="1106" t="str">
        <f t="shared" si="62"/>
        <v/>
      </c>
      <c r="AN258" s="1106" t="str">
        <f>IFERROR(AM258*(1+'7a.20YrDetails'!$F$9),"")</f>
        <v/>
      </c>
      <c r="AO258" s="1106" t="str">
        <f>IFERROR(AN258*(1+'7a.20YrDetails'!$F$9),"")</f>
        <v/>
      </c>
      <c r="AP258" s="1106" t="str">
        <f>IFERROR(AO258*(1+'7a.20YrDetails'!$F$9),"")</f>
        <v/>
      </c>
      <c r="AQ258" s="1106" t="str">
        <f>IFERROR(AP258*(1+'7a.20YrDetails'!$F$9),"")</f>
        <v/>
      </c>
      <c r="AR258" s="674"/>
      <c r="AS258" s="672"/>
      <c r="AT258" s="1732" t="str">
        <f>IF($AF258=0,0,IFERROR(($AF258+L258)/(HLOOKUP($D258,RentsUA!$B$61:$H$62,2,FALSE)),""))</f>
        <v/>
      </c>
      <c r="AU258" s="1733" t="str">
        <f>IFERROR(G258/HLOOKUP(H258,RentsUA!$B$40:$I$41,2),"")</f>
        <v/>
      </c>
      <c r="BR258" s="404" t="str">
        <f t="shared" si="63"/>
        <v/>
      </c>
      <c r="BT258" s="404" t="str">
        <f t="shared" si="58"/>
        <v/>
      </c>
    </row>
    <row r="259" spans="1:72" s="404" customFormat="1" ht="13.2">
      <c r="A259" s="406">
        <f t="shared" si="64"/>
        <v>247</v>
      </c>
      <c r="B259" s="472"/>
      <c r="C259" s="470"/>
      <c r="D259" s="407"/>
      <c r="E259" s="407"/>
      <c r="F259" s="408"/>
      <c r="G259" s="409"/>
      <c r="H259" s="407"/>
      <c r="I259" s="1029" t="str">
        <f>IFERROR(G259/HLOOKUP(H259,RentsUA!$B$8:$J$9,2),"")</f>
        <v/>
      </c>
      <c r="J259" s="407"/>
      <c r="K259" s="412"/>
      <c r="L259" s="672">
        <f t="shared" si="53"/>
        <v>0</v>
      </c>
      <c r="M259" s="671"/>
      <c r="N259" s="410">
        <f t="shared" si="54"/>
        <v>0</v>
      </c>
      <c r="O259" s="469" t="str">
        <f>IF($M259=0,"",IFERROR(($L259+$M259)/(HLOOKUP($D259,RentsUA!$K$12:$Q$35,19,FALSE)),""))</f>
        <v/>
      </c>
      <c r="P259" s="469" t="str">
        <f>IF($M259=0,"",IFERROR(($M259+K259+L259)/(HLOOKUP($D259,RentsUA!$K$12:$Q$35,19,FALSE)),""))</f>
        <v/>
      </c>
      <c r="Q259" s="411"/>
      <c r="R259" s="673" t="str">
        <f>IF($Q259=0,"",VLOOKUP($Q259,RentsUA!$A$12:$H$35,MATCH($D259,RentsUA!$A$12:$H$12,0),FALSE))</f>
        <v/>
      </c>
      <c r="S259" s="409"/>
      <c r="T259" s="674"/>
      <c r="U259" s="672"/>
      <c r="V259" s="673" t="str">
        <f t="shared" si="59"/>
        <v/>
      </c>
      <c r="W259" s="470"/>
      <c r="X259" s="411"/>
      <c r="Y259" s="410" t="str">
        <f>IF(X259=0,"",VLOOKUP($X259,RentsUA!$A$12:$H$35,MATCH($D259,RentsUA!$A$12:$H$12,0),FALSE))</f>
        <v/>
      </c>
      <c r="Z259" s="410" t="str">
        <f t="shared" si="55"/>
        <v/>
      </c>
      <c r="AA259" s="1297" t="str">
        <f>IF(H259="","",IF(G259/HLOOKUP($H259,RentsUA!$M$8:$T$9,2,FALSE)&gt;1,"&gt; 80%","&lt;= 80%"))</f>
        <v/>
      </c>
      <c r="AB259" s="1106"/>
      <c r="AC259" s="1106"/>
      <c r="AD259" s="622"/>
      <c r="AE259" s="412"/>
      <c r="AF259" s="807" t="str">
        <f>IF(AD259="","",IF(AD259=Lists!$U$3,M259,IF(AD259=Lists!$U$4,V259,IF(AD259=Lists!$U$5,Y259-L259,AE259))))</f>
        <v/>
      </c>
      <c r="AG259" s="410" t="str">
        <f t="shared" si="56"/>
        <v/>
      </c>
      <c r="AH259" s="469" t="str">
        <f t="shared" si="57"/>
        <v/>
      </c>
      <c r="AI259" s="469" t="str">
        <f>IF($AF259=0,0,IFERROR(($L259+$AF259)/(HLOOKUP($D259,RentsUA!$K$12:$Q$35,19,FALSE)),""))</f>
        <v/>
      </c>
      <c r="AJ259" s="469" t="str">
        <f>IF($AF259=0,0,IFERROR(($AF259+K259+L259)/(HLOOKUP($D259,RentsUA!$K$12:$Q$35,19,FALSE)),""))</f>
        <v/>
      </c>
      <c r="AK259" s="469" t="str">
        <f t="shared" si="60"/>
        <v/>
      </c>
      <c r="AL259" s="469" t="str">
        <f t="shared" si="61"/>
        <v/>
      </c>
      <c r="AM259" s="1106" t="str">
        <f t="shared" si="62"/>
        <v/>
      </c>
      <c r="AN259" s="1106" t="str">
        <f>IFERROR(AM259*(1+'7a.20YrDetails'!$F$9),"")</f>
        <v/>
      </c>
      <c r="AO259" s="1106" t="str">
        <f>IFERROR(AN259*(1+'7a.20YrDetails'!$F$9),"")</f>
        <v/>
      </c>
      <c r="AP259" s="1106" t="str">
        <f>IFERROR(AO259*(1+'7a.20YrDetails'!$F$9),"")</f>
        <v/>
      </c>
      <c r="AQ259" s="1106" t="str">
        <f>IFERROR(AP259*(1+'7a.20YrDetails'!$F$9),"")</f>
        <v/>
      </c>
      <c r="AR259" s="674"/>
      <c r="AS259" s="672"/>
      <c r="AT259" s="1732" t="str">
        <f>IF($AF259=0,0,IFERROR(($AF259+L259)/(HLOOKUP($D259,RentsUA!$B$61:$H$62,2,FALSE)),""))</f>
        <v/>
      </c>
      <c r="AU259" s="1733" t="str">
        <f>IFERROR(G259/HLOOKUP(H259,RentsUA!$B$40:$I$41,2),"")</f>
        <v/>
      </c>
      <c r="BR259" s="404" t="str">
        <f t="shared" si="63"/>
        <v/>
      </c>
      <c r="BT259" s="404" t="str">
        <f t="shared" si="58"/>
        <v/>
      </c>
    </row>
    <row r="260" spans="1:72" s="404" customFormat="1" ht="13.2">
      <c r="A260" s="406">
        <f t="shared" si="64"/>
        <v>248</v>
      </c>
      <c r="B260" s="472"/>
      <c r="C260" s="470"/>
      <c r="D260" s="407"/>
      <c r="E260" s="407"/>
      <c r="F260" s="408"/>
      <c r="G260" s="409"/>
      <c r="H260" s="407"/>
      <c r="I260" s="1029" t="str">
        <f>IFERROR(G260/HLOOKUP(H260,RentsUA!$B$8:$J$9,2),"")</f>
        <v/>
      </c>
      <c r="J260" s="407"/>
      <c r="K260" s="412"/>
      <c r="L260" s="672">
        <f t="shared" si="53"/>
        <v>0</v>
      </c>
      <c r="M260" s="671"/>
      <c r="N260" s="410">
        <f t="shared" si="54"/>
        <v>0</v>
      </c>
      <c r="O260" s="469" t="str">
        <f>IF($M260=0,"",IFERROR(($L260+$M260)/(HLOOKUP($D260,RentsUA!$K$12:$Q$35,19,FALSE)),""))</f>
        <v/>
      </c>
      <c r="P260" s="469" t="str">
        <f>IF($M260=0,"",IFERROR(($M260+K260+L260)/(HLOOKUP($D260,RentsUA!$K$12:$Q$35,19,FALSE)),""))</f>
        <v/>
      </c>
      <c r="Q260" s="411"/>
      <c r="R260" s="673" t="str">
        <f>IF($Q260=0,"",VLOOKUP($Q260,RentsUA!$A$12:$H$35,MATCH($D260,RentsUA!$A$12:$H$12,0),FALSE))</f>
        <v/>
      </c>
      <c r="S260" s="409"/>
      <c r="T260" s="674"/>
      <c r="U260" s="672"/>
      <c r="V260" s="673" t="str">
        <f t="shared" si="59"/>
        <v/>
      </c>
      <c r="W260" s="470"/>
      <c r="X260" s="411"/>
      <c r="Y260" s="410" t="str">
        <f>IF(X260=0,"",VLOOKUP($X260,RentsUA!$A$12:$H$35,MATCH($D260,RentsUA!$A$12:$H$12,0),FALSE))</f>
        <v/>
      </c>
      <c r="Z260" s="410" t="str">
        <f t="shared" si="55"/>
        <v/>
      </c>
      <c r="AA260" s="1297" t="str">
        <f>IF(H260="","",IF(G260/HLOOKUP($H260,RentsUA!$M$8:$T$9,2,FALSE)&gt;1,"&gt; 80%","&lt;= 80%"))</f>
        <v/>
      </c>
      <c r="AB260" s="1106"/>
      <c r="AC260" s="1106"/>
      <c r="AD260" s="622"/>
      <c r="AE260" s="412"/>
      <c r="AF260" s="807" t="str">
        <f>IF(AD260="","",IF(AD260=Lists!$U$3,M260,IF(AD260=Lists!$U$4,V260,IF(AD260=Lists!$U$5,Y260-L260,AE260))))</f>
        <v/>
      </c>
      <c r="AG260" s="410" t="str">
        <f t="shared" si="56"/>
        <v/>
      </c>
      <c r="AH260" s="469" t="str">
        <f t="shared" si="57"/>
        <v/>
      </c>
      <c r="AI260" s="469" t="str">
        <f>IF($AF260=0,0,IFERROR(($L260+$AF260)/(HLOOKUP($D260,RentsUA!$K$12:$Q$35,19,FALSE)),""))</f>
        <v/>
      </c>
      <c r="AJ260" s="469" t="str">
        <f>IF($AF260=0,0,IFERROR(($AF260+K260+L260)/(HLOOKUP($D260,RentsUA!$K$12:$Q$35,19,FALSE)),""))</f>
        <v/>
      </c>
      <c r="AK260" s="469" t="str">
        <f t="shared" si="60"/>
        <v/>
      </c>
      <c r="AL260" s="469" t="str">
        <f t="shared" si="61"/>
        <v/>
      </c>
      <c r="AM260" s="1106" t="str">
        <f t="shared" si="62"/>
        <v/>
      </c>
      <c r="AN260" s="1106" t="str">
        <f>IFERROR(AM260*(1+'7a.20YrDetails'!$F$9),"")</f>
        <v/>
      </c>
      <c r="AO260" s="1106" t="str">
        <f>IFERROR(AN260*(1+'7a.20YrDetails'!$F$9),"")</f>
        <v/>
      </c>
      <c r="AP260" s="1106" t="str">
        <f>IFERROR(AO260*(1+'7a.20YrDetails'!$F$9),"")</f>
        <v/>
      </c>
      <c r="AQ260" s="1106" t="str">
        <f>IFERROR(AP260*(1+'7a.20YrDetails'!$F$9),"")</f>
        <v/>
      </c>
      <c r="AR260" s="674"/>
      <c r="AS260" s="672"/>
      <c r="AT260" s="1732" t="str">
        <f>IF($AF260=0,0,IFERROR(($AF260+L260)/(HLOOKUP($D260,RentsUA!$B$61:$H$62,2,FALSE)),""))</f>
        <v/>
      </c>
      <c r="AU260" s="1733" t="str">
        <f>IFERROR(G260/HLOOKUP(H260,RentsUA!$B$40:$I$41,2),"")</f>
        <v/>
      </c>
      <c r="BR260" s="404" t="str">
        <f t="shared" si="63"/>
        <v/>
      </c>
      <c r="BT260" s="404" t="str">
        <f t="shared" si="58"/>
        <v/>
      </c>
    </row>
    <row r="261" spans="1:72" s="404" customFormat="1" ht="13.2">
      <c r="A261" s="406">
        <f t="shared" si="64"/>
        <v>249</v>
      </c>
      <c r="B261" s="472"/>
      <c r="C261" s="470"/>
      <c r="D261" s="407"/>
      <c r="E261" s="407"/>
      <c r="F261" s="408"/>
      <c r="G261" s="409"/>
      <c r="H261" s="407"/>
      <c r="I261" s="1029" t="str">
        <f>IFERROR(G261/HLOOKUP(H261,RentsUA!$B$8:$J$9,2),"")</f>
        <v/>
      </c>
      <c r="J261" s="407"/>
      <c r="K261" s="412"/>
      <c r="L261" s="672">
        <f t="shared" si="53"/>
        <v>0</v>
      </c>
      <c r="M261" s="671"/>
      <c r="N261" s="410">
        <f t="shared" si="54"/>
        <v>0</v>
      </c>
      <c r="O261" s="469" t="str">
        <f>IF($M261=0,"",IFERROR(($L261+$M261)/(HLOOKUP($D261,RentsUA!$K$12:$Q$35,19,FALSE)),""))</f>
        <v/>
      </c>
      <c r="P261" s="469" t="str">
        <f>IF($M261=0,"",IFERROR(($M261+K261+L261)/(HLOOKUP($D261,RentsUA!$K$12:$Q$35,19,FALSE)),""))</f>
        <v/>
      </c>
      <c r="Q261" s="411"/>
      <c r="R261" s="673" t="str">
        <f>IF($Q261=0,"",VLOOKUP($Q261,RentsUA!$A$12:$H$35,MATCH($D261,RentsUA!$A$12:$H$12,0),FALSE))</f>
        <v/>
      </c>
      <c r="S261" s="409"/>
      <c r="T261" s="674"/>
      <c r="U261" s="672"/>
      <c r="V261" s="673" t="str">
        <f t="shared" si="59"/>
        <v/>
      </c>
      <c r="W261" s="470"/>
      <c r="X261" s="411"/>
      <c r="Y261" s="410" t="str">
        <f>IF(X261=0,"",VLOOKUP($X261,RentsUA!$A$12:$H$35,MATCH($D261,RentsUA!$A$12:$H$12,0),FALSE))</f>
        <v/>
      </c>
      <c r="Z261" s="410" t="str">
        <f t="shared" si="55"/>
        <v/>
      </c>
      <c r="AA261" s="1297" t="str">
        <f>IF(H261="","",IF(G261/HLOOKUP($H261,RentsUA!$M$8:$T$9,2,FALSE)&gt;1,"&gt; 80%","&lt;= 80%"))</f>
        <v/>
      </c>
      <c r="AB261" s="1106"/>
      <c r="AC261" s="1106"/>
      <c r="AD261" s="622"/>
      <c r="AE261" s="412"/>
      <c r="AF261" s="807" t="str">
        <f>IF(AD261="","",IF(AD261=Lists!$U$3,M261,IF(AD261=Lists!$U$4,V261,IF(AD261=Lists!$U$5,Y261-L261,AE261))))</f>
        <v/>
      </c>
      <c r="AG261" s="410" t="str">
        <f t="shared" si="56"/>
        <v/>
      </c>
      <c r="AH261" s="469" t="str">
        <f t="shared" si="57"/>
        <v/>
      </c>
      <c r="AI261" s="469" t="str">
        <f>IF($AF261=0,0,IFERROR(($L261+$AF261)/(HLOOKUP($D261,RentsUA!$K$12:$Q$35,19,FALSE)),""))</f>
        <v/>
      </c>
      <c r="AJ261" s="469" t="str">
        <f>IF($AF261=0,0,IFERROR(($AF261+K261+L261)/(HLOOKUP($D261,RentsUA!$K$12:$Q$35,19,FALSE)),""))</f>
        <v/>
      </c>
      <c r="AK261" s="469" t="str">
        <f t="shared" si="60"/>
        <v/>
      </c>
      <c r="AL261" s="469" t="str">
        <f t="shared" si="61"/>
        <v/>
      </c>
      <c r="AM261" s="1106" t="str">
        <f t="shared" si="62"/>
        <v/>
      </c>
      <c r="AN261" s="1106" t="str">
        <f>IFERROR(AM261*(1+'7a.20YrDetails'!$F$9),"")</f>
        <v/>
      </c>
      <c r="AO261" s="1106" t="str">
        <f>IFERROR(AN261*(1+'7a.20YrDetails'!$F$9),"")</f>
        <v/>
      </c>
      <c r="AP261" s="1106" t="str">
        <f>IFERROR(AO261*(1+'7a.20YrDetails'!$F$9),"")</f>
        <v/>
      </c>
      <c r="AQ261" s="1106" t="str">
        <f>IFERROR(AP261*(1+'7a.20YrDetails'!$F$9),"")</f>
        <v/>
      </c>
      <c r="AR261" s="674"/>
      <c r="AS261" s="672"/>
      <c r="AT261" s="1732" t="str">
        <f>IF($AF261=0,0,IFERROR(($AF261+L261)/(HLOOKUP($D261,RentsUA!$B$61:$H$62,2,FALSE)),""))</f>
        <v/>
      </c>
      <c r="AU261" s="1733" t="str">
        <f>IFERROR(G261/HLOOKUP(H261,RentsUA!$B$40:$I$41,2),"")</f>
        <v/>
      </c>
      <c r="BR261" s="404" t="str">
        <f t="shared" si="63"/>
        <v/>
      </c>
      <c r="BT261" s="404" t="str">
        <f t="shared" si="58"/>
        <v/>
      </c>
    </row>
    <row r="262" spans="1:72" s="404" customFormat="1" ht="13.2">
      <c r="A262" s="406">
        <f t="shared" si="64"/>
        <v>250</v>
      </c>
      <c r="B262" s="472"/>
      <c r="C262" s="470"/>
      <c r="D262" s="407"/>
      <c r="E262" s="407"/>
      <c r="F262" s="408"/>
      <c r="G262" s="409"/>
      <c r="H262" s="407"/>
      <c r="I262" s="1029" t="str">
        <f>IFERROR(G262/HLOOKUP(H262,RentsUA!$B$8:$J$9,2),"")</f>
        <v/>
      </c>
      <c r="J262" s="407"/>
      <c r="K262" s="412"/>
      <c r="L262" s="672">
        <f t="shared" si="53"/>
        <v>0</v>
      </c>
      <c r="M262" s="671"/>
      <c r="N262" s="410">
        <f t="shared" si="54"/>
        <v>0</v>
      </c>
      <c r="O262" s="469" t="str">
        <f>IF($M262=0,"",IFERROR(($L262+$M262)/(HLOOKUP($D262,RentsUA!$K$12:$Q$35,19,FALSE)),""))</f>
        <v/>
      </c>
      <c r="P262" s="469" t="str">
        <f>IF($M262=0,"",IFERROR(($M262+K262+L262)/(HLOOKUP($D262,RentsUA!$K$12:$Q$35,19,FALSE)),""))</f>
        <v/>
      </c>
      <c r="Q262" s="411"/>
      <c r="R262" s="673" t="str">
        <f>IF($Q262=0,"",VLOOKUP($Q262,RentsUA!$A$12:$H$35,MATCH($D262,RentsUA!$A$12:$H$12,0),FALSE))</f>
        <v/>
      </c>
      <c r="S262" s="409"/>
      <c r="T262" s="674"/>
      <c r="U262" s="672"/>
      <c r="V262" s="673" t="str">
        <f t="shared" si="59"/>
        <v/>
      </c>
      <c r="W262" s="470"/>
      <c r="X262" s="411"/>
      <c r="Y262" s="410" t="str">
        <f>IF(X262=0,"",VLOOKUP($X262,RentsUA!$A$12:$H$35,MATCH($D262,RentsUA!$A$12:$H$12,0),FALSE))</f>
        <v/>
      </c>
      <c r="Z262" s="410" t="str">
        <f t="shared" si="55"/>
        <v/>
      </c>
      <c r="AA262" s="1297" t="str">
        <f>IF(H262="","",IF(G262/HLOOKUP($H262,RentsUA!$M$8:$T$9,2,FALSE)&gt;1,"&gt; 80%","&lt;= 80%"))</f>
        <v/>
      </c>
      <c r="AB262" s="1106"/>
      <c r="AC262" s="1106"/>
      <c r="AD262" s="622"/>
      <c r="AE262" s="412"/>
      <c r="AF262" s="807" t="str">
        <f>IF(AD262="","",IF(AD262=Lists!$U$3,M262,IF(AD262=Lists!$U$4,V262,IF(AD262=Lists!$U$5,Y262-L262,AE262))))</f>
        <v/>
      </c>
      <c r="AG262" s="410" t="str">
        <f t="shared" si="56"/>
        <v/>
      </c>
      <c r="AH262" s="469" t="str">
        <f t="shared" si="57"/>
        <v/>
      </c>
      <c r="AI262" s="469" t="str">
        <f>IF($AF262=0,0,IFERROR(($L262+$AF262)/(HLOOKUP($D262,RentsUA!$K$12:$Q$35,19,FALSE)),""))</f>
        <v/>
      </c>
      <c r="AJ262" s="469" t="str">
        <f>IF($AF262=0,0,IFERROR(($AF262+K262+L262)/(HLOOKUP($D262,RentsUA!$K$12:$Q$35,19,FALSE)),""))</f>
        <v/>
      </c>
      <c r="AK262" s="469" t="str">
        <f t="shared" si="60"/>
        <v/>
      </c>
      <c r="AL262" s="469" t="str">
        <f t="shared" si="61"/>
        <v/>
      </c>
      <c r="AM262" s="1106" t="str">
        <f t="shared" si="62"/>
        <v/>
      </c>
      <c r="AN262" s="1106" t="str">
        <f>IFERROR(AM262*(1+'7a.20YrDetails'!$F$9),"")</f>
        <v/>
      </c>
      <c r="AO262" s="1106" t="str">
        <f>IFERROR(AN262*(1+'7a.20YrDetails'!$F$9),"")</f>
        <v/>
      </c>
      <c r="AP262" s="1106" t="str">
        <f>IFERROR(AO262*(1+'7a.20YrDetails'!$F$9),"")</f>
        <v/>
      </c>
      <c r="AQ262" s="1106" t="str">
        <f>IFERROR(AP262*(1+'7a.20YrDetails'!$F$9),"")</f>
        <v/>
      </c>
      <c r="AR262" s="674"/>
      <c r="AS262" s="672"/>
      <c r="AT262" s="1732" t="str">
        <f>IF($AF262=0,0,IFERROR(($AF262+L262)/(HLOOKUP($D262,RentsUA!$B$61:$H$62,2,FALSE)),""))</f>
        <v/>
      </c>
      <c r="AU262" s="1733" t="str">
        <f>IFERROR(G262/HLOOKUP(H262,RentsUA!$B$40:$I$41,2),"")</f>
        <v/>
      </c>
      <c r="BR262" s="404" t="str">
        <f t="shared" si="63"/>
        <v/>
      </c>
      <c r="BT262" s="404" t="str">
        <f t="shared" si="58"/>
        <v/>
      </c>
    </row>
    <row r="263" spans="1:72" s="404" customFormat="1" ht="13.2">
      <c r="A263" s="406">
        <f t="shared" si="64"/>
        <v>251</v>
      </c>
      <c r="B263" s="472"/>
      <c r="C263" s="470"/>
      <c r="D263" s="407"/>
      <c r="E263" s="407"/>
      <c r="F263" s="408"/>
      <c r="G263" s="409"/>
      <c r="H263" s="407"/>
      <c r="I263" s="1029" t="str">
        <f>IFERROR(G263/HLOOKUP(H263,RentsUA!$B$8:$J$9,2),"")</f>
        <v/>
      </c>
      <c r="J263" s="407"/>
      <c r="K263" s="412"/>
      <c r="L263" s="672">
        <f t="shared" si="53"/>
        <v>0</v>
      </c>
      <c r="M263" s="671"/>
      <c r="N263" s="410">
        <f t="shared" si="54"/>
        <v>0</v>
      </c>
      <c r="O263" s="469" t="str">
        <f>IF($M263=0,"",IFERROR(($L263+$M263)/(HLOOKUP($D263,RentsUA!$K$12:$Q$35,19,FALSE)),""))</f>
        <v/>
      </c>
      <c r="P263" s="469" t="str">
        <f>IF($M263=0,"",IFERROR(($M263+K263+L263)/(HLOOKUP($D263,RentsUA!$K$12:$Q$35,19,FALSE)),""))</f>
        <v/>
      </c>
      <c r="Q263" s="411"/>
      <c r="R263" s="673" t="str">
        <f>IF($Q263=0,"",VLOOKUP($Q263,RentsUA!$A$12:$H$35,MATCH($D263,RentsUA!$A$12:$H$12,0),FALSE))</f>
        <v/>
      </c>
      <c r="S263" s="409"/>
      <c r="T263" s="674"/>
      <c r="U263" s="672"/>
      <c r="V263" s="673" t="str">
        <f t="shared" si="59"/>
        <v/>
      </c>
      <c r="W263" s="470"/>
      <c r="X263" s="411"/>
      <c r="Y263" s="410" t="str">
        <f>IF(X263=0,"",VLOOKUP($X263,RentsUA!$A$12:$H$35,MATCH($D263,RentsUA!$A$12:$H$12,0),FALSE))</f>
        <v/>
      </c>
      <c r="Z263" s="410" t="str">
        <f t="shared" si="55"/>
        <v/>
      </c>
      <c r="AA263" s="1297" t="str">
        <f>IF(H263="","",IF(G263/HLOOKUP($H263,RentsUA!$M$8:$T$9,2,FALSE)&gt;1,"&gt; 80%","&lt;= 80%"))</f>
        <v/>
      </c>
      <c r="AB263" s="1106"/>
      <c r="AC263" s="1106"/>
      <c r="AD263" s="622"/>
      <c r="AE263" s="412"/>
      <c r="AF263" s="807" t="str">
        <f>IF(AD263="","",IF(AD263=Lists!$U$3,M263,IF(AD263=Lists!$U$4,V263,IF(AD263=Lists!$U$5,Y263-L263,AE263))))</f>
        <v/>
      </c>
      <c r="AG263" s="410" t="str">
        <f t="shared" si="56"/>
        <v/>
      </c>
      <c r="AH263" s="469" t="str">
        <f t="shared" si="57"/>
        <v/>
      </c>
      <c r="AI263" s="469" t="str">
        <f>IF($AF263=0,0,IFERROR(($L263+$AF263)/(HLOOKUP($D263,RentsUA!$K$12:$Q$35,19,FALSE)),""))</f>
        <v/>
      </c>
      <c r="AJ263" s="469" t="str">
        <f>IF($AF263=0,0,IFERROR(($AF263+K263+L263)/(HLOOKUP($D263,RentsUA!$K$12:$Q$35,19,FALSE)),""))</f>
        <v/>
      </c>
      <c r="AK263" s="469" t="str">
        <f t="shared" si="60"/>
        <v/>
      </c>
      <c r="AL263" s="469" t="str">
        <f t="shared" si="61"/>
        <v/>
      </c>
      <c r="AM263" s="1106" t="str">
        <f t="shared" si="62"/>
        <v/>
      </c>
      <c r="AN263" s="1106" t="str">
        <f>IFERROR(AM263*(1+'7a.20YrDetails'!$F$9),"")</f>
        <v/>
      </c>
      <c r="AO263" s="1106" t="str">
        <f>IFERROR(AN263*(1+'7a.20YrDetails'!$F$9),"")</f>
        <v/>
      </c>
      <c r="AP263" s="1106" t="str">
        <f>IFERROR(AO263*(1+'7a.20YrDetails'!$F$9),"")</f>
        <v/>
      </c>
      <c r="AQ263" s="1106" t="str">
        <f>IFERROR(AP263*(1+'7a.20YrDetails'!$F$9),"")</f>
        <v/>
      </c>
      <c r="AR263" s="674"/>
      <c r="AS263" s="672"/>
      <c r="AT263" s="1732" t="str">
        <f>IF($AF263=0,0,IFERROR(($AF263+L263)/(HLOOKUP($D263,RentsUA!$B$61:$H$62,2,FALSE)),""))</f>
        <v/>
      </c>
      <c r="AU263" s="1733" t="str">
        <f>IFERROR(G263/HLOOKUP(H263,RentsUA!$B$40:$I$41,2),"")</f>
        <v/>
      </c>
      <c r="BR263" s="404" t="str">
        <f t="shared" si="63"/>
        <v/>
      </c>
      <c r="BT263" s="404" t="str">
        <f t="shared" si="58"/>
        <v/>
      </c>
    </row>
    <row r="264" spans="1:72" s="404" customFormat="1" ht="13.2">
      <c r="A264" s="406">
        <f t="shared" si="64"/>
        <v>252</v>
      </c>
      <c r="B264" s="472"/>
      <c r="C264" s="470"/>
      <c r="D264" s="407"/>
      <c r="E264" s="407"/>
      <c r="F264" s="408"/>
      <c r="G264" s="409"/>
      <c r="H264" s="407"/>
      <c r="I264" s="1029" t="str">
        <f>IFERROR(G264/HLOOKUP(H264,RentsUA!$B$8:$J$9,2),"")</f>
        <v/>
      </c>
      <c r="J264" s="407"/>
      <c r="K264" s="412"/>
      <c r="L264" s="672">
        <f t="shared" si="53"/>
        <v>0</v>
      </c>
      <c r="M264" s="671"/>
      <c r="N264" s="410">
        <f t="shared" si="54"/>
        <v>0</v>
      </c>
      <c r="O264" s="469" t="str">
        <f>IF($M264=0,"",IFERROR(($L264+$M264)/(HLOOKUP($D264,RentsUA!$K$12:$Q$35,19,FALSE)),""))</f>
        <v/>
      </c>
      <c r="P264" s="469" t="str">
        <f>IF($M264=0,"",IFERROR(($M264+K264+L264)/(HLOOKUP($D264,RentsUA!$K$12:$Q$35,19,FALSE)),""))</f>
        <v/>
      </c>
      <c r="Q264" s="411"/>
      <c r="R264" s="673" t="str">
        <f>IF($Q264=0,"",VLOOKUP($Q264,RentsUA!$A$12:$H$35,MATCH($D264,RentsUA!$A$12:$H$12,0),FALSE))</f>
        <v/>
      </c>
      <c r="S264" s="409"/>
      <c r="T264" s="674"/>
      <c r="U264" s="672"/>
      <c r="V264" s="673" t="str">
        <f t="shared" si="59"/>
        <v/>
      </c>
      <c r="W264" s="470"/>
      <c r="X264" s="411"/>
      <c r="Y264" s="410" t="str">
        <f>IF(X264=0,"",VLOOKUP($X264,RentsUA!$A$12:$H$35,MATCH($D264,RentsUA!$A$12:$H$12,0),FALSE))</f>
        <v/>
      </c>
      <c r="Z264" s="410" t="str">
        <f t="shared" si="55"/>
        <v/>
      </c>
      <c r="AA264" s="1297" t="str">
        <f>IF(H264="","",IF(G264/HLOOKUP($H264,RentsUA!$M$8:$T$9,2,FALSE)&gt;1,"&gt; 80%","&lt;= 80%"))</f>
        <v/>
      </c>
      <c r="AB264" s="1106"/>
      <c r="AC264" s="1106"/>
      <c r="AD264" s="622"/>
      <c r="AE264" s="412"/>
      <c r="AF264" s="807" t="str">
        <f>IF(AD264="","",IF(AD264=Lists!$U$3,M264,IF(AD264=Lists!$U$4,V264,IF(AD264=Lists!$U$5,Y264-L264,AE264))))</f>
        <v/>
      </c>
      <c r="AG264" s="410" t="str">
        <f t="shared" si="56"/>
        <v/>
      </c>
      <c r="AH264" s="469" t="str">
        <f t="shared" si="57"/>
        <v/>
      </c>
      <c r="AI264" s="469" t="str">
        <f>IF($AF264=0,0,IFERROR(($L264+$AF264)/(HLOOKUP($D264,RentsUA!$K$12:$Q$35,19,FALSE)),""))</f>
        <v/>
      </c>
      <c r="AJ264" s="469" t="str">
        <f>IF($AF264=0,0,IFERROR(($AF264+K264+L264)/(HLOOKUP($D264,RentsUA!$K$12:$Q$35,19,FALSE)),""))</f>
        <v/>
      </c>
      <c r="AK264" s="469" t="str">
        <f t="shared" si="60"/>
        <v/>
      </c>
      <c r="AL264" s="469" t="str">
        <f t="shared" si="61"/>
        <v/>
      </c>
      <c r="AM264" s="1106" t="str">
        <f t="shared" si="62"/>
        <v/>
      </c>
      <c r="AN264" s="1106" t="str">
        <f>IFERROR(AM264*(1+'7a.20YrDetails'!$F$9),"")</f>
        <v/>
      </c>
      <c r="AO264" s="1106" t="str">
        <f>IFERROR(AN264*(1+'7a.20YrDetails'!$F$9),"")</f>
        <v/>
      </c>
      <c r="AP264" s="1106" t="str">
        <f>IFERROR(AO264*(1+'7a.20YrDetails'!$F$9),"")</f>
        <v/>
      </c>
      <c r="AQ264" s="1106" t="str">
        <f>IFERROR(AP264*(1+'7a.20YrDetails'!$F$9),"")</f>
        <v/>
      </c>
      <c r="AR264" s="674"/>
      <c r="AS264" s="672"/>
      <c r="AT264" s="1732" t="str">
        <f>IF($AF264=0,0,IFERROR(($AF264+L264)/(HLOOKUP($D264,RentsUA!$B$61:$H$62,2,FALSE)),""))</f>
        <v/>
      </c>
      <c r="AU264" s="1733" t="str">
        <f>IFERROR(G264/HLOOKUP(H264,RentsUA!$B$40:$I$41,2),"")</f>
        <v/>
      </c>
      <c r="BR264" s="404" t="str">
        <f t="shared" si="63"/>
        <v/>
      </c>
      <c r="BT264" s="404" t="str">
        <f t="shared" si="58"/>
        <v/>
      </c>
    </row>
    <row r="265" spans="1:72" s="404" customFormat="1" ht="13.2">
      <c r="A265" s="406">
        <f t="shared" si="64"/>
        <v>253</v>
      </c>
      <c r="B265" s="472"/>
      <c r="C265" s="470"/>
      <c r="D265" s="407"/>
      <c r="E265" s="407"/>
      <c r="F265" s="408"/>
      <c r="G265" s="409"/>
      <c r="H265" s="407"/>
      <c r="I265" s="1029" t="str">
        <f>IFERROR(G265/HLOOKUP(H265,RentsUA!$B$8:$J$9,2),"")</f>
        <v/>
      </c>
      <c r="J265" s="407"/>
      <c r="K265" s="412"/>
      <c r="L265" s="672">
        <f t="shared" si="53"/>
        <v>0</v>
      </c>
      <c r="M265" s="671"/>
      <c r="N265" s="410">
        <f t="shared" si="54"/>
        <v>0</v>
      </c>
      <c r="O265" s="469" t="str">
        <f>IF($M265=0,"",IFERROR(($L265+$M265)/(HLOOKUP($D265,RentsUA!$K$12:$Q$35,19,FALSE)),""))</f>
        <v/>
      </c>
      <c r="P265" s="469" t="str">
        <f>IF($M265=0,"",IFERROR(($M265+K265+L265)/(HLOOKUP($D265,RentsUA!$K$12:$Q$35,19,FALSE)),""))</f>
        <v/>
      </c>
      <c r="Q265" s="411"/>
      <c r="R265" s="673" t="str">
        <f>IF($Q265=0,"",VLOOKUP($Q265,RentsUA!$A$12:$H$35,MATCH($D265,RentsUA!$A$12:$H$12,0),FALSE))</f>
        <v/>
      </c>
      <c r="S265" s="409"/>
      <c r="T265" s="674"/>
      <c r="U265" s="672"/>
      <c r="V265" s="673" t="str">
        <f t="shared" si="59"/>
        <v/>
      </c>
      <c r="W265" s="470"/>
      <c r="X265" s="411"/>
      <c r="Y265" s="410" t="str">
        <f>IF(X265=0,"",VLOOKUP($X265,RentsUA!$A$12:$H$35,MATCH($D265,RentsUA!$A$12:$H$12,0),FALSE))</f>
        <v/>
      </c>
      <c r="Z265" s="410" t="str">
        <f t="shared" si="55"/>
        <v/>
      </c>
      <c r="AA265" s="1297" t="str">
        <f>IF(H265="","",IF(G265/HLOOKUP($H265,RentsUA!$M$8:$T$9,2,FALSE)&gt;1,"&gt; 80%","&lt;= 80%"))</f>
        <v/>
      </c>
      <c r="AB265" s="1106"/>
      <c r="AC265" s="1106"/>
      <c r="AD265" s="622"/>
      <c r="AE265" s="412"/>
      <c r="AF265" s="807" t="str">
        <f>IF(AD265="","",IF(AD265=Lists!$U$3,M265,IF(AD265=Lists!$U$4,V265,IF(AD265=Lists!$U$5,Y265-L265,AE265))))</f>
        <v/>
      </c>
      <c r="AG265" s="410" t="str">
        <f t="shared" si="56"/>
        <v/>
      </c>
      <c r="AH265" s="469" t="str">
        <f t="shared" si="57"/>
        <v/>
      </c>
      <c r="AI265" s="469" t="str">
        <f>IF($AF265=0,0,IFERROR(($L265+$AF265)/(HLOOKUP($D265,RentsUA!$K$12:$Q$35,19,FALSE)),""))</f>
        <v/>
      </c>
      <c r="AJ265" s="469" t="str">
        <f>IF($AF265=0,0,IFERROR(($AF265+K265+L265)/(HLOOKUP($D265,RentsUA!$K$12:$Q$35,19,FALSE)),""))</f>
        <v/>
      </c>
      <c r="AK265" s="469" t="str">
        <f t="shared" si="60"/>
        <v/>
      </c>
      <c r="AL265" s="469" t="str">
        <f t="shared" si="61"/>
        <v/>
      </c>
      <c r="AM265" s="1106" t="str">
        <f t="shared" si="62"/>
        <v/>
      </c>
      <c r="AN265" s="1106" t="str">
        <f>IFERROR(AM265*(1+'7a.20YrDetails'!$F$9),"")</f>
        <v/>
      </c>
      <c r="AO265" s="1106" t="str">
        <f>IFERROR(AN265*(1+'7a.20YrDetails'!$F$9),"")</f>
        <v/>
      </c>
      <c r="AP265" s="1106" t="str">
        <f>IFERROR(AO265*(1+'7a.20YrDetails'!$F$9),"")</f>
        <v/>
      </c>
      <c r="AQ265" s="1106" t="str">
        <f>IFERROR(AP265*(1+'7a.20YrDetails'!$F$9),"")</f>
        <v/>
      </c>
      <c r="AR265" s="674"/>
      <c r="AS265" s="672"/>
      <c r="AT265" s="1732" t="str">
        <f>IF($AF265=0,0,IFERROR(($AF265+L265)/(HLOOKUP($D265,RentsUA!$B$61:$H$62,2,FALSE)),""))</f>
        <v/>
      </c>
      <c r="AU265" s="1733" t="str">
        <f>IFERROR(G265/HLOOKUP(H265,RentsUA!$B$40:$I$41,2),"")</f>
        <v/>
      </c>
      <c r="BR265" s="404" t="str">
        <f t="shared" si="63"/>
        <v/>
      </c>
      <c r="BT265" s="404" t="str">
        <f t="shared" si="58"/>
        <v/>
      </c>
    </row>
    <row r="266" spans="1:72" s="404" customFormat="1" ht="13.2">
      <c r="A266" s="406">
        <f t="shared" si="64"/>
        <v>254</v>
      </c>
      <c r="B266" s="472"/>
      <c r="C266" s="470"/>
      <c r="D266" s="407"/>
      <c r="E266" s="407"/>
      <c r="F266" s="408"/>
      <c r="G266" s="409"/>
      <c r="H266" s="407"/>
      <c r="I266" s="1029" t="str">
        <f>IFERROR(G266/HLOOKUP(H266,RentsUA!$B$8:$J$9,2),"")</f>
        <v/>
      </c>
      <c r="J266" s="407"/>
      <c r="K266" s="412"/>
      <c r="L266" s="672">
        <f t="shared" si="53"/>
        <v>0</v>
      </c>
      <c r="M266" s="671"/>
      <c r="N266" s="410">
        <f t="shared" si="54"/>
        <v>0</v>
      </c>
      <c r="O266" s="469" t="str">
        <f>IF($M266=0,"",IFERROR(($L266+$M266)/(HLOOKUP($D266,RentsUA!$K$12:$Q$35,19,FALSE)),""))</f>
        <v/>
      </c>
      <c r="P266" s="469" t="str">
        <f>IF($M266=0,"",IFERROR(($M266+K266+L266)/(HLOOKUP($D266,RentsUA!$K$12:$Q$35,19,FALSE)),""))</f>
        <v/>
      </c>
      <c r="Q266" s="411"/>
      <c r="R266" s="673" t="str">
        <f>IF($Q266=0,"",VLOOKUP($Q266,RentsUA!$A$12:$H$35,MATCH($D266,RentsUA!$A$12:$H$12,0),FALSE))</f>
        <v/>
      </c>
      <c r="S266" s="409"/>
      <c r="T266" s="674"/>
      <c r="U266" s="672"/>
      <c r="V266" s="673" t="str">
        <f t="shared" si="59"/>
        <v/>
      </c>
      <c r="W266" s="470"/>
      <c r="X266" s="411"/>
      <c r="Y266" s="410" t="str">
        <f>IF(X266=0,"",VLOOKUP($X266,RentsUA!$A$12:$H$35,MATCH($D266,RentsUA!$A$12:$H$12,0),FALSE))</f>
        <v/>
      </c>
      <c r="Z266" s="410" t="str">
        <f t="shared" si="55"/>
        <v/>
      </c>
      <c r="AA266" s="1297" t="str">
        <f>IF(H266="","",IF(G266/HLOOKUP($H266,RentsUA!$M$8:$T$9,2,FALSE)&gt;1,"&gt; 80%","&lt;= 80%"))</f>
        <v/>
      </c>
      <c r="AB266" s="1106"/>
      <c r="AC266" s="1106"/>
      <c r="AD266" s="622"/>
      <c r="AE266" s="412"/>
      <c r="AF266" s="807" t="str">
        <f>IF(AD266="","",IF(AD266=Lists!$U$3,M266,IF(AD266=Lists!$U$4,V266,IF(AD266=Lists!$U$5,Y266-L266,AE266))))</f>
        <v/>
      </c>
      <c r="AG266" s="410" t="str">
        <f t="shared" si="56"/>
        <v/>
      </c>
      <c r="AH266" s="469" t="str">
        <f t="shared" si="57"/>
        <v/>
      </c>
      <c r="AI266" s="469" t="str">
        <f>IF($AF266=0,0,IFERROR(($L266+$AF266)/(HLOOKUP($D266,RentsUA!$K$12:$Q$35,19,FALSE)),""))</f>
        <v/>
      </c>
      <c r="AJ266" s="469" t="str">
        <f>IF($AF266=0,0,IFERROR(($AF266+K266+L266)/(HLOOKUP($D266,RentsUA!$K$12:$Q$35,19,FALSE)),""))</f>
        <v/>
      </c>
      <c r="AK266" s="469" t="str">
        <f t="shared" si="60"/>
        <v/>
      </c>
      <c r="AL266" s="469" t="str">
        <f t="shared" si="61"/>
        <v/>
      </c>
      <c r="AM266" s="1106" t="str">
        <f t="shared" si="62"/>
        <v/>
      </c>
      <c r="AN266" s="1106" t="str">
        <f>IFERROR(AM266*(1+'7a.20YrDetails'!$F$9),"")</f>
        <v/>
      </c>
      <c r="AO266" s="1106" t="str">
        <f>IFERROR(AN266*(1+'7a.20YrDetails'!$F$9),"")</f>
        <v/>
      </c>
      <c r="AP266" s="1106" t="str">
        <f>IFERROR(AO266*(1+'7a.20YrDetails'!$F$9),"")</f>
        <v/>
      </c>
      <c r="AQ266" s="1106" t="str">
        <f>IFERROR(AP266*(1+'7a.20YrDetails'!$F$9),"")</f>
        <v/>
      </c>
      <c r="AR266" s="674"/>
      <c r="AS266" s="672"/>
      <c r="AT266" s="1732" t="str">
        <f>IF($AF266=0,0,IFERROR(($AF266+L266)/(HLOOKUP($D266,RentsUA!$B$61:$H$62,2,FALSE)),""))</f>
        <v/>
      </c>
      <c r="AU266" s="1733" t="str">
        <f>IFERROR(G266/HLOOKUP(H266,RentsUA!$B$40:$I$41,2),"")</f>
        <v/>
      </c>
      <c r="BR266" s="404" t="str">
        <f t="shared" si="63"/>
        <v/>
      </c>
      <c r="BT266" s="404" t="str">
        <f t="shared" si="58"/>
        <v/>
      </c>
    </row>
    <row r="267" spans="1:72" s="404" customFormat="1" ht="13.2">
      <c r="A267" s="406">
        <f t="shared" si="64"/>
        <v>255</v>
      </c>
      <c r="B267" s="472"/>
      <c r="C267" s="470"/>
      <c r="D267" s="407"/>
      <c r="E267" s="407"/>
      <c r="F267" s="408"/>
      <c r="G267" s="409"/>
      <c r="H267" s="407"/>
      <c r="I267" s="1029" t="str">
        <f>IFERROR(G267/HLOOKUP(H267,RentsUA!$B$8:$J$9,2),"")</f>
        <v/>
      </c>
      <c r="J267" s="407"/>
      <c r="K267" s="412"/>
      <c r="L267" s="672">
        <f t="shared" si="53"/>
        <v>0</v>
      </c>
      <c r="M267" s="671"/>
      <c r="N267" s="410">
        <f t="shared" si="54"/>
        <v>0</v>
      </c>
      <c r="O267" s="469" t="str">
        <f>IF($M267=0,"",IFERROR(($L267+$M267)/(HLOOKUP($D267,RentsUA!$K$12:$Q$35,19,FALSE)),""))</f>
        <v/>
      </c>
      <c r="P267" s="469" t="str">
        <f>IF($M267=0,"",IFERROR(($M267+K267+L267)/(HLOOKUP($D267,RentsUA!$K$12:$Q$35,19,FALSE)),""))</f>
        <v/>
      </c>
      <c r="Q267" s="411"/>
      <c r="R267" s="673" t="str">
        <f>IF($Q267=0,"",VLOOKUP($Q267,RentsUA!$A$12:$H$35,MATCH($D267,RentsUA!$A$12:$H$12,0),FALSE))</f>
        <v/>
      </c>
      <c r="S267" s="409"/>
      <c r="T267" s="674"/>
      <c r="U267" s="672"/>
      <c r="V267" s="673" t="str">
        <f t="shared" si="59"/>
        <v/>
      </c>
      <c r="W267" s="470"/>
      <c r="X267" s="411"/>
      <c r="Y267" s="410" t="str">
        <f>IF(X267=0,"",VLOOKUP($X267,RentsUA!$A$12:$H$35,MATCH($D267,RentsUA!$A$12:$H$12,0),FALSE))</f>
        <v/>
      </c>
      <c r="Z267" s="410" t="str">
        <f t="shared" si="55"/>
        <v/>
      </c>
      <c r="AA267" s="1297" t="str">
        <f>IF(H267="","",IF(G267/HLOOKUP($H267,RentsUA!$M$8:$T$9,2,FALSE)&gt;1,"&gt; 80%","&lt;= 80%"))</f>
        <v/>
      </c>
      <c r="AB267" s="1106"/>
      <c r="AC267" s="1106"/>
      <c r="AD267" s="622"/>
      <c r="AE267" s="412"/>
      <c r="AF267" s="807" t="str">
        <f>IF(AD267="","",IF(AD267=Lists!$U$3,M267,IF(AD267=Lists!$U$4,V267,IF(AD267=Lists!$U$5,Y267-L267,AE267))))</f>
        <v/>
      </c>
      <c r="AG267" s="410" t="str">
        <f t="shared" si="56"/>
        <v/>
      </c>
      <c r="AH267" s="469" t="str">
        <f t="shared" si="57"/>
        <v/>
      </c>
      <c r="AI267" s="469" t="str">
        <f>IF($AF267=0,0,IFERROR(($L267+$AF267)/(HLOOKUP($D267,RentsUA!$K$12:$Q$35,19,FALSE)),""))</f>
        <v/>
      </c>
      <c r="AJ267" s="469" t="str">
        <f>IF($AF267=0,0,IFERROR(($AF267+K267+L267)/(HLOOKUP($D267,RentsUA!$K$12:$Q$35,19,FALSE)),""))</f>
        <v/>
      </c>
      <c r="AK267" s="469" t="str">
        <f t="shared" si="60"/>
        <v/>
      </c>
      <c r="AL267" s="469" t="str">
        <f t="shared" si="61"/>
        <v/>
      </c>
      <c r="AM267" s="1106" t="str">
        <f t="shared" si="62"/>
        <v/>
      </c>
      <c r="AN267" s="1106" t="str">
        <f>IFERROR(AM267*(1+'7a.20YrDetails'!$F$9),"")</f>
        <v/>
      </c>
      <c r="AO267" s="1106" t="str">
        <f>IFERROR(AN267*(1+'7a.20YrDetails'!$F$9),"")</f>
        <v/>
      </c>
      <c r="AP267" s="1106" t="str">
        <f>IFERROR(AO267*(1+'7a.20YrDetails'!$F$9),"")</f>
        <v/>
      </c>
      <c r="AQ267" s="1106" t="str">
        <f>IFERROR(AP267*(1+'7a.20YrDetails'!$F$9),"")</f>
        <v/>
      </c>
      <c r="AR267" s="674"/>
      <c r="AS267" s="672"/>
      <c r="AT267" s="1732" t="str">
        <f>IF($AF267=0,0,IFERROR(($AF267+L267)/(HLOOKUP($D267,RentsUA!$B$61:$H$62,2,FALSE)),""))</f>
        <v/>
      </c>
      <c r="AU267" s="1733" t="str">
        <f>IFERROR(G267/HLOOKUP(H267,RentsUA!$B$40:$I$41,2),"")</f>
        <v/>
      </c>
      <c r="BR267" s="404" t="str">
        <f t="shared" si="63"/>
        <v/>
      </c>
      <c r="BT267" s="404" t="str">
        <f t="shared" si="58"/>
        <v/>
      </c>
    </row>
    <row r="268" spans="1:72" s="404" customFormat="1" ht="13.2">
      <c r="A268" s="406">
        <f t="shared" si="64"/>
        <v>256</v>
      </c>
      <c r="B268" s="472"/>
      <c r="C268" s="470"/>
      <c r="D268" s="407"/>
      <c r="E268" s="407"/>
      <c r="F268" s="408"/>
      <c r="G268" s="409"/>
      <c r="H268" s="407"/>
      <c r="I268" s="1029" t="str">
        <f>IFERROR(G268/HLOOKUP(H268,RentsUA!$B$8:$J$9,2),"")</f>
        <v/>
      </c>
      <c r="J268" s="407"/>
      <c r="K268" s="412"/>
      <c r="L268" s="672">
        <f t="shared" si="53"/>
        <v>0</v>
      </c>
      <c r="M268" s="671"/>
      <c r="N268" s="410">
        <f t="shared" si="54"/>
        <v>0</v>
      </c>
      <c r="O268" s="469" t="str">
        <f>IF($M268=0,"",IFERROR(($L268+$M268)/(HLOOKUP($D268,RentsUA!$K$12:$Q$35,19,FALSE)),""))</f>
        <v/>
      </c>
      <c r="P268" s="469" t="str">
        <f>IF($M268=0,"",IFERROR(($M268+K268+L268)/(HLOOKUP($D268,RentsUA!$K$12:$Q$35,19,FALSE)),""))</f>
        <v/>
      </c>
      <c r="Q268" s="411"/>
      <c r="R268" s="673" t="str">
        <f>IF($Q268=0,"",VLOOKUP($Q268,RentsUA!$A$12:$H$35,MATCH($D268,RentsUA!$A$12:$H$12,0),FALSE))</f>
        <v/>
      </c>
      <c r="S268" s="409"/>
      <c r="T268" s="674"/>
      <c r="U268" s="672"/>
      <c r="V268" s="673" t="str">
        <f t="shared" si="59"/>
        <v/>
      </c>
      <c r="W268" s="470"/>
      <c r="X268" s="411"/>
      <c r="Y268" s="410" t="str">
        <f>IF(X268=0,"",VLOOKUP($X268,RentsUA!$A$12:$H$35,MATCH($D268,RentsUA!$A$12:$H$12,0),FALSE))</f>
        <v/>
      </c>
      <c r="Z268" s="410" t="str">
        <f t="shared" si="55"/>
        <v/>
      </c>
      <c r="AA268" s="1297" t="str">
        <f>IF(H268="","",IF(G268/HLOOKUP($H268,RentsUA!$M$8:$T$9,2,FALSE)&gt;1,"&gt; 80%","&lt;= 80%"))</f>
        <v/>
      </c>
      <c r="AB268" s="1106"/>
      <c r="AC268" s="1106"/>
      <c r="AD268" s="622"/>
      <c r="AE268" s="412"/>
      <c r="AF268" s="807" t="str">
        <f>IF(AD268="","",IF(AD268=Lists!$U$3,M268,IF(AD268=Lists!$U$4,V268,IF(AD268=Lists!$U$5,Y268-L268,AE268))))</f>
        <v/>
      </c>
      <c r="AG268" s="410" t="str">
        <f t="shared" si="56"/>
        <v/>
      </c>
      <c r="AH268" s="469" t="str">
        <f t="shared" si="57"/>
        <v/>
      </c>
      <c r="AI268" s="469" t="str">
        <f>IF($AF268=0,0,IFERROR(($L268+$AF268)/(HLOOKUP($D268,RentsUA!$K$12:$Q$35,19,FALSE)),""))</f>
        <v/>
      </c>
      <c r="AJ268" s="469" t="str">
        <f>IF($AF268=0,0,IFERROR(($AF268+K268+L268)/(HLOOKUP($D268,RentsUA!$K$12:$Q$35,19,FALSE)),""))</f>
        <v/>
      </c>
      <c r="AK268" s="469" t="str">
        <f t="shared" si="60"/>
        <v/>
      </c>
      <c r="AL268" s="469" t="str">
        <f t="shared" si="61"/>
        <v/>
      </c>
      <c r="AM268" s="1106" t="str">
        <f t="shared" si="62"/>
        <v/>
      </c>
      <c r="AN268" s="1106" t="str">
        <f>IFERROR(AM268*(1+'7a.20YrDetails'!$F$9),"")</f>
        <v/>
      </c>
      <c r="AO268" s="1106" t="str">
        <f>IFERROR(AN268*(1+'7a.20YrDetails'!$F$9),"")</f>
        <v/>
      </c>
      <c r="AP268" s="1106" t="str">
        <f>IFERROR(AO268*(1+'7a.20YrDetails'!$F$9),"")</f>
        <v/>
      </c>
      <c r="AQ268" s="1106" t="str">
        <f>IFERROR(AP268*(1+'7a.20YrDetails'!$F$9),"")</f>
        <v/>
      </c>
      <c r="AR268" s="674"/>
      <c r="AS268" s="672"/>
      <c r="AT268" s="1732" t="str">
        <f>IF($AF268=0,0,IFERROR(($AF268+L268)/(HLOOKUP($D268,RentsUA!$B$61:$H$62,2,FALSE)),""))</f>
        <v/>
      </c>
      <c r="AU268" s="1733" t="str">
        <f>IFERROR(G268/HLOOKUP(H268,RentsUA!$B$40:$I$41,2),"")</f>
        <v/>
      </c>
      <c r="BR268" s="404" t="str">
        <f t="shared" si="63"/>
        <v/>
      </c>
      <c r="BT268" s="404" t="str">
        <f t="shared" si="58"/>
        <v/>
      </c>
    </row>
    <row r="269" spans="1:72" s="404" customFormat="1" ht="13.2">
      <c r="A269" s="406">
        <f t="shared" si="64"/>
        <v>257</v>
      </c>
      <c r="B269" s="472"/>
      <c r="C269" s="470"/>
      <c r="D269" s="407"/>
      <c r="E269" s="407"/>
      <c r="F269" s="408"/>
      <c r="G269" s="409"/>
      <c r="H269" s="407"/>
      <c r="I269" s="1029" t="str">
        <f>IFERROR(G269/HLOOKUP(H269,RentsUA!$B$8:$J$9,2),"")</f>
        <v/>
      </c>
      <c r="J269" s="407"/>
      <c r="K269" s="412"/>
      <c r="L269" s="672">
        <f t="shared" ref="L269:L332" si="65">IF(D269="",0,HLOOKUP($D269,UA,7,FALSE))</f>
        <v>0</v>
      </c>
      <c r="M269" s="671"/>
      <c r="N269" s="410">
        <f t="shared" ref="N269:N332" si="66">M269+L269</f>
        <v>0</v>
      </c>
      <c r="O269" s="469" t="str">
        <f>IF($M269=0,"",IFERROR(($L269+$M269)/(HLOOKUP($D269,RentsUA!$K$12:$Q$35,19,FALSE)),""))</f>
        <v/>
      </c>
      <c r="P269" s="469" t="str">
        <f>IF($M269=0,"",IFERROR(($M269+K269+L269)/(HLOOKUP($D269,RentsUA!$K$12:$Q$35,19,FALSE)),""))</f>
        <v/>
      </c>
      <c r="Q269" s="411"/>
      <c r="R269" s="673" t="str">
        <f>IF($Q269=0,"",VLOOKUP($Q269,RentsUA!$A$12:$H$35,MATCH($D269,RentsUA!$A$12:$H$12,0),FALSE))</f>
        <v/>
      </c>
      <c r="S269" s="409"/>
      <c r="T269" s="674"/>
      <c r="U269" s="672"/>
      <c r="V269" s="673" t="str">
        <f t="shared" si="59"/>
        <v/>
      </c>
      <c r="W269" s="470"/>
      <c r="X269" s="411"/>
      <c r="Y269" s="410" t="str">
        <f>IF(X269=0,"",VLOOKUP($X269,RentsUA!$A$12:$H$35,MATCH($D269,RentsUA!$A$12:$H$12,0),FALSE))</f>
        <v/>
      </c>
      <c r="Z269" s="410" t="str">
        <f t="shared" ref="Z269:Z332" si="67">IF(Y269&lt;&gt;"",Y269-L269,"")</f>
        <v/>
      </c>
      <c r="AA269" s="1297" t="str">
        <f>IF(H269="","",IF(G269/HLOOKUP($H269,RentsUA!$M$8:$T$9,2,FALSE)&gt;1,"&gt; 80%","&lt;= 80%"))</f>
        <v/>
      </c>
      <c r="AB269" s="1106"/>
      <c r="AC269" s="1106"/>
      <c r="AD269" s="622"/>
      <c r="AE269" s="412"/>
      <c r="AF269" s="807" t="str">
        <f>IF(AD269="","",IF(AD269=Lists!$U$3,M269,IF(AD269=Lists!$U$4,V269,IF(AD269=Lists!$U$5,Y269-L269,AE269))))</f>
        <v/>
      </c>
      <c r="AG269" s="410" t="str">
        <f t="shared" ref="AG269:AG332" si="68">IFERROR(AF269+L269,"")</f>
        <v/>
      </c>
      <c r="AH269" s="469" t="str">
        <f t="shared" ref="AH269:AH332" si="69">IFERROR(($AF269-$M269)/$M269,"")</f>
        <v/>
      </c>
      <c r="AI269" s="469" t="str">
        <f>IF($AF269=0,0,IFERROR(($L269+$AF269)/(HLOOKUP($D269,RentsUA!$K$12:$Q$35,19,FALSE)),""))</f>
        <v/>
      </c>
      <c r="AJ269" s="469" t="str">
        <f>IF($AF269=0,0,IFERROR(($AF269+K269+L269)/(HLOOKUP($D269,RentsUA!$K$12:$Q$35,19,FALSE)),""))</f>
        <v/>
      </c>
      <c r="AK269" s="469" t="str">
        <f t="shared" si="60"/>
        <v/>
      </c>
      <c r="AL269" s="469" t="str">
        <f t="shared" si="61"/>
        <v/>
      </c>
      <c r="AM269" s="1106" t="str">
        <f t="shared" si="62"/>
        <v/>
      </c>
      <c r="AN269" s="1106" t="str">
        <f>IFERROR(AM269*(1+'7a.20YrDetails'!$F$9),"")</f>
        <v/>
      </c>
      <c r="AO269" s="1106" t="str">
        <f>IFERROR(AN269*(1+'7a.20YrDetails'!$F$9),"")</f>
        <v/>
      </c>
      <c r="AP269" s="1106" t="str">
        <f>IFERROR(AO269*(1+'7a.20YrDetails'!$F$9),"")</f>
        <v/>
      </c>
      <c r="AQ269" s="1106" t="str">
        <f>IFERROR(AP269*(1+'7a.20YrDetails'!$F$9),"")</f>
        <v/>
      </c>
      <c r="AR269" s="674"/>
      <c r="AS269" s="672"/>
      <c r="AT269" s="1732" t="str">
        <f>IF($AF269=0,0,IFERROR(($AF269+L269)/(HLOOKUP($D269,RentsUA!$B$61:$H$62,2,FALSE)),""))</f>
        <v/>
      </c>
      <c r="AU269" s="1733" t="str">
        <f>IFERROR(G269/HLOOKUP(H269,RentsUA!$B$40:$I$41,2),"")</f>
        <v/>
      </c>
      <c r="BR269" s="404" t="str">
        <f t="shared" si="63"/>
        <v/>
      </c>
      <c r="BT269" s="404" t="str">
        <f t="shared" ref="BT269:BT332" si="70">IF(X269="","",CONCATENATE("MOHCD ",X269*100,"%"))</f>
        <v/>
      </c>
    </row>
    <row r="270" spans="1:72" s="404" customFormat="1" ht="13.2">
      <c r="A270" s="406">
        <f t="shared" si="64"/>
        <v>258</v>
      </c>
      <c r="B270" s="472"/>
      <c r="C270" s="470"/>
      <c r="D270" s="407"/>
      <c r="E270" s="407"/>
      <c r="F270" s="408"/>
      <c r="G270" s="409"/>
      <c r="H270" s="407"/>
      <c r="I270" s="1029" t="str">
        <f>IFERROR(G270/HLOOKUP(H270,RentsUA!$B$8:$J$9,2),"")</f>
        <v/>
      </c>
      <c r="J270" s="407"/>
      <c r="K270" s="412"/>
      <c r="L270" s="672">
        <f t="shared" si="65"/>
        <v>0</v>
      </c>
      <c r="M270" s="671"/>
      <c r="N270" s="410">
        <f t="shared" si="66"/>
        <v>0</v>
      </c>
      <c r="O270" s="469" t="str">
        <f>IF($M270=0,"",IFERROR(($L270+$M270)/(HLOOKUP($D270,RentsUA!$K$12:$Q$35,19,FALSE)),""))</f>
        <v/>
      </c>
      <c r="P270" s="469" t="str">
        <f>IF($M270=0,"",IFERROR(($M270+K270+L270)/(HLOOKUP($D270,RentsUA!$K$12:$Q$35,19,FALSE)),""))</f>
        <v/>
      </c>
      <c r="Q270" s="411"/>
      <c r="R270" s="673" t="str">
        <f>IF($Q270=0,"",VLOOKUP($Q270,RentsUA!$A$12:$H$35,MATCH($D270,RentsUA!$A$12:$H$12,0),FALSE))</f>
        <v/>
      </c>
      <c r="S270" s="409"/>
      <c r="T270" s="674"/>
      <c r="U270" s="672"/>
      <c r="V270" s="673" t="str">
        <f t="shared" ref="V270:V333" si="71">IF(Q270&lt;&gt;"",R270-L270,IF(U270&lt;&gt;0,U270-L270,""))</f>
        <v/>
      </c>
      <c r="W270" s="470"/>
      <c r="X270" s="411"/>
      <c r="Y270" s="410" t="str">
        <f>IF(X270=0,"",VLOOKUP($X270,RentsUA!$A$12:$H$35,MATCH($D270,RentsUA!$A$12:$H$12,0),FALSE))</f>
        <v/>
      </c>
      <c r="Z270" s="410" t="str">
        <f t="shared" si="67"/>
        <v/>
      </c>
      <c r="AA270" s="1297" t="str">
        <f>IF(H270="","",IF(G270/HLOOKUP($H270,RentsUA!$M$8:$T$9,2,FALSE)&gt;1,"&gt; 80%","&lt;= 80%"))</f>
        <v/>
      </c>
      <c r="AB270" s="1106"/>
      <c r="AC270" s="1106"/>
      <c r="AD270" s="622"/>
      <c r="AE270" s="412"/>
      <c r="AF270" s="807" t="str">
        <f>IF(AD270="","",IF(AD270=Lists!$U$3,M270,IF(AD270=Lists!$U$4,V270,IF(AD270=Lists!$U$5,Y270-L270,AE270))))</f>
        <v/>
      </c>
      <c r="AG270" s="410" t="str">
        <f t="shared" si="68"/>
        <v/>
      </c>
      <c r="AH270" s="469" t="str">
        <f t="shared" si="69"/>
        <v/>
      </c>
      <c r="AI270" s="469" t="str">
        <f>IF($AF270=0,0,IFERROR(($L270+$AF270)/(HLOOKUP($D270,RentsUA!$K$12:$Q$35,19,FALSE)),""))</f>
        <v/>
      </c>
      <c r="AJ270" s="469" t="str">
        <f>IF($AF270=0,0,IFERROR(($AF270+K270+L270)/(HLOOKUP($D270,RentsUA!$K$12:$Q$35,19,FALSE)),""))</f>
        <v/>
      </c>
      <c r="AK270" s="469" t="str">
        <f t="shared" ref="AK270:AK333" si="72">IFERROR(AG270*12/G270,"")</f>
        <v/>
      </c>
      <c r="AL270" s="469" t="str">
        <f t="shared" ref="AL270:AL333" si="73">IFERROR(AF270*12/$G270,"")</f>
        <v/>
      </c>
      <c r="AM270" s="1106" t="str">
        <f t="shared" ref="AM270:AM333" si="74">AF270</f>
        <v/>
      </c>
      <c r="AN270" s="1106" t="str">
        <f>IFERROR(AM270*(1+'7a.20YrDetails'!$F$9),"")</f>
        <v/>
      </c>
      <c r="AO270" s="1106" t="str">
        <f>IFERROR(AN270*(1+'7a.20YrDetails'!$F$9),"")</f>
        <v/>
      </c>
      <c r="AP270" s="1106" t="str">
        <f>IFERROR(AO270*(1+'7a.20YrDetails'!$F$9),"")</f>
        <v/>
      </c>
      <c r="AQ270" s="1106" t="str">
        <f>IFERROR(AP270*(1+'7a.20YrDetails'!$F$9),"")</f>
        <v/>
      </c>
      <c r="AR270" s="674"/>
      <c r="AS270" s="672"/>
      <c r="AT270" s="1732" t="str">
        <f>IF($AF270=0,0,IFERROR(($AF270+L270)/(HLOOKUP($D270,RentsUA!$B$61:$H$62,2,FALSE)),""))</f>
        <v/>
      </c>
      <c r="AU270" s="1733" t="str">
        <f>IFERROR(G270/HLOOKUP(H270,RentsUA!$B$40:$I$41,2),"")</f>
        <v/>
      </c>
      <c r="BR270" s="404" t="str">
        <f t="shared" ref="BR270:BR333" si="75">IF(Q270&lt;&gt;"","MOHCD "&amp;Q270*100&amp;"%",IF(AND(Q270="",S270&lt;&gt;""),CONCATENATE(S270, " ",T270*100,"%"),""))</f>
        <v/>
      </c>
      <c r="BT270" s="404" t="str">
        <f t="shared" si="70"/>
        <v/>
      </c>
    </row>
    <row r="271" spans="1:72" s="404" customFormat="1" ht="13.2">
      <c r="A271" s="406">
        <f t="shared" ref="A271:A334" si="76">A270+1</f>
        <v>259</v>
      </c>
      <c r="B271" s="472"/>
      <c r="C271" s="470"/>
      <c r="D271" s="407"/>
      <c r="E271" s="407"/>
      <c r="F271" s="408"/>
      <c r="G271" s="409"/>
      <c r="H271" s="407"/>
      <c r="I271" s="1029" t="str">
        <f>IFERROR(G271/HLOOKUP(H271,RentsUA!$B$8:$J$9,2),"")</f>
        <v/>
      </c>
      <c r="J271" s="407"/>
      <c r="K271" s="412"/>
      <c r="L271" s="672">
        <f t="shared" si="65"/>
        <v>0</v>
      </c>
      <c r="M271" s="671"/>
      <c r="N271" s="410">
        <f t="shared" si="66"/>
        <v>0</v>
      </c>
      <c r="O271" s="469" t="str">
        <f>IF($M271=0,"",IFERROR(($L271+$M271)/(HLOOKUP($D271,RentsUA!$K$12:$Q$35,19,FALSE)),""))</f>
        <v/>
      </c>
      <c r="P271" s="469" t="str">
        <f>IF($M271=0,"",IFERROR(($M271+K271+L271)/(HLOOKUP($D271,RentsUA!$K$12:$Q$35,19,FALSE)),""))</f>
        <v/>
      </c>
      <c r="Q271" s="411"/>
      <c r="R271" s="673" t="str">
        <f>IF($Q271=0,"",VLOOKUP($Q271,RentsUA!$A$12:$H$35,MATCH($D271,RentsUA!$A$12:$H$12,0),FALSE))</f>
        <v/>
      </c>
      <c r="S271" s="409"/>
      <c r="T271" s="674"/>
      <c r="U271" s="672"/>
      <c r="V271" s="673" t="str">
        <f t="shared" si="71"/>
        <v/>
      </c>
      <c r="W271" s="470"/>
      <c r="X271" s="411"/>
      <c r="Y271" s="410" t="str">
        <f>IF(X271=0,"",VLOOKUP($X271,RentsUA!$A$12:$H$35,MATCH($D271,RentsUA!$A$12:$H$12,0),FALSE))</f>
        <v/>
      </c>
      <c r="Z271" s="410" t="str">
        <f t="shared" si="67"/>
        <v/>
      </c>
      <c r="AA271" s="1297" t="str">
        <f>IF(H271="","",IF(G271/HLOOKUP($H271,RentsUA!$M$8:$T$9,2,FALSE)&gt;1,"&gt; 80%","&lt;= 80%"))</f>
        <v/>
      </c>
      <c r="AB271" s="1106"/>
      <c r="AC271" s="1106"/>
      <c r="AD271" s="622"/>
      <c r="AE271" s="412"/>
      <c r="AF271" s="807" t="str">
        <f>IF(AD271="","",IF(AD271=Lists!$U$3,M271,IF(AD271=Lists!$U$4,V271,IF(AD271=Lists!$U$5,Y271-L271,AE271))))</f>
        <v/>
      </c>
      <c r="AG271" s="410" t="str">
        <f t="shared" si="68"/>
        <v/>
      </c>
      <c r="AH271" s="469" t="str">
        <f t="shared" si="69"/>
        <v/>
      </c>
      <c r="AI271" s="469" t="str">
        <f>IF($AF271=0,0,IFERROR(($L271+$AF271)/(HLOOKUP($D271,RentsUA!$K$12:$Q$35,19,FALSE)),""))</f>
        <v/>
      </c>
      <c r="AJ271" s="469" t="str">
        <f>IF($AF271=0,0,IFERROR(($AF271+K271+L271)/(HLOOKUP($D271,RentsUA!$K$12:$Q$35,19,FALSE)),""))</f>
        <v/>
      </c>
      <c r="AK271" s="469" t="str">
        <f t="shared" si="72"/>
        <v/>
      </c>
      <c r="AL271" s="469" t="str">
        <f t="shared" si="73"/>
        <v/>
      </c>
      <c r="AM271" s="1106" t="str">
        <f t="shared" si="74"/>
        <v/>
      </c>
      <c r="AN271" s="1106" t="str">
        <f>IFERROR(AM271*(1+'7a.20YrDetails'!$F$9),"")</f>
        <v/>
      </c>
      <c r="AO271" s="1106" t="str">
        <f>IFERROR(AN271*(1+'7a.20YrDetails'!$F$9),"")</f>
        <v/>
      </c>
      <c r="AP271" s="1106" t="str">
        <f>IFERROR(AO271*(1+'7a.20YrDetails'!$F$9),"")</f>
        <v/>
      </c>
      <c r="AQ271" s="1106" t="str">
        <f>IFERROR(AP271*(1+'7a.20YrDetails'!$F$9),"")</f>
        <v/>
      </c>
      <c r="AR271" s="674"/>
      <c r="AS271" s="672"/>
      <c r="AT271" s="1732" t="str">
        <f>IF($AF271=0,0,IFERROR(($AF271+L271)/(HLOOKUP($D271,RentsUA!$B$61:$H$62,2,FALSE)),""))</f>
        <v/>
      </c>
      <c r="AU271" s="1733" t="str">
        <f>IFERROR(G271/HLOOKUP(H271,RentsUA!$B$40:$I$41,2),"")</f>
        <v/>
      </c>
      <c r="BR271" s="404" t="str">
        <f t="shared" si="75"/>
        <v/>
      </c>
      <c r="BT271" s="404" t="str">
        <f t="shared" si="70"/>
        <v/>
      </c>
    </row>
    <row r="272" spans="1:72" s="404" customFormat="1" ht="13.2">
      <c r="A272" s="406">
        <f t="shared" si="76"/>
        <v>260</v>
      </c>
      <c r="B272" s="472"/>
      <c r="C272" s="470"/>
      <c r="D272" s="407"/>
      <c r="E272" s="407"/>
      <c r="F272" s="408"/>
      <c r="G272" s="409"/>
      <c r="H272" s="407"/>
      <c r="I272" s="1029" t="str">
        <f>IFERROR(G272/HLOOKUP(H272,RentsUA!$B$8:$J$9,2),"")</f>
        <v/>
      </c>
      <c r="J272" s="407"/>
      <c r="K272" s="412"/>
      <c r="L272" s="672">
        <f t="shared" si="65"/>
        <v>0</v>
      </c>
      <c r="M272" s="671"/>
      <c r="N272" s="410">
        <f t="shared" si="66"/>
        <v>0</v>
      </c>
      <c r="O272" s="469" t="str">
        <f>IF($M272=0,"",IFERROR(($L272+$M272)/(HLOOKUP($D272,RentsUA!$K$12:$Q$35,19,FALSE)),""))</f>
        <v/>
      </c>
      <c r="P272" s="469" t="str">
        <f>IF($M272=0,"",IFERROR(($M272+K272+L272)/(HLOOKUP($D272,RentsUA!$K$12:$Q$35,19,FALSE)),""))</f>
        <v/>
      </c>
      <c r="Q272" s="411"/>
      <c r="R272" s="673" t="str">
        <f>IF($Q272=0,"",VLOOKUP($Q272,RentsUA!$A$12:$H$35,MATCH($D272,RentsUA!$A$12:$H$12,0),FALSE))</f>
        <v/>
      </c>
      <c r="S272" s="409"/>
      <c r="T272" s="674"/>
      <c r="U272" s="672"/>
      <c r="V272" s="673" t="str">
        <f t="shared" si="71"/>
        <v/>
      </c>
      <c r="W272" s="470"/>
      <c r="X272" s="411"/>
      <c r="Y272" s="410" t="str">
        <f>IF(X272=0,"",VLOOKUP($X272,RentsUA!$A$12:$H$35,MATCH($D272,RentsUA!$A$12:$H$12,0),FALSE))</f>
        <v/>
      </c>
      <c r="Z272" s="410" t="str">
        <f t="shared" si="67"/>
        <v/>
      </c>
      <c r="AA272" s="1297" t="str">
        <f>IF(H272="","",IF(G272/HLOOKUP($H272,RentsUA!$M$8:$T$9,2,FALSE)&gt;1,"&gt; 80%","&lt;= 80%"))</f>
        <v/>
      </c>
      <c r="AB272" s="1106"/>
      <c r="AC272" s="1106"/>
      <c r="AD272" s="622"/>
      <c r="AE272" s="412"/>
      <c r="AF272" s="807" t="str">
        <f>IF(AD272="","",IF(AD272=Lists!$U$3,M272,IF(AD272=Lists!$U$4,V272,IF(AD272=Lists!$U$5,Y272-L272,AE272))))</f>
        <v/>
      </c>
      <c r="AG272" s="410" t="str">
        <f t="shared" si="68"/>
        <v/>
      </c>
      <c r="AH272" s="469" t="str">
        <f t="shared" si="69"/>
        <v/>
      </c>
      <c r="AI272" s="469" t="str">
        <f>IF($AF272=0,0,IFERROR(($L272+$AF272)/(HLOOKUP($D272,RentsUA!$K$12:$Q$35,19,FALSE)),""))</f>
        <v/>
      </c>
      <c r="AJ272" s="469" t="str">
        <f>IF($AF272=0,0,IFERROR(($AF272+K272+L272)/(HLOOKUP($D272,RentsUA!$K$12:$Q$35,19,FALSE)),""))</f>
        <v/>
      </c>
      <c r="AK272" s="469" t="str">
        <f t="shared" si="72"/>
        <v/>
      </c>
      <c r="AL272" s="469" t="str">
        <f t="shared" si="73"/>
        <v/>
      </c>
      <c r="AM272" s="1106" t="str">
        <f t="shared" si="74"/>
        <v/>
      </c>
      <c r="AN272" s="1106" t="str">
        <f>IFERROR(AM272*(1+'7a.20YrDetails'!$F$9),"")</f>
        <v/>
      </c>
      <c r="AO272" s="1106" t="str">
        <f>IFERROR(AN272*(1+'7a.20YrDetails'!$F$9),"")</f>
        <v/>
      </c>
      <c r="AP272" s="1106" t="str">
        <f>IFERROR(AO272*(1+'7a.20YrDetails'!$F$9),"")</f>
        <v/>
      </c>
      <c r="AQ272" s="1106" t="str">
        <f>IFERROR(AP272*(1+'7a.20YrDetails'!$F$9),"")</f>
        <v/>
      </c>
      <c r="AR272" s="674"/>
      <c r="AS272" s="672"/>
      <c r="AT272" s="1732" t="str">
        <f>IF($AF272=0,0,IFERROR(($AF272+L272)/(HLOOKUP($D272,RentsUA!$B$61:$H$62,2,FALSE)),""))</f>
        <v/>
      </c>
      <c r="AU272" s="1733" t="str">
        <f>IFERROR(G272/HLOOKUP(H272,RentsUA!$B$40:$I$41,2),"")</f>
        <v/>
      </c>
      <c r="BR272" s="404" t="str">
        <f t="shared" si="75"/>
        <v/>
      </c>
      <c r="BT272" s="404" t="str">
        <f t="shared" si="70"/>
        <v/>
      </c>
    </row>
    <row r="273" spans="1:72" s="404" customFormat="1" ht="13.2">
      <c r="A273" s="406">
        <f t="shared" si="76"/>
        <v>261</v>
      </c>
      <c r="B273" s="472"/>
      <c r="C273" s="470"/>
      <c r="D273" s="407"/>
      <c r="E273" s="407"/>
      <c r="F273" s="408"/>
      <c r="G273" s="409"/>
      <c r="H273" s="407"/>
      <c r="I273" s="1029" t="str">
        <f>IFERROR(G273/HLOOKUP(H273,RentsUA!$B$8:$J$9,2),"")</f>
        <v/>
      </c>
      <c r="J273" s="407"/>
      <c r="K273" s="412"/>
      <c r="L273" s="672">
        <f t="shared" si="65"/>
        <v>0</v>
      </c>
      <c r="M273" s="671"/>
      <c r="N273" s="410">
        <f t="shared" si="66"/>
        <v>0</v>
      </c>
      <c r="O273" s="469" t="str">
        <f>IF($M273=0,"",IFERROR(($L273+$M273)/(HLOOKUP($D273,RentsUA!$K$12:$Q$35,19,FALSE)),""))</f>
        <v/>
      </c>
      <c r="P273" s="469" t="str">
        <f>IF($M273=0,"",IFERROR(($M273+K273+L273)/(HLOOKUP($D273,RentsUA!$K$12:$Q$35,19,FALSE)),""))</f>
        <v/>
      </c>
      <c r="Q273" s="411"/>
      <c r="R273" s="673" t="str">
        <f>IF($Q273=0,"",VLOOKUP($Q273,RentsUA!$A$12:$H$35,MATCH($D273,RentsUA!$A$12:$H$12,0),FALSE))</f>
        <v/>
      </c>
      <c r="S273" s="409"/>
      <c r="T273" s="674"/>
      <c r="U273" s="672"/>
      <c r="V273" s="673" t="str">
        <f t="shared" si="71"/>
        <v/>
      </c>
      <c r="W273" s="470"/>
      <c r="X273" s="411"/>
      <c r="Y273" s="410" t="str">
        <f>IF(X273=0,"",VLOOKUP($X273,RentsUA!$A$12:$H$35,MATCH($D273,RentsUA!$A$12:$H$12,0),FALSE))</f>
        <v/>
      </c>
      <c r="Z273" s="410" t="str">
        <f t="shared" si="67"/>
        <v/>
      </c>
      <c r="AA273" s="1297" t="str">
        <f>IF(H273="","",IF(G273/HLOOKUP($H273,RentsUA!$M$8:$T$9,2,FALSE)&gt;1,"&gt; 80%","&lt;= 80%"))</f>
        <v/>
      </c>
      <c r="AB273" s="1106"/>
      <c r="AC273" s="1106"/>
      <c r="AD273" s="622"/>
      <c r="AE273" s="412"/>
      <c r="AF273" s="807" t="str">
        <f>IF(AD273="","",IF(AD273=Lists!$U$3,M273,IF(AD273=Lists!$U$4,V273,IF(AD273=Lists!$U$5,Y273-L273,AE273))))</f>
        <v/>
      </c>
      <c r="AG273" s="410" t="str">
        <f t="shared" si="68"/>
        <v/>
      </c>
      <c r="AH273" s="469" t="str">
        <f t="shared" si="69"/>
        <v/>
      </c>
      <c r="AI273" s="469" t="str">
        <f>IF($AF273=0,0,IFERROR(($L273+$AF273)/(HLOOKUP($D273,RentsUA!$K$12:$Q$35,19,FALSE)),""))</f>
        <v/>
      </c>
      <c r="AJ273" s="469" t="str">
        <f>IF($AF273=0,0,IFERROR(($AF273+K273+L273)/(HLOOKUP($D273,RentsUA!$K$12:$Q$35,19,FALSE)),""))</f>
        <v/>
      </c>
      <c r="AK273" s="469" t="str">
        <f t="shared" si="72"/>
        <v/>
      </c>
      <c r="AL273" s="469" t="str">
        <f t="shared" si="73"/>
        <v/>
      </c>
      <c r="AM273" s="1106" t="str">
        <f t="shared" si="74"/>
        <v/>
      </c>
      <c r="AN273" s="1106" t="str">
        <f>IFERROR(AM273*(1+'7a.20YrDetails'!$F$9),"")</f>
        <v/>
      </c>
      <c r="AO273" s="1106" t="str">
        <f>IFERROR(AN273*(1+'7a.20YrDetails'!$F$9),"")</f>
        <v/>
      </c>
      <c r="AP273" s="1106" t="str">
        <f>IFERROR(AO273*(1+'7a.20YrDetails'!$F$9),"")</f>
        <v/>
      </c>
      <c r="AQ273" s="1106" t="str">
        <f>IFERROR(AP273*(1+'7a.20YrDetails'!$F$9),"")</f>
        <v/>
      </c>
      <c r="AR273" s="674"/>
      <c r="AS273" s="672"/>
      <c r="AT273" s="1732" t="str">
        <f>IF($AF273=0,0,IFERROR(($AF273+L273)/(HLOOKUP($D273,RentsUA!$B$61:$H$62,2,FALSE)),""))</f>
        <v/>
      </c>
      <c r="AU273" s="1733" t="str">
        <f>IFERROR(G273/HLOOKUP(H273,RentsUA!$B$40:$I$41,2),"")</f>
        <v/>
      </c>
      <c r="BR273" s="404" t="str">
        <f t="shared" si="75"/>
        <v/>
      </c>
      <c r="BT273" s="404" t="str">
        <f t="shared" si="70"/>
        <v/>
      </c>
    </row>
    <row r="274" spans="1:72" s="404" customFormat="1" ht="13.2">
      <c r="A274" s="406">
        <f t="shared" si="76"/>
        <v>262</v>
      </c>
      <c r="B274" s="472"/>
      <c r="C274" s="470"/>
      <c r="D274" s="407"/>
      <c r="E274" s="407"/>
      <c r="F274" s="408"/>
      <c r="G274" s="409"/>
      <c r="H274" s="407"/>
      <c r="I274" s="1029" t="str">
        <f>IFERROR(G274/HLOOKUP(H274,RentsUA!$B$8:$J$9,2),"")</f>
        <v/>
      </c>
      <c r="J274" s="407"/>
      <c r="K274" s="412"/>
      <c r="L274" s="672">
        <f t="shared" si="65"/>
        <v>0</v>
      </c>
      <c r="M274" s="671"/>
      <c r="N274" s="410">
        <f t="shared" si="66"/>
        <v>0</v>
      </c>
      <c r="O274" s="469" t="str">
        <f>IF($M274=0,"",IFERROR(($L274+$M274)/(HLOOKUP($D274,RentsUA!$K$12:$Q$35,19,FALSE)),""))</f>
        <v/>
      </c>
      <c r="P274" s="469" t="str">
        <f>IF($M274=0,"",IFERROR(($M274+K274+L274)/(HLOOKUP($D274,RentsUA!$K$12:$Q$35,19,FALSE)),""))</f>
        <v/>
      </c>
      <c r="Q274" s="411"/>
      <c r="R274" s="673" t="str">
        <f>IF($Q274=0,"",VLOOKUP($Q274,RentsUA!$A$12:$H$35,MATCH($D274,RentsUA!$A$12:$H$12,0),FALSE))</f>
        <v/>
      </c>
      <c r="S274" s="409"/>
      <c r="T274" s="674"/>
      <c r="U274" s="672"/>
      <c r="V274" s="673" t="str">
        <f t="shared" si="71"/>
        <v/>
      </c>
      <c r="W274" s="470"/>
      <c r="X274" s="411"/>
      <c r="Y274" s="410" t="str">
        <f>IF(X274=0,"",VLOOKUP($X274,RentsUA!$A$12:$H$35,MATCH($D274,RentsUA!$A$12:$H$12,0),FALSE))</f>
        <v/>
      </c>
      <c r="Z274" s="410" t="str">
        <f t="shared" si="67"/>
        <v/>
      </c>
      <c r="AA274" s="1297" t="str">
        <f>IF(H274="","",IF(G274/HLOOKUP($H274,RentsUA!$M$8:$T$9,2,FALSE)&gt;1,"&gt; 80%","&lt;= 80%"))</f>
        <v/>
      </c>
      <c r="AB274" s="1106"/>
      <c r="AC274" s="1106"/>
      <c r="AD274" s="622"/>
      <c r="AE274" s="412"/>
      <c r="AF274" s="807" t="str">
        <f>IF(AD274="","",IF(AD274=Lists!$U$3,M274,IF(AD274=Lists!$U$4,V274,IF(AD274=Lists!$U$5,Y274-L274,AE274))))</f>
        <v/>
      </c>
      <c r="AG274" s="410" t="str">
        <f t="shared" si="68"/>
        <v/>
      </c>
      <c r="AH274" s="469" t="str">
        <f t="shared" si="69"/>
        <v/>
      </c>
      <c r="AI274" s="469" t="str">
        <f>IF($AF274=0,0,IFERROR(($L274+$AF274)/(HLOOKUP($D274,RentsUA!$K$12:$Q$35,19,FALSE)),""))</f>
        <v/>
      </c>
      <c r="AJ274" s="469" t="str">
        <f>IF($AF274=0,0,IFERROR(($AF274+K274+L274)/(HLOOKUP($D274,RentsUA!$K$12:$Q$35,19,FALSE)),""))</f>
        <v/>
      </c>
      <c r="AK274" s="469" t="str">
        <f t="shared" si="72"/>
        <v/>
      </c>
      <c r="AL274" s="469" t="str">
        <f t="shared" si="73"/>
        <v/>
      </c>
      <c r="AM274" s="1106" t="str">
        <f t="shared" si="74"/>
        <v/>
      </c>
      <c r="AN274" s="1106" t="str">
        <f>IFERROR(AM274*(1+'7a.20YrDetails'!$F$9),"")</f>
        <v/>
      </c>
      <c r="AO274" s="1106" t="str">
        <f>IFERROR(AN274*(1+'7a.20YrDetails'!$F$9),"")</f>
        <v/>
      </c>
      <c r="AP274" s="1106" t="str">
        <f>IFERROR(AO274*(1+'7a.20YrDetails'!$F$9),"")</f>
        <v/>
      </c>
      <c r="AQ274" s="1106" t="str">
        <f>IFERROR(AP274*(1+'7a.20YrDetails'!$F$9),"")</f>
        <v/>
      </c>
      <c r="AR274" s="674"/>
      <c r="AS274" s="672"/>
      <c r="AT274" s="1732" t="str">
        <f>IF($AF274=0,0,IFERROR(($AF274+L274)/(HLOOKUP($D274,RentsUA!$B$61:$H$62,2,FALSE)),""))</f>
        <v/>
      </c>
      <c r="AU274" s="1733" t="str">
        <f>IFERROR(G274/HLOOKUP(H274,RentsUA!$B$40:$I$41,2),"")</f>
        <v/>
      </c>
      <c r="BR274" s="404" t="str">
        <f t="shared" si="75"/>
        <v/>
      </c>
      <c r="BT274" s="404" t="str">
        <f t="shared" si="70"/>
        <v/>
      </c>
    </row>
    <row r="275" spans="1:72" s="404" customFormat="1" ht="13.2">
      <c r="A275" s="406">
        <f t="shared" si="76"/>
        <v>263</v>
      </c>
      <c r="B275" s="472"/>
      <c r="C275" s="470"/>
      <c r="D275" s="407"/>
      <c r="E275" s="407"/>
      <c r="F275" s="408"/>
      <c r="G275" s="409"/>
      <c r="H275" s="407"/>
      <c r="I275" s="1029" t="str">
        <f>IFERROR(G275/HLOOKUP(H275,RentsUA!$B$8:$J$9,2),"")</f>
        <v/>
      </c>
      <c r="J275" s="407"/>
      <c r="K275" s="412"/>
      <c r="L275" s="672">
        <f t="shared" si="65"/>
        <v>0</v>
      </c>
      <c r="M275" s="671"/>
      <c r="N275" s="410">
        <f t="shared" si="66"/>
        <v>0</v>
      </c>
      <c r="O275" s="469" t="str">
        <f>IF($M275=0,"",IFERROR(($L275+$M275)/(HLOOKUP($D275,RentsUA!$K$12:$Q$35,19,FALSE)),""))</f>
        <v/>
      </c>
      <c r="P275" s="469" t="str">
        <f>IF($M275=0,"",IFERROR(($M275+K275+L275)/(HLOOKUP($D275,RentsUA!$K$12:$Q$35,19,FALSE)),""))</f>
        <v/>
      </c>
      <c r="Q275" s="411"/>
      <c r="R275" s="673" t="str">
        <f>IF($Q275=0,"",VLOOKUP($Q275,RentsUA!$A$12:$H$35,MATCH($D275,RentsUA!$A$12:$H$12,0),FALSE))</f>
        <v/>
      </c>
      <c r="S275" s="409"/>
      <c r="T275" s="674"/>
      <c r="U275" s="672"/>
      <c r="V275" s="673" t="str">
        <f t="shared" si="71"/>
        <v/>
      </c>
      <c r="W275" s="470"/>
      <c r="X275" s="411"/>
      <c r="Y275" s="410" t="str">
        <f>IF(X275=0,"",VLOOKUP($X275,RentsUA!$A$12:$H$35,MATCH($D275,RentsUA!$A$12:$H$12,0),FALSE))</f>
        <v/>
      </c>
      <c r="Z275" s="410" t="str">
        <f t="shared" si="67"/>
        <v/>
      </c>
      <c r="AA275" s="1297" t="str">
        <f>IF(H275="","",IF(G275/HLOOKUP($H275,RentsUA!$M$8:$T$9,2,FALSE)&gt;1,"&gt; 80%","&lt;= 80%"))</f>
        <v/>
      </c>
      <c r="AB275" s="1106"/>
      <c r="AC275" s="1106"/>
      <c r="AD275" s="622"/>
      <c r="AE275" s="412"/>
      <c r="AF275" s="807" t="str">
        <f>IF(AD275="","",IF(AD275=Lists!$U$3,M275,IF(AD275=Lists!$U$4,V275,IF(AD275=Lists!$U$5,Y275-L275,AE275))))</f>
        <v/>
      </c>
      <c r="AG275" s="410" t="str">
        <f t="shared" si="68"/>
        <v/>
      </c>
      <c r="AH275" s="469" t="str">
        <f t="shared" si="69"/>
        <v/>
      </c>
      <c r="AI275" s="469" t="str">
        <f>IF($AF275=0,0,IFERROR(($L275+$AF275)/(HLOOKUP($D275,RentsUA!$K$12:$Q$35,19,FALSE)),""))</f>
        <v/>
      </c>
      <c r="AJ275" s="469" t="str">
        <f>IF($AF275=0,0,IFERROR(($AF275+K275+L275)/(HLOOKUP($D275,RentsUA!$K$12:$Q$35,19,FALSE)),""))</f>
        <v/>
      </c>
      <c r="AK275" s="469" t="str">
        <f t="shared" si="72"/>
        <v/>
      </c>
      <c r="AL275" s="469" t="str">
        <f t="shared" si="73"/>
        <v/>
      </c>
      <c r="AM275" s="1106" t="str">
        <f t="shared" si="74"/>
        <v/>
      </c>
      <c r="AN275" s="1106" t="str">
        <f>IFERROR(AM275*(1+'7a.20YrDetails'!$F$9),"")</f>
        <v/>
      </c>
      <c r="AO275" s="1106" t="str">
        <f>IFERROR(AN275*(1+'7a.20YrDetails'!$F$9),"")</f>
        <v/>
      </c>
      <c r="AP275" s="1106" t="str">
        <f>IFERROR(AO275*(1+'7a.20YrDetails'!$F$9),"")</f>
        <v/>
      </c>
      <c r="AQ275" s="1106" t="str">
        <f>IFERROR(AP275*(1+'7a.20YrDetails'!$F$9),"")</f>
        <v/>
      </c>
      <c r="AR275" s="674"/>
      <c r="AS275" s="672"/>
      <c r="AT275" s="1732" t="str">
        <f>IF($AF275=0,0,IFERROR(($AF275+L275)/(HLOOKUP($D275,RentsUA!$B$61:$H$62,2,FALSE)),""))</f>
        <v/>
      </c>
      <c r="AU275" s="1733" t="str">
        <f>IFERROR(G275/HLOOKUP(H275,RentsUA!$B$40:$I$41,2),"")</f>
        <v/>
      </c>
      <c r="BR275" s="404" t="str">
        <f t="shared" si="75"/>
        <v/>
      </c>
      <c r="BT275" s="404" t="str">
        <f t="shared" si="70"/>
        <v/>
      </c>
    </row>
    <row r="276" spans="1:72" s="404" customFormat="1" ht="13.2">
      <c r="A276" s="406">
        <f t="shared" si="76"/>
        <v>264</v>
      </c>
      <c r="B276" s="472"/>
      <c r="C276" s="470"/>
      <c r="D276" s="407"/>
      <c r="E276" s="407"/>
      <c r="F276" s="408"/>
      <c r="G276" s="409"/>
      <c r="H276" s="407"/>
      <c r="I276" s="1029" t="str">
        <f>IFERROR(G276/HLOOKUP(H276,RentsUA!$B$8:$J$9,2),"")</f>
        <v/>
      </c>
      <c r="J276" s="407"/>
      <c r="K276" s="412"/>
      <c r="L276" s="672">
        <f t="shared" si="65"/>
        <v>0</v>
      </c>
      <c r="M276" s="671"/>
      <c r="N276" s="410">
        <f t="shared" si="66"/>
        <v>0</v>
      </c>
      <c r="O276" s="469" t="str">
        <f>IF($M276=0,"",IFERROR(($L276+$M276)/(HLOOKUP($D276,RentsUA!$K$12:$Q$35,19,FALSE)),""))</f>
        <v/>
      </c>
      <c r="P276" s="469" t="str">
        <f>IF($M276=0,"",IFERROR(($M276+K276+L276)/(HLOOKUP($D276,RentsUA!$K$12:$Q$35,19,FALSE)),""))</f>
        <v/>
      </c>
      <c r="Q276" s="411"/>
      <c r="R276" s="673" t="str">
        <f>IF($Q276=0,"",VLOOKUP($Q276,RentsUA!$A$12:$H$35,MATCH($D276,RentsUA!$A$12:$H$12,0),FALSE))</f>
        <v/>
      </c>
      <c r="S276" s="409"/>
      <c r="T276" s="674"/>
      <c r="U276" s="672"/>
      <c r="V276" s="673" t="str">
        <f t="shared" si="71"/>
        <v/>
      </c>
      <c r="W276" s="470"/>
      <c r="X276" s="411"/>
      <c r="Y276" s="410" t="str">
        <f>IF(X276=0,"",VLOOKUP($X276,RentsUA!$A$12:$H$35,MATCH($D276,RentsUA!$A$12:$H$12,0),FALSE))</f>
        <v/>
      </c>
      <c r="Z276" s="410" t="str">
        <f t="shared" si="67"/>
        <v/>
      </c>
      <c r="AA276" s="1297" t="str">
        <f>IF(H276="","",IF(G276/HLOOKUP($H276,RentsUA!$M$8:$T$9,2,FALSE)&gt;1,"&gt; 80%","&lt;= 80%"))</f>
        <v/>
      </c>
      <c r="AB276" s="1106"/>
      <c r="AC276" s="1106"/>
      <c r="AD276" s="622"/>
      <c r="AE276" s="412"/>
      <c r="AF276" s="807" t="str">
        <f>IF(AD276="","",IF(AD276=Lists!$U$3,M276,IF(AD276=Lists!$U$4,V276,IF(AD276=Lists!$U$5,Y276-L276,AE276))))</f>
        <v/>
      </c>
      <c r="AG276" s="410" t="str">
        <f t="shared" si="68"/>
        <v/>
      </c>
      <c r="AH276" s="469" t="str">
        <f t="shared" si="69"/>
        <v/>
      </c>
      <c r="AI276" s="469" t="str">
        <f>IF($AF276=0,0,IFERROR(($L276+$AF276)/(HLOOKUP($D276,RentsUA!$K$12:$Q$35,19,FALSE)),""))</f>
        <v/>
      </c>
      <c r="AJ276" s="469" t="str">
        <f>IF($AF276=0,0,IFERROR(($AF276+K276+L276)/(HLOOKUP($D276,RentsUA!$K$12:$Q$35,19,FALSE)),""))</f>
        <v/>
      </c>
      <c r="AK276" s="469" t="str">
        <f t="shared" si="72"/>
        <v/>
      </c>
      <c r="AL276" s="469" t="str">
        <f t="shared" si="73"/>
        <v/>
      </c>
      <c r="AM276" s="1106" t="str">
        <f t="shared" si="74"/>
        <v/>
      </c>
      <c r="AN276" s="1106" t="str">
        <f>IFERROR(AM276*(1+'7a.20YrDetails'!$F$9),"")</f>
        <v/>
      </c>
      <c r="AO276" s="1106" t="str">
        <f>IFERROR(AN276*(1+'7a.20YrDetails'!$F$9),"")</f>
        <v/>
      </c>
      <c r="AP276" s="1106" t="str">
        <f>IFERROR(AO276*(1+'7a.20YrDetails'!$F$9),"")</f>
        <v/>
      </c>
      <c r="AQ276" s="1106" t="str">
        <f>IFERROR(AP276*(1+'7a.20YrDetails'!$F$9),"")</f>
        <v/>
      </c>
      <c r="AR276" s="674"/>
      <c r="AS276" s="672"/>
      <c r="AT276" s="1732" t="str">
        <f>IF($AF276=0,0,IFERROR(($AF276+L276)/(HLOOKUP($D276,RentsUA!$B$61:$H$62,2,FALSE)),""))</f>
        <v/>
      </c>
      <c r="AU276" s="1733" t="str">
        <f>IFERROR(G276/HLOOKUP(H276,RentsUA!$B$40:$I$41,2),"")</f>
        <v/>
      </c>
      <c r="BR276" s="404" t="str">
        <f t="shared" si="75"/>
        <v/>
      </c>
      <c r="BT276" s="404" t="str">
        <f t="shared" si="70"/>
        <v/>
      </c>
    </row>
    <row r="277" spans="1:72" s="404" customFormat="1" ht="13.2">
      <c r="A277" s="406">
        <f t="shared" si="76"/>
        <v>265</v>
      </c>
      <c r="B277" s="472"/>
      <c r="C277" s="470"/>
      <c r="D277" s="407"/>
      <c r="E277" s="407"/>
      <c r="F277" s="408"/>
      <c r="G277" s="409"/>
      <c r="H277" s="407"/>
      <c r="I277" s="1029" t="str">
        <f>IFERROR(G277/HLOOKUP(H277,RentsUA!$B$8:$J$9,2),"")</f>
        <v/>
      </c>
      <c r="J277" s="407"/>
      <c r="K277" s="412"/>
      <c r="L277" s="672">
        <f t="shared" si="65"/>
        <v>0</v>
      </c>
      <c r="M277" s="671"/>
      <c r="N277" s="410">
        <f t="shared" si="66"/>
        <v>0</v>
      </c>
      <c r="O277" s="469" t="str">
        <f>IF($M277=0,"",IFERROR(($L277+$M277)/(HLOOKUP($D277,RentsUA!$K$12:$Q$35,19,FALSE)),""))</f>
        <v/>
      </c>
      <c r="P277" s="469" t="str">
        <f>IF($M277=0,"",IFERROR(($M277+K277+L277)/(HLOOKUP($D277,RentsUA!$K$12:$Q$35,19,FALSE)),""))</f>
        <v/>
      </c>
      <c r="Q277" s="411"/>
      <c r="R277" s="673" t="str">
        <f>IF($Q277=0,"",VLOOKUP($Q277,RentsUA!$A$12:$H$35,MATCH($D277,RentsUA!$A$12:$H$12,0),FALSE))</f>
        <v/>
      </c>
      <c r="S277" s="409"/>
      <c r="T277" s="674"/>
      <c r="U277" s="672"/>
      <c r="V277" s="673" t="str">
        <f t="shared" si="71"/>
        <v/>
      </c>
      <c r="W277" s="470"/>
      <c r="X277" s="411"/>
      <c r="Y277" s="410" t="str">
        <f>IF(X277=0,"",VLOOKUP($X277,RentsUA!$A$12:$H$35,MATCH($D277,RentsUA!$A$12:$H$12,0),FALSE))</f>
        <v/>
      </c>
      <c r="Z277" s="410" t="str">
        <f t="shared" si="67"/>
        <v/>
      </c>
      <c r="AA277" s="1297" t="str">
        <f>IF(H277="","",IF(G277/HLOOKUP($H277,RentsUA!$M$8:$T$9,2,FALSE)&gt;1,"&gt; 80%","&lt;= 80%"))</f>
        <v/>
      </c>
      <c r="AB277" s="1106"/>
      <c r="AC277" s="1106"/>
      <c r="AD277" s="622"/>
      <c r="AE277" s="412"/>
      <c r="AF277" s="807" t="str">
        <f>IF(AD277="","",IF(AD277=Lists!$U$3,M277,IF(AD277=Lists!$U$4,V277,IF(AD277=Lists!$U$5,Y277-L277,AE277))))</f>
        <v/>
      </c>
      <c r="AG277" s="410" t="str">
        <f t="shared" si="68"/>
        <v/>
      </c>
      <c r="AH277" s="469" t="str">
        <f t="shared" si="69"/>
        <v/>
      </c>
      <c r="AI277" s="469" t="str">
        <f>IF($AF277=0,0,IFERROR(($L277+$AF277)/(HLOOKUP($D277,RentsUA!$K$12:$Q$35,19,FALSE)),""))</f>
        <v/>
      </c>
      <c r="AJ277" s="469" t="str">
        <f>IF($AF277=0,0,IFERROR(($AF277+K277+L277)/(HLOOKUP($D277,RentsUA!$K$12:$Q$35,19,FALSE)),""))</f>
        <v/>
      </c>
      <c r="AK277" s="469" t="str">
        <f t="shared" si="72"/>
        <v/>
      </c>
      <c r="AL277" s="469" t="str">
        <f t="shared" si="73"/>
        <v/>
      </c>
      <c r="AM277" s="1106" t="str">
        <f t="shared" si="74"/>
        <v/>
      </c>
      <c r="AN277" s="1106" t="str">
        <f>IFERROR(AM277*(1+'7a.20YrDetails'!$F$9),"")</f>
        <v/>
      </c>
      <c r="AO277" s="1106" t="str">
        <f>IFERROR(AN277*(1+'7a.20YrDetails'!$F$9),"")</f>
        <v/>
      </c>
      <c r="AP277" s="1106" t="str">
        <f>IFERROR(AO277*(1+'7a.20YrDetails'!$F$9),"")</f>
        <v/>
      </c>
      <c r="AQ277" s="1106" t="str">
        <f>IFERROR(AP277*(1+'7a.20YrDetails'!$F$9),"")</f>
        <v/>
      </c>
      <c r="AR277" s="674"/>
      <c r="AS277" s="672"/>
      <c r="AT277" s="1732" t="str">
        <f>IF($AF277=0,0,IFERROR(($AF277+L277)/(HLOOKUP($D277,RentsUA!$B$61:$H$62,2,FALSE)),""))</f>
        <v/>
      </c>
      <c r="AU277" s="1733" t="str">
        <f>IFERROR(G277/HLOOKUP(H277,RentsUA!$B$40:$I$41,2),"")</f>
        <v/>
      </c>
      <c r="BR277" s="404" t="str">
        <f t="shared" si="75"/>
        <v/>
      </c>
      <c r="BT277" s="404" t="str">
        <f t="shared" si="70"/>
        <v/>
      </c>
    </row>
    <row r="278" spans="1:72" s="404" customFormat="1" ht="13.2">
      <c r="A278" s="406">
        <f t="shared" si="76"/>
        <v>266</v>
      </c>
      <c r="B278" s="472"/>
      <c r="C278" s="470"/>
      <c r="D278" s="407"/>
      <c r="E278" s="407"/>
      <c r="F278" s="408"/>
      <c r="G278" s="409"/>
      <c r="H278" s="407"/>
      <c r="I278" s="1029" t="str">
        <f>IFERROR(G278/HLOOKUP(H278,RentsUA!$B$8:$J$9,2),"")</f>
        <v/>
      </c>
      <c r="J278" s="407"/>
      <c r="K278" s="412"/>
      <c r="L278" s="672">
        <f t="shared" si="65"/>
        <v>0</v>
      </c>
      <c r="M278" s="671"/>
      <c r="N278" s="410">
        <f t="shared" si="66"/>
        <v>0</v>
      </c>
      <c r="O278" s="469" t="str">
        <f>IF($M278=0,"",IFERROR(($L278+$M278)/(HLOOKUP($D278,RentsUA!$K$12:$Q$35,19,FALSE)),""))</f>
        <v/>
      </c>
      <c r="P278" s="469" t="str">
        <f>IF($M278=0,"",IFERROR(($M278+K278+L278)/(HLOOKUP($D278,RentsUA!$K$12:$Q$35,19,FALSE)),""))</f>
        <v/>
      </c>
      <c r="Q278" s="411"/>
      <c r="R278" s="673" t="str">
        <f>IF($Q278=0,"",VLOOKUP($Q278,RentsUA!$A$12:$H$35,MATCH($D278,RentsUA!$A$12:$H$12,0),FALSE))</f>
        <v/>
      </c>
      <c r="S278" s="409"/>
      <c r="T278" s="674"/>
      <c r="U278" s="672"/>
      <c r="V278" s="673" t="str">
        <f t="shared" si="71"/>
        <v/>
      </c>
      <c r="W278" s="470"/>
      <c r="X278" s="411"/>
      <c r="Y278" s="410" t="str">
        <f>IF(X278=0,"",VLOOKUP($X278,RentsUA!$A$12:$H$35,MATCH($D278,RentsUA!$A$12:$H$12,0),FALSE))</f>
        <v/>
      </c>
      <c r="Z278" s="410" t="str">
        <f t="shared" si="67"/>
        <v/>
      </c>
      <c r="AA278" s="1297" t="str">
        <f>IF(H278="","",IF(G278/HLOOKUP($H278,RentsUA!$M$8:$T$9,2,FALSE)&gt;1,"&gt; 80%","&lt;= 80%"))</f>
        <v/>
      </c>
      <c r="AB278" s="1106"/>
      <c r="AC278" s="1106"/>
      <c r="AD278" s="622"/>
      <c r="AE278" s="412"/>
      <c r="AF278" s="807" t="str">
        <f>IF(AD278="","",IF(AD278=Lists!$U$3,M278,IF(AD278=Lists!$U$4,V278,IF(AD278=Lists!$U$5,Y278-L278,AE278))))</f>
        <v/>
      </c>
      <c r="AG278" s="410" t="str">
        <f t="shared" si="68"/>
        <v/>
      </c>
      <c r="AH278" s="469" t="str">
        <f t="shared" si="69"/>
        <v/>
      </c>
      <c r="AI278" s="469" t="str">
        <f>IF($AF278=0,0,IFERROR(($L278+$AF278)/(HLOOKUP($D278,RentsUA!$K$12:$Q$35,19,FALSE)),""))</f>
        <v/>
      </c>
      <c r="AJ278" s="469" t="str">
        <f>IF($AF278=0,0,IFERROR(($AF278+K278+L278)/(HLOOKUP($D278,RentsUA!$K$12:$Q$35,19,FALSE)),""))</f>
        <v/>
      </c>
      <c r="AK278" s="469" t="str">
        <f t="shared" si="72"/>
        <v/>
      </c>
      <c r="AL278" s="469" t="str">
        <f t="shared" si="73"/>
        <v/>
      </c>
      <c r="AM278" s="1106" t="str">
        <f t="shared" si="74"/>
        <v/>
      </c>
      <c r="AN278" s="1106" t="str">
        <f>IFERROR(AM278*(1+'7a.20YrDetails'!$F$9),"")</f>
        <v/>
      </c>
      <c r="AO278" s="1106" t="str">
        <f>IFERROR(AN278*(1+'7a.20YrDetails'!$F$9),"")</f>
        <v/>
      </c>
      <c r="AP278" s="1106" t="str">
        <f>IFERROR(AO278*(1+'7a.20YrDetails'!$F$9),"")</f>
        <v/>
      </c>
      <c r="AQ278" s="1106" t="str">
        <f>IFERROR(AP278*(1+'7a.20YrDetails'!$F$9),"")</f>
        <v/>
      </c>
      <c r="AR278" s="674"/>
      <c r="AS278" s="672"/>
      <c r="AT278" s="1732" t="str">
        <f>IF($AF278=0,0,IFERROR(($AF278+L278)/(HLOOKUP($D278,RentsUA!$B$61:$H$62,2,FALSE)),""))</f>
        <v/>
      </c>
      <c r="AU278" s="1733" t="str">
        <f>IFERROR(G278/HLOOKUP(H278,RentsUA!$B$40:$I$41,2),"")</f>
        <v/>
      </c>
      <c r="BR278" s="404" t="str">
        <f t="shared" si="75"/>
        <v/>
      </c>
      <c r="BT278" s="404" t="str">
        <f t="shared" si="70"/>
        <v/>
      </c>
    </row>
    <row r="279" spans="1:72" s="404" customFormat="1" ht="13.2">
      <c r="A279" s="406">
        <f t="shared" si="76"/>
        <v>267</v>
      </c>
      <c r="B279" s="472"/>
      <c r="C279" s="470"/>
      <c r="D279" s="407"/>
      <c r="E279" s="407"/>
      <c r="F279" s="408"/>
      <c r="G279" s="409"/>
      <c r="H279" s="407"/>
      <c r="I279" s="1029" t="str">
        <f>IFERROR(G279/HLOOKUP(H279,RentsUA!$B$8:$J$9,2),"")</f>
        <v/>
      </c>
      <c r="J279" s="407"/>
      <c r="K279" s="412"/>
      <c r="L279" s="672">
        <f t="shared" si="65"/>
        <v>0</v>
      </c>
      <c r="M279" s="671"/>
      <c r="N279" s="410">
        <f t="shared" si="66"/>
        <v>0</v>
      </c>
      <c r="O279" s="469" t="str">
        <f>IF($M279=0,"",IFERROR(($L279+$M279)/(HLOOKUP($D279,RentsUA!$K$12:$Q$35,19,FALSE)),""))</f>
        <v/>
      </c>
      <c r="P279" s="469" t="str">
        <f>IF($M279=0,"",IFERROR(($M279+K279+L279)/(HLOOKUP($D279,RentsUA!$K$12:$Q$35,19,FALSE)),""))</f>
        <v/>
      </c>
      <c r="Q279" s="411"/>
      <c r="R279" s="673" t="str">
        <f>IF($Q279=0,"",VLOOKUP($Q279,RentsUA!$A$12:$H$35,MATCH($D279,RentsUA!$A$12:$H$12,0),FALSE))</f>
        <v/>
      </c>
      <c r="S279" s="409"/>
      <c r="T279" s="674"/>
      <c r="U279" s="672"/>
      <c r="V279" s="673" t="str">
        <f t="shared" si="71"/>
        <v/>
      </c>
      <c r="W279" s="470"/>
      <c r="X279" s="411"/>
      <c r="Y279" s="410" t="str">
        <f>IF(X279=0,"",VLOOKUP($X279,RentsUA!$A$12:$H$35,MATCH($D279,RentsUA!$A$12:$H$12,0),FALSE))</f>
        <v/>
      </c>
      <c r="Z279" s="410" t="str">
        <f t="shared" si="67"/>
        <v/>
      </c>
      <c r="AA279" s="1297" t="str">
        <f>IF(H279="","",IF(G279/HLOOKUP($H279,RentsUA!$M$8:$T$9,2,FALSE)&gt;1,"&gt; 80%","&lt;= 80%"))</f>
        <v/>
      </c>
      <c r="AB279" s="1106"/>
      <c r="AC279" s="1106"/>
      <c r="AD279" s="622"/>
      <c r="AE279" s="412"/>
      <c r="AF279" s="807" t="str">
        <f>IF(AD279="","",IF(AD279=Lists!$U$3,M279,IF(AD279=Lists!$U$4,V279,IF(AD279=Lists!$U$5,Y279-L279,AE279))))</f>
        <v/>
      </c>
      <c r="AG279" s="410" t="str">
        <f t="shared" si="68"/>
        <v/>
      </c>
      <c r="AH279" s="469" t="str">
        <f t="shared" si="69"/>
        <v/>
      </c>
      <c r="AI279" s="469" t="str">
        <f>IF($AF279=0,0,IFERROR(($L279+$AF279)/(HLOOKUP($D279,RentsUA!$K$12:$Q$35,19,FALSE)),""))</f>
        <v/>
      </c>
      <c r="AJ279" s="469" t="str">
        <f>IF($AF279=0,0,IFERROR(($AF279+K279+L279)/(HLOOKUP($D279,RentsUA!$K$12:$Q$35,19,FALSE)),""))</f>
        <v/>
      </c>
      <c r="AK279" s="469" t="str">
        <f t="shared" si="72"/>
        <v/>
      </c>
      <c r="AL279" s="469" t="str">
        <f t="shared" si="73"/>
        <v/>
      </c>
      <c r="AM279" s="1106" t="str">
        <f t="shared" si="74"/>
        <v/>
      </c>
      <c r="AN279" s="1106" t="str">
        <f>IFERROR(AM279*(1+'7a.20YrDetails'!$F$9),"")</f>
        <v/>
      </c>
      <c r="AO279" s="1106" t="str">
        <f>IFERROR(AN279*(1+'7a.20YrDetails'!$F$9),"")</f>
        <v/>
      </c>
      <c r="AP279" s="1106" t="str">
        <f>IFERROR(AO279*(1+'7a.20YrDetails'!$F$9),"")</f>
        <v/>
      </c>
      <c r="AQ279" s="1106" t="str">
        <f>IFERROR(AP279*(1+'7a.20YrDetails'!$F$9),"")</f>
        <v/>
      </c>
      <c r="AR279" s="674"/>
      <c r="AS279" s="672"/>
      <c r="AT279" s="1732" t="str">
        <f>IF($AF279=0,0,IFERROR(($AF279+L279)/(HLOOKUP($D279,RentsUA!$B$61:$H$62,2,FALSE)),""))</f>
        <v/>
      </c>
      <c r="AU279" s="1733" t="str">
        <f>IFERROR(G279/HLOOKUP(H279,RentsUA!$B$40:$I$41,2),"")</f>
        <v/>
      </c>
      <c r="BR279" s="404" t="str">
        <f t="shared" si="75"/>
        <v/>
      </c>
      <c r="BT279" s="404" t="str">
        <f t="shared" si="70"/>
        <v/>
      </c>
    </row>
    <row r="280" spans="1:72" s="404" customFormat="1" ht="13.2">
      <c r="A280" s="406">
        <f t="shared" si="76"/>
        <v>268</v>
      </c>
      <c r="B280" s="472"/>
      <c r="C280" s="470"/>
      <c r="D280" s="407"/>
      <c r="E280" s="407"/>
      <c r="F280" s="408"/>
      <c r="G280" s="409"/>
      <c r="H280" s="407"/>
      <c r="I280" s="1029" t="str">
        <f>IFERROR(G280/HLOOKUP(H280,RentsUA!$B$8:$J$9,2),"")</f>
        <v/>
      </c>
      <c r="J280" s="407"/>
      <c r="K280" s="412"/>
      <c r="L280" s="672">
        <f t="shared" si="65"/>
        <v>0</v>
      </c>
      <c r="M280" s="671"/>
      <c r="N280" s="410">
        <f t="shared" si="66"/>
        <v>0</v>
      </c>
      <c r="O280" s="469" t="str">
        <f>IF($M280=0,"",IFERROR(($L280+$M280)/(HLOOKUP($D280,RentsUA!$K$12:$Q$35,19,FALSE)),""))</f>
        <v/>
      </c>
      <c r="P280" s="469" t="str">
        <f>IF($M280=0,"",IFERROR(($M280+K280+L280)/(HLOOKUP($D280,RentsUA!$K$12:$Q$35,19,FALSE)),""))</f>
        <v/>
      </c>
      <c r="Q280" s="411"/>
      <c r="R280" s="673" t="str">
        <f>IF($Q280=0,"",VLOOKUP($Q280,RentsUA!$A$12:$H$35,MATCH($D280,RentsUA!$A$12:$H$12,0),FALSE))</f>
        <v/>
      </c>
      <c r="S280" s="409"/>
      <c r="T280" s="674"/>
      <c r="U280" s="672"/>
      <c r="V280" s="673" t="str">
        <f t="shared" si="71"/>
        <v/>
      </c>
      <c r="W280" s="470"/>
      <c r="X280" s="411"/>
      <c r="Y280" s="410" t="str">
        <f>IF(X280=0,"",VLOOKUP($X280,RentsUA!$A$12:$H$35,MATCH($D280,RentsUA!$A$12:$H$12,0),FALSE))</f>
        <v/>
      </c>
      <c r="Z280" s="410" t="str">
        <f t="shared" si="67"/>
        <v/>
      </c>
      <c r="AA280" s="1297" t="str">
        <f>IF(H280="","",IF(G280/HLOOKUP($H280,RentsUA!$M$8:$T$9,2,FALSE)&gt;1,"&gt; 80%","&lt;= 80%"))</f>
        <v/>
      </c>
      <c r="AB280" s="1106"/>
      <c r="AC280" s="1106"/>
      <c r="AD280" s="622"/>
      <c r="AE280" s="412"/>
      <c r="AF280" s="807" t="str">
        <f>IF(AD280="","",IF(AD280=Lists!$U$3,M280,IF(AD280=Lists!$U$4,V280,IF(AD280=Lists!$U$5,Y280-L280,AE280))))</f>
        <v/>
      </c>
      <c r="AG280" s="410" t="str">
        <f t="shared" si="68"/>
        <v/>
      </c>
      <c r="AH280" s="469" t="str">
        <f t="shared" si="69"/>
        <v/>
      </c>
      <c r="AI280" s="469" t="str">
        <f>IF($AF280=0,0,IFERROR(($L280+$AF280)/(HLOOKUP($D280,RentsUA!$K$12:$Q$35,19,FALSE)),""))</f>
        <v/>
      </c>
      <c r="AJ280" s="469" t="str">
        <f>IF($AF280=0,0,IFERROR(($AF280+K280+L280)/(HLOOKUP($D280,RentsUA!$K$12:$Q$35,19,FALSE)),""))</f>
        <v/>
      </c>
      <c r="AK280" s="469" t="str">
        <f t="shared" si="72"/>
        <v/>
      </c>
      <c r="AL280" s="469" t="str">
        <f t="shared" si="73"/>
        <v/>
      </c>
      <c r="AM280" s="1106" t="str">
        <f t="shared" si="74"/>
        <v/>
      </c>
      <c r="AN280" s="1106" t="str">
        <f>IFERROR(AM280*(1+'7a.20YrDetails'!$F$9),"")</f>
        <v/>
      </c>
      <c r="AO280" s="1106" t="str">
        <f>IFERROR(AN280*(1+'7a.20YrDetails'!$F$9),"")</f>
        <v/>
      </c>
      <c r="AP280" s="1106" t="str">
        <f>IFERROR(AO280*(1+'7a.20YrDetails'!$F$9),"")</f>
        <v/>
      </c>
      <c r="AQ280" s="1106" t="str">
        <f>IFERROR(AP280*(1+'7a.20YrDetails'!$F$9),"")</f>
        <v/>
      </c>
      <c r="AR280" s="674"/>
      <c r="AS280" s="672"/>
      <c r="AT280" s="1732" t="str">
        <f>IF($AF280=0,0,IFERROR(($AF280+L280)/(HLOOKUP($D280,RentsUA!$B$61:$H$62,2,FALSE)),""))</f>
        <v/>
      </c>
      <c r="AU280" s="1733" t="str">
        <f>IFERROR(G280/HLOOKUP(H280,RentsUA!$B$40:$I$41,2),"")</f>
        <v/>
      </c>
      <c r="BR280" s="404" t="str">
        <f t="shared" si="75"/>
        <v/>
      </c>
      <c r="BT280" s="404" t="str">
        <f t="shared" si="70"/>
        <v/>
      </c>
    </row>
    <row r="281" spans="1:72" s="404" customFormat="1" ht="13.2">
      <c r="A281" s="406">
        <f t="shared" si="76"/>
        <v>269</v>
      </c>
      <c r="B281" s="472"/>
      <c r="C281" s="470"/>
      <c r="D281" s="407"/>
      <c r="E281" s="407"/>
      <c r="F281" s="408"/>
      <c r="G281" s="409"/>
      <c r="H281" s="407"/>
      <c r="I281" s="1029" t="str">
        <f>IFERROR(G281/HLOOKUP(H281,RentsUA!$B$8:$J$9,2),"")</f>
        <v/>
      </c>
      <c r="J281" s="407"/>
      <c r="K281" s="412"/>
      <c r="L281" s="672">
        <f t="shared" si="65"/>
        <v>0</v>
      </c>
      <c r="M281" s="671"/>
      <c r="N281" s="410">
        <f t="shared" si="66"/>
        <v>0</v>
      </c>
      <c r="O281" s="469" t="str">
        <f>IF($M281=0,"",IFERROR(($L281+$M281)/(HLOOKUP($D281,RentsUA!$K$12:$Q$35,19,FALSE)),""))</f>
        <v/>
      </c>
      <c r="P281" s="469" t="str">
        <f>IF($M281=0,"",IFERROR(($M281+K281+L281)/(HLOOKUP($D281,RentsUA!$K$12:$Q$35,19,FALSE)),""))</f>
        <v/>
      </c>
      <c r="Q281" s="411"/>
      <c r="R281" s="673" t="str">
        <f>IF($Q281=0,"",VLOOKUP($Q281,RentsUA!$A$12:$H$35,MATCH($D281,RentsUA!$A$12:$H$12,0),FALSE))</f>
        <v/>
      </c>
      <c r="S281" s="409"/>
      <c r="T281" s="674"/>
      <c r="U281" s="672"/>
      <c r="V281" s="673" t="str">
        <f t="shared" si="71"/>
        <v/>
      </c>
      <c r="W281" s="470"/>
      <c r="X281" s="411"/>
      <c r="Y281" s="410" t="str">
        <f>IF(X281=0,"",VLOOKUP($X281,RentsUA!$A$12:$H$35,MATCH($D281,RentsUA!$A$12:$H$12,0),FALSE))</f>
        <v/>
      </c>
      <c r="Z281" s="410" t="str">
        <f t="shared" si="67"/>
        <v/>
      </c>
      <c r="AA281" s="1297" t="str">
        <f>IF(H281="","",IF(G281/HLOOKUP($H281,RentsUA!$M$8:$T$9,2,FALSE)&gt;1,"&gt; 80%","&lt;= 80%"))</f>
        <v/>
      </c>
      <c r="AB281" s="1106"/>
      <c r="AC281" s="1106"/>
      <c r="AD281" s="622"/>
      <c r="AE281" s="412"/>
      <c r="AF281" s="807" t="str">
        <f>IF(AD281="","",IF(AD281=Lists!$U$3,M281,IF(AD281=Lists!$U$4,V281,IF(AD281=Lists!$U$5,Y281-L281,AE281))))</f>
        <v/>
      </c>
      <c r="AG281" s="410" t="str">
        <f t="shared" si="68"/>
        <v/>
      </c>
      <c r="AH281" s="469" t="str">
        <f t="shared" si="69"/>
        <v/>
      </c>
      <c r="AI281" s="469" t="str">
        <f>IF($AF281=0,0,IFERROR(($L281+$AF281)/(HLOOKUP($D281,RentsUA!$K$12:$Q$35,19,FALSE)),""))</f>
        <v/>
      </c>
      <c r="AJ281" s="469" t="str">
        <f>IF($AF281=0,0,IFERROR(($AF281+K281+L281)/(HLOOKUP($D281,RentsUA!$K$12:$Q$35,19,FALSE)),""))</f>
        <v/>
      </c>
      <c r="AK281" s="469" t="str">
        <f t="shared" si="72"/>
        <v/>
      </c>
      <c r="AL281" s="469" t="str">
        <f t="shared" si="73"/>
        <v/>
      </c>
      <c r="AM281" s="1106" t="str">
        <f t="shared" si="74"/>
        <v/>
      </c>
      <c r="AN281" s="1106" t="str">
        <f>IFERROR(AM281*(1+'7a.20YrDetails'!$F$9),"")</f>
        <v/>
      </c>
      <c r="AO281" s="1106" t="str">
        <f>IFERROR(AN281*(1+'7a.20YrDetails'!$F$9),"")</f>
        <v/>
      </c>
      <c r="AP281" s="1106" t="str">
        <f>IFERROR(AO281*(1+'7a.20YrDetails'!$F$9),"")</f>
        <v/>
      </c>
      <c r="AQ281" s="1106" t="str">
        <f>IFERROR(AP281*(1+'7a.20YrDetails'!$F$9),"")</f>
        <v/>
      </c>
      <c r="AR281" s="674"/>
      <c r="AS281" s="672"/>
      <c r="AT281" s="1732" t="str">
        <f>IF($AF281=0,0,IFERROR(($AF281+L281)/(HLOOKUP($D281,RentsUA!$B$61:$H$62,2,FALSE)),""))</f>
        <v/>
      </c>
      <c r="AU281" s="1733" t="str">
        <f>IFERROR(G281/HLOOKUP(H281,RentsUA!$B$40:$I$41,2),"")</f>
        <v/>
      </c>
      <c r="BR281" s="404" t="str">
        <f t="shared" si="75"/>
        <v/>
      </c>
      <c r="BT281" s="404" t="str">
        <f t="shared" si="70"/>
        <v/>
      </c>
    </row>
    <row r="282" spans="1:72" s="404" customFormat="1" ht="13.2">
      <c r="A282" s="406">
        <f t="shared" si="76"/>
        <v>270</v>
      </c>
      <c r="B282" s="472"/>
      <c r="C282" s="470"/>
      <c r="D282" s="407"/>
      <c r="E282" s="407"/>
      <c r="F282" s="408"/>
      <c r="G282" s="409"/>
      <c r="H282" s="407"/>
      <c r="I282" s="1029" t="str">
        <f>IFERROR(G282/HLOOKUP(H282,RentsUA!$B$8:$J$9,2),"")</f>
        <v/>
      </c>
      <c r="J282" s="407"/>
      <c r="K282" s="412"/>
      <c r="L282" s="672">
        <f t="shared" si="65"/>
        <v>0</v>
      </c>
      <c r="M282" s="671"/>
      <c r="N282" s="410">
        <f t="shared" si="66"/>
        <v>0</v>
      </c>
      <c r="O282" s="469" t="str">
        <f>IF($M282=0,"",IFERROR(($L282+$M282)/(HLOOKUP($D282,RentsUA!$K$12:$Q$35,19,FALSE)),""))</f>
        <v/>
      </c>
      <c r="P282" s="469" t="str">
        <f>IF($M282=0,"",IFERROR(($M282+K282+L282)/(HLOOKUP($D282,RentsUA!$K$12:$Q$35,19,FALSE)),""))</f>
        <v/>
      </c>
      <c r="Q282" s="411"/>
      <c r="R282" s="673" t="str">
        <f>IF($Q282=0,"",VLOOKUP($Q282,RentsUA!$A$12:$H$35,MATCH($D282,RentsUA!$A$12:$H$12,0),FALSE))</f>
        <v/>
      </c>
      <c r="S282" s="409"/>
      <c r="T282" s="674"/>
      <c r="U282" s="672"/>
      <c r="V282" s="673" t="str">
        <f t="shared" si="71"/>
        <v/>
      </c>
      <c r="W282" s="470"/>
      <c r="X282" s="411"/>
      <c r="Y282" s="410" t="str">
        <f>IF(X282=0,"",VLOOKUP($X282,RentsUA!$A$12:$H$35,MATCH($D282,RentsUA!$A$12:$H$12,0),FALSE))</f>
        <v/>
      </c>
      <c r="Z282" s="410" t="str">
        <f t="shared" si="67"/>
        <v/>
      </c>
      <c r="AA282" s="1297" t="str">
        <f>IF(H282="","",IF(G282/HLOOKUP($H282,RentsUA!$M$8:$T$9,2,FALSE)&gt;1,"&gt; 80%","&lt;= 80%"))</f>
        <v/>
      </c>
      <c r="AB282" s="1106"/>
      <c r="AC282" s="1106"/>
      <c r="AD282" s="622"/>
      <c r="AE282" s="412"/>
      <c r="AF282" s="807" t="str">
        <f>IF(AD282="","",IF(AD282=Lists!$U$3,M282,IF(AD282=Lists!$U$4,V282,IF(AD282=Lists!$U$5,Y282-L282,AE282))))</f>
        <v/>
      </c>
      <c r="AG282" s="410" t="str">
        <f t="shared" si="68"/>
        <v/>
      </c>
      <c r="AH282" s="469" t="str">
        <f t="shared" si="69"/>
        <v/>
      </c>
      <c r="AI282" s="469" t="str">
        <f>IF($AF282=0,0,IFERROR(($L282+$AF282)/(HLOOKUP($D282,RentsUA!$K$12:$Q$35,19,FALSE)),""))</f>
        <v/>
      </c>
      <c r="AJ282" s="469" t="str">
        <f>IF($AF282=0,0,IFERROR(($AF282+K282+L282)/(HLOOKUP($D282,RentsUA!$K$12:$Q$35,19,FALSE)),""))</f>
        <v/>
      </c>
      <c r="AK282" s="469" t="str">
        <f t="shared" si="72"/>
        <v/>
      </c>
      <c r="AL282" s="469" t="str">
        <f t="shared" si="73"/>
        <v/>
      </c>
      <c r="AM282" s="1106" t="str">
        <f t="shared" si="74"/>
        <v/>
      </c>
      <c r="AN282" s="1106" t="str">
        <f>IFERROR(AM282*(1+'7a.20YrDetails'!$F$9),"")</f>
        <v/>
      </c>
      <c r="AO282" s="1106" t="str">
        <f>IFERROR(AN282*(1+'7a.20YrDetails'!$F$9),"")</f>
        <v/>
      </c>
      <c r="AP282" s="1106" t="str">
        <f>IFERROR(AO282*(1+'7a.20YrDetails'!$F$9),"")</f>
        <v/>
      </c>
      <c r="AQ282" s="1106" t="str">
        <f>IFERROR(AP282*(1+'7a.20YrDetails'!$F$9),"")</f>
        <v/>
      </c>
      <c r="AR282" s="674"/>
      <c r="AS282" s="672"/>
      <c r="AT282" s="1732" t="str">
        <f>IF($AF282=0,0,IFERROR(($AF282+L282)/(HLOOKUP($D282,RentsUA!$B$61:$H$62,2,FALSE)),""))</f>
        <v/>
      </c>
      <c r="AU282" s="1733" t="str">
        <f>IFERROR(G282/HLOOKUP(H282,RentsUA!$B$40:$I$41,2),"")</f>
        <v/>
      </c>
      <c r="BR282" s="404" t="str">
        <f t="shared" si="75"/>
        <v/>
      </c>
      <c r="BT282" s="404" t="str">
        <f t="shared" si="70"/>
        <v/>
      </c>
    </row>
    <row r="283" spans="1:72" s="404" customFormat="1" ht="13.2">
      <c r="A283" s="406">
        <f t="shared" si="76"/>
        <v>271</v>
      </c>
      <c r="B283" s="472"/>
      <c r="C283" s="470"/>
      <c r="D283" s="407"/>
      <c r="E283" s="407"/>
      <c r="F283" s="408"/>
      <c r="G283" s="409"/>
      <c r="H283" s="407"/>
      <c r="I283" s="1029" t="str">
        <f>IFERROR(G283/HLOOKUP(H283,RentsUA!$B$8:$J$9,2),"")</f>
        <v/>
      </c>
      <c r="J283" s="407"/>
      <c r="K283" s="412"/>
      <c r="L283" s="672">
        <f t="shared" si="65"/>
        <v>0</v>
      </c>
      <c r="M283" s="671"/>
      <c r="N283" s="410">
        <f t="shared" si="66"/>
        <v>0</v>
      </c>
      <c r="O283" s="469" t="str">
        <f>IF($M283=0,"",IFERROR(($L283+$M283)/(HLOOKUP($D283,RentsUA!$K$12:$Q$35,19,FALSE)),""))</f>
        <v/>
      </c>
      <c r="P283" s="469" t="str">
        <f>IF($M283=0,"",IFERROR(($M283+K283+L283)/(HLOOKUP($D283,RentsUA!$K$12:$Q$35,19,FALSE)),""))</f>
        <v/>
      </c>
      <c r="Q283" s="411"/>
      <c r="R283" s="673" t="str">
        <f>IF($Q283=0,"",VLOOKUP($Q283,RentsUA!$A$12:$H$35,MATCH($D283,RentsUA!$A$12:$H$12,0),FALSE))</f>
        <v/>
      </c>
      <c r="S283" s="409"/>
      <c r="T283" s="674"/>
      <c r="U283" s="672"/>
      <c r="V283" s="673" t="str">
        <f t="shared" si="71"/>
        <v/>
      </c>
      <c r="W283" s="470"/>
      <c r="X283" s="411"/>
      <c r="Y283" s="410" t="str">
        <f>IF(X283=0,"",VLOOKUP($X283,RentsUA!$A$12:$H$35,MATCH($D283,RentsUA!$A$12:$H$12,0),FALSE))</f>
        <v/>
      </c>
      <c r="Z283" s="410" t="str">
        <f t="shared" si="67"/>
        <v/>
      </c>
      <c r="AA283" s="1297" t="str">
        <f>IF(H283="","",IF(G283/HLOOKUP($H283,RentsUA!$M$8:$T$9,2,FALSE)&gt;1,"&gt; 80%","&lt;= 80%"))</f>
        <v/>
      </c>
      <c r="AB283" s="1106"/>
      <c r="AC283" s="1106"/>
      <c r="AD283" s="622"/>
      <c r="AE283" s="412"/>
      <c r="AF283" s="807" t="str">
        <f>IF(AD283="","",IF(AD283=Lists!$U$3,M283,IF(AD283=Lists!$U$4,V283,IF(AD283=Lists!$U$5,Y283-L283,AE283))))</f>
        <v/>
      </c>
      <c r="AG283" s="410" t="str">
        <f t="shared" si="68"/>
        <v/>
      </c>
      <c r="AH283" s="469" t="str">
        <f t="shared" si="69"/>
        <v/>
      </c>
      <c r="AI283" s="469" t="str">
        <f>IF($AF283=0,0,IFERROR(($L283+$AF283)/(HLOOKUP($D283,RentsUA!$K$12:$Q$35,19,FALSE)),""))</f>
        <v/>
      </c>
      <c r="AJ283" s="469" t="str">
        <f>IF($AF283=0,0,IFERROR(($AF283+K283+L283)/(HLOOKUP($D283,RentsUA!$K$12:$Q$35,19,FALSE)),""))</f>
        <v/>
      </c>
      <c r="AK283" s="469" t="str">
        <f t="shared" si="72"/>
        <v/>
      </c>
      <c r="AL283" s="469" t="str">
        <f t="shared" si="73"/>
        <v/>
      </c>
      <c r="AM283" s="1106" t="str">
        <f t="shared" si="74"/>
        <v/>
      </c>
      <c r="AN283" s="1106" t="str">
        <f>IFERROR(AM283*(1+'7a.20YrDetails'!$F$9),"")</f>
        <v/>
      </c>
      <c r="AO283" s="1106" t="str">
        <f>IFERROR(AN283*(1+'7a.20YrDetails'!$F$9),"")</f>
        <v/>
      </c>
      <c r="AP283" s="1106" t="str">
        <f>IFERROR(AO283*(1+'7a.20YrDetails'!$F$9),"")</f>
        <v/>
      </c>
      <c r="AQ283" s="1106" t="str">
        <f>IFERROR(AP283*(1+'7a.20YrDetails'!$F$9),"")</f>
        <v/>
      </c>
      <c r="AR283" s="674"/>
      <c r="AS283" s="672"/>
      <c r="AT283" s="1732" t="str">
        <f>IF($AF283=0,0,IFERROR(($AF283+L283)/(HLOOKUP($D283,RentsUA!$B$61:$H$62,2,FALSE)),""))</f>
        <v/>
      </c>
      <c r="AU283" s="1733" t="str">
        <f>IFERROR(G283/HLOOKUP(H283,RentsUA!$B$40:$I$41,2),"")</f>
        <v/>
      </c>
      <c r="BR283" s="404" t="str">
        <f t="shared" si="75"/>
        <v/>
      </c>
      <c r="BT283" s="404" t="str">
        <f t="shared" si="70"/>
        <v/>
      </c>
    </row>
    <row r="284" spans="1:72" s="404" customFormat="1" ht="13.2">
      <c r="A284" s="406">
        <f t="shared" si="76"/>
        <v>272</v>
      </c>
      <c r="B284" s="472"/>
      <c r="C284" s="470"/>
      <c r="D284" s="407"/>
      <c r="E284" s="407"/>
      <c r="F284" s="408"/>
      <c r="G284" s="409"/>
      <c r="H284" s="407"/>
      <c r="I284" s="1029" t="str">
        <f>IFERROR(G284/HLOOKUP(H284,RentsUA!$B$8:$J$9,2),"")</f>
        <v/>
      </c>
      <c r="J284" s="407"/>
      <c r="K284" s="412"/>
      <c r="L284" s="672">
        <f t="shared" si="65"/>
        <v>0</v>
      </c>
      <c r="M284" s="671"/>
      <c r="N284" s="410">
        <f t="shared" si="66"/>
        <v>0</v>
      </c>
      <c r="O284" s="469" t="str">
        <f>IF($M284=0,"",IFERROR(($L284+$M284)/(HLOOKUP($D284,RentsUA!$K$12:$Q$35,19,FALSE)),""))</f>
        <v/>
      </c>
      <c r="P284" s="469" t="str">
        <f>IF($M284=0,"",IFERROR(($M284+K284+L284)/(HLOOKUP($D284,RentsUA!$K$12:$Q$35,19,FALSE)),""))</f>
        <v/>
      </c>
      <c r="Q284" s="411"/>
      <c r="R284" s="673" t="str">
        <f>IF($Q284=0,"",VLOOKUP($Q284,RentsUA!$A$12:$H$35,MATCH($D284,RentsUA!$A$12:$H$12,0),FALSE))</f>
        <v/>
      </c>
      <c r="S284" s="409"/>
      <c r="T284" s="674"/>
      <c r="U284" s="672"/>
      <c r="V284" s="673" t="str">
        <f t="shared" si="71"/>
        <v/>
      </c>
      <c r="W284" s="470"/>
      <c r="X284" s="411"/>
      <c r="Y284" s="410" t="str">
        <f>IF(X284=0,"",VLOOKUP($X284,RentsUA!$A$12:$H$35,MATCH($D284,RentsUA!$A$12:$H$12,0),FALSE))</f>
        <v/>
      </c>
      <c r="Z284" s="410" t="str">
        <f t="shared" si="67"/>
        <v/>
      </c>
      <c r="AA284" s="1297" t="str">
        <f>IF(H284="","",IF(G284/HLOOKUP($H284,RentsUA!$M$8:$T$9,2,FALSE)&gt;1,"&gt; 80%","&lt;= 80%"))</f>
        <v/>
      </c>
      <c r="AB284" s="1106"/>
      <c r="AC284" s="1106"/>
      <c r="AD284" s="622"/>
      <c r="AE284" s="412"/>
      <c r="AF284" s="807" t="str">
        <f>IF(AD284="","",IF(AD284=Lists!$U$3,M284,IF(AD284=Lists!$U$4,V284,IF(AD284=Lists!$U$5,Y284-L284,AE284))))</f>
        <v/>
      </c>
      <c r="AG284" s="410" t="str">
        <f t="shared" si="68"/>
        <v/>
      </c>
      <c r="AH284" s="469" t="str">
        <f t="shared" si="69"/>
        <v/>
      </c>
      <c r="AI284" s="469" t="str">
        <f>IF($AF284=0,0,IFERROR(($L284+$AF284)/(HLOOKUP($D284,RentsUA!$K$12:$Q$35,19,FALSE)),""))</f>
        <v/>
      </c>
      <c r="AJ284" s="469" t="str">
        <f>IF($AF284=0,0,IFERROR(($AF284+K284+L284)/(HLOOKUP($D284,RentsUA!$K$12:$Q$35,19,FALSE)),""))</f>
        <v/>
      </c>
      <c r="AK284" s="469" t="str">
        <f t="shared" si="72"/>
        <v/>
      </c>
      <c r="AL284" s="469" t="str">
        <f t="shared" si="73"/>
        <v/>
      </c>
      <c r="AM284" s="1106" t="str">
        <f t="shared" si="74"/>
        <v/>
      </c>
      <c r="AN284" s="1106" t="str">
        <f>IFERROR(AM284*(1+'7a.20YrDetails'!$F$9),"")</f>
        <v/>
      </c>
      <c r="AO284" s="1106" t="str">
        <f>IFERROR(AN284*(1+'7a.20YrDetails'!$F$9),"")</f>
        <v/>
      </c>
      <c r="AP284" s="1106" t="str">
        <f>IFERROR(AO284*(1+'7a.20YrDetails'!$F$9),"")</f>
        <v/>
      </c>
      <c r="AQ284" s="1106" t="str">
        <f>IFERROR(AP284*(1+'7a.20YrDetails'!$F$9),"")</f>
        <v/>
      </c>
      <c r="AR284" s="674"/>
      <c r="AS284" s="672"/>
      <c r="AT284" s="1732" t="str">
        <f>IF($AF284=0,0,IFERROR(($AF284+L284)/(HLOOKUP($D284,RentsUA!$B$61:$H$62,2,FALSE)),""))</f>
        <v/>
      </c>
      <c r="AU284" s="1733" t="str">
        <f>IFERROR(G284/HLOOKUP(H284,RentsUA!$B$40:$I$41,2),"")</f>
        <v/>
      </c>
      <c r="BR284" s="404" t="str">
        <f t="shared" si="75"/>
        <v/>
      </c>
      <c r="BT284" s="404" t="str">
        <f t="shared" si="70"/>
        <v/>
      </c>
    </row>
    <row r="285" spans="1:72" s="404" customFormat="1" ht="13.2">
      <c r="A285" s="406">
        <f t="shared" si="76"/>
        <v>273</v>
      </c>
      <c r="B285" s="472"/>
      <c r="C285" s="470"/>
      <c r="D285" s="407"/>
      <c r="E285" s="407"/>
      <c r="F285" s="408"/>
      <c r="G285" s="409"/>
      <c r="H285" s="407"/>
      <c r="I285" s="1029" t="str">
        <f>IFERROR(G285/HLOOKUP(H285,RentsUA!$B$8:$J$9,2),"")</f>
        <v/>
      </c>
      <c r="J285" s="407"/>
      <c r="K285" s="412"/>
      <c r="L285" s="672">
        <f t="shared" si="65"/>
        <v>0</v>
      </c>
      <c r="M285" s="671"/>
      <c r="N285" s="410">
        <f t="shared" si="66"/>
        <v>0</v>
      </c>
      <c r="O285" s="469" t="str">
        <f>IF($M285=0,"",IFERROR(($L285+$M285)/(HLOOKUP($D285,RentsUA!$K$12:$Q$35,19,FALSE)),""))</f>
        <v/>
      </c>
      <c r="P285" s="469" t="str">
        <f>IF($M285=0,"",IFERROR(($M285+K285+L285)/(HLOOKUP($D285,RentsUA!$K$12:$Q$35,19,FALSE)),""))</f>
        <v/>
      </c>
      <c r="Q285" s="411"/>
      <c r="R285" s="673" t="str">
        <f>IF($Q285=0,"",VLOOKUP($Q285,RentsUA!$A$12:$H$35,MATCH($D285,RentsUA!$A$12:$H$12,0),FALSE))</f>
        <v/>
      </c>
      <c r="S285" s="409"/>
      <c r="T285" s="674"/>
      <c r="U285" s="672"/>
      <c r="V285" s="673" t="str">
        <f t="shared" si="71"/>
        <v/>
      </c>
      <c r="W285" s="470"/>
      <c r="X285" s="411"/>
      <c r="Y285" s="410" t="str">
        <f>IF(X285=0,"",VLOOKUP($X285,RentsUA!$A$12:$H$35,MATCH($D285,RentsUA!$A$12:$H$12,0),FALSE))</f>
        <v/>
      </c>
      <c r="Z285" s="410" t="str">
        <f t="shared" si="67"/>
        <v/>
      </c>
      <c r="AA285" s="1297" t="str">
        <f>IF(H285="","",IF(G285/HLOOKUP($H285,RentsUA!$M$8:$T$9,2,FALSE)&gt;1,"&gt; 80%","&lt;= 80%"))</f>
        <v/>
      </c>
      <c r="AB285" s="1106"/>
      <c r="AC285" s="1106"/>
      <c r="AD285" s="622"/>
      <c r="AE285" s="412"/>
      <c r="AF285" s="807" t="str">
        <f>IF(AD285="","",IF(AD285=Lists!$U$3,M285,IF(AD285=Lists!$U$4,V285,IF(AD285=Lists!$U$5,Y285-L285,AE285))))</f>
        <v/>
      </c>
      <c r="AG285" s="410" t="str">
        <f t="shared" si="68"/>
        <v/>
      </c>
      <c r="AH285" s="469" t="str">
        <f t="shared" si="69"/>
        <v/>
      </c>
      <c r="AI285" s="469" t="str">
        <f>IF($AF285=0,0,IFERROR(($L285+$AF285)/(HLOOKUP($D285,RentsUA!$K$12:$Q$35,19,FALSE)),""))</f>
        <v/>
      </c>
      <c r="AJ285" s="469" t="str">
        <f>IF($AF285=0,0,IFERROR(($AF285+K285+L285)/(HLOOKUP($D285,RentsUA!$K$12:$Q$35,19,FALSE)),""))</f>
        <v/>
      </c>
      <c r="AK285" s="469" t="str">
        <f t="shared" si="72"/>
        <v/>
      </c>
      <c r="AL285" s="469" t="str">
        <f t="shared" si="73"/>
        <v/>
      </c>
      <c r="AM285" s="1106" t="str">
        <f t="shared" si="74"/>
        <v/>
      </c>
      <c r="AN285" s="1106" t="str">
        <f>IFERROR(AM285*(1+'7a.20YrDetails'!$F$9),"")</f>
        <v/>
      </c>
      <c r="AO285" s="1106" t="str">
        <f>IFERROR(AN285*(1+'7a.20YrDetails'!$F$9),"")</f>
        <v/>
      </c>
      <c r="AP285" s="1106" t="str">
        <f>IFERROR(AO285*(1+'7a.20YrDetails'!$F$9),"")</f>
        <v/>
      </c>
      <c r="AQ285" s="1106" t="str">
        <f>IFERROR(AP285*(1+'7a.20YrDetails'!$F$9),"")</f>
        <v/>
      </c>
      <c r="AR285" s="674"/>
      <c r="AS285" s="672"/>
      <c r="AT285" s="1732" t="str">
        <f>IF($AF285=0,0,IFERROR(($AF285+L285)/(HLOOKUP($D285,RentsUA!$B$61:$H$62,2,FALSE)),""))</f>
        <v/>
      </c>
      <c r="AU285" s="1733" t="str">
        <f>IFERROR(G285/HLOOKUP(H285,RentsUA!$B$40:$I$41,2),"")</f>
        <v/>
      </c>
      <c r="BR285" s="404" t="str">
        <f t="shared" si="75"/>
        <v/>
      </c>
      <c r="BT285" s="404" t="str">
        <f t="shared" si="70"/>
        <v/>
      </c>
    </row>
    <row r="286" spans="1:72" s="404" customFormat="1" ht="13.2">
      <c r="A286" s="406">
        <f t="shared" si="76"/>
        <v>274</v>
      </c>
      <c r="B286" s="472"/>
      <c r="C286" s="470"/>
      <c r="D286" s="407"/>
      <c r="E286" s="407"/>
      <c r="F286" s="408"/>
      <c r="G286" s="409"/>
      <c r="H286" s="407"/>
      <c r="I286" s="1029" t="str">
        <f>IFERROR(G286/HLOOKUP(H286,RentsUA!$B$8:$J$9,2),"")</f>
        <v/>
      </c>
      <c r="J286" s="407"/>
      <c r="K286" s="412"/>
      <c r="L286" s="672">
        <f t="shared" si="65"/>
        <v>0</v>
      </c>
      <c r="M286" s="671"/>
      <c r="N286" s="410">
        <f t="shared" si="66"/>
        <v>0</v>
      </c>
      <c r="O286" s="469" t="str">
        <f>IF($M286=0,"",IFERROR(($L286+$M286)/(HLOOKUP($D286,RentsUA!$K$12:$Q$35,19,FALSE)),""))</f>
        <v/>
      </c>
      <c r="P286" s="469" t="str">
        <f>IF($M286=0,"",IFERROR(($M286+K286+L286)/(HLOOKUP($D286,RentsUA!$K$12:$Q$35,19,FALSE)),""))</f>
        <v/>
      </c>
      <c r="Q286" s="411"/>
      <c r="R286" s="673" t="str">
        <f>IF($Q286=0,"",VLOOKUP($Q286,RentsUA!$A$12:$H$35,MATCH($D286,RentsUA!$A$12:$H$12,0),FALSE))</f>
        <v/>
      </c>
      <c r="S286" s="409"/>
      <c r="T286" s="674"/>
      <c r="U286" s="672"/>
      <c r="V286" s="673" t="str">
        <f t="shared" si="71"/>
        <v/>
      </c>
      <c r="W286" s="470"/>
      <c r="X286" s="411"/>
      <c r="Y286" s="410" t="str">
        <f>IF(X286=0,"",VLOOKUP($X286,RentsUA!$A$12:$H$35,MATCH($D286,RentsUA!$A$12:$H$12,0),FALSE))</f>
        <v/>
      </c>
      <c r="Z286" s="410" t="str">
        <f t="shared" si="67"/>
        <v/>
      </c>
      <c r="AA286" s="1297" t="str">
        <f>IF(H286="","",IF(G286/HLOOKUP($H286,RentsUA!$M$8:$T$9,2,FALSE)&gt;1,"&gt; 80%","&lt;= 80%"))</f>
        <v/>
      </c>
      <c r="AB286" s="1106"/>
      <c r="AC286" s="1106"/>
      <c r="AD286" s="622"/>
      <c r="AE286" s="412"/>
      <c r="AF286" s="807" t="str">
        <f>IF(AD286="","",IF(AD286=Lists!$U$3,M286,IF(AD286=Lists!$U$4,V286,IF(AD286=Lists!$U$5,Y286-L286,AE286))))</f>
        <v/>
      </c>
      <c r="AG286" s="410" t="str">
        <f t="shared" si="68"/>
        <v/>
      </c>
      <c r="AH286" s="469" t="str">
        <f t="shared" si="69"/>
        <v/>
      </c>
      <c r="AI286" s="469" t="str">
        <f>IF($AF286=0,0,IFERROR(($L286+$AF286)/(HLOOKUP($D286,RentsUA!$K$12:$Q$35,19,FALSE)),""))</f>
        <v/>
      </c>
      <c r="AJ286" s="469" t="str">
        <f>IF($AF286=0,0,IFERROR(($AF286+K286+L286)/(HLOOKUP($D286,RentsUA!$K$12:$Q$35,19,FALSE)),""))</f>
        <v/>
      </c>
      <c r="AK286" s="469" t="str">
        <f t="shared" si="72"/>
        <v/>
      </c>
      <c r="AL286" s="469" t="str">
        <f t="shared" si="73"/>
        <v/>
      </c>
      <c r="AM286" s="1106" t="str">
        <f t="shared" si="74"/>
        <v/>
      </c>
      <c r="AN286" s="1106" t="str">
        <f>IFERROR(AM286*(1+'7a.20YrDetails'!$F$9),"")</f>
        <v/>
      </c>
      <c r="AO286" s="1106" t="str">
        <f>IFERROR(AN286*(1+'7a.20YrDetails'!$F$9),"")</f>
        <v/>
      </c>
      <c r="AP286" s="1106" t="str">
        <f>IFERROR(AO286*(1+'7a.20YrDetails'!$F$9),"")</f>
        <v/>
      </c>
      <c r="AQ286" s="1106" t="str">
        <f>IFERROR(AP286*(1+'7a.20YrDetails'!$F$9),"")</f>
        <v/>
      </c>
      <c r="AR286" s="674"/>
      <c r="AS286" s="672"/>
      <c r="AT286" s="1732" t="str">
        <f>IF($AF286=0,0,IFERROR(($AF286+L286)/(HLOOKUP($D286,RentsUA!$B$61:$H$62,2,FALSE)),""))</f>
        <v/>
      </c>
      <c r="AU286" s="1733" t="str">
        <f>IFERROR(G286/HLOOKUP(H286,RentsUA!$B$40:$I$41,2),"")</f>
        <v/>
      </c>
      <c r="BR286" s="404" t="str">
        <f t="shared" si="75"/>
        <v/>
      </c>
      <c r="BT286" s="404" t="str">
        <f t="shared" si="70"/>
        <v/>
      </c>
    </row>
    <row r="287" spans="1:72" s="404" customFormat="1" ht="13.2">
      <c r="A287" s="406">
        <f t="shared" si="76"/>
        <v>275</v>
      </c>
      <c r="B287" s="472"/>
      <c r="C287" s="470"/>
      <c r="D287" s="407"/>
      <c r="E287" s="407"/>
      <c r="F287" s="408"/>
      <c r="G287" s="409"/>
      <c r="H287" s="407"/>
      <c r="I287" s="1029" t="str">
        <f>IFERROR(G287/HLOOKUP(H287,RentsUA!$B$8:$J$9,2),"")</f>
        <v/>
      </c>
      <c r="J287" s="407"/>
      <c r="K287" s="412"/>
      <c r="L287" s="672">
        <f t="shared" si="65"/>
        <v>0</v>
      </c>
      <c r="M287" s="671"/>
      <c r="N287" s="410">
        <f t="shared" si="66"/>
        <v>0</v>
      </c>
      <c r="O287" s="469" t="str">
        <f>IF($M287=0,"",IFERROR(($L287+$M287)/(HLOOKUP($D287,RentsUA!$K$12:$Q$35,19,FALSE)),""))</f>
        <v/>
      </c>
      <c r="P287" s="469" t="str">
        <f>IF($M287=0,"",IFERROR(($M287+K287+L287)/(HLOOKUP($D287,RentsUA!$K$12:$Q$35,19,FALSE)),""))</f>
        <v/>
      </c>
      <c r="Q287" s="411"/>
      <c r="R287" s="673" t="str">
        <f>IF($Q287=0,"",VLOOKUP($Q287,RentsUA!$A$12:$H$35,MATCH($D287,RentsUA!$A$12:$H$12,0),FALSE))</f>
        <v/>
      </c>
      <c r="S287" s="409"/>
      <c r="T287" s="674"/>
      <c r="U287" s="672"/>
      <c r="V287" s="673" t="str">
        <f t="shared" si="71"/>
        <v/>
      </c>
      <c r="W287" s="470"/>
      <c r="X287" s="411"/>
      <c r="Y287" s="410" t="str">
        <f>IF(X287=0,"",VLOOKUP($X287,RentsUA!$A$12:$H$35,MATCH($D287,RentsUA!$A$12:$H$12,0),FALSE))</f>
        <v/>
      </c>
      <c r="Z287" s="410" t="str">
        <f t="shared" si="67"/>
        <v/>
      </c>
      <c r="AA287" s="1297" t="str">
        <f>IF(H287="","",IF(G287/HLOOKUP($H287,RentsUA!$M$8:$T$9,2,FALSE)&gt;1,"&gt; 80%","&lt;= 80%"))</f>
        <v/>
      </c>
      <c r="AB287" s="1106"/>
      <c r="AC287" s="1106"/>
      <c r="AD287" s="622"/>
      <c r="AE287" s="412"/>
      <c r="AF287" s="807" t="str">
        <f>IF(AD287="","",IF(AD287=Lists!$U$3,M287,IF(AD287=Lists!$U$4,V287,IF(AD287=Lists!$U$5,Y287-L287,AE287))))</f>
        <v/>
      </c>
      <c r="AG287" s="410" t="str">
        <f t="shared" si="68"/>
        <v/>
      </c>
      <c r="AH287" s="469" t="str">
        <f t="shared" si="69"/>
        <v/>
      </c>
      <c r="AI287" s="469" t="str">
        <f>IF($AF287=0,0,IFERROR(($L287+$AF287)/(HLOOKUP($D287,RentsUA!$K$12:$Q$35,19,FALSE)),""))</f>
        <v/>
      </c>
      <c r="AJ287" s="469" t="str">
        <f>IF($AF287=0,0,IFERROR(($AF287+K287+L287)/(HLOOKUP($D287,RentsUA!$K$12:$Q$35,19,FALSE)),""))</f>
        <v/>
      </c>
      <c r="AK287" s="469" t="str">
        <f t="shared" si="72"/>
        <v/>
      </c>
      <c r="AL287" s="469" t="str">
        <f t="shared" si="73"/>
        <v/>
      </c>
      <c r="AM287" s="1106" t="str">
        <f t="shared" si="74"/>
        <v/>
      </c>
      <c r="AN287" s="1106" t="str">
        <f>IFERROR(AM287*(1+'7a.20YrDetails'!$F$9),"")</f>
        <v/>
      </c>
      <c r="AO287" s="1106" t="str">
        <f>IFERROR(AN287*(1+'7a.20YrDetails'!$F$9),"")</f>
        <v/>
      </c>
      <c r="AP287" s="1106" t="str">
        <f>IFERROR(AO287*(1+'7a.20YrDetails'!$F$9),"")</f>
        <v/>
      </c>
      <c r="AQ287" s="1106" t="str">
        <f>IFERROR(AP287*(1+'7a.20YrDetails'!$F$9),"")</f>
        <v/>
      </c>
      <c r="AR287" s="674"/>
      <c r="AS287" s="672"/>
      <c r="AT287" s="1732" t="str">
        <f>IF($AF287=0,0,IFERROR(($AF287+L287)/(HLOOKUP($D287,RentsUA!$B$61:$H$62,2,FALSE)),""))</f>
        <v/>
      </c>
      <c r="AU287" s="1733" t="str">
        <f>IFERROR(G287/HLOOKUP(H287,RentsUA!$B$40:$I$41,2),"")</f>
        <v/>
      </c>
      <c r="BR287" s="404" t="str">
        <f t="shared" si="75"/>
        <v/>
      </c>
      <c r="BT287" s="404" t="str">
        <f t="shared" si="70"/>
        <v/>
      </c>
    </row>
    <row r="288" spans="1:72" s="404" customFormat="1" ht="13.2">
      <c r="A288" s="406">
        <f t="shared" si="76"/>
        <v>276</v>
      </c>
      <c r="B288" s="472"/>
      <c r="C288" s="470"/>
      <c r="D288" s="407"/>
      <c r="E288" s="407"/>
      <c r="F288" s="408"/>
      <c r="G288" s="409"/>
      <c r="H288" s="407"/>
      <c r="I288" s="1029" t="str">
        <f>IFERROR(G288/HLOOKUP(H288,RentsUA!$B$8:$J$9,2),"")</f>
        <v/>
      </c>
      <c r="J288" s="407"/>
      <c r="K288" s="412"/>
      <c r="L288" s="672">
        <f t="shared" si="65"/>
        <v>0</v>
      </c>
      <c r="M288" s="671"/>
      <c r="N288" s="410">
        <f t="shared" si="66"/>
        <v>0</v>
      </c>
      <c r="O288" s="469" t="str">
        <f>IF($M288=0,"",IFERROR(($L288+$M288)/(HLOOKUP($D288,RentsUA!$K$12:$Q$35,19,FALSE)),""))</f>
        <v/>
      </c>
      <c r="P288" s="469" t="str">
        <f>IF($M288=0,"",IFERROR(($M288+K288+L288)/(HLOOKUP($D288,RentsUA!$K$12:$Q$35,19,FALSE)),""))</f>
        <v/>
      </c>
      <c r="Q288" s="411"/>
      <c r="R288" s="673" t="str">
        <f>IF($Q288=0,"",VLOOKUP($Q288,RentsUA!$A$12:$H$35,MATCH($D288,RentsUA!$A$12:$H$12,0),FALSE))</f>
        <v/>
      </c>
      <c r="S288" s="409"/>
      <c r="T288" s="674"/>
      <c r="U288" s="672"/>
      <c r="V288" s="673" t="str">
        <f t="shared" si="71"/>
        <v/>
      </c>
      <c r="W288" s="470"/>
      <c r="X288" s="411"/>
      <c r="Y288" s="410" t="str">
        <f>IF(X288=0,"",VLOOKUP($X288,RentsUA!$A$12:$H$35,MATCH($D288,RentsUA!$A$12:$H$12,0),FALSE))</f>
        <v/>
      </c>
      <c r="Z288" s="410" t="str">
        <f t="shared" si="67"/>
        <v/>
      </c>
      <c r="AA288" s="1297" t="str">
        <f>IF(H288="","",IF(G288/HLOOKUP($H288,RentsUA!$M$8:$T$9,2,FALSE)&gt;1,"&gt; 80%","&lt;= 80%"))</f>
        <v/>
      </c>
      <c r="AB288" s="1106"/>
      <c r="AC288" s="1106"/>
      <c r="AD288" s="622"/>
      <c r="AE288" s="412"/>
      <c r="AF288" s="807" t="str">
        <f>IF(AD288="","",IF(AD288=Lists!$U$3,M288,IF(AD288=Lists!$U$4,V288,IF(AD288=Lists!$U$5,Y288-L288,AE288))))</f>
        <v/>
      </c>
      <c r="AG288" s="410" t="str">
        <f t="shared" si="68"/>
        <v/>
      </c>
      <c r="AH288" s="469" t="str">
        <f t="shared" si="69"/>
        <v/>
      </c>
      <c r="AI288" s="469" t="str">
        <f>IF($AF288=0,0,IFERROR(($L288+$AF288)/(HLOOKUP($D288,RentsUA!$K$12:$Q$35,19,FALSE)),""))</f>
        <v/>
      </c>
      <c r="AJ288" s="469" t="str">
        <f>IF($AF288=0,0,IFERROR(($AF288+K288+L288)/(HLOOKUP($D288,RentsUA!$K$12:$Q$35,19,FALSE)),""))</f>
        <v/>
      </c>
      <c r="AK288" s="469" t="str">
        <f t="shared" si="72"/>
        <v/>
      </c>
      <c r="AL288" s="469" t="str">
        <f t="shared" si="73"/>
        <v/>
      </c>
      <c r="AM288" s="1106" t="str">
        <f t="shared" si="74"/>
        <v/>
      </c>
      <c r="AN288" s="1106" t="str">
        <f>IFERROR(AM288*(1+'7a.20YrDetails'!$F$9),"")</f>
        <v/>
      </c>
      <c r="AO288" s="1106" t="str">
        <f>IFERROR(AN288*(1+'7a.20YrDetails'!$F$9),"")</f>
        <v/>
      </c>
      <c r="AP288" s="1106" t="str">
        <f>IFERROR(AO288*(1+'7a.20YrDetails'!$F$9),"")</f>
        <v/>
      </c>
      <c r="AQ288" s="1106" t="str">
        <f>IFERROR(AP288*(1+'7a.20YrDetails'!$F$9),"")</f>
        <v/>
      </c>
      <c r="AR288" s="674"/>
      <c r="AS288" s="672"/>
      <c r="AT288" s="1732" t="str">
        <f>IF($AF288=0,0,IFERROR(($AF288+L288)/(HLOOKUP($D288,RentsUA!$B$61:$H$62,2,FALSE)),""))</f>
        <v/>
      </c>
      <c r="AU288" s="1733" t="str">
        <f>IFERROR(G288/HLOOKUP(H288,RentsUA!$B$40:$I$41,2),"")</f>
        <v/>
      </c>
      <c r="BR288" s="404" t="str">
        <f t="shared" si="75"/>
        <v/>
      </c>
      <c r="BT288" s="404" t="str">
        <f t="shared" si="70"/>
        <v/>
      </c>
    </row>
    <row r="289" spans="1:72" s="404" customFormat="1" ht="13.2">
      <c r="A289" s="406">
        <f t="shared" si="76"/>
        <v>277</v>
      </c>
      <c r="B289" s="472"/>
      <c r="C289" s="470"/>
      <c r="D289" s="407"/>
      <c r="E289" s="407"/>
      <c r="F289" s="408"/>
      <c r="G289" s="409"/>
      <c r="H289" s="407"/>
      <c r="I289" s="1029" t="str">
        <f>IFERROR(G289/HLOOKUP(H289,RentsUA!$B$8:$J$9,2),"")</f>
        <v/>
      </c>
      <c r="J289" s="407"/>
      <c r="K289" s="412"/>
      <c r="L289" s="672">
        <f t="shared" si="65"/>
        <v>0</v>
      </c>
      <c r="M289" s="671"/>
      <c r="N289" s="410">
        <f t="shared" si="66"/>
        <v>0</v>
      </c>
      <c r="O289" s="469" t="str">
        <f>IF($M289=0,"",IFERROR(($L289+$M289)/(HLOOKUP($D289,RentsUA!$K$12:$Q$35,19,FALSE)),""))</f>
        <v/>
      </c>
      <c r="P289" s="469" t="str">
        <f>IF($M289=0,"",IFERROR(($M289+K289+L289)/(HLOOKUP($D289,RentsUA!$K$12:$Q$35,19,FALSE)),""))</f>
        <v/>
      </c>
      <c r="Q289" s="411"/>
      <c r="R289" s="673" t="str">
        <f>IF($Q289=0,"",VLOOKUP($Q289,RentsUA!$A$12:$H$35,MATCH($D289,RentsUA!$A$12:$H$12,0),FALSE))</f>
        <v/>
      </c>
      <c r="S289" s="409"/>
      <c r="T289" s="674"/>
      <c r="U289" s="672"/>
      <c r="V289" s="673" t="str">
        <f t="shared" si="71"/>
        <v/>
      </c>
      <c r="W289" s="470"/>
      <c r="X289" s="411"/>
      <c r="Y289" s="410" t="str">
        <f>IF(X289=0,"",VLOOKUP($X289,RentsUA!$A$12:$H$35,MATCH($D289,RentsUA!$A$12:$H$12,0),FALSE))</f>
        <v/>
      </c>
      <c r="Z289" s="410" t="str">
        <f t="shared" si="67"/>
        <v/>
      </c>
      <c r="AA289" s="1297" t="str">
        <f>IF(H289="","",IF(G289/HLOOKUP($H289,RentsUA!$M$8:$T$9,2,FALSE)&gt;1,"&gt; 80%","&lt;= 80%"))</f>
        <v/>
      </c>
      <c r="AB289" s="1106"/>
      <c r="AC289" s="1106"/>
      <c r="AD289" s="622"/>
      <c r="AE289" s="412"/>
      <c r="AF289" s="807" t="str">
        <f>IF(AD289="","",IF(AD289=Lists!$U$3,M289,IF(AD289=Lists!$U$4,V289,IF(AD289=Lists!$U$5,Y289-L289,AE289))))</f>
        <v/>
      </c>
      <c r="AG289" s="410" t="str">
        <f t="shared" si="68"/>
        <v/>
      </c>
      <c r="AH289" s="469" t="str">
        <f t="shared" si="69"/>
        <v/>
      </c>
      <c r="AI289" s="469" t="str">
        <f>IF($AF289=0,0,IFERROR(($L289+$AF289)/(HLOOKUP($D289,RentsUA!$K$12:$Q$35,19,FALSE)),""))</f>
        <v/>
      </c>
      <c r="AJ289" s="469" t="str">
        <f>IF($AF289=0,0,IFERROR(($AF289+K289+L289)/(HLOOKUP($D289,RentsUA!$K$12:$Q$35,19,FALSE)),""))</f>
        <v/>
      </c>
      <c r="AK289" s="469" t="str">
        <f t="shared" si="72"/>
        <v/>
      </c>
      <c r="AL289" s="469" t="str">
        <f t="shared" si="73"/>
        <v/>
      </c>
      <c r="AM289" s="1106" t="str">
        <f t="shared" si="74"/>
        <v/>
      </c>
      <c r="AN289" s="1106" t="str">
        <f>IFERROR(AM289*(1+'7a.20YrDetails'!$F$9),"")</f>
        <v/>
      </c>
      <c r="AO289" s="1106" t="str">
        <f>IFERROR(AN289*(1+'7a.20YrDetails'!$F$9),"")</f>
        <v/>
      </c>
      <c r="AP289" s="1106" t="str">
        <f>IFERROR(AO289*(1+'7a.20YrDetails'!$F$9),"")</f>
        <v/>
      </c>
      <c r="AQ289" s="1106" t="str">
        <f>IFERROR(AP289*(1+'7a.20YrDetails'!$F$9),"")</f>
        <v/>
      </c>
      <c r="AR289" s="674"/>
      <c r="AS289" s="672"/>
      <c r="AT289" s="1732" t="str">
        <f>IF($AF289=0,0,IFERROR(($AF289+L289)/(HLOOKUP($D289,RentsUA!$B$61:$H$62,2,FALSE)),""))</f>
        <v/>
      </c>
      <c r="AU289" s="1733" t="str">
        <f>IFERROR(G289/HLOOKUP(H289,RentsUA!$B$40:$I$41,2),"")</f>
        <v/>
      </c>
      <c r="BR289" s="404" t="str">
        <f t="shared" si="75"/>
        <v/>
      </c>
      <c r="BT289" s="404" t="str">
        <f t="shared" si="70"/>
        <v/>
      </c>
    </row>
    <row r="290" spans="1:72" s="404" customFormat="1" ht="13.2">
      <c r="A290" s="406">
        <f t="shared" si="76"/>
        <v>278</v>
      </c>
      <c r="B290" s="472"/>
      <c r="C290" s="470"/>
      <c r="D290" s="407"/>
      <c r="E290" s="407"/>
      <c r="F290" s="408"/>
      <c r="G290" s="409"/>
      <c r="H290" s="407"/>
      <c r="I290" s="1029" t="str">
        <f>IFERROR(G290/HLOOKUP(H290,RentsUA!$B$8:$J$9,2),"")</f>
        <v/>
      </c>
      <c r="J290" s="407"/>
      <c r="K290" s="412"/>
      <c r="L290" s="672">
        <f t="shared" si="65"/>
        <v>0</v>
      </c>
      <c r="M290" s="671"/>
      <c r="N290" s="410">
        <f t="shared" si="66"/>
        <v>0</v>
      </c>
      <c r="O290" s="469" t="str">
        <f>IF($M290=0,"",IFERROR(($L290+$M290)/(HLOOKUP($D290,RentsUA!$K$12:$Q$35,19,FALSE)),""))</f>
        <v/>
      </c>
      <c r="P290" s="469" t="str">
        <f>IF($M290=0,"",IFERROR(($M290+K290+L290)/(HLOOKUP($D290,RentsUA!$K$12:$Q$35,19,FALSE)),""))</f>
        <v/>
      </c>
      <c r="Q290" s="411"/>
      <c r="R290" s="673" t="str">
        <f>IF($Q290=0,"",VLOOKUP($Q290,RentsUA!$A$12:$H$35,MATCH($D290,RentsUA!$A$12:$H$12,0),FALSE))</f>
        <v/>
      </c>
      <c r="S290" s="409"/>
      <c r="T290" s="674"/>
      <c r="U290" s="672"/>
      <c r="V290" s="673" t="str">
        <f t="shared" si="71"/>
        <v/>
      </c>
      <c r="W290" s="470"/>
      <c r="X290" s="411"/>
      <c r="Y290" s="410" t="str">
        <f>IF(X290=0,"",VLOOKUP($X290,RentsUA!$A$12:$H$35,MATCH($D290,RentsUA!$A$12:$H$12,0),FALSE))</f>
        <v/>
      </c>
      <c r="Z290" s="410" t="str">
        <f t="shared" si="67"/>
        <v/>
      </c>
      <c r="AA290" s="1297" t="str">
        <f>IF(H290="","",IF(G290/HLOOKUP($H290,RentsUA!$M$8:$T$9,2,FALSE)&gt;1,"&gt; 80%","&lt;= 80%"))</f>
        <v/>
      </c>
      <c r="AB290" s="1106"/>
      <c r="AC290" s="1106"/>
      <c r="AD290" s="622"/>
      <c r="AE290" s="412"/>
      <c r="AF290" s="807" t="str">
        <f>IF(AD290="","",IF(AD290=Lists!$U$3,M290,IF(AD290=Lists!$U$4,V290,IF(AD290=Lists!$U$5,Y290-L290,AE290))))</f>
        <v/>
      </c>
      <c r="AG290" s="410" t="str">
        <f t="shared" si="68"/>
        <v/>
      </c>
      <c r="AH290" s="469" t="str">
        <f t="shared" si="69"/>
        <v/>
      </c>
      <c r="AI290" s="469" t="str">
        <f>IF($AF290=0,0,IFERROR(($L290+$AF290)/(HLOOKUP($D290,RentsUA!$K$12:$Q$35,19,FALSE)),""))</f>
        <v/>
      </c>
      <c r="AJ290" s="469" t="str">
        <f>IF($AF290=0,0,IFERROR(($AF290+K290+L290)/(HLOOKUP($D290,RentsUA!$K$12:$Q$35,19,FALSE)),""))</f>
        <v/>
      </c>
      <c r="AK290" s="469" t="str">
        <f t="shared" si="72"/>
        <v/>
      </c>
      <c r="AL290" s="469" t="str">
        <f t="shared" si="73"/>
        <v/>
      </c>
      <c r="AM290" s="1106" t="str">
        <f t="shared" si="74"/>
        <v/>
      </c>
      <c r="AN290" s="1106" t="str">
        <f>IFERROR(AM290*(1+'7a.20YrDetails'!$F$9),"")</f>
        <v/>
      </c>
      <c r="AO290" s="1106" t="str">
        <f>IFERROR(AN290*(1+'7a.20YrDetails'!$F$9),"")</f>
        <v/>
      </c>
      <c r="AP290" s="1106" t="str">
        <f>IFERROR(AO290*(1+'7a.20YrDetails'!$F$9),"")</f>
        <v/>
      </c>
      <c r="AQ290" s="1106" t="str">
        <f>IFERROR(AP290*(1+'7a.20YrDetails'!$F$9),"")</f>
        <v/>
      </c>
      <c r="AR290" s="674"/>
      <c r="AS290" s="672"/>
      <c r="AT290" s="1732" t="str">
        <f>IF($AF290=0,0,IFERROR(($AF290+L290)/(HLOOKUP($D290,RentsUA!$B$61:$H$62,2,FALSE)),""))</f>
        <v/>
      </c>
      <c r="AU290" s="1733" t="str">
        <f>IFERROR(G290/HLOOKUP(H290,RentsUA!$B$40:$I$41,2),"")</f>
        <v/>
      </c>
      <c r="BR290" s="404" t="str">
        <f t="shared" si="75"/>
        <v/>
      </c>
      <c r="BT290" s="404" t="str">
        <f t="shared" si="70"/>
        <v/>
      </c>
    </row>
    <row r="291" spans="1:72" s="404" customFormat="1" ht="13.2">
      <c r="A291" s="406">
        <f t="shared" si="76"/>
        <v>279</v>
      </c>
      <c r="B291" s="472"/>
      <c r="C291" s="470"/>
      <c r="D291" s="407"/>
      <c r="E291" s="407"/>
      <c r="F291" s="408"/>
      <c r="G291" s="409"/>
      <c r="H291" s="407"/>
      <c r="I291" s="1029" t="str">
        <f>IFERROR(G291/HLOOKUP(H291,RentsUA!$B$8:$J$9,2),"")</f>
        <v/>
      </c>
      <c r="J291" s="407"/>
      <c r="K291" s="412"/>
      <c r="L291" s="672">
        <f t="shared" si="65"/>
        <v>0</v>
      </c>
      <c r="M291" s="671"/>
      <c r="N291" s="410">
        <f t="shared" si="66"/>
        <v>0</v>
      </c>
      <c r="O291" s="469" t="str">
        <f>IF($M291=0,"",IFERROR(($L291+$M291)/(HLOOKUP($D291,RentsUA!$K$12:$Q$35,19,FALSE)),""))</f>
        <v/>
      </c>
      <c r="P291" s="469" t="str">
        <f>IF($M291=0,"",IFERROR(($M291+K291+L291)/(HLOOKUP($D291,RentsUA!$K$12:$Q$35,19,FALSE)),""))</f>
        <v/>
      </c>
      <c r="Q291" s="411"/>
      <c r="R291" s="673" t="str">
        <f>IF($Q291=0,"",VLOOKUP($Q291,RentsUA!$A$12:$H$35,MATCH($D291,RentsUA!$A$12:$H$12,0),FALSE))</f>
        <v/>
      </c>
      <c r="S291" s="409"/>
      <c r="T291" s="674"/>
      <c r="U291" s="672"/>
      <c r="V291" s="673" t="str">
        <f t="shared" si="71"/>
        <v/>
      </c>
      <c r="W291" s="470"/>
      <c r="X291" s="411"/>
      <c r="Y291" s="410" t="str">
        <f>IF(X291=0,"",VLOOKUP($X291,RentsUA!$A$12:$H$35,MATCH($D291,RentsUA!$A$12:$H$12,0),FALSE))</f>
        <v/>
      </c>
      <c r="Z291" s="410" t="str">
        <f t="shared" si="67"/>
        <v/>
      </c>
      <c r="AA291" s="1297" t="str">
        <f>IF(H291="","",IF(G291/HLOOKUP($H291,RentsUA!$M$8:$T$9,2,FALSE)&gt;1,"&gt; 80%","&lt;= 80%"))</f>
        <v/>
      </c>
      <c r="AB291" s="1106"/>
      <c r="AC291" s="1106"/>
      <c r="AD291" s="622"/>
      <c r="AE291" s="412"/>
      <c r="AF291" s="807" t="str">
        <f>IF(AD291="","",IF(AD291=Lists!$U$3,M291,IF(AD291=Lists!$U$4,V291,IF(AD291=Lists!$U$5,Y291-L291,AE291))))</f>
        <v/>
      </c>
      <c r="AG291" s="410" t="str">
        <f t="shared" si="68"/>
        <v/>
      </c>
      <c r="AH291" s="469" t="str">
        <f t="shared" si="69"/>
        <v/>
      </c>
      <c r="AI291" s="469" t="str">
        <f>IF($AF291=0,0,IFERROR(($L291+$AF291)/(HLOOKUP($D291,RentsUA!$K$12:$Q$35,19,FALSE)),""))</f>
        <v/>
      </c>
      <c r="AJ291" s="469" t="str">
        <f>IF($AF291=0,0,IFERROR(($AF291+K291+L291)/(HLOOKUP($D291,RentsUA!$K$12:$Q$35,19,FALSE)),""))</f>
        <v/>
      </c>
      <c r="AK291" s="469" t="str">
        <f t="shared" si="72"/>
        <v/>
      </c>
      <c r="AL291" s="469" t="str">
        <f t="shared" si="73"/>
        <v/>
      </c>
      <c r="AM291" s="1106" t="str">
        <f t="shared" si="74"/>
        <v/>
      </c>
      <c r="AN291" s="1106" t="str">
        <f>IFERROR(AM291*(1+'7a.20YrDetails'!$F$9),"")</f>
        <v/>
      </c>
      <c r="AO291" s="1106" t="str">
        <f>IFERROR(AN291*(1+'7a.20YrDetails'!$F$9),"")</f>
        <v/>
      </c>
      <c r="AP291" s="1106" t="str">
        <f>IFERROR(AO291*(1+'7a.20YrDetails'!$F$9),"")</f>
        <v/>
      </c>
      <c r="AQ291" s="1106" t="str">
        <f>IFERROR(AP291*(1+'7a.20YrDetails'!$F$9),"")</f>
        <v/>
      </c>
      <c r="AR291" s="674"/>
      <c r="AS291" s="672"/>
      <c r="AT291" s="1732" t="str">
        <f>IF($AF291=0,0,IFERROR(($AF291+L291)/(HLOOKUP($D291,RentsUA!$B$61:$H$62,2,FALSE)),""))</f>
        <v/>
      </c>
      <c r="AU291" s="1733" t="str">
        <f>IFERROR(G291/HLOOKUP(H291,RentsUA!$B$40:$I$41,2),"")</f>
        <v/>
      </c>
      <c r="BR291" s="404" t="str">
        <f t="shared" si="75"/>
        <v/>
      </c>
      <c r="BT291" s="404" t="str">
        <f t="shared" si="70"/>
        <v/>
      </c>
    </row>
    <row r="292" spans="1:72" s="404" customFormat="1" ht="13.2">
      <c r="A292" s="406">
        <f t="shared" si="76"/>
        <v>280</v>
      </c>
      <c r="B292" s="472"/>
      <c r="C292" s="470"/>
      <c r="D292" s="407"/>
      <c r="E292" s="407"/>
      <c r="F292" s="408"/>
      <c r="G292" s="409"/>
      <c r="H292" s="407"/>
      <c r="I292" s="1029" t="str">
        <f>IFERROR(G292/HLOOKUP(H292,RentsUA!$B$8:$J$9,2),"")</f>
        <v/>
      </c>
      <c r="J292" s="407"/>
      <c r="K292" s="412"/>
      <c r="L292" s="672">
        <f t="shared" si="65"/>
        <v>0</v>
      </c>
      <c r="M292" s="671"/>
      <c r="N292" s="410">
        <f t="shared" si="66"/>
        <v>0</v>
      </c>
      <c r="O292" s="469" t="str">
        <f>IF($M292=0,"",IFERROR(($L292+$M292)/(HLOOKUP($D292,RentsUA!$K$12:$Q$35,19,FALSE)),""))</f>
        <v/>
      </c>
      <c r="P292" s="469" t="str">
        <f>IF($M292=0,"",IFERROR(($M292+K292+L292)/(HLOOKUP($D292,RentsUA!$K$12:$Q$35,19,FALSE)),""))</f>
        <v/>
      </c>
      <c r="Q292" s="411"/>
      <c r="R292" s="673" t="str">
        <f>IF($Q292=0,"",VLOOKUP($Q292,RentsUA!$A$12:$H$35,MATCH($D292,RentsUA!$A$12:$H$12,0),FALSE))</f>
        <v/>
      </c>
      <c r="S292" s="409"/>
      <c r="T292" s="674"/>
      <c r="U292" s="672"/>
      <c r="V292" s="673" t="str">
        <f t="shared" si="71"/>
        <v/>
      </c>
      <c r="W292" s="470"/>
      <c r="X292" s="411"/>
      <c r="Y292" s="410" t="str">
        <f>IF(X292=0,"",VLOOKUP($X292,RentsUA!$A$12:$H$35,MATCH($D292,RentsUA!$A$12:$H$12,0),FALSE))</f>
        <v/>
      </c>
      <c r="Z292" s="410" t="str">
        <f t="shared" si="67"/>
        <v/>
      </c>
      <c r="AA292" s="1297" t="str">
        <f>IF(H292="","",IF(G292/HLOOKUP($H292,RentsUA!$M$8:$T$9,2,FALSE)&gt;1,"&gt; 80%","&lt;= 80%"))</f>
        <v/>
      </c>
      <c r="AB292" s="1106"/>
      <c r="AC292" s="1106"/>
      <c r="AD292" s="622"/>
      <c r="AE292" s="412"/>
      <c r="AF292" s="807" t="str">
        <f>IF(AD292="","",IF(AD292=Lists!$U$3,M292,IF(AD292=Lists!$U$4,V292,IF(AD292=Lists!$U$5,Y292-L292,AE292))))</f>
        <v/>
      </c>
      <c r="AG292" s="410" t="str">
        <f t="shared" si="68"/>
        <v/>
      </c>
      <c r="AH292" s="469" t="str">
        <f t="shared" si="69"/>
        <v/>
      </c>
      <c r="AI292" s="469" t="str">
        <f>IF($AF292=0,0,IFERROR(($L292+$AF292)/(HLOOKUP($D292,RentsUA!$K$12:$Q$35,19,FALSE)),""))</f>
        <v/>
      </c>
      <c r="AJ292" s="469" t="str">
        <f>IF($AF292=0,0,IFERROR(($AF292+K292+L292)/(HLOOKUP($D292,RentsUA!$K$12:$Q$35,19,FALSE)),""))</f>
        <v/>
      </c>
      <c r="AK292" s="469" t="str">
        <f t="shared" si="72"/>
        <v/>
      </c>
      <c r="AL292" s="469" t="str">
        <f t="shared" si="73"/>
        <v/>
      </c>
      <c r="AM292" s="1106" t="str">
        <f t="shared" si="74"/>
        <v/>
      </c>
      <c r="AN292" s="1106" t="str">
        <f>IFERROR(AM292*(1+'7a.20YrDetails'!$F$9),"")</f>
        <v/>
      </c>
      <c r="AO292" s="1106" t="str">
        <f>IFERROR(AN292*(1+'7a.20YrDetails'!$F$9),"")</f>
        <v/>
      </c>
      <c r="AP292" s="1106" t="str">
        <f>IFERROR(AO292*(1+'7a.20YrDetails'!$F$9),"")</f>
        <v/>
      </c>
      <c r="AQ292" s="1106" t="str">
        <f>IFERROR(AP292*(1+'7a.20YrDetails'!$F$9),"")</f>
        <v/>
      </c>
      <c r="AR292" s="674"/>
      <c r="AS292" s="672"/>
      <c r="AT292" s="1732" t="str">
        <f>IF($AF292=0,0,IFERROR(($AF292+L292)/(HLOOKUP($D292,RentsUA!$B$61:$H$62,2,FALSE)),""))</f>
        <v/>
      </c>
      <c r="AU292" s="1733" t="str">
        <f>IFERROR(G292/HLOOKUP(H292,RentsUA!$B$40:$I$41,2),"")</f>
        <v/>
      </c>
      <c r="BR292" s="404" t="str">
        <f t="shared" si="75"/>
        <v/>
      </c>
      <c r="BT292" s="404" t="str">
        <f t="shared" si="70"/>
        <v/>
      </c>
    </row>
    <row r="293" spans="1:72" s="404" customFormat="1" ht="13.2">
      <c r="A293" s="406">
        <f t="shared" si="76"/>
        <v>281</v>
      </c>
      <c r="B293" s="472"/>
      <c r="C293" s="470"/>
      <c r="D293" s="407"/>
      <c r="E293" s="407"/>
      <c r="F293" s="408"/>
      <c r="G293" s="409"/>
      <c r="H293" s="407"/>
      <c r="I293" s="1029" t="str">
        <f>IFERROR(G293/HLOOKUP(H293,RentsUA!$B$8:$J$9,2),"")</f>
        <v/>
      </c>
      <c r="J293" s="407"/>
      <c r="K293" s="412"/>
      <c r="L293" s="672">
        <f t="shared" si="65"/>
        <v>0</v>
      </c>
      <c r="M293" s="671"/>
      <c r="N293" s="410">
        <f t="shared" si="66"/>
        <v>0</v>
      </c>
      <c r="O293" s="469" t="str">
        <f>IF($M293=0,"",IFERROR(($L293+$M293)/(HLOOKUP($D293,RentsUA!$K$12:$Q$35,19,FALSE)),""))</f>
        <v/>
      </c>
      <c r="P293" s="469" t="str">
        <f>IF($M293=0,"",IFERROR(($M293+K293+L293)/(HLOOKUP($D293,RentsUA!$K$12:$Q$35,19,FALSE)),""))</f>
        <v/>
      </c>
      <c r="Q293" s="411"/>
      <c r="R293" s="673" t="str">
        <f>IF($Q293=0,"",VLOOKUP($Q293,RentsUA!$A$12:$H$35,MATCH($D293,RentsUA!$A$12:$H$12,0),FALSE))</f>
        <v/>
      </c>
      <c r="S293" s="409"/>
      <c r="T293" s="674"/>
      <c r="U293" s="672"/>
      <c r="V293" s="673" t="str">
        <f t="shared" si="71"/>
        <v/>
      </c>
      <c r="W293" s="470"/>
      <c r="X293" s="411"/>
      <c r="Y293" s="410" t="str">
        <f>IF(X293=0,"",VLOOKUP($X293,RentsUA!$A$12:$H$35,MATCH($D293,RentsUA!$A$12:$H$12,0),FALSE))</f>
        <v/>
      </c>
      <c r="Z293" s="410" t="str">
        <f t="shared" si="67"/>
        <v/>
      </c>
      <c r="AA293" s="1297" t="str">
        <f>IF(H293="","",IF(G293/HLOOKUP($H293,RentsUA!$M$8:$T$9,2,FALSE)&gt;1,"&gt; 80%","&lt;= 80%"))</f>
        <v/>
      </c>
      <c r="AB293" s="1106"/>
      <c r="AC293" s="1106"/>
      <c r="AD293" s="622"/>
      <c r="AE293" s="412"/>
      <c r="AF293" s="807" t="str">
        <f>IF(AD293="","",IF(AD293=Lists!$U$3,M293,IF(AD293=Lists!$U$4,V293,IF(AD293=Lists!$U$5,Y293-L293,AE293))))</f>
        <v/>
      </c>
      <c r="AG293" s="410" t="str">
        <f t="shared" si="68"/>
        <v/>
      </c>
      <c r="AH293" s="469" t="str">
        <f t="shared" si="69"/>
        <v/>
      </c>
      <c r="AI293" s="469" t="str">
        <f>IF($AF293=0,0,IFERROR(($L293+$AF293)/(HLOOKUP($D293,RentsUA!$K$12:$Q$35,19,FALSE)),""))</f>
        <v/>
      </c>
      <c r="AJ293" s="469" t="str">
        <f>IF($AF293=0,0,IFERROR(($AF293+K293+L293)/(HLOOKUP($D293,RentsUA!$K$12:$Q$35,19,FALSE)),""))</f>
        <v/>
      </c>
      <c r="AK293" s="469" t="str">
        <f t="shared" si="72"/>
        <v/>
      </c>
      <c r="AL293" s="469" t="str">
        <f t="shared" si="73"/>
        <v/>
      </c>
      <c r="AM293" s="1106" t="str">
        <f t="shared" si="74"/>
        <v/>
      </c>
      <c r="AN293" s="1106" t="str">
        <f>IFERROR(AM293*(1+'7a.20YrDetails'!$F$9),"")</f>
        <v/>
      </c>
      <c r="AO293" s="1106" t="str">
        <f>IFERROR(AN293*(1+'7a.20YrDetails'!$F$9),"")</f>
        <v/>
      </c>
      <c r="AP293" s="1106" t="str">
        <f>IFERROR(AO293*(1+'7a.20YrDetails'!$F$9),"")</f>
        <v/>
      </c>
      <c r="AQ293" s="1106" t="str">
        <f>IFERROR(AP293*(1+'7a.20YrDetails'!$F$9),"")</f>
        <v/>
      </c>
      <c r="AR293" s="674"/>
      <c r="AS293" s="672"/>
      <c r="AT293" s="1732" t="str">
        <f>IF($AF293=0,0,IFERROR(($AF293+L293)/(HLOOKUP($D293,RentsUA!$B$61:$H$62,2,FALSE)),""))</f>
        <v/>
      </c>
      <c r="AU293" s="1733" t="str">
        <f>IFERROR(G293/HLOOKUP(H293,RentsUA!$B$40:$I$41,2),"")</f>
        <v/>
      </c>
      <c r="BR293" s="404" t="str">
        <f t="shared" si="75"/>
        <v/>
      </c>
      <c r="BT293" s="404" t="str">
        <f t="shared" si="70"/>
        <v/>
      </c>
    </row>
    <row r="294" spans="1:72" s="404" customFormat="1" ht="13.2">
      <c r="A294" s="406">
        <f t="shared" si="76"/>
        <v>282</v>
      </c>
      <c r="B294" s="472"/>
      <c r="C294" s="470"/>
      <c r="D294" s="407"/>
      <c r="E294" s="407"/>
      <c r="F294" s="408"/>
      <c r="G294" s="409"/>
      <c r="H294" s="407"/>
      <c r="I294" s="1029" t="str">
        <f>IFERROR(G294/HLOOKUP(H294,RentsUA!$B$8:$J$9,2),"")</f>
        <v/>
      </c>
      <c r="J294" s="407"/>
      <c r="K294" s="412"/>
      <c r="L294" s="672">
        <f t="shared" si="65"/>
        <v>0</v>
      </c>
      <c r="M294" s="671"/>
      <c r="N294" s="410">
        <f t="shared" si="66"/>
        <v>0</v>
      </c>
      <c r="O294" s="469" t="str">
        <f>IF($M294=0,"",IFERROR(($L294+$M294)/(HLOOKUP($D294,RentsUA!$K$12:$Q$35,19,FALSE)),""))</f>
        <v/>
      </c>
      <c r="P294" s="469" t="str">
        <f>IF($M294=0,"",IFERROR(($M294+K294+L294)/(HLOOKUP($D294,RentsUA!$K$12:$Q$35,19,FALSE)),""))</f>
        <v/>
      </c>
      <c r="Q294" s="411"/>
      <c r="R294" s="673" t="str">
        <f>IF($Q294=0,"",VLOOKUP($Q294,RentsUA!$A$12:$H$35,MATCH($D294,RentsUA!$A$12:$H$12,0),FALSE))</f>
        <v/>
      </c>
      <c r="S294" s="409"/>
      <c r="T294" s="674"/>
      <c r="U294" s="672"/>
      <c r="V294" s="673" t="str">
        <f t="shared" si="71"/>
        <v/>
      </c>
      <c r="W294" s="470"/>
      <c r="X294" s="411"/>
      <c r="Y294" s="410" t="str">
        <f>IF(X294=0,"",VLOOKUP($X294,RentsUA!$A$12:$H$35,MATCH($D294,RentsUA!$A$12:$H$12,0),FALSE))</f>
        <v/>
      </c>
      <c r="Z294" s="410" t="str">
        <f t="shared" si="67"/>
        <v/>
      </c>
      <c r="AA294" s="1297" t="str">
        <f>IF(H294="","",IF(G294/HLOOKUP($H294,RentsUA!$M$8:$T$9,2,FALSE)&gt;1,"&gt; 80%","&lt;= 80%"))</f>
        <v/>
      </c>
      <c r="AB294" s="1106"/>
      <c r="AC294" s="1106"/>
      <c r="AD294" s="622"/>
      <c r="AE294" s="412"/>
      <c r="AF294" s="807" t="str">
        <f>IF(AD294="","",IF(AD294=Lists!$U$3,M294,IF(AD294=Lists!$U$4,V294,IF(AD294=Lists!$U$5,Y294-L294,AE294))))</f>
        <v/>
      </c>
      <c r="AG294" s="410" t="str">
        <f t="shared" si="68"/>
        <v/>
      </c>
      <c r="AH294" s="469" t="str">
        <f t="shared" si="69"/>
        <v/>
      </c>
      <c r="AI294" s="469" t="str">
        <f>IF($AF294=0,0,IFERROR(($L294+$AF294)/(HLOOKUP($D294,RentsUA!$K$12:$Q$35,19,FALSE)),""))</f>
        <v/>
      </c>
      <c r="AJ294" s="469" t="str">
        <f>IF($AF294=0,0,IFERROR(($AF294+K294+L294)/(HLOOKUP($D294,RentsUA!$K$12:$Q$35,19,FALSE)),""))</f>
        <v/>
      </c>
      <c r="AK294" s="469" t="str">
        <f t="shared" si="72"/>
        <v/>
      </c>
      <c r="AL294" s="469" t="str">
        <f t="shared" si="73"/>
        <v/>
      </c>
      <c r="AM294" s="1106" t="str">
        <f t="shared" si="74"/>
        <v/>
      </c>
      <c r="AN294" s="1106" t="str">
        <f>IFERROR(AM294*(1+'7a.20YrDetails'!$F$9),"")</f>
        <v/>
      </c>
      <c r="AO294" s="1106" t="str">
        <f>IFERROR(AN294*(1+'7a.20YrDetails'!$F$9),"")</f>
        <v/>
      </c>
      <c r="AP294" s="1106" t="str">
        <f>IFERROR(AO294*(1+'7a.20YrDetails'!$F$9),"")</f>
        <v/>
      </c>
      <c r="AQ294" s="1106" t="str">
        <f>IFERROR(AP294*(1+'7a.20YrDetails'!$F$9),"")</f>
        <v/>
      </c>
      <c r="AR294" s="674"/>
      <c r="AS294" s="672"/>
      <c r="AT294" s="1732" t="str">
        <f>IF($AF294=0,0,IFERROR(($AF294+L294)/(HLOOKUP($D294,RentsUA!$B$61:$H$62,2,FALSE)),""))</f>
        <v/>
      </c>
      <c r="AU294" s="1733" t="str">
        <f>IFERROR(G294/HLOOKUP(H294,RentsUA!$B$40:$I$41,2),"")</f>
        <v/>
      </c>
      <c r="BR294" s="404" t="str">
        <f t="shared" si="75"/>
        <v/>
      </c>
      <c r="BT294" s="404" t="str">
        <f t="shared" si="70"/>
        <v/>
      </c>
    </row>
    <row r="295" spans="1:72" s="404" customFormat="1" ht="13.2">
      <c r="A295" s="406">
        <f t="shared" si="76"/>
        <v>283</v>
      </c>
      <c r="B295" s="472"/>
      <c r="C295" s="470"/>
      <c r="D295" s="407"/>
      <c r="E295" s="407"/>
      <c r="F295" s="408"/>
      <c r="G295" s="409"/>
      <c r="H295" s="407"/>
      <c r="I295" s="1029" t="str">
        <f>IFERROR(G295/HLOOKUP(H295,RentsUA!$B$8:$J$9,2),"")</f>
        <v/>
      </c>
      <c r="J295" s="407"/>
      <c r="K295" s="412"/>
      <c r="L295" s="672">
        <f t="shared" si="65"/>
        <v>0</v>
      </c>
      <c r="M295" s="671"/>
      <c r="N295" s="410">
        <f t="shared" si="66"/>
        <v>0</v>
      </c>
      <c r="O295" s="469" t="str">
        <f>IF($M295=0,"",IFERROR(($L295+$M295)/(HLOOKUP($D295,RentsUA!$K$12:$Q$35,19,FALSE)),""))</f>
        <v/>
      </c>
      <c r="P295" s="469" t="str">
        <f>IF($M295=0,"",IFERROR(($M295+K295+L295)/(HLOOKUP($D295,RentsUA!$K$12:$Q$35,19,FALSE)),""))</f>
        <v/>
      </c>
      <c r="Q295" s="411"/>
      <c r="R295" s="673" t="str">
        <f>IF($Q295=0,"",VLOOKUP($Q295,RentsUA!$A$12:$H$35,MATCH($D295,RentsUA!$A$12:$H$12,0),FALSE))</f>
        <v/>
      </c>
      <c r="S295" s="409"/>
      <c r="T295" s="674"/>
      <c r="U295" s="672"/>
      <c r="V295" s="673" t="str">
        <f t="shared" si="71"/>
        <v/>
      </c>
      <c r="W295" s="470"/>
      <c r="X295" s="411"/>
      <c r="Y295" s="410" t="str">
        <f>IF(X295=0,"",VLOOKUP($X295,RentsUA!$A$12:$H$35,MATCH($D295,RentsUA!$A$12:$H$12,0),FALSE))</f>
        <v/>
      </c>
      <c r="Z295" s="410" t="str">
        <f t="shared" si="67"/>
        <v/>
      </c>
      <c r="AA295" s="1297" t="str">
        <f>IF(H295="","",IF(G295/HLOOKUP($H295,RentsUA!$M$8:$T$9,2,FALSE)&gt;1,"&gt; 80%","&lt;= 80%"))</f>
        <v/>
      </c>
      <c r="AB295" s="1106"/>
      <c r="AC295" s="1106"/>
      <c r="AD295" s="622"/>
      <c r="AE295" s="412"/>
      <c r="AF295" s="807" t="str">
        <f>IF(AD295="","",IF(AD295=Lists!$U$3,M295,IF(AD295=Lists!$U$4,V295,IF(AD295=Lists!$U$5,Y295-L295,AE295))))</f>
        <v/>
      </c>
      <c r="AG295" s="410" t="str">
        <f t="shared" si="68"/>
        <v/>
      </c>
      <c r="AH295" s="469" t="str">
        <f t="shared" si="69"/>
        <v/>
      </c>
      <c r="AI295" s="469" t="str">
        <f>IF($AF295=0,0,IFERROR(($L295+$AF295)/(HLOOKUP($D295,RentsUA!$K$12:$Q$35,19,FALSE)),""))</f>
        <v/>
      </c>
      <c r="AJ295" s="469" t="str">
        <f>IF($AF295=0,0,IFERROR(($AF295+K295+L295)/(HLOOKUP($D295,RentsUA!$K$12:$Q$35,19,FALSE)),""))</f>
        <v/>
      </c>
      <c r="AK295" s="469" t="str">
        <f t="shared" si="72"/>
        <v/>
      </c>
      <c r="AL295" s="469" t="str">
        <f t="shared" si="73"/>
        <v/>
      </c>
      <c r="AM295" s="1106" t="str">
        <f t="shared" si="74"/>
        <v/>
      </c>
      <c r="AN295" s="1106" t="str">
        <f>IFERROR(AM295*(1+'7a.20YrDetails'!$F$9),"")</f>
        <v/>
      </c>
      <c r="AO295" s="1106" t="str">
        <f>IFERROR(AN295*(1+'7a.20YrDetails'!$F$9),"")</f>
        <v/>
      </c>
      <c r="AP295" s="1106" t="str">
        <f>IFERROR(AO295*(1+'7a.20YrDetails'!$F$9),"")</f>
        <v/>
      </c>
      <c r="AQ295" s="1106" t="str">
        <f>IFERROR(AP295*(1+'7a.20YrDetails'!$F$9),"")</f>
        <v/>
      </c>
      <c r="AR295" s="674"/>
      <c r="AS295" s="672"/>
      <c r="AT295" s="1732" t="str">
        <f>IF($AF295=0,0,IFERROR(($AF295+L295)/(HLOOKUP($D295,RentsUA!$B$61:$H$62,2,FALSE)),""))</f>
        <v/>
      </c>
      <c r="AU295" s="1733" t="str">
        <f>IFERROR(G295/HLOOKUP(H295,RentsUA!$B$40:$I$41,2),"")</f>
        <v/>
      </c>
      <c r="BR295" s="404" t="str">
        <f t="shared" si="75"/>
        <v/>
      </c>
      <c r="BT295" s="404" t="str">
        <f t="shared" si="70"/>
        <v/>
      </c>
    </row>
    <row r="296" spans="1:72" s="404" customFormat="1" ht="13.2">
      <c r="A296" s="406">
        <f t="shared" si="76"/>
        <v>284</v>
      </c>
      <c r="B296" s="472"/>
      <c r="C296" s="470"/>
      <c r="D296" s="407"/>
      <c r="E296" s="407"/>
      <c r="F296" s="408"/>
      <c r="G296" s="409"/>
      <c r="H296" s="407"/>
      <c r="I296" s="1029" t="str">
        <f>IFERROR(G296/HLOOKUP(H296,RentsUA!$B$8:$J$9,2),"")</f>
        <v/>
      </c>
      <c r="J296" s="407"/>
      <c r="K296" s="412"/>
      <c r="L296" s="672">
        <f t="shared" si="65"/>
        <v>0</v>
      </c>
      <c r="M296" s="671"/>
      <c r="N296" s="410">
        <f t="shared" si="66"/>
        <v>0</v>
      </c>
      <c r="O296" s="469" t="str">
        <f>IF($M296=0,"",IFERROR(($L296+$M296)/(HLOOKUP($D296,RentsUA!$K$12:$Q$35,19,FALSE)),""))</f>
        <v/>
      </c>
      <c r="P296" s="469" t="str">
        <f>IF($M296=0,"",IFERROR(($M296+K296+L296)/(HLOOKUP($D296,RentsUA!$K$12:$Q$35,19,FALSE)),""))</f>
        <v/>
      </c>
      <c r="Q296" s="411"/>
      <c r="R296" s="673" t="str">
        <f>IF($Q296=0,"",VLOOKUP($Q296,RentsUA!$A$12:$H$35,MATCH($D296,RentsUA!$A$12:$H$12,0),FALSE))</f>
        <v/>
      </c>
      <c r="S296" s="409"/>
      <c r="T296" s="674"/>
      <c r="U296" s="672"/>
      <c r="V296" s="673" t="str">
        <f t="shared" si="71"/>
        <v/>
      </c>
      <c r="W296" s="470"/>
      <c r="X296" s="411"/>
      <c r="Y296" s="410" t="str">
        <f>IF(X296=0,"",VLOOKUP($X296,RentsUA!$A$12:$H$35,MATCH($D296,RentsUA!$A$12:$H$12,0),FALSE))</f>
        <v/>
      </c>
      <c r="Z296" s="410" t="str">
        <f t="shared" si="67"/>
        <v/>
      </c>
      <c r="AA296" s="1297" t="str">
        <f>IF(H296="","",IF(G296/HLOOKUP($H296,RentsUA!$M$8:$T$9,2,FALSE)&gt;1,"&gt; 80%","&lt;= 80%"))</f>
        <v/>
      </c>
      <c r="AB296" s="1106"/>
      <c r="AC296" s="1106"/>
      <c r="AD296" s="622"/>
      <c r="AE296" s="412"/>
      <c r="AF296" s="807" t="str">
        <f>IF(AD296="","",IF(AD296=Lists!$U$3,M296,IF(AD296=Lists!$U$4,V296,IF(AD296=Lists!$U$5,Y296-L296,AE296))))</f>
        <v/>
      </c>
      <c r="AG296" s="410" t="str">
        <f t="shared" si="68"/>
        <v/>
      </c>
      <c r="AH296" s="469" t="str">
        <f t="shared" si="69"/>
        <v/>
      </c>
      <c r="AI296" s="469" t="str">
        <f>IF($AF296=0,0,IFERROR(($L296+$AF296)/(HLOOKUP($D296,RentsUA!$K$12:$Q$35,19,FALSE)),""))</f>
        <v/>
      </c>
      <c r="AJ296" s="469" t="str">
        <f>IF($AF296=0,0,IFERROR(($AF296+K296+L296)/(HLOOKUP($D296,RentsUA!$K$12:$Q$35,19,FALSE)),""))</f>
        <v/>
      </c>
      <c r="AK296" s="469" t="str">
        <f t="shared" si="72"/>
        <v/>
      </c>
      <c r="AL296" s="469" t="str">
        <f t="shared" si="73"/>
        <v/>
      </c>
      <c r="AM296" s="1106" t="str">
        <f t="shared" si="74"/>
        <v/>
      </c>
      <c r="AN296" s="1106" t="str">
        <f>IFERROR(AM296*(1+'7a.20YrDetails'!$F$9),"")</f>
        <v/>
      </c>
      <c r="AO296" s="1106" t="str">
        <f>IFERROR(AN296*(1+'7a.20YrDetails'!$F$9),"")</f>
        <v/>
      </c>
      <c r="AP296" s="1106" t="str">
        <f>IFERROR(AO296*(1+'7a.20YrDetails'!$F$9),"")</f>
        <v/>
      </c>
      <c r="AQ296" s="1106" t="str">
        <f>IFERROR(AP296*(1+'7a.20YrDetails'!$F$9),"")</f>
        <v/>
      </c>
      <c r="AR296" s="674"/>
      <c r="AS296" s="672"/>
      <c r="AT296" s="1732" t="str">
        <f>IF($AF296=0,0,IFERROR(($AF296+L296)/(HLOOKUP($D296,RentsUA!$B$61:$H$62,2,FALSE)),""))</f>
        <v/>
      </c>
      <c r="AU296" s="1733" t="str">
        <f>IFERROR(G296/HLOOKUP(H296,RentsUA!$B$40:$I$41,2),"")</f>
        <v/>
      </c>
      <c r="BR296" s="404" t="str">
        <f t="shared" si="75"/>
        <v/>
      </c>
      <c r="BT296" s="404" t="str">
        <f t="shared" si="70"/>
        <v/>
      </c>
    </row>
    <row r="297" spans="1:72" s="404" customFormat="1" ht="13.2">
      <c r="A297" s="406">
        <f t="shared" si="76"/>
        <v>285</v>
      </c>
      <c r="B297" s="472"/>
      <c r="C297" s="470"/>
      <c r="D297" s="407"/>
      <c r="E297" s="407"/>
      <c r="F297" s="408"/>
      <c r="G297" s="409"/>
      <c r="H297" s="407"/>
      <c r="I297" s="1029" t="str">
        <f>IFERROR(G297/HLOOKUP(H297,RentsUA!$B$8:$J$9,2),"")</f>
        <v/>
      </c>
      <c r="J297" s="407"/>
      <c r="K297" s="412"/>
      <c r="L297" s="672">
        <f t="shared" si="65"/>
        <v>0</v>
      </c>
      <c r="M297" s="671"/>
      <c r="N297" s="410">
        <f t="shared" si="66"/>
        <v>0</v>
      </c>
      <c r="O297" s="469" t="str">
        <f>IF($M297=0,"",IFERROR(($L297+$M297)/(HLOOKUP($D297,RentsUA!$K$12:$Q$35,19,FALSE)),""))</f>
        <v/>
      </c>
      <c r="P297" s="469" t="str">
        <f>IF($M297=0,"",IFERROR(($M297+K297+L297)/(HLOOKUP($D297,RentsUA!$K$12:$Q$35,19,FALSE)),""))</f>
        <v/>
      </c>
      <c r="Q297" s="411"/>
      <c r="R297" s="673" t="str">
        <f>IF($Q297=0,"",VLOOKUP($Q297,RentsUA!$A$12:$H$35,MATCH($D297,RentsUA!$A$12:$H$12,0),FALSE))</f>
        <v/>
      </c>
      <c r="S297" s="409"/>
      <c r="T297" s="674"/>
      <c r="U297" s="672"/>
      <c r="V297" s="673" t="str">
        <f t="shared" si="71"/>
        <v/>
      </c>
      <c r="W297" s="470"/>
      <c r="X297" s="411"/>
      <c r="Y297" s="410" t="str">
        <f>IF(X297=0,"",VLOOKUP($X297,RentsUA!$A$12:$H$35,MATCH($D297,RentsUA!$A$12:$H$12,0),FALSE))</f>
        <v/>
      </c>
      <c r="Z297" s="410" t="str">
        <f t="shared" si="67"/>
        <v/>
      </c>
      <c r="AA297" s="1297" t="str">
        <f>IF(H297="","",IF(G297/HLOOKUP($H297,RentsUA!$M$8:$T$9,2,FALSE)&gt;1,"&gt; 80%","&lt;= 80%"))</f>
        <v/>
      </c>
      <c r="AB297" s="1106"/>
      <c r="AC297" s="1106"/>
      <c r="AD297" s="622"/>
      <c r="AE297" s="412"/>
      <c r="AF297" s="807" t="str">
        <f>IF(AD297="","",IF(AD297=Lists!$U$3,M297,IF(AD297=Lists!$U$4,V297,IF(AD297=Lists!$U$5,Y297-L297,AE297))))</f>
        <v/>
      </c>
      <c r="AG297" s="410" t="str">
        <f t="shared" si="68"/>
        <v/>
      </c>
      <c r="AH297" s="469" t="str">
        <f t="shared" si="69"/>
        <v/>
      </c>
      <c r="AI297" s="469" t="str">
        <f>IF($AF297=0,0,IFERROR(($L297+$AF297)/(HLOOKUP($D297,RentsUA!$K$12:$Q$35,19,FALSE)),""))</f>
        <v/>
      </c>
      <c r="AJ297" s="469" t="str">
        <f>IF($AF297=0,0,IFERROR(($AF297+K297+L297)/(HLOOKUP($D297,RentsUA!$K$12:$Q$35,19,FALSE)),""))</f>
        <v/>
      </c>
      <c r="AK297" s="469" t="str">
        <f t="shared" si="72"/>
        <v/>
      </c>
      <c r="AL297" s="469" t="str">
        <f t="shared" si="73"/>
        <v/>
      </c>
      <c r="AM297" s="1106" t="str">
        <f t="shared" si="74"/>
        <v/>
      </c>
      <c r="AN297" s="1106" t="str">
        <f>IFERROR(AM297*(1+'7a.20YrDetails'!$F$9),"")</f>
        <v/>
      </c>
      <c r="AO297" s="1106" t="str">
        <f>IFERROR(AN297*(1+'7a.20YrDetails'!$F$9),"")</f>
        <v/>
      </c>
      <c r="AP297" s="1106" t="str">
        <f>IFERROR(AO297*(1+'7a.20YrDetails'!$F$9),"")</f>
        <v/>
      </c>
      <c r="AQ297" s="1106" t="str">
        <f>IFERROR(AP297*(1+'7a.20YrDetails'!$F$9),"")</f>
        <v/>
      </c>
      <c r="AR297" s="674"/>
      <c r="AS297" s="672"/>
      <c r="AT297" s="1732" t="str">
        <f>IF($AF297=0,0,IFERROR(($AF297+L297)/(HLOOKUP($D297,RentsUA!$B$61:$H$62,2,FALSE)),""))</f>
        <v/>
      </c>
      <c r="AU297" s="1733" t="str">
        <f>IFERROR(G297/HLOOKUP(H297,RentsUA!$B$40:$I$41,2),"")</f>
        <v/>
      </c>
      <c r="BR297" s="404" t="str">
        <f t="shared" si="75"/>
        <v/>
      </c>
      <c r="BT297" s="404" t="str">
        <f t="shared" si="70"/>
        <v/>
      </c>
    </row>
    <row r="298" spans="1:72" s="404" customFormat="1" ht="13.2">
      <c r="A298" s="406">
        <f t="shared" si="76"/>
        <v>286</v>
      </c>
      <c r="B298" s="472"/>
      <c r="C298" s="470"/>
      <c r="D298" s="407"/>
      <c r="E298" s="407"/>
      <c r="F298" s="408"/>
      <c r="G298" s="409"/>
      <c r="H298" s="407"/>
      <c r="I298" s="1029" t="str">
        <f>IFERROR(G298/HLOOKUP(H298,RentsUA!$B$8:$J$9,2),"")</f>
        <v/>
      </c>
      <c r="J298" s="407"/>
      <c r="K298" s="412"/>
      <c r="L298" s="672">
        <f t="shared" si="65"/>
        <v>0</v>
      </c>
      <c r="M298" s="671"/>
      <c r="N298" s="410">
        <f t="shared" si="66"/>
        <v>0</v>
      </c>
      <c r="O298" s="469" t="str">
        <f>IF($M298=0,"",IFERROR(($L298+$M298)/(HLOOKUP($D298,RentsUA!$K$12:$Q$35,19,FALSE)),""))</f>
        <v/>
      </c>
      <c r="P298" s="469" t="str">
        <f>IF($M298=0,"",IFERROR(($M298+K298+L298)/(HLOOKUP($D298,RentsUA!$K$12:$Q$35,19,FALSE)),""))</f>
        <v/>
      </c>
      <c r="Q298" s="411"/>
      <c r="R298" s="673" t="str">
        <f>IF($Q298=0,"",VLOOKUP($Q298,RentsUA!$A$12:$H$35,MATCH($D298,RentsUA!$A$12:$H$12,0),FALSE))</f>
        <v/>
      </c>
      <c r="S298" s="409"/>
      <c r="T298" s="674"/>
      <c r="U298" s="672"/>
      <c r="V298" s="673" t="str">
        <f t="shared" si="71"/>
        <v/>
      </c>
      <c r="W298" s="470"/>
      <c r="X298" s="411"/>
      <c r="Y298" s="410" t="str">
        <f>IF(X298=0,"",VLOOKUP($X298,RentsUA!$A$12:$H$35,MATCH($D298,RentsUA!$A$12:$H$12,0),FALSE))</f>
        <v/>
      </c>
      <c r="Z298" s="410" t="str">
        <f t="shared" si="67"/>
        <v/>
      </c>
      <c r="AA298" s="1297" t="str">
        <f>IF(H298="","",IF(G298/HLOOKUP($H298,RentsUA!$M$8:$T$9,2,FALSE)&gt;1,"&gt; 80%","&lt;= 80%"))</f>
        <v/>
      </c>
      <c r="AB298" s="1106"/>
      <c r="AC298" s="1106"/>
      <c r="AD298" s="622"/>
      <c r="AE298" s="412"/>
      <c r="AF298" s="807" t="str">
        <f>IF(AD298="","",IF(AD298=Lists!$U$3,M298,IF(AD298=Lists!$U$4,V298,IF(AD298=Lists!$U$5,Y298-L298,AE298))))</f>
        <v/>
      </c>
      <c r="AG298" s="410" t="str">
        <f t="shared" si="68"/>
        <v/>
      </c>
      <c r="AH298" s="469" t="str">
        <f t="shared" si="69"/>
        <v/>
      </c>
      <c r="AI298" s="469" t="str">
        <f>IF($AF298=0,0,IFERROR(($L298+$AF298)/(HLOOKUP($D298,RentsUA!$K$12:$Q$35,19,FALSE)),""))</f>
        <v/>
      </c>
      <c r="AJ298" s="469" t="str">
        <f>IF($AF298=0,0,IFERROR(($AF298+K298+L298)/(HLOOKUP($D298,RentsUA!$K$12:$Q$35,19,FALSE)),""))</f>
        <v/>
      </c>
      <c r="AK298" s="469" t="str">
        <f t="shared" si="72"/>
        <v/>
      </c>
      <c r="AL298" s="469" t="str">
        <f t="shared" si="73"/>
        <v/>
      </c>
      <c r="AM298" s="1106" t="str">
        <f t="shared" si="74"/>
        <v/>
      </c>
      <c r="AN298" s="1106" t="str">
        <f>IFERROR(AM298*(1+'7a.20YrDetails'!$F$9),"")</f>
        <v/>
      </c>
      <c r="AO298" s="1106" t="str">
        <f>IFERROR(AN298*(1+'7a.20YrDetails'!$F$9),"")</f>
        <v/>
      </c>
      <c r="AP298" s="1106" t="str">
        <f>IFERROR(AO298*(1+'7a.20YrDetails'!$F$9),"")</f>
        <v/>
      </c>
      <c r="AQ298" s="1106" t="str">
        <f>IFERROR(AP298*(1+'7a.20YrDetails'!$F$9),"")</f>
        <v/>
      </c>
      <c r="AR298" s="674"/>
      <c r="AS298" s="672"/>
      <c r="AT298" s="1732" t="str">
        <f>IF($AF298=0,0,IFERROR(($AF298+L298)/(HLOOKUP($D298,RentsUA!$B$61:$H$62,2,FALSE)),""))</f>
        <v/>
      </c>
      <c r="AU298" s="1733" t="str">
        <f>IFERROR(G298/HLOOKUP(H298,RentsUA!$B$40:$I$41,2),"")</f>
        <v/>
      </c>
      <c r="BR298" s="404" t="str">
        <f t="shared" si="75"/>
        <v/>
      </c>
      <c r="BT298" s="404" t="str">
        <f t="shared" si="70"/>
        <v/>
      </c>
    </row>
    <row r="299" spans="1:72" s="404" customFormat="1" ht="13.2">
      <c r="A299" s="406">
        <f t="shared" si="76"/>
        <v>287</v>
      </c>
      <c r="B299" s="472"/>
      <c r="C299" s="470"/>
      <c r="D299" s="407"/>
      <c r="E299" s="407"/>
      <c r="F299" s="408"/>
      <c r="G299" s="409"/>
      <c r="H299" s="407"/>
      <c r="I299" s="1029" t="str">
        <f>IFERROR(G299/HLOOKUP(H299,RentsUA!$B$8:$J$9,2),"")</f>
        <v/>
      </c>
      <c r="J299" s="407"/>
      <c r="K299" s="412"/>
      <c r="L299" s="672">
        <f t="shared" si="65"/>
        <v>0</v>
      </c>
      <c r="M299" s="671"/>
      <c r="N299" s="410">
        <f t="shared" si="66"/>
        <v>0</v>
      </c>
      <c r="O299" s="469" t="str">
        <f>IF($M299=0,"",IFERROR(($L299+$M299)/(HLOOKUP($D299,RentsUA!$K$12:$Q$35,19,FALSE)),""))</f>
        <v/>
      </c>
      <c r="P299" s="469" t="str">
        <f>IF($M299=0,"",IFERROR(($M299+K299+L299)/(HLOOKUP($D299,RentsUA!$K$12:$Q$35,19,FALSE)),""))</f>
        <v/>
      </c>
      <c r="Q299" s="411"/>
      <c r="R299" s="673" t="str">
        <f>IF($Q299=0,"",VLOOKUP($Q299,RentsUA!$A$12:$H$35,MATCH($D299,RentsUA!$A$12:$H$12,0),FALSE))</f>
        <v/>
      </c>
      <c r="S299" s="409"/>
      <c r="T299" s="674"/>
      <c r="U299" s="672"/>
      <c r="V299" s="673" t="str">
        <f t="shared" si="71"/>
        <v/>
      </c>
      <c r="W299" s="470"/>
      <c r="X299" s="411"/>
      <c r="Y299" s="410" t="str">
        <f>IF(X299=0,"",VLOOKUP($X299,RentsUA!$A$12:$H$35,MATCH($D299,RentsUA!$A$12:$H$12,0),FALSE))</f>
        <v/>
      </c>
      <c r="Z299" s="410" t="str">
        <f t="shared" si="67"/>
        <v/>
      </c>
      <c r="AA299" s="1297" t="str">
        <f>IF(H299="","",IF(G299/HLOOKUP($H299,RentsUA!$M$8:$T$9,2,FALSE)&gt;1,"&gt; 80%","&lt;= 80%"))</f>
        <v/>
      </c>
      <c r="AB299" s="1106"/>
      <c r="AC299" s="1106"/>
      <c r="AD299" s="622"/>
      <c r="AE299" s="412"/>
      <c r="AF299" s="807" t="str">
        <f>IF(AD299="","",IF(AD299=Lists!$U$3,M299,IF(AD299=Lists!$U$4,V299,IF(AD299=Lists!$U$5,Y299-L299,AE299))))</f>
        <v/>
      </c>
      <c r="AG299" s="410" t="str">
        <f t="shared" si="68"/>
        <v/>
      </c>
      <c r="AH299" s="469" t="str">
        <f t="shared" si="69"/>
        <v/>
      </c>
      <c r="AI299" s="469" t="str">
        <f>IF($AF299=0,0,IFERROR(($L299+$AF299)/(HLOOKUP($D299,RentsUA!$K$12:$Q$35,19,FALSE)),""))</f>
        <v/>
      </c>
      <c r="AJ299" s="469" t="str">
        <f>IF($AF299=0,0,IFERROR(($AF299+K299+L299)/(HLOOKUP($D299,RentsUA!$K$12:$Q$35,19,FALSE)),""))</f>
        <v/>
      </c>
      <c r="AK299" s="469" t="str">
        <f t="shared" si="72"/>
        <v/>
      </c>
      <c r="AL299" s="469" t="str">
        <f t="shared" si="73"/>
        <v/>
      </c>
      <c r="AM299" s="1106" t="str">
        <f t="shared" si="74"/>
        <v/>
      </c>
      <c r="AN299" s="1106" t="str">
        <f>IFERROR(AM299*(1+'7a.20YrDetails'!$F$9),"")</f>
        <v/>
      </c>
      <c r="AO299" s="1106" t="str">
        <f>IFERROR(AN299*(1+'7a.20YrDetails'!$F$9),"")</f>
        <v/>
      </c>
      <c r="AP299" s="1106" t="str">
        <f>IFERROR(AO299*(1+'7a.20YrDetails'!$F$9),"")</f>
        <v/>
      </c>
      <c r="AQ299" s="1106" t="str">
        <f>IFERROR(AP299*(1+'7a.20YrDetails'!$F$9),"")</f>
        <v/>
      </c>
      <c r="AR299" s="674"/>
      <c r="AS299" s="672"/>
      <c r="AT299" s="1732" t="str">
        <f>IF($AF299=0,0,IFERROR(($AF299+L299)/(HLOOKUP($D299,RentsUA!$B$61:$H$62,2,FALSE)),""))</f>
        <v/>
      </c>
      <c r="AU299" s="1733" t="str">
        <f>IFERROR(G299/HLOOKUP(H299,RentsUA!$B$40:$I$41,2),"")</f>
        <v/>
      </c>
      <c r="BR299" s="404" t="str">
        <f t="shared" si="75"/>
        <v/>
      </c>
      <c r="BT299" s="404" t="str">
        <f t="shared" si="70"/>
        <v/>
      </c>
    </row>
    <row r="300" spans="1:72" s="404" customFormat="1" ht="13.2">
      <c r="A300" s="406">
        <f t="shared" si="76"/>
        <v>288</v>
      </c>
      <c r="B300" s="472"/>
      <c r="C300" s="470"/>
      <c r="D300" s="407"/>
      <c r="E300" s="407"/>
      <c r="F300" s="408"/>
      <c r="G300" s="409"/>
      <c r="H300" s="407"/>
      <c r="I300" s="1029" t="str">
        <f>IFERROR(G300/HLOOKUP(H300,RentsUA!$B$8:$J$9,2),"")</f>
        <v/>
      </c>
      <c r="J300" s="407"/>
      <c r="K300" s="412"/>
      <c r="L300" s="672">
        <f t="shared" si="65"/>
        <v>0</v>
      </c>
      <c r="M300" s="671"/>
      <c r="N300" s="410">
        <f t="shared" si="66"/>
        <v>0</v>
      </c>
      <c r="O300" s="469" t="str">
        <f>IF($M300=0,"",IFERROR(($L300+$M300)/(HLOOKUP($D300,RentsUA!$K$12:$Q$35,19,FALSE)),""))</f>
        <v/>
      </c>
      <c r="P300" s="469" t="str">
        <f>IF($M300=0,"",IFERROR(($M300+K300+L300)/(HLOOKUP($D300,RentsUA!$K$12:$Q$35,19,FALSE)),""))</f>
        <v/>
      </c>
      <c r="Q300" s="411"/>
      <c r="R300" s="673" t="str">
        <f>IF($Q300=0,"",VLOOKUP($Q300,RentsUA!$A$12:$H$35,MATCH($D300,RentsUA!$A$12:$H$12,0),FALSE))</f>
        <v/>
      </c>
      <c r="S300" s="409"/>
      <c r="T300" s="674"/>
      <c r="U300" s="672"/>
      <c r="V300" s="673" t="str">
        <f t="shared" si="71"/>
        <v/>
      </c>
      <c r="W300" s="470"/>
      <c r="X300" s="411"/>
      <c r="Y300" s="410" t="str">
        <f>IF(X300=0,"",VLOOKUP($X300,RentsUA!$A$12:$H$35,MATCH($D300,RentsUA!$A$12:$H$12,0),FALSE))</f>
        <v/>
      </c>
      <c r="Z300" s="410" t="str">
        <f t="shared" si="67"/>
        <v/>
      </c>
      <c r="AA300" s="1297" t="str">
        <f>IF(H300="","",IF(G300/HLOOKUP($H300,RentsUA!$M$8:$T$9,2,FALSE)&gt;1,"&gt; 80%","&lt;= 80%"))</f>
        <v/>
      </c>
      <c r="AB300" s="1106"/>
      <c r="AC300" s="1106"/>
      <c r="AD300" s="622"/>
      <c r="AE300" s="412"/>
      <c r="AF300" s="807" t="str">
        <f>IF(AD300="","",IF(AD300=Lists!$U$3,M300,IF(AD300=Lists!$U$4,V300,IF(AD300=Lists!$U$5,Y300-L300,AE300))))</f>
        <v/>
      </c>
      <c r="AG300" s="410" t="str">
        <f t="shared" si="68"/>
        <v/>
      </c>
      <c r="AH300" s="469" t="str">
        <f t="shared" si="69"/>
        <v/>
      </c>
      <c r="AI300" s="469" t="str">
        <f>IF($AF300=0,0,IFERROR(($L300+$AF300)/(HLOOKUP($D300,RentsUA!$K$12:$Q$35,19,FALSE)),""))</f>
        <v/>
      </c>
      <c r="AJ300" s="469" t="str">
        <f>IF($AF300=0,0,IFERROR(($AF300+K300+L300)/(HLOOKUP($D300,RentsUA!$K$12:$Q$35,19,FALSE)),""))</f>
        <v/>
      </c>
      <c r="AK300" s="469" t="str">
        <f t="shared" si="72"/>
        <v/>
      </c>
      <c r="AL300" s="469" t="str">
        <f t="shared" si="73"/>
        <v/>
      </c>
      <c r="AM300" s="1106" t="str">
        <f t="shared" si="74"/>
        <v/>
      </c>
      <c r="AN300" s="1106" t="str">
        <f>IFERROR(AM300*(1+'7a.20YrDetails'!$F$9),"")</f>
        <v/>
      </c>
      <c r="AO300" s="1106" t="str">
        <f>IFERROR(AN300*(1+'7a.20YrDetails'!$F$9),"")</f>
        <v/>
      </c>
      <c r="AP300" s="1106" t="str">
        <f>IFERROR(AO300*(1+'7a.20YrDetails'!$F$9),"")</f>
        <v/>
      </c>
      <c r="AQ300" s="1106" t="str">
        <f>IFERROR(AP300*(1+'7a.20YrDetails'!$F$9),"")</f>
        <v/>
      </c>
      <c r="AR300" s="674"/>
      <c r="AS300" s="672"/>
      <c r="AT300" s="1732" t="str">
        <f>IF($AF300=0,0,IFERROR(($AF300+L300)/(HLOOKUP($D300,RentsUA!$B$61:$H$62,2,FALSE)),""))</f>
        <v/>
      </c>
      <c r="AU300" s="1733" t="str">
        <f>IFERROR(G300/HLOOKUP(H300,RentsUA!$B$40:$I$41,2),"")</f>
        <v/>
      </c>
      <c r="BR300" s="404" t="str">
        <f t="shared" si="75"/>
        <v/>
      </c>
      <c r="BT300" s="404" t="str">
        <f t="shared" si="70"/>
        <v/>
      </c>
    </row>
    <row r="301" spans="1:72" s="404" customFormat="1" ht="13.2">
      <c r="A301" s="406">
        <f t="shared" si="76"/>
        <v>289</v>
      </c>
      <c r="B301" s="472"/>
      <c r="C301" s="470"/>
      <c r="D301" s="407"/>
      <c r="E301" s="407"/>
      <c r="F301" s="408"/>
      <c r="G301" s="409"/>
      <c r="H301" s="407"/>
      <c r="I301" s="1029" t="str">
        <f>IFERROR(G301/HLOOKUP(H301,RentsUA!$B$8:$J$9,2),"")</f>
        <v/>
      </c>
      <c r="J301" s="407"/>
      <c r="K301" s="412"/>
      <c r="L301" s="672">
        <f t="shared" si="65"/>
        <v>0</v>
      </c>
      <c r="M301" s="671"/>
      <c r="N301" s="410">
        <f t="shared" si="66"/>
        <v>0</v>
      </c>
      <c r="O301" s="469" t="str">
        <f>IF($M301=0,"",IFERROR(($L301+$M301)/(HLOOKUP($D301,RentsUA!$K$12:$Q$35,19,FALSE)),""))</f>
        <v/>
      </c>
      <c r="P301" s="469" t="str">
        <f>IF($M301=0,"",IFERROR(($M301+K301+L301)/(HLOOKUP($D301,RentsUA!$K$12:$Q$35,19,FALSE)),""))</f>
        <v/>
      </c>
      <c r="Q301" s="411"/>
      <c r="R301" s="673" t="str">
        <f>IF($Q301=0,"",VLOOKUP($Q301,RentsUA!$A$12:$H$35,MATCH($D301,RentsUA!$A$12:$H$12,0),FALSE))</f>
        <v/>
      </c>
      <c r="S301" s="409"/>
      <c r="T301" s="674"/>
      <c r="U301" s="672"/>
      <c r="V301" s="673" t="str">
        <f t="shared" si="71"/>
        <v/>
      </c>
      <c r="W301" s="470"/>
      <c r="X301" s="411"/>
      <c r="Y301" s="410" t="str">
        <f>IF(X301=0,"",VLOOKUP($X301,RentsUA!$A$12:$H$35,MATCH($D301,RentsUA!$A$12:$H$12,0),FALSE))</f>
        <v/>
      </c>
      <c r="Z301" s="410" t="str">
        <f t="shared" si="67"/>
        <v/>
      </c>
      <c r="AA301" s="1297" t="str">
        <f>IF(H301="","",IF(G301/HLOOKUP($H301,RentsUA!$M$8:$T$9,2,FALSE)&gt;1,"&gt; 80%","&lt;= 80%"))</f>
        <v/>
      </c>
      <c r="AB301" s="1106"/>
      <c r="AC301" s="1106"/>
      <c r="AD301" s="622"/>
      <c r="AE301" s="412"/>
      <c r="AF301" s="807" t="str">
        <f>IF(AD301="","",IF(AD301=Lists!$U$3,M301,IF(AD301=Lists!$U$4,V301,IF(AD301=Lists!$U$5,Y301-L301,AE301))))</f>
        <v/>
      </c>
      <c r="AG301" s="410" t="str">
        <f t="shared" si="68"/>
        <v/>
      </c>
      <c r="AH301" s="469" t="str">
        <f t="shared" si="69"/>
        <v/>
      </c>
      <c r="AI301" s="469" t="str">
        <f>IF($AF301=0,0,IFERROR(($L301+$AF301)/(HLOOKUP($D301,RentsUA!$K$12:$Q$35,19,FALSE)),""))</f>
        <v/>
      </c>
      <c r="AJ301" s="469" t="str">
        <f>IF($AF301=0,0,IFERROR(($AF301+K301+L301)/(HLOOKUP($D301,RentsUA!$K$12:$Q$35,19,FALSE)),""))</f>
        <v/>
      </c>
      <c r="AK301" s="469" t="str">
        <f t="shared" si="72"/>
        <v/>
      </c>
      <c r="AL301" s="469" t="str">
        <f t="shared" si="73"/>
        <v/>
      </c>
      <c r="AM301" s="1106" t="str">
        <f t="shared" si="74"/>
        <v/>
      </c>
      <c r="AN301" s="1106" t="str">
        <f>IFERROR(AM301*(1+'7a.20YrDetails'!$F$9),"")</f>
        <v/>
      </c>
      <c r="AO301" s="1106" t="str">
        <f>IFERROR(AN301*(1+'7a.20YrDetails'!$F$9),"")</f>
        <v/>
      </c>
      <c r="AP301" s="1106" t="str">
        <f>IFERROR(AO301*(1+'7a.20YrDetails'!$F$9),"")</f>
        <v/>
      </c>
      <c r="AQ301" s="1106" t="str">
        <f>IFERROR(AP301*(1+'7a.20YrDetails'!$F$9),"")</f>
        <v/>
      </c>
      <c r="AR301" s="674"/>
      <c r="AS301" s="672"/>
      <c r="AT301" s="1732" t="str">
        <f>IF($AF301=0,0,IFERROR(($AF301+L301)/(HLOOKUP($D301,RentsUA!$B$61:$H$62,2,FALSE)),""))</f>
        <v/>
      </c>
      <c r="AU301" s="1733" t="str">
        <f>IFERROR(G301/HLOOKUP(H301,RentsUA!$B$40:$I$41,2),"")</f>
        <v/>
      </c>
      <c r="BR301" s="404" t="str">
        <f t="shared" si="75"/>
        <v/>
      </c>
      <c r="BT301" s="404" t="str">
        <f t="shared" si="70"/>
        <v/>
      </c>
    </row>
    <row r="302" spans="1:72" s="404" customFormat="1" ht="13.2">
      <c r="A302" s="406">
        <f t="shared" si="76"/>
        <v>290</v>
      </c>
      <c r="B302" s="472"/>
      <c r="C302" s="470"/>
      <c r="D302" s="407"/>
      <c r="E302" s="407"/>
      <c r="F302" s="408"/>
      <c r="G302" s="409"/>
      <c r="H302" s="407"/>
      <c r="I302" s="1029" t="str">
        <f>IFERROR(G302/HLOOKUP(H302,RentsUA!$B$8:$J$9,2),"")</f>
        <v/>
      </c>
      <c r="J302" s="407"/>
      <c r="K302" s="412"/>
      <c r="L302" s="672">
        <f t="shared" si="65"/>
        <v>0</v>
      </c>
      <c r="M302" s="671"/>
      <c r="N302" s="410">
        <f t="shared" si="66"/>
        <v>0</v>
      </c>
      <c r="O302" s="469" t="str">
        <f>IF($M302=0,"",IFERROR(($L302+$M302)/(HLOOKUP($D302,RentsUA!$K$12:$Q$35,19,FALSE)),""))</f>
        <v/>
      </c>
      <c r="P302" s="469" t="str">
        <f>IF($M302=0,"",IFERROR(($M302+K302+L302)/(HLOOKUP($D302,RentsUA!$K$12:$Q$35,19,FALSE)),""))</f>
        <v/>
      </c>
      <c r="Q302" s="411"/>
      <c r="R302" s="673" t="str">
        <f>IF($Q302=0,"",VLOOKUP($Q302,RentsUA!$A$12:$H$35,MATCH($D302,RentsUA!$A$12:$H$12,0),FALSE))</f>
        <v/>
      </c>
      <c r="S302" s="409"/>
      <c r="T302" s="674"/>
      <c r="U302" s="672"/>
      <c r="V302" s="673" t="str">
        <f t="shared" si="71"/>
        <v/>
      </c>
      <c r="W302" s="470"/>
      <c r="X302" s="411"/>
      <c r="Y302" s="410" t="str">
        <f>IF(X302=0,"",VLOOKUP($X302,RentsUA!$A$12:$H$35,MATCH($D302,RentsUA!$A$12:$H$12,0),FALSE))</f>
        <v/>
      </c>
      <c r="Z302" s="410" t="str">
        <f t="shared" si="67"/>
        <v/>
      </c>
      <c r="AA302" s="1297" t="str">
        <f>IF(H302="","",IF(G302/HLOOKUP($H302,RentsUA!$M$8:$T$9,2,FALSE)&gt;1,"&gt; 80%","&lt;= 80%"))</f>
        <v/>
      </c>
      <c r="AB302" s="1106"/>
      <c r="AC302" s="1106"/>
      <c r="AD302" s="622"/>
      <c r="AE302" s="412"/>
      <c r="AF302" s="807" t="str">
        <f>IF(AD302="","",IF(AD302=Lists!$U$3,M302,IF(AD302=Lists!$U$4,V302,IF(AD302=Lists!$U$5,Y302-L302,AE302))))</f>
        <v/>
      </c>
      <c r="AG302" s="410" t="str">
        <f t="shared" si="68"/>
        <v/>
      </c>
      <c r="AH302" s="469" t="str">
        <f t="shared" si="69"/>
        <v/>
      </c>
      <c r="AI302" s="469" t="str">
        <f>IF($AF302=0,0,IFERROR(($L302+$AF302)/(HLOOKUP($D302,RentsUA!$K$12:$Q$35,19,FALSE)),""))</f>
        <v/>
      </c>
      <c r="AJ302" s="469" t="str">
        <f>IF($AF302=0,0,IFERROR(($AF302+K302+L302)/(HLOOKUP($D302,RentsUA!$K$12:$Q$35,19,FALSE)),""))</f>
        <v/>
      </c>
      <c r="AK302" s="469" t="str">
        <f t="shared" si="72"/>
        <v/>
      </c>
      <c r="AL302" s="469" t="str">
        <f t="shared" si="73"/>
        <v/>
      </c>
      <c r="AM302" s="1106" t="str">
        <f t="shared" si="74"/>
        <v/>
      </c>
      <c r="AN302" s="1106" t="str">
        <f>IFERROR(AM302*(1+'7a.20YrDetails'!$F$9),"")</f>
        <v/>
      </c>
      <c r="AO302" s="1106" t="str">
        <f>IFERROR(AN302*(1+'7a.20YrDetails'!$F$9),"")</f>
        <v/>
      </c>
      <c r="AP302" s="1106" t="str">
        <f>IFERROR(AO302*(1+'7a.20YrDetails'!$F$9),"")</f>
        <v/>
      </c>
      <c r="AQ302" s="1106" t="str">
        <f>IFERROR(AP302*(1+'7a.20YrDetails'!$F$9),"")</f>
        <v/>
      </c>
      <c r="AR302" s="674"/>
      <c r="AS302" s="672"/>
      <c r="AT302" s="1732" t="str">
        <f>IF($AF302=0,0,IFERROR(($AF302+L302)/(HLOOKUP($D302,RentsUA!$B$61:$H$62,2,FALSE)),""))</f>
        <v/>
      </c>
      <c r="AU302" s="1733" t="str">
        <f>IFERROR(G302/HLOOKUP(H302,RentsUA!$B$40:$I$41,2),"")</f>
        <v/>
      </c>
      <c r="BR302" s="404" t="str">
        <f t="shared" si="75"/>
        <v/>
      </c>
      <c r="BT302" s="404" t="str">
        <f t="shared" si="70"/>
        <v/>
      </c>
    </row>
    <row r="303" spans="1:72" s="404" customFormat="1" ht="13.2">
      <c r="A303" s="406">
        <f t="shared" si="76"/>
        <v>291</v>
      </c>
      <c r="B303" s="472"/>
      <c r="C303" s="470"/>
      <c r="D303" s="407"/>
      <c r="E303" s="407"/>
      <c r="F303" s="408"/>
      <c r="G303" s="409"/>
      <c r="H303" s="407"/>
      <c r="I303" s="1029" t="str">
        <f>IFERROR(G303/HLOOKUP(H303,RentsUA!$B$8:$J$9,2),"")</f>
        <v/>
      </c>
      <c r="J303" s="407"/>
      <c r="K303" s="412"/>
      <c r="L303" s="672">
        <f t="shared" si="65"/>
        <v>0</v>
      </c>
      <c r="M303" s="671"/>
      <c r="N303" s="410">
        <f t="shared" si="66"/>
        <v>0</v>
      </c>
      <c r="O303" s="469" t="str">
        <f>IF($M303=0,"",IFERROR(($L303+$M303)/(HLOOKUP($D303,RentsUA!$K$12:$Q$35,19,FALSE)),""))</f>
        <v/>
      </c>
      <c r="P303" s="469" t="str">
        <f>IF($M303=0,"",IFERROR(($M303+K303+L303)/(HLOOKUP($D303,RentsUA!$K$12:$Q$35,19,FALSE)),""))</f>
        <v/>
      </c>
      <c r="Q303" s="411"/>
      <c r="R303" s="673" t="str">
        <f>IF($Q303=0,"",VLOOKUP($Q303,RentsUA!$A$12:$H$35,MATCH($D303,RentsUA!$A$12:$H$12,0),FALSE))</f>
        <v/>
      </c>
      <c r="S303" s="409"/>
      <c r="T303" s="674"/>
      <c r="U303" s="672"/>
      <c r="V303" s="673" t="str">
        <f t="shared" si="71"/>
        <v/>
      </c>
      <c r="W303" s="470"/>
      <c r="X303" s="411"/>
      <c r="Y303" s="410" t="str">
        <f>IF(X303=0,"",VLOOKUP($X303,RentsUA!$A$12:$H$35,MATCH($D303,RentsUA!$A$12:$H$12,0),FALSE))</f>
        <v/>
      </c>
      <c r="Z303" s="410" t="str">
        <f t="shared" si="67"/>
        <v/>
      </c>
      <c r="AA303" s="1297" t="str">
        <f>IF(H303="","",IF(G303/HLOOKUP($H303,RentsUA!$M$8:$T$9,2,FALSE)&gt;1,"&gt; 80%","&lt;= 80%"))</f>
        <v/>
      </c>
      <c r="AB303" s="1106"/>
      <c r="AC303" s="1106"/>
      <c r="AD303" s="622"/>
      <c r="AE303" s="412"/>
      <c r="AF303" s="807" t="str">
        <f>IF(AD303="","",IF(AD303=Lists!$U$3,M303,IF(AD303=Lists!$U$4,V303,IF(AD303=Lists!$U$5,Y303-L303,AE303))))</f>
        <v/>
      </c>
      <c r="AG303" s="410" t="str">
        <f t="shared" si="68"/>
        <v/>
      </c>
      <c r="AH303" s="469" t="str">
        <f t="shared" si="69"/>
        <v/>
      </c>
      <c r="AI303" s="469" t="str">
        <f>IF($AF303=0,0,IFERROR(($L303+$AF303)/(HLOOKUP($D303,RentsUA!$K$12:$Q$35,19,FALSE)),""))</f>
        <v/>
      </c>
      <c r="AJ303" s="469" t="str">
        <f>IF($AF303=0,0,IFERROR(($AF303+K303+L303)/(HLOOKUP($D303,RentsUA!$K$12:$Q$35,19,FALSE)),""))</f>
        <v/>
      </c>
      <c r="AK303" s="469" t="str">
        <f t="shared" si="72"/>
        <v/>
      </c>
      <c r="AL303" s="469" t="str">
        <f t="shared" si="73"/>
        <v/>
      </c>
      <c r="AM303" s="1106" t="str">
        <f t="shared" si="74"/>
        <v/>
      </c>
      <c r="AN303" s="1106" t="str">
        <f>IFERROR(AM303*(1+'7a.20YrDetails'!$F$9),"")</f>
        <v/>
      </c>
      <c r="AO303" s="1106" t="str">
        <f>IFERROR(AN303*(1+'7a.20YrDetails'!$F$9),"")</f>
        <v/>
      </c>
      <c r="AP303" s="1106" t="str">
        <f>IFERROR(AO303*(1+'7a.20YrDetails'!$F$9),"")</f>
        <v/>
      </c>
      <c r="AQ303" s="1106" t="str">
        <f>IFERROR(AP303*(1+'7a.20YrDetails'!$F$9),"")</f>
        <v/>
      </c>
      <c r="AR303" s="674"/>
      <c r="AS303" s="672"/>
      <c r="AT303" s="1732" t="str">
        <f>IF($AF303=0,0,IFERROR(($AF303+L303)/(HLOOKUP($D303,RentsUA!$B$61:$H$62,2,FALSE)),""))</f>
        <v/>
      </c>
      <c r="AU303" s="1733" t="str">
        <f>IFERROR(G303/HLOOKUP(H303,RentsUA!$B$40:$I$41,2),"")</f>
        <v/>
      </c>
      <c r="BR303" s="404" t="str">
        <f t="shared" si="75"/>
        <v/>
      </c>
      <c r="BT303" s="404" t="str">
        <f t="shared" si="70"/>
        <v/>
      </c>
    </row>
    <row r="304" spans="1:72" s="404" customFormat="1" ht="13.2">
      <c r="A304" s="406">
        <f t="shared" si="76"/>
        <v>292</v>
      </c>
      <c r="B304" s="472"/>
      <c r="C304" s="470"/>
      <c r="D304" s="407"/>
      <c r="E304" s="407"/>
      <c r="F304" s="408"/>
      <c r="G304" s="409"/>
      <c r="H304" s="407"/>
      <c r="I304" s="1029" t="str">
        <f>IFERROR(G304/HLOOKUP(H304,RentsUA!$B$8:$J$9,2),"")</f>
        <v/>
      </c>
      <c r="J304" s="407"/>
      <c r="K304" s="412"/>
      <c r="L304" s="672">
        <f t="shared" si="65"/>
        <v>0</v>
      </c>
      <c r="M304" s="671"/>
      <c r="N304" s="410">
        <f t="shared" si="66"/>
        <v>0</v>
      </c>
      <c r="O304" s="469" t="str">
        <f>IF($M304=0,"",IFERROR(($L304+$M304)/(HLOOKUP($D304,RentsUA!$K$12:$Q$35,19,FALSE)),""))</f>
        <v/>
      </c>
      <c r="P304" s="469" t="str">
        <f>IF($M304=0,"",IFERROR(($M304+K304+L304)/(HLOOKUP($D304,RentsUA!$K$12:$Q$35,19,FALSE)),""))</f>
        <v/>
      </c>
      <c r="Q304" s="411"/>
      <c r="R304" s="673" t="str">
        <f>IF($Q304=0,"",VLOOKUP($Q304,RentsUA!$A$12:$H$35,MATCH($D304,RentsUA!$A$12:$H$12,0),FALSE))</f>
        <v/>
      </c>
      <c r="S304" s="409"/>
      <c r="T304" s="674"/>
      <c r="U304" s="672"/>
      <c r="V304" s="673" t="str">
        <f t="shared" si="71"/>
        <v/>
      </c>
      <c r="W304" s="470"/>
      <c r="X304" s="411"/>
      <c r="Y304" s="410" t="str">
        <f>IF(X304=0,"",VLOOKUP($X304,RentsUA!$A$12:$H$35,MATCH($D304,RentsUA!$A$12:$H$12,0),FALSE))</f>
        <v/>
      </c>
      <c r="Z304" s="410" t="str">
        <f t="shared" si="67"/>
        <v/>
      </c>
      <c r="AA304" s="1297" t="str">
        <f>IF(H304="","",IF(G304/HLOOKUP($H304,RentsUA!$M$8:$T$9,2,FALSE)&gt;1,"&gt; 80%","&lt;= 80%"))</f>
        <v/>
      </c>
      <c r="AB304" s="1106"/>
      <c r="AC304" s="1106"/>
      <c r="AD304" s="622"/>
      <c r="AE304" s="412"/>
      <c r="AF304" s="807" t="str">
        <f>IF(AD304="","",IF(AD304=Lists!$U$3,M304,IF(AD304=Lists!$U$4,V304,IF(AD304=Lists!$U$5,Y304-L304,AE304))))</f>
        <v/>
      </c>
      <c r="AG304" s="410" t="str">
        <f t="shared" si="68"/>
        <v/>
      </c>
      <c r="AH304" s="469" t="str">
        <f t="shared" si="69"/>
        <v/>
      </c>
      <c r="AI304" s="469" t="str">
        <f>IF($AF304=0,0,IFERROR(($L304+$AF304)/(HLOOKUP($D304,RentsUA!$K$12:$Q$35,19,FALSE)),""))</f>
        <v/>
      </c>
      <c r="AJ304" s="469" t="str">
        <f>IF($AF304=0,0,IFERROR(($AF304+K304+L304)/(HLOOKUP($D304,RentsUA!$K$12:$Q$35,19,FALSE)),""))</f>
        <v/>
      </c>
      <c r="AK304" s="469" t="str">
        <f t="shared" si="72"/>
        <v/>
      </c>
      <c r="AL304" s="469" t="str">
        <f t="shared" si="73"/>
        <v/>
      </c>
      <c r="AM304" s="1106" t="str">
        <f t="shared" si="74"/>
        <v/>
      </c>
      <c r="AN304" s="1106" t="str">
        <f>IFERROR(AM304*(1+'7a.20YrDetails'!$F$9),"")</f>
        <v/>
      </c>
      <c r="AO304" s="1106" t="str">
        <f>IFERROR(AN304*(1+'7a.20YrDetails'!$F$9),"")</f>
        <v/>
      </c>
      <c r="AP304" s="1106" t="str">
        <f>IFERROR(AO304*(1+'7a.20YrDetails'!$F$9),"")</f>
        <v/>
      </c>
      <c r="AQ304" s="1106" t="str">
        <f>IFERROR(AP304*(1+'7a.20YrDetails'!$F$9),"")</f>
        <v/>
      </c>
      <c r="AR304" s="674"/>
      <c r="AS304" s="672"/>
      <c r="AT304" s="1732" t="str">
        <f>IF($AF304=0,0,IFERROR(($AF304+L304)/(HLOOKUP($D304,RentsUA!$B$61:$H$62,2,FALSE)),""))</f>
        <v/>
      </c>
      <c r="AU304" s="1733" t="str">
        <f>IFERROR(G304/HLOOKUP(H304,RentsUA!$B$40:$I$41,2),"")</f>
        <v/>
      </c>
      <c r="BR304" s="404" t="str">
        <f t="shared" si="75"/>
        <v/>
      </c>
      <c r="BT304" s="404" t="str">
        <f t="shared" si="70"/>
        <v/>
      </c>
    </row>
    <row r="305" spans="1:72" s="404" customFormat="1" ht="13.2">
      <c r="A305" s="406">
        <f t="shared" si="76"/>
        <v>293</v>
      </c>
      <c r="B305" s="472"/>
      <c r="C305" s="470"/>
      <c r="D305" s="407"/>
      <c r="E305" s="407"/>
      <c r="F305" s="408"/>
      <c r="G305" s="409"/>
      <c r="H305" s="407"/>
      <c r="I305" s="1029" t="str">
        <f>IFERROR(G305/HLOOKUP(H305,RentsUA!$B$8:$J$9,2),"")</f>
        <v/>
      </c>
      <c r="J305" s="407"/>
      <c r="K305" s="412"/>
      <c r="L305" s="672">
        <f t="shared" si="65"/>
        <v>0</v>
      </c>
      <c r="M305" s="671"/>
      <c r="N305" s="410">
        <f t="shared" si="66"/>
        <v>0</v>
      </c>
      <c r="O305" s="469" t="str">
        <f>IF($M305=0,"",IFERROR(($L305+$M305)/(HLOOKUP($D305,RentsUA!$K$12:$Q$35,19,FALSE)),""))</f>
        <v/>
      </c>
      <c r="P305" s="469" t="str">
        <f>IF($M305=0,"",IFERROR(($M305+K305+L305)/(HLOOKUP($D305,RentsUA!$K$12:$Q$35,19,FALSE)),""))</f>
        <v/>
      </c>
      <c r="Q305" s="411"/>
      <c r="R305" s="673" t="str">
        <f>IF($Q305=0,"",VLOOKUP($Q305,RentsUA!$A$12:$H$35,MATCH($D305,RentsUA!$A$12:$H$12,0),FALSE))</f>
        <v/>
      </c>
      <c r="S305" s="409"/>
      <c r="T305" s="674"/>
      <c r="U305" s="672"/>
      <c r="V305" s="673" t="str">
        <f t="shared" si="71"/>
        <v/>
      </c>
      <c r="W305" s="470"/>
      <c r="X305" s="411"/>
      <c r="Y305" s="410" t="str">
        <f>IF(X305=0,"",VLOOKUP($X305,RentsUA!$A$12:$H$35,MATCH($D305,RentsUA!$A$12:$H$12,0),FALSE))</f>
        <v/>
      </c>
      <c r="Z305" s="410" t="str">
        <f t="shared" si="67"/>
        <v/>
      </c>
      <c r="AA305" s="1297" t="str">
        <f>IF(H305="","",IF(G305/HLOOKUP($H305,RentsUA!$M$8:$T$9,2,FALSE)&gt;1,"&gt; 80%","&lt;= 80%"))</f>
        <v/>
      </c>
      <c r="AB305" s="1106"/>
      <c r="AC305" s="1106"/>
      <c r="AD305" s="622"/>
      <c r="AE305" s="412"/>
      <c r="AF305" s="807" t="str">
        <f>IF(AD305="","",IF(AD305=Lists!$U$3,M305,IF(AD305=Lists!$U$4,V305,IF(AD305=Lists!$U$5,Y305-L305,AE305))))</f>
        <v/>
      </c>
      <c r="AG305" s="410" t="str">
        <f t="shared" si="68"/>
        <v/>
      </c>
      <c r="AH305" s="469" t="str">
        <f t="shared" si="69"/>
        <v/>
      </c>
      <c r="AI305" s="469" t="str">
        <f>IF($AF305=0,0,IFERROR(($L305+$AF305)/(HLOOKUP($D305,RentsUA!$K$12:$Q$35,19,FALSE)),""))</f>
        <v/>
      </c>
      <c r="AJ305" s="469" t="str">
        <f>IF($AF305=0,0,IFERROR(($AF305+K305+L305)/(HLOOKUP($D305,RentsUA!$K$12:$Q$35,19,FALSE)),""))</f>
        <v/>
      </c>
      <c r="AK305" s="469" t="str">
        <f t="shared" si="72"/>
        <v/>
      </c>
      <c r="AL305" s="469" t="str">
        <f t="shared" si="73"/>
        <v/>
      </c>
      <c r="AM305" s="1106" t="str">
        <f t="shared" si="74"/>
        <v/>
      </c>
      <c r="AN305" s="1106" t="str">
        <f>IFERROR(AM305*(1+'7a.20YrDetails'!$F$9),"")</f>
        <v/>
      </c>
      <c r="AO305" s="1106" t="str">
        <f>IFERROR(AN305*(1+'7a.20YrDetails'!$F$9),"")</f>
        <v/>
      </c>
      <c r="AP305" s="1106" t="str">
        <f>IFERROR(AO305*(1+'7a.20YrDetails'!$F$9),"")</f>
        <v/>
      </c>
      <c r="AQ305" s="1106" t="str">
        <f>IFERROR(AP305*(1+'7a.20YrDetails'!$F$9),"")</f>
        <v/>
      </c>
      <c r="AR305" s="674"/>
      <c r="AS305" s="672"/>
      <c r="AT305" s="1732" t="str">
        <f>IF($AF305=0,0,IFERROR(($AF305+L305)/(HLOOKUP($D305,RentsUA!$B$61:$H$62,2,FALSE)),""))</f>
        <v/>
      </c>
      <c r="AU305" s="1733" t="str">
        <f>IFERROR(G305/HLOOKUP(H305,RentsUA!$B$40:$I$41,2),"")</f>
        <v/>
      </c>
      <c r="BR305" s="404" t="str">
        <f t="shared" si="75"/>
        <v/>
      </c>
      <c r="BT305" s="404" t="str">
        <f t="shared" si="70"/>
        <v/>
      </c>
    </row>
    <row r="306" spans="1:72" s="404" customFormat="1" ht="13.2">
      <c r="A306" s="406">
        <f t="shared" si="76"/>
        <v>294</v>
      </c>
      <c r="B306" s="472"/>
      <c r="C306" s="470"/>
      <c r="D306" s="407"/>
      <c r="E306" s="407"/>
      <c r="F306" s="408"/>
      <c r="G306" s="409"/>
      <c r="H306" s="407"/>
      <c r="I306" s="1029" t="str">
        <f>IFERROR(G306/HLOOKUP(H306,RentsUA!$B$8:$J$9,2),"")</f>
        <v/>
      </c>
      <c r="J306" s="407"/>
      <c r="K306" s="412"/>
      <c r="L306" s="672">
        <f t="shared" si="65"/>
        <v>0</v>
      </c>
      <c r="M306" s="671"/>
      <c r="N306" s="410">
        <f t="shared" si="66"/>
        <v>0</v>
      </c>
      <c r="O306" s="469" t="str">
        <f>IF($M306=0,"",IFERROR(($L306+$M306)/(HLOOKUP($D306,RentsUA!$K$12:$Q$35,19,FALSE)),""))</f>
        <v/>
      </c>
      <c r="P306" s="469" t="str">
        <f>IF($M306=0,"",IFERROR(($M306+K306+L306)/(HLOOKUP($D306,RentsUA!$K$12:$Q$35,19,FALSE)),""))</f>
        <v/>
      </c>
      <c r="Q306" s="411"/>
      <c r="R306" s="673" t="str">
        <f>IF($Q306=0,"",VLOOKUP($Q306,RentsUA!$A$12:$H$35,MATCH($D306,RentsUA!$A$12:$H$12,0),FALSE))</f>
        <v/>
      </c>
      <c r="S306" s="409"/>
      <c r="T306" s="674"/>
      <c r="U306" s="672"/>
      <c r="V306" s="673" t="str">
        <f t="shared" si="71"/>
        <v/>
      </c>
      <c r="W306" s="470"/>
      <c r="X306" s="411"/>
      <c r="Y306" s="410" t="str">
        <f>IF(X306=0,"",VLOOKUP($X306,RentsUA!$A$12:$H$35,MATCH($D306,RentsUA!$A$12:$H$12,0),FALSE))</f>
        <v/>
      </c>
      <c r="Z306" s="410" t="str">
        <f t="shared" si="67"/>
        <v/>
      </c>
      <c r="AA306" s="1297" t="str">
        <f>IF(H306="","",IF(G306/HLOOKUP($H306,RentsUA!$M$8:$T$9,2,FALSE)&gt;1,"&gt; 80%","&lt;= 80%"))</f>
        <v/>
      </c>
      <c r="AB306" s="1106"/>
      <c r="AC306" s="1106"/>
      <c r="AD306" s="622"/>
      <c r="AE306" s="412"/>
      <c r="AF306" s="807" t="str">
        <f>IF(AD306="","",IF(AD306=Lists!$U$3,M306,IF(AD306=Lists!$U$4,V306,IF(AD306=Lists!$U$5,Y306-L306,AE306))))</f>
        <v/>
      </c>
      <c r="AG306" s="410" t="str">
        <f t="shared" si="68"/>
        <v/>
      </c>
      <c r="AH306" s="469" t="str">
        <f t="shared" si="69"/>
        <v/>
      </c>
      <c r="AI306" s="469" t="str">
        <f>IF($AF306=0,0,IFERROR(($L306+$AF306)/(HLOOKUP($D306,RentsUA!$K$12:$Q$35,19,FALSE)),""))</f>
        <v/>
      </c>
      <c r="AJ306" s="469" t="str">
        <f>IF($AF306=0,0,IFERROR(($AF306+K306+L306)/(HLOOKUP($D306,RentsUA!$K$12:$Q$35,19,FALSE)),""))</f>
        <v/>
      </c>
      <c r="AK306" s="469" t="str">
        <f t="shared" si="72"/>
        <v/>
      </c>
      <c r="AL306" s="469" t="str">
        <f t="shared" si="73"/>
        <v/>
      </c>
      <c r="AM306" s="1106" t="str">
        <f t="shared" si="74"/>
        <v/>
      </c>
      <c r="AN306" s="1106" t="str">
        <f>IFERROR(AM306*(1+'7a.20YrDetails'!$F$9),"")</f>
        <v/>
      </c>
      <c r="AO306" s="1106" t="str">
        <f>IFERROR(AN306*(1+'7a.20YrDetails'!$F$9),"")</f>
        <v/>
      </c>
      <c r="AP306" s="1106" t="str">
        <f>IFERROR(AO306*(1+'7a.20YrDetails'!$F$9),"")</f>
        <v/>
      </c>
      <c r="AQ306" s="1106" t="str">
        <f>IFERROR(AP306*(1+'7a.20YrDetails'!$F$9),"")</f>
        <v/>
      </c>
      <c r="AR306" s="674"/>
      <c r="AS306" s="672"/>
      <c r="AT306" s="1732" t="str">
        <f>IF($AF306=0,0,IFERROR(($AF306+L306)/(HLOOKUP($D306,RentsUA!$B$61:$H$62,2,FALSE)),""))</f>
        <v/>
      </c>
      <c r="AU306" s="1733" t="str">
        <f>IFERROR(G306/HLOOKUP(H306,RentsUA!$B$40:$I$41,2),"")</f>
        <v/>
      </c>
      <c r="BR306" s="404" t="str">
        <f t="shared" si="75"/>
        <v/>
      </c>
      <c r="BT306" s="404" t="str">
        <f t="shared" si="70"/>
        <v/>
      </c>
    </row>
    <row r="307" spans="1:72" s="404" customFormat="1" ht="13.2">
      <c r="A307" s="406">
        <f t="shared" si="76"/>
        <v>295</v>
      </c>
      <c r="B307" s="472"/>
      <c r="C307" s="470"/>
      <c r="D307" s="407"/>
      <c r="E307" s="407"/>
      <c r="F307" s="408"/>
      <c r="G307" s="409"/>
      <c r="H307" s="407"/>
      <c r="I307" s="1029" t="str">
        <f>IFERROR(G307/HLOOKUP(H307,RentsUA!$B$8:$J$9,2),"")</f>
        <v/>
      </c>
      <c r="J307" s="407"/>
      <c r="K307" s="412"/>
      <c r="L307" s="672">
        <f t="shared" si="65"/>
        <v>0</v>
      </c>
      <c r="M307" s="671"/>
      <c r="N307" s="410">
        <f t="shared" si="66"/>
        <v>0</v>
      </c>
      <c r="O307" s="469" t="str">
        <f>IF($M307=0,"",IFERROR(($L307+$M307)/(HLOOKUP($D307,RentsUA!$K$12:$Q$35,19,FALSE)),""))</f>
        <v/>
      </c>
      <c r="P307" s="469" t="str">
        <f>IF($M307=0,"",IFERROR(($M307+K307+L307)/(HLOOKUP($D307,RentsUA!$K$12:$Q$35,19,FALSE)),""))</f>
        <v/>
      </c>
      <c r="Q307" s="411"/>
      <c r="R307" s="673" t="str">
        <f>IF($Q307=0,"",VLOOKUP($Q307,RentsUA!$A$12:$H$35,MATCH($D307,RentsUA!$A$12:$H$12,0),FALSE))</f>
        <v/>
      </c>
      <c r="S307" s="409"/>
      <c r="T307" s="674"/>
      <c r="U307" s="672"/>
      <c r="V307" s="673" t="str">
        <f t="shared" si="71"/>
        <v/>
      </c>
      <c r="W307" s="470"/>
      <c r="X307" s="411"/>
      <c r="Y307" s="410" t="str">
        <f>IF(X307=0,"",VLOOKUP($X307,RentsUA!$A$12:$H$35,MATCH($D307,RentsUA!$A$12:$H$12,0),FALSE))</f>
        <v/>
      </c>
      <c r="Z307" s="410" t="str">
        <f t="shared" si="67"/>
        <v/>
      </c>
      <c r="AA307" s="1297" t="str">
        <f>IF(H307="","",IF(G307/HLOOKUP($H307,RentsUA!$M$8:$T$9,2,FALSE)&gt;1,"&gt; 80%","&lt;= 80%"))</f>
        <v/>
      </c>
      <c r="AB307" s="1106"/>
      <c r="AC307" s="1106"/>
      <c r="AD307" s="622"/>
      <c r="AE307" s="412"/>
      <c r="AF307" s="807" t="str">
        <f>IF(AD307="","",IF(AD307=Lists!$U$3,M307,IF(AD307=Lists!$U$4,V307,IF(AD307=Lists!$U$5,Y307-L307,AE307))))</f>
        <v/>
      </c>
      <c r="AG307" s="410" t="str">
        <f t="shared" si="68"/>
        <v/>
      </c>
      <c r="AH307" s="469" t="str">
        <f t="shared" si="69"/>
        <v/>
      </c>
      <c r="AI307" s="469" t="str">
        <f>IF($AF307=0,0,IFERROR(($L307+$AF307)/(HLOOKUP($D307,RentsUA!$K$12:$Q$35,19,FALSE)),""))</f>
        <v/>
      </c>
      <c r="AJ307" s="469" t="str">
        <f>IF($AF307=0,0,IFERROR(($AF307+K307+L307)/(HLOOKUP($D307,RentsUA!$K$12:$Q$35,19,FALSE)),""))</f>
        <v/>
      </c>
      <c r="AK307" s="469" t="str">
        <f t="shared" si="72"/>
        <v/>
      </c>
      <c r="AL307" s="469" t="str">
        <f t="shared" si="73"/>
        <v/>
      </c>
      <c r="AM307" s="1106" t="str">
        <f t="shared" si="74"/>
        <v/>
      </c>
      <c r="AN307" s="1106" t="str">
        <f>IFERROR(AM307*(1+'7a.20YrDetails'!$F$9),"")</f>
        <v/>
      </c>
      <c r="AO307" s="1106" t="str">
        <f>IFERROR(AN307*(1+'7a.20YrDetails'!$F$9),"")</f>
        <v/>
      </c>
      <c r="AP307" s="1106" t="str">
        <f>IFERROR(AO307*(1+'7a.20YrDetails'!$F$9),"")</f>
        <v/>
      </c>
      <c r="AQ307" s="1106" t="str">
        <f>IFERROR(AP307*(1+'7a.20YrDetails'!$F$9),"")</f>
        <v/>
      </c>
      <c r="AR307" s="674"/>
      <c r="AS307" s="672"/>
      <c r="AT307" s="1732" t="str">
        <f>IF($AF307=0,0,IFERROR(($AF307+L307)/(HLOOKUP($D307,RentsUA!$B$61:$H$62,2,FALSE)),""))</f>
        <v/>
      </c>
      <c r="AU307" s="1733" t="str">
        <f>IFERROR(G307/HLOOKUP(H307,RentsUA!$B$40:$I$41,2),"")</f>
        <v/>
      </c>
      <c r="BR307" s="404" t="str">
        <f t="shared" si="75"/>
        <v/>
      </c>
      <c r="BT307" s="404" t="str">
        <f t="shared" si="70"/>
        <v/>
      </c>
    </row>
    <row r="308" spans="1:72" s="404" customFormat="1" ht="13.2">
      <c r="A308" s="406">
        <f t="shared" si="76"/>
        <v>296</v>
      </c>
      <c r="B308" s="472"/>
      <c r="C308" s="470"/>
      <c r="D308" s="407"/>
      <c r="E308" s="407"/>
      <c r="F308" s="408"/>
      <c r="G308" s="409"/>
      <c r="H308" s="407"/>
      <c r="I308" s="1029" t="str">
        <f>IFERROR(G308/HLOOKUP(H308,RentsUA!$B$8:$J$9,2),"")</f>
        <v/>
      </c>
      <c r="J308" s="407"/>
      <c r="K308" s="412"/>
      <c r="L308" s="672">
        <f t="shared" si="65"/>
        <v>0</v>
      </c>
      <c r="M308" s="671"/>
      <c r="N308" s="410">
        <f t="shared" si="66"/>
        <v>0</v>
      </c>
      <c r="O308" s="469" t="str">
        <f>IF($M308=0,"",IFERROR(($L308+$M308)/(HLOOKUP($D308,RentsUA!$K$12:$Q$35,19,FALSE)),""))</f>
        <v/>
      </c>
      <c r="P308" s="469" t="str">
        <f>IF($M308=0,"",IFERROR(($M308+K308+L308)/(HLOOKUP($D308,RentsUA!$K$12:$Q$35,19,FALSE)),""))</f>
        <v/>
      </c>
      <c r="Q308" s="411"/>
      <c r="R308" s="673" t="str">
        <f>IF($Q308=0,"",VLOOKUP($Q308,RentsUA!$A$12:$H$35,MATCH($D308,RentsUA!$A$12:$H$12,0),FALSE))</f>
        <v/>
      </c>
      <c r="S308" s="409"/>
      <c r="T308" s="674"/>
      <c r="U308" s="672"/>
      <c r="V308" s="673" t="str">
        <f t="shared" si="71"/>
        <v/>
      </c>
      <c r="W308" s="470"/>
      <c r="X308" s="411"/>
      <c r="Y308" s="410" t="str">
        <f>IF(X308=0,"",VLOOKUP($X308,RentsUA!$A$12:$H$35,MATCH($D308,RentsUA!$A$12:$H$12,0),FALSE))</f>
        <v/>
      </c>
      <c r="Z308" s="410" t="str">
        <f t="shared" si="67"/>
        <v/>
      </c>
      <c r="AA308" s="1297" t="str">
        <f>IF(H308="","",IF(G308/HLOOKUP($H308,RentsUA!$M$8:$T$9,2,FALSE)&gt;1,"&gt; 80%","&lt;= 80%"))</f>
        <v/>
      </c>
      <c r="AB308" s="1106"/>
      <c r="AC308" s="1106"/>
      <c r="AD308" s="622"/>
      <c r="AE308" s="412"/>
      <c r="AF308" s="807" t="str">
        <f>IF(AD308="","",IF(AD308=Lists!$U$3,M308,IF(AD308=Lists!$U$4,V308,IF(AD308=Lists!$U$5,Y308-L308,AE308))))</f>
        <v/>
      </c>
      <c r="AG308" s="410" t="str">
        <f t="shared" si="68"/>
        <v/>
      </c>
      <c r="AH308" s="469" t="str">
        <f t="shared" si="69"/>
        <v/>
      </c>
      <c r="AI308" s="469" t="str">
        <f>IF($AF308=0,0,IFERROR(($L308+$AF308)/(HLOOKUP($D308,RentsUA!$K$12:$Q$35,19,FALSE)),""))</f>
        <v/>
      </c>
      <c r="AJ308" s="469" t="str">
        <f>IF($AF308=0,0,IFERROR(($AF308+K308+L308)/(HLOOKUP($D308,RentsUA!$K$12:$Q$35,19,FALSE)),""))</f>
        <v/>
      </c>
      <c r="AK308" s="469" t="str">
        <f t="shared" si="72"/>
        <v/>
      </c>
      <c r="AL308" s="469" t="str">
        <f t="shared" si="73"/>
        <v/>
      </c>
      <c r="AM308" s="1106" t="str">
        <f t="shared" si="74"/>
        <v/>
      </c>
      <c r="AN308" s="1106" t="str">
        <f>IFERROR(AM308*(1+'7a.20YrDetails'!$F$9),"")</f>
        <v/>
      </c>
      <c r="AO308" s="1106" t="str">
        <f>IFERROR(AN308*(1+'7a.20YrDetails'!$F$9),"")</f>
        <v/>
      </c>
      <c r="AP308" s="1106" t="str">
        <f>IFERROR(AO308*(1+'7a.20YrDetails'!$F$9),"")</f>
        <v/>
      </c>
      <c r="AQ308" s="1106" t="str">
        <f>IFERROR(AP308*(1+'7a.20YrDetails'!$F$9),"")</f>
        <v/>
      </c>
      <c r="AR308" s="674"/>
      <c r="AS308" s="672"/>
      <c r="AT308" s="1732" t="str">
        <f>IF($AF308=0,0,IFERROR(($AF308+L308)/(HLOOKUP($D308,RentsUA!$B$61:$H$62,2,FALSE)),""))</f>
        <v/>
      </c>
      <c r="AU308" s="1733" t="str">
        <f>IFERROR(G308/HLOOKUP(H308,RentsUA!$B$40:$I$41,2),"")</f>
        <v/>
      </c>
      <c r="BR308" s="404" t="str">
        <f t="shared" si="75"/>
        <v/>
      </c>
      <c r="BT308" s="404" t="str">
        <f t="shared" si="70"/>
        <v/>
      </c>
    </row>
    <row r="309" spans="1:72" s="404" customFormat="1" ht="13.2">
      <c r="A309" s="406">
        <f t="shared" si="76"/>
        <v>297</v>
      </c>
      <c r="B309" s="472"/>
      <c r="C309" s="470"/>
      <c r="D309" s="407"/>
      <c r="E309" s="407"/>
      <c r="F309" s="408"/>
      <c r="G309" s="409"/>
      <c r="H309" s="407"/>
      <c r="I309" s="1029" t="str">
        <f>IFERROR(G309/HLOOKUP(H309,RentsUA!$B$8:$J$9,2),"")</f>
        <v/>
      </c>
      <c r="J309" s="407"/>
      <c r="K309" s="412"/>
      <c r="L309" s="672">
        <f t="shared" si="65"/>
        <v>0</v>
      </c>
      <c r="M309" s="671"/>
      <c r="N309" s="410">
        <f t="shared" si="66"/>
        <v>0</v>
      </c>
      <c r="O309" s="469" t="str">
        <f>IF($M309=0,"",IFERROR(($L309+$M309)/(HLOOKUP($D309,RentsUA!$K$12:$Q$35,19,FALSE)),""))</f>
        <v/>
      </c>
      <c r="P309" s="469" t="str">
        <f>IF($M309=0,"",IFERROR(($M309+K309+L309)/(HLOOKUP($D309,RentsUA!$K$12:$Q$35,19,FALSE)),""))</f>
        <v/>
      </c>
      <c r="Q309" s="411"/>
      <c r="R309" s="673" t="str">
        <f>IF($Q309=0,"",VLOOKUP($Q309,RentsUA!$A$12:$H$35,MATCH($D309,RentsUA!$A$12:$H$12,0),FALSE))</f>
        <v/>
      </c>
      <c r="S309" s="409"/>
      <c r="T309" s="674"/>
      <c r="U309" s="672"/>
      <c r="V309" s="673" t="str">
        <f t="shared" si="71"/>
        <v/>
      </c>
      <c r="W309" s="470"/>
      <c r="X309" s="411"/>
      <c r="Y309" s="410" t="str">
        <f>IF(X309=0,"",VLOOKUP($X309,RentsUA!$A$12:$H$35,MATCH($D309,RentsUA!$A$12:$H$12,0),FALSE))</f>
        <v/>
      </c>
      <c r="Z309" s="410" t="str">
        <f t="shared" si="67"/>
        <v/>
      </c>
      <c r="AA309" s="1297" t="str">
        <f>IF(H309="","",IF(G309/HLOOKUP($H309,RentsUA!$M$8:$T$9,2,FALSE)&gt;1,"&gt; 80%","&lt;= 80%"))</f>
        <v/>
      </c>
      <c r="AB309" s="1106"/>
      <c r="AC309" s="1106"/>
      <c r="AD309" s="622"/>
      <c r="AE309" s="412"/>
      <c r="AF309" s="807" t="str">
        <f>IF(AD309="","",IF(AD309=Lists!$U$3,M309,IF(AD309=Lists!$U$4,V309,IF(AD309=Lists!$U$5,Y309-L309,AE309))))</f>
        <v/>
      </c>
      <c r="AG309" s="410" t="str">
        <f t="shared" si="68"/>
        <v/>
      </c>
      <c r="AH309" s="469" t="str">
        <f t="shared" si="69"/>
        <v/>
      </c>
      <c r="AI309" s="469" t="str">
        <f>IF($AF309=0,0,IFERROR(($L309+$AF309)/(HLOOKUP($D309,RentsUA!$K$12:$Q$35,19,FALSE)),""))</f>
        <v/>
      </c>
      <c r="AJ309" s="469" t="str">
        <f>IF($AF309=0,0,IFERROR(($AF309+K309+L309)/(HLOOKUP($D309,RentsUA!$K$12:$Q$35,19,FALSE)),""))</f>
        <v/>
      </c>
      <c r="AK309" s="469" t="str">
        <f t="shared" si="72"/>
        <v/>
      </c>
      <c r="AL309" s="469" t="str">
        <f t="shared" si="73"/>
        <v/>
      </c>
      <c r="AM309" s="1106" t="str">
        <f t="shared" si="74"/>
        <v/>
      </c>
      <c r="AN309" s="1106" t="str">
        <f>IFERROR(AM309*(1+'7a.20YrDetails'!$F$9),"")</f>
        <v/>
      </c>
      <c r="AO309" s="1106" t="str">
        <f>IFERROR(AN309*(1+'7a.20YrDetails'!$F$9),"")</f>
        <v/>
      </c>
      <c r="AP309" s="1106" t="str">
        <f>IFERROR(AO309*(1+'7a.20YrDetails'!$F$9),"")</f>
        <v/>
      </c>
      <c r="AQ309" s="1106" t="str">
        <f>IFERROR(AP309*(1+'7a.20YrDetails'!$F$9),"")</f>
        <v/>
      </c>
      <c r="AR309" s="674"/>
      <c r="AS309" s="672"/>
      <c r="AT309" s="1732" t="str">
        <f>IF($AF309=0,0,IFERROR(($AF309+L309)/(HLOOKUP($D309,RentsUA!$B$61:$H$62,2,FALSE)),""))</f>
        <v/>
      </c>
      <c r="AU309" s="1733" t="str">
        <f>IFERROR(G309/HLOOKUP(H309,RentsUA!$B$40:$I$41,2),"")</f>
        <v/>
      </c>
      <c r="BR309" s="404" t="str">
        <f t="shared" si="75"/>
        <v/>
      </c>
      <c r="BT309" s="404" t="str">
        <f t="shared" si="70"/>
        <v/>
      </c>
    </row>
    <row r="310" spans="1:72" s="404" customFormat="1" ht="13.2">
      <c r="A310" s="406">
        <f t="shared" si="76"/>
        <v>298</v>
      </c>
      <c r="B310" s="472"/>
      <c r="C310" s="470"/>
      <c r="D310" s="407"/>
      <c r="E310" s="407"/>
      <c r="F310" s="408"/>
      <c r="G310" s="409"/>
      <c r="H310" s="407"/>
      <c r="I310" s="1029" t="str">
        <f>IFERROR(G310/HLOOKUP(H310,RentsUA!$B$8:$J$9,2),"")</f>
        <v/>
      </c>
      <c r="J310" s="407"/>
      <c r="K310" s="412"/>
      <c r="L310" s="672">
        <f t="shared" si="65"/>
        <v>0</v>
      </c>
      <c r="M310" s="671"/>
      <c r="N310" s="410">
        <f t="shared" si="66"/>
        <v>0</v>
      </c>
      <c r="O310" s="469" t="str">
        <f>IF($M310=0,"",IFERROR(($L310+$M310)/(HLOOKUP($D310,RentsUA!$K$12:$Q$35,19,FALSE)),""))</f>
        <v/>
      </c>
      <c r="P310" s="469" t="str">
        <f>IF($M310=0,"",IFERROR(($M310+K310+L310)/(HLOOKUP($D310,RentsUA!$K$12:$Q$35,19,FALSE)),""))</f>
        <v/>
      </c>
      <c r="Q310" s="411"/>
      <c r="R310" s="673" t="str">
        <f>IF($Q310=0,"",VLOOKUP($Q310,RentsUA!$A$12:$H$35,MATCH($D310,RentsUA!$A$12:$H$12,0),FALSE))</f>
        <v/>
      </c>
      <c r="S310" s="409"/>
      <c r="T310" s="674"/>
      <c r="U310" s="672"/>
      <c r="V310" s="673" t="str">
        <f t="shared" si="71"/>
        <v/>
      </c>
      <c r="W310" s="470"/>
      <c r="X310" s="411"/>
      <c r="Y310" s="410" t="str">
        <f>IF(X310=0,"",VLOOKUP($X310,RentsUA!$A$12:$H$35,MATCH($D310,RentsUA!$A$12:$H$12,0),FALSE))</f>
        <v/>
      </c>
      <c r="Z310" s="410" t="str">
        <f t="shared" si="67"/>
        <v/>
      </c>
      <c r="AA310" s="1297" t="str">
        <f>IF(H310="","",IF(G310/HLOOKUP($H310,RentsUA!$M$8:$T$9,2,FALSE)&gt;1,"&gt; 80%","&lt;= 80%"))</f>
        <v/>
      </c>
      <c r="AB310" s="1106"/>
      <c r="AC310" s="1106"/>
      <c r="AD310" s="622"/>
      <c r="AE310" s="412"/>
      <c r="AF310" s="807" t="str">
        <f>IF(AD310="","",IF(AD310=Lists!$U$3,M310,IF(AD310=Lists!$U$4,V310,IF(AD310=Lists!$U$5,Y310-L310,AE310))))</f>
        <v/>
      </c>
      <c r="AG310" s="410" t="str">
        <f t="shared" si="68"/>
        <v/>
      </c>
      <c r="AH310" s="469" t="str">
        <f t="shared" si="69"/>
        <v/>
      </c>
      <c r="AI310" s="469" t="str">
        <f>IF($AF310=0,0,IFERROR(($L310+$AF310)/(HLOOKUP($D310,RentsUA!$K$12:$Q$35,19,FALSE)),""))</f>
        <v/>
      </c>
      <c r="AJ310" s="469" t="str">
        <f>IF($AF310=0,0,IFERROR(($AF310+K310+L310)/(HLOOKUP($D310,RentsUA!$K$12:$Q$35,19,FALSE)),""))</f>
        <v/>
      </c>
      <c r="AK310" s="469" t="str">
        <f t="shared" si="72"/>
        <v/>
      </c>
      <c r="AL310" s="469" t="str">
        <f t="shared" si="73"/>
        <v/>
      </c>
      <c r="AM310" s="1106" t="str">
        <f t="shared" si="74"/>
        <v/>
      </c>
      <c r="AN310" s="1106" t="str">
        <f>IFERROR(AM310*(1+'7a.20YrDetails'!$F$9),"")</f>
        <v/>
      </c>
      <c r="AO310" s="1106" t="str">
        <f>IFERROR(AN310*(1+'7a.20YrDetails'!$F$9),"")</f>
        <v/>
      </c>
      <c r="AP310" s="1106" t="str">
        <f>IFERROR(AO310*(1+'7a.20YrDetails'!$F$9),"")</f>
        <v/>
      </c>
      <c r="AQ310" s="1106" t="str">
        <f>IFERROR(AP310*(1+'7a.20YrDetails'!$F$9),"")</f>
        <v/>
      </c>
      <c r="AR310" s="674"/>
      <c r="AS310" s="672"/>
      <c r="AT310" s="1732" t="str">
        <f>IF($AF310=0,0,IFERROR(($AF310+L310)/(HLOOKUP($D310,RentsUA!$B$61:$H$62,2,FALSE)),""))</f>
        <v/>
      </c>
      <c r="AU310" s="1733" t="str">
        <f>IFERROR(G310/HLOOKUP(H310,RentsUA!$B$40:$I$41,2),"")</f>
        <v/>
      </c>
      <c r="BR310" s="404" t="str">
        <f t="shared" si="75"/>
        <v/>
      </c>
      <c r="BT310" s="404" t="str">
        <f t="shared" si="70"/>
        <v/>
      </c>
    </row>
    <row r="311" spans="1:72" s="404" customFormat="1" ht="13.2">
      <c r="A311" s="406">
        <f t="shared" si="76"/>
        <v>299</v>
      </c>
      <c r="B311" s="472"/>
      <c r="C311" s="470"/>
      <c r="D311" s="407"/>
      <c r="E311" s="407"/>
      <c r="F311" s="408"/>
      <c r="G311" s="409"/>
      <c r="H311" s="407"/>
      <c r="I311" s="1029" t="str">
        <f>IFERROR(G311/HLOOKUP(H311,RentsUA!$B$8:$J$9,2),"")</f>
        <v/>
      </c>
      <c r="J311" s="407"/>
      <c r="K311" s="412"/>
      <c r="L311" s="672">
        <f t="shared" si="65"/>
        <v>0</v>
      </c>
      <c r="M311" s="671"/>
      <c r="N311" s="410">
        <f t="shared" si="66"/>
        <v>0</v>
      </c>
      <c r="O311" s="469" t="str">
        <f>IF($M311=0,"",IFERROR(($L311+$M311)/(HLOOKUP($D311,RentsUA!$K$12:$Q$35,19,FALSE)),""))</f>
        <v/>
      </c>
      <c r="P311" s="469" t="str">
        <f>IF($M311=0,"",IFERROR(($M311+K311+L311)/(HLOOKUP($D311,RentsUA!$K$12:$Q$35,19,FALSE)),""))</f>
        <v/>
      </c>
      <c r="Q311" s="411"/>
      <c r="R311" s="673" t="str">
        <f>IF($Q311=0,"",VLOOKUP($Q311,RentsUA!$A$12:$H$35,MATCH($D311,RentsUA!$A$12:$H$12,0),FALSE))</f>
        <v/>
      </c>
      <c r="S311" s="409"/>
      <c r="T311" s="674"/>
      <c r="U311" s="672"/>
      <c r="V311" s="673" t="str">
        <f t="shared" si="71"/>
        <v/>
      </c>
      <c r="W311" s="470"/>
      <c r="X311" s="411"/>
      <c r="Y311" s="410" t="str">
        <f>IF(X311=0,"",VLOOKUP($X311,RentsUA!$A$12:$H$35,MATCH($D311,RentsUA!$A$12:$H$12,0),FALSE))</f>
        <v/>
      </c>
      <c r="Z311" s="410" t="str">
        <f t="shared" si="67"/>
        <v/>
      </c>
      <c r="AA311" s="1297" t="str">
        <f>IF(H311="","",IF(G311/HLOOKUP($H311,RentsUA!$M$8:$T$9,2,FALSE)&gt;1,"&gt; 80%","&lt;= 80%"))</f>
        <v/>
      </c>
      <c r="AB311" s="1106"/>
      <c r="AC311" s="1106"/>
      <c r="AD311" s="622"/>
      <c r="AE311" s="412"/>
      <c r="AF311" s="807" t="str">
        <f>IF(AD311="","",IF(AD311=Lists!$U$3,M311,IF(AD311=Lists!$U$4,V311,IF(AD311=Lists!$U$5,Y311-L311,AE311))))</f>
        <v/>
      </c>
      <c r="AG311" s="410" t="str">
        <f t="shared" si="68"/>
        <v/>
      </c>
      <c r="AH311" s="469" t="str">
        <f t="shared" si="69"/>
        <v/>
      </c>
      <c r="AI311" s="469" t="str">
        <f>IF($AF311=0,0,IFERROR(($L311+$AF311)/(HLOOKUP($D311,RentsUA!$K$12:$Q$35,19,FALSE)),""))</f>
        <v/>
      </c>
      <c r="AJ311" s="469" t="str">
        <f>IF($AF311=0,0,IFERROR(($AF311+K311+L311)/(HLOOKUP($D311,RentsUA!$K$12:$Q$35,19,FALSE)),""))</f>
        <v/>
      </c>
      <c r="AK311" s="469" t="str">
        <f t="shared" si="72"/>
        <v/>
      </c>
      <c r="AL311" s="469" t="str">
        <f t="shared" si="73"/>
        <v/>
      </c>
      <c r="AM311" s="1106" t="str">
        <f t="shared" si="74"/>
        <v/>
      </c>
      <c r="AN311" s="1106" t="str">
        <f>IFERROR(AM311*(1+'7a.20YrDetails'!$F$9),"")</f>
        <v/>
      </c>
      <c r="AO311" s="1106" t="str">
        <f>IFERROR(AN311*(1+'7a.20YrDetails'!$F$9),"")</f>
        <v/>
      </c>
      <c r="AP311" s="1106" t="str">
        <f>IFERROR(AO311*(1+'7a.20YrDetails'!$F$9),"")</f>
        <v/>
      </c>
      <c r="AQ311" s="1106" t="str">
        <f>IFERROR(AP311*(1+'7a.20YrDetails'!$F$9),"")</f>
        <v/>
      </c>
      <c r="AR311" s="674"/>
      <c r="AS311" s="672"/>
      <c r="AT311" s="1732" t="str">
        <f>IF($AF311=0,0,IFERROR(($AF311+L311)/(HLOOKUP($D311,RentsUA!$B$61:$H$62,2,FALSE)),""))</f>
        <v/>
      </c>
      <c r="AU311" s="1733" t="str">
        <f>IFERROR(G311/HLOOKUP(H311,RentsUA!$B$40:$I$41,2),"")</f>
        <v/>
      </c>
      <c r="BR311" s="404" t="str">
        <f t="shared" si="75"/>
        <v/>
      </c>
      <c r="BT311" s="404" t="str">
        <f t="shared" si="70"/>
        <v/>
      </c>
    </row>
    <row r="312" spans="1:72" s="404" customFormat="1" ht="13.2">
      <c r="A312" s="406">
        <f t="shared" si="76"/>
        <v>300</v>
      </c>
      <c r="B312" s="472"/>
      <c r="C312" s="470"/>
      <c r="D312" s="407"/>
      <c r="E312" s="407"/>
      <c r="F312" s="408"/>
      <c r="G312" s="409"/>
      <c r="H312" s="407"/>
      <c r="I312" s="1029" t="str">
        <f>IFERROR(G312/HLOOKUP(H312,RentsUA!$B$8:$J$9,2),"")</f>
        <v/>
      </c>
      <c r="J312" s="407"/>
      <c r="K312" s="412"/>
      <c r="L312" s="672">
        <f t="shared" si="65"/>
        <v>0</v>
      </c>
      <c r="M312" s="671"/>
      <c r="N312" s="410">
        <f t="shared" si="66"/>
        <v>0</v>
      </c>
      <c r="O312" s="469" t="str">
        <f>IF($M312=0,"",IFERROR(($L312+$M312)/(HLOOKUP($D312,RentsUA!$K$12:$Q$35,19,FALSE)),""))</f>
        <v/>
      </c>
      <c r="P312" s="469" t="str">
        <f>IF($M312=0,"",IFERROR(($M312+K312+L312)/(HLOOKUP($D312,RentsUA!$K$12:$Q$35,19,FALSE)),""))</f>
        <v/>
      </c>
      <c r="Q312" s="411"/>
      <c r="R312" s="673" t="str">
        <f>IF($Q312=0,"",VLOOKUP($Q312,RentsUA!$A$12:$H$35,MATCH($D312,RentsUA!$A$12:$H$12,0),FALSE))</f>
        <v/>
      </c>
      <c r="S312" s="409"/>
      <c r="T312" s="674"/>
      <c r="U312" s="672"/>
      <c r="V312" s="673" t="str">
        <f t="shared" si="71"/>
        <v/>
      </c>
      <c r="W312" s="470"/>
      <c r="X312" s="411"/>
      <c r="Y312" s="410" t="str">
        <f>IF(X312=0,"",VLOOKUP($X312,RentsUA!$A$12:$H$35,MATCH($D312,RentsUA!$A$12:$H$12,0),FALSE))</f>
        <v/>
      </c>
      <c r="Z312" s="410" t="str">
        <f t="shared" si="67"/>
        <v/>
      </c>
      <c r="AA312" s="1297" t="str">
        <f>IF(H312="","",IF(G312/HLOOKUP($H312,RentsUA!$M$8:$T$9,2,FALSE)&gt;1,"&gt; 80%","&lt;= 80%"))</f>
        <v/>
      </c>
      <c r="AB312" s="1106"/>
      <c r="AC312" s="1106"/>
      <c r="AD312" s="622"/>
      <c r="AE312" s="412"/>
      <c r="AF312" s="807" t="str">
        <f>IF(AD312="","",IF(AD312=Lists!$U$3,M312,IF(AD312=Lists!$U$4,V312,IF(AD312=Lists!$U$5,Y312-L312,AE312))))</f>
        <v/>
      </c>
      <c r="AG312" s="410" t="str">
        <f t="shared" si="68"/>
        <v/>
      </c>
      <c r="AH312" s="469" t="str">
        <f t="shared" si="69"/>
        <v/>
      </c>
      <c r="AI312" s="469" t="str">
        <f>IF($AF312=0,0,IFERROR(($L312+$AF312)/(HLOOKUP($D312,RentsUA!$K$12:$Q$35,19,FALSE)),""))</f>
        <v/>
      </c>
      <c r="AJ312" s="469" t="str">
        <f>IF($AF312=0,0,IFERROR(($AF312+K312+L312)/(HLOOKUP($D312,RentsUA!$K$12:$Q$35,19,FALSE)),""))</f>
        <v/>
      </c>
      <c r="AK312" s="469" t="str">
        <f t="shared" si="72"/>
        <v/>
      </c>
      <c r="AL312" s="469" t="str">
        <f t="shared" si="73"/>
        <v/>
      </c>
      <c r="AM312" s="1106" t="str">
        <f t="shared" si="74"/>
        <v/>
      </c>
      <c r="AN312" s="1106" t="str">
        <f>IFERROR(AM312*(1+'7a.20YrDetails'!$F$9),"")</f>
        <v/>
      </c>
      <c r="AO312" s="1106" t="str">
        <f>IFERROR(AN312*(1+'7a.20YrDetails'!$F$9),"")</f>
        <v/>
      </c>
      <c r="AP312" s="1106" t="str">
        <f>IFERROR(AO312*(1+'7a.20YrDetails'!$F$9),"")</f>
        <v/>
      </c>
      <c r="AQ312" s="1106" t="str">
        <f>IFERROR(AP312*(1+'7a.20YrDetails'!$F$9),"")</f>
        <v/>
      </c>
      <c r="AR312" s="674"/>
      <c r="AS312" s="672"/>
      <c r="AT312" s="1732" t="str">
        <f>IF($AF312=0,0,IFERROR(($AF312+L312)/(HLOOKUP($D312,RentsUA!$B$61:$H$62,2,FALSE)),""))</f>
        <v/>
      </c>
      <c r="AU312" s="1733" t="str">
        <f>IFERROR(G312/HLOOKUP(H312,RentsUA!$B$40:$I$41,2),"")</f>
        <v/>
      </c>
      <c r="BR312" s="404" t="str">
        <f t="shared" si="75"/>
        <v/>
      </c>
      <c r="BT312" s="404" t="str">
        <f t="shared" si="70"/>
        <v/>
      </c>
    </row>
    <row r="313" spans="1:72" s="404" customFormat="1" ht="13.2">
      <c r="A313" s="406">
        <f t="shared" si="76"/>
        <v>301</v>
      </c>
      <c r="B313" s="472"/>
      <c r="C313" s="470"/>
      <c r="D313" s="407"/>
      <c r="E313" s="407"/>
      <c r="F313" s="408"/>
      <c r="G313" s="409"/>
      <c r="H313" s="407"/>
      <c r="I313" s="1029" t="str">
        <f>IFERROR(G313/HLOOKUP(H313,RentsUA!$B$8:$J$9,2),"")</f>
        <v/>
      </c>
      <c r="J313" s="407"/>
      <c r="K313" s="412"/>
      <c r="L313" s="672">
        <f t="shared" si="65"/>
        <v>0</v>
      </c>
      <c r="M313" s="671"/>
      <c r="N313" s="410">
        <f t="shared" si="66"/>
        <v>0</v>
      </c>
      <c r="O313" s="469" t="str">
        <f>IF($M313=0,"",IFERROR(($L313+$M313)/(HLOOKUP($D313,RentsUA!$K$12:$Q$35,19,FALSE)),""))</f>
        <v/>
      </c>
      <c r="P313" s="469" t="str">
        <f>IF($M313=0,"",IFERROR(($M313+K313+L313)/(HLOOKUP($D313,RentsUA!$K$12:$Q$35,19,FALSE)),""))</f>
        <v/>
      </c>
      <c r="Q313" s="411"/>
      <c r="R313" s="673" t="str">
        <f>IF($Q313=0,"",VLOOKUP($Q313,RentsUA!$A$12:$H$35,MATCH($D313,RentsUA!$A$12:$H$12,0),FALSE))</f>
        <v/>
      </c>
      <c r="S313" s="409"/>
      <c r="T313" s="674"/>
      <c r="U313" s="672"/>
      <c r="V313" s="673" t="str">
        <f t="shared" si="71"/>
        <v/>
      </c>
      <c r="W313" s="470"/>
      <c r="X313" s="411"/>
      <c r="Y313" s="410" t="str">
        <f>IF(X313=0,"",VLOOKUP($X313,RentsUA!$A$12:$H$35,MATCH($D313,RentsUA!$A$12:$H$12,0),FALSE))</f>
        <v/>
      </c>
      <c r="Z313" s="410" t="str">
        <f t="shared" si="67"/>
        <v/>
      </c>
      <c r="AA313" s="1297" t="str">
        <f>IF(H313="","",IF(G313/HLOOKUP($H313,RentsUA!$M$8:$T$9,2,FALSE)&gt;1,"&gt; 80%","&lt;= 80%"))</f>
        <v/>
      </c>
      <c r="AB313" s="1106"/>
      <c r="AC313" s="1106"/>
      <c r="AD313" s="622"/>
      <c r="AE313" s="412"/>
      <c r="AF313" s="807" t="str">
        <f>IF(AD313="","",IF(AD313=Lists!$U$3,M313,IF(AD313=Lists!$U$4,V313,IF(AD313=Lists!$U$5,Y313-L313,AE313))))</f>
        <v/>
      </c>
      <c r="AG313" s="410" t="str">
        <f t="shared" si="68"/>
        <v/>
      </c>
      <c r="AH313" s="469" t="str">
        <f t="shared" si="69"/>
        <v/>
      </c>
      <c r="AI313" s="469" t="str">
        <f>IF($AF313=0,0,IFERROR(($L313+$AF313)/(HLOOKUP($D313,RentsUA!$K$12:$Q$35,19,FALSE)),""))</f>
        <v/>
      </c>
      <c r="AJ313" s="469" t="str">
        <f>IF($AF313=0,0,IFERROR(($AF313+K313+L313)/(HLOOKUP($D313,RentsUA!$K$12:$Q$35,19,FALSE)),""))</f>
        <v/>
      </c>
      <c r="AK313" s="469" t="str">
        <f t="shared" si="72"/>
        <v/>
      </c>
      <c r="AL313" s="469" t="str">
        <f t="shared" si="73"/>
        <v/>
      </c>
      <c r="AM313" s="1106" t="str">
        <f t="shared" si="74"/>
        <v/>
      </c>
      <c r="AN313" s="1106" t="str">
        <f>IFERROR(AM313*(1+'7a.20YrDetails'!$F$9),"")</f>
        <v/>
      </c>
      <c r="AO313" s="1106" t="str">
        <f>IFERROR(AN313*(1+'7a.20YrDetails'!$F$9),"")</f>
        <v/>
      </c>
      <c r="AP313" s="1106" t="str">
        <f>IFERROR(AO313*(1+'7a.20YrDetails'!$F$9),"")</f>
        <v/>
      </c>
      <c r="AQ313" s="1106" t="str">
        <f>IFERROR(AP313*(1+'7a.20YrDetails'!$F$9),"")</f>
        <v/>
      </c>
      <c r="AR313" s="674"/>
      <c r="AS313" s="672"/>
      <c r="AT313" s="1732" t="str">
        <f>IF($AF313=0,0,IFERROR(($AF313+L313)/(HLOOKUP($D313,RentsUA!$B$61:$H$62,2,FALSE)),""))</f>
        <v/>
      </c>
      <c r="AU313" s="1733" t="str">
        <f>IFERROR(G313/HLOOKUP(H313,RentsUA!$B$40:$I$41,2),"")</f>
        <v/>
      </c>
      <c r="BR313" s="404" t="str">
        <f t="shared" si="75"/>
        <v/>
      </c>
      <c r="BT313" s="404" t="str">
        <f t="shared" si="70"/>
        <v/>
      </c>
    </row>
    <row r="314" spans="1:72" s="404" customFormat="1" ht="13.2">
      <c r="A314" s="406">
        <f t="shared" si="76"/>
        <v>302</v>
      </c>
      <c r="B314" s="472"/>
      <c r="C314" s="470"/>
      <c r="D314" s="407"/>
      <c r="E314" s="407"/>
      <c r="F314" s="408"/>
      <c r="G314" s="409"/>
      <c r="H314" s="407"/>
      <c r="I314" s="1029" t="str">
        <f>IFERROR(G314/HLOOKUP(H314,RentsUA!$B$8:$J$9,2),"")</f>
        <v/>
      </c>
      <c r="J314" s="407"/>
      <c r="K314" s="412"/>
      <c r="L314" s="672">
        <f t="shared" si="65"/>
        <v>0</v>
      </c>
      <c r="M314" s="671"/>
      <c r="N314" s="410">
        <f t="shared" si="66"/>
        <v>0</v>
      </c>
      <c r="O314" s="469" t="str">
        <f>IF($M314=0,"",IFERROR(($L314+$M314)/(HLOOKUP($D314,RentsUA!$K$12:$Q$35,19,FALSE)),""))</f>
        <v/>
      </c>
      <c r="P314" s="469" t="str">
        <f>IF($M314=0,"",IFERROR(($M314+K314+L314)/(HLOOKUP($D314,RentsUA!$K$12:$Q$35,19,FALSE)),""))</f>
        <v/>
      </c>
      <c r="Q314" s="411"/>
      <c r="R314" s="673" t="str">
        <f>IF($Q314=0,"",VLOOKUP($Q314,RentsUA!$A$12:$H$35,MATCH($D314,RentsUA!$A$12:$H$12,0),FALSE))</f>
        <v/>
      </c>
      <c r="S314" s="409"/>
      <c r="T314" s="674"/>
      <c r="U314" s="672"/>
      <c r="V314" s="673" t="str">
        <f t="shared" si="71"/>
        <v/>
      </c>
      <c r="W314" s="470"/>
      <c r="X314" s="411"/>
      <c r="Y314" s="410" t="str">
        <f>IF(X314=0,"",VLOOKUP($X314,RentsUA!$A$12:$H$35,MATCH($D314,RentsUA!$A$12:$H$12,0),FALSE))</f>
        <v/>
      </c>
      <c r="Z314" s="410" t="str">
        <f t="shared" si="67"/>
        <v/>
      </c>
      <c r="AA314" s="1297" t="str">
        <f>IF(H314="","",IF(G314/HLOOKUP($H314,RentsUA!$M$8:$T$9,2,FALSE)&gt;1,"&gt; 80%","&lt;= 80%"))</f>
        <v/>
      </c>
      <c r="AB314" s="1106"/>
      <c r="AC314" s="1106"/>
      <c r="AD314" s="622"/>
      <c r="AE314" s="412"/>
      <c r="AF314" s="807" t="str">
        <f>IF(AD314="","",IF(AD314=Lists!$U$3,M314,IF(AD314=Lists!$U$4,V314,IF(AD314=Lists!$U$5,Y314-L314,AE314))))</f>
        <v/>
      </c>
      <c r="AG314" s="410" t="str">
        <f t="shared" si="68"/>
        <v/>
      </c>
      <c r="AH314" s="469" t="str">
        <f t="shared" si="69"/>
        <v/>
      </c>
      <c r="AI314" s="469" t="str">
        <f>IF($AF314=0,0,IFERROR(($L314+$AF314)/(HLOOKUP($D314,RentsUA!$K$12:$Q$35,19,FALSE)),""))</f>
        <v/>
      </c>
      <c r="AJ314" s="469" t="str">
        <f>IF($AF314=0,0,IFERROR(($AF314+K314+L314)/(HLOOKUP($D314,RentsUA!$K$12:$Q$35,19,FALSE)),""))</f>
        <v/>
      </c>
      <c r="AK314" s="469" t="str">
        <f t="shared" si="72"/>
        <v/>
      </c>
      <c r="AL314" s="469" t="str">
        <f t="shared" si="73"/>
        <v/>
      </c>
      <c r="AM314" s="1106" t="str">
        <f t="shared" si="74"/>
        <v/>
      </c>
      <c r="AN314" s="1106" t="str">
        <f>IFERROR(AM314*(1+'7a.20YrDetails'!$F$9),"")</f>
        <v/>
      </c>
      <c r="AO314" s="1106" t="str">
        <f>IFERROR(AN314*(1+'7a.20YrDetails'!$F$9),"")</f>
        <v/>
      </c>
      <c r="AP314" s="1106" t="str">
        <f>IFERROR(AO314*(1+'7a.20YrDetails'!$F$9),"")</f>
        <v/>
      </c>
      <c r="AQ314" s="1106" t="str">
        <f>IFERROR(AP314*(1+'7a.20YrDetails'!$F$9),"")</f>
        <v/>
      </c>
      <c r="AR314" s="674"/>
      <c r="AS314" s="672"/>
      <c r="AT314" s="1732" t="str">
        <f>IF($AF314=0,0,IFERROR(($AF314+L314)/(HLOOKUP($D314,RentsUA!$B$61:$H$62,2,FALSE)),""))</f>
        <v/>
      </c>
      <c r="AU314" s="1733" t="str">
        <f>IFERROR(G314/HLOOKUP(H314,RentsUA!$B$40:$I$41,2),"")</f>
        <v/>
      </c>
      <c r="BR314" s="404" t="str">
        <f t="shared" si="75"/>
        <v/>
      </c>
      <c r="BT314" s="404" t="str">
        <f t="shared" si="70"/>
        <v/>
      </c>
    </row>
    <row r="315" spans="1:72" s="404" customFormat="1" ht="13.2">
      <c r="A315" s="406">
        <f t="shared" si="76"/>
        <v>303</v>
      </c>
      <c r="B315" s="472"/>
      <c r="C315" s="470"/>
      <c r="D315" s="407"/>
      <c r="E315" s="407"/>
      <c r="F315" s="408"/>
      <c r="G315" s="409"/>
      <c r="H315" s="407"/>
      <c r="I315" s="1029" t="str">
        <f>IFERROR(G315/HLOOKUP(H315,RentsUA!$B$8:$J$9,2),"")</f>
        <v/>
      </c>
      <c r="J315" s="407"/>
      <c r="K315" s="412"/>
      <c r="L315" s="672">
        <f t="shared" si="65"/>
        <v>0</v>
      </c>
      <c r="M315" s="671"/>
      <c r="N315" s="410">
        <f t="shared" si="66"/>
        <v>0</v>
      </c>
      <c r="O315" s="469" t="str">
        <f>IF($M315=0,"",IFERROR(($L315+$M315)/(HLOOKUP($D315,RentsUA!$K$12:$Q$35,19,FALSE)),""))</f>
        <v/>
      </c>
      <c r="P315" s="469" t="str">
        <f>IF($M315=0,"",IFERROR(($M315+K315+L315)/(HLOOKUP($D315,RentsUA!$K$12:$Q$35,19,FALSE)),""))</f>
        <v/>
      </c>
      <c r="Q315" s="411"/>
      <c r="R315" s="673" t="str">
        <f>IF($Q315=0,"",VLOOKUP($Q315,RentsUA!$A$12:$H$35,MATCH($D315,RentsUA!$A$12:$H$12,0),FALSE))</f>
        <v/>
      </c>
      <c r="S315" s="409"/>
      <c r="T315" s="674"/>
      <c r="U315" s="672"/>
      <c r="V315" s="673" t="str">
        <f t="shared" si="71"/>
        <v/>
      </c>
      <c r="W315" s="470"/>
      <c r="X315" s="411"/>
      <c r="Y315" s="410" t="str">
        <f>IF(X315=0,"",VLOOKUP($X315,RentsUA!$A$12:$H$35,MATCH($D315,RentsUA!$A$12:$H$12,0),FALSE))</f>
        <v/>
      </c>
      <c r="Z315" s="410" t="str">
        <f t="shared" si="67"/>
        <v/>
      </c>
      <c r="AA315" s="1297" t="str">
        <f>IF(H315="","",IF(G315/HLOOKUP($H315,RentsUA!$M$8:$T$9,2,FALSE)&gt;1,"&gt; 80%","&lt;= 80%"))</f>
        <v/>
      </c>
      <c r="AB315" s="1106"/>
      <c r="AC315" s="1106"/>
      <c r="AD315" s="622"/>
      <c r="AE315" s="412"/>
      <c r="AF315" s="807" t="str">
        <f>IF(AD315="","",IF(AD315=Lists!$U$3,M315,IF(AD315=Lists!$U$4,V315,IF(AD315=Lists!$U$5,Y315-L315,AE315))))</f>
        <v/>
      </c>
      <c r="AG315" s="410" t="str">
        <f t="shared" si="68"/>
        <v/>
      </c>
      <c r="AH315" s="469" t="str">
        <f t="shared" si="69"/>
        <v/>
      </c>
      <c r="AI315" s="469" t="str">
        <f>IF($AF315=0,0,IFERROR(($L315+$AF315)/(HLOOKUP($D315,RentsUA!$K$12:$Q$35,19,FALSE)),""))</f>
        <v/>
      </c>
      <c r="AJ315" s="469" t="str">
        <f>IF($AF315=0,0,IFERROR(($AF315+K315+L315)/(HLOOKUP($D315,RentsUA!$K$12:$Q$35,19,FALSE)),""))</f>
        <v/>
      </c>
      <c r="AK315" s="469" t="str">
        <f t="shared" si="72"/>
        <v/>
      </c>
      <c r="AL315" s="469" t="str">
        <f t="shared" si="73"/>
        <v/>
      </c>
      <c r="AM315" s="1106" t="str">
        <f t="shared" si="74"/>
        <v/>
      </c>
      <c r="AN315" s="1106" t="str">
        <f>IFERROR(AM315*(1+'7a.20YrDetails'!$F$9),"")</f>
        <v/>
      </c>
      <c r="AO315" s="1106" t="str">
        <f>IFERROR(AN315*(1+'7a.20YrDetails'!$F$9),"")</f>
        <v/>
      </c>
      <c r="AP315" s="1106" t="str">
        <f>IFERROR(AO315*(1+'7a.20YrDetails'!$F$9),"")</f>
        <v/>
      </c>
      <c r="AQ315" s="1106" t="str">
        <f>IFERROR(AP315*(1+'7a.20YrDetails'!$F$9),"")</f>
        <v/>
      </c>
      <c r="AR315" s="674"/>
      <c r="AS315" s="672"/>
      <c r="AT315" s="1732" t="str">
        <f>IF($AF315=0,0,IFERROR(($AF315+L315)/(HLOOKUP($D315,RentsUA!$B$61:$H$62,2,FALSE)),""))</f>
        <v/>
      </c>
      <c r="AU315" s="1733" t="str">
        <f>IFERROR(G315/HLOOKUP(H315,RentsUA!$B$40:$I$41,2),"")</f>
        <v/>
      </c>
      <c r="BR315" s="404" t="str">
        <f t="shared" si="75"/>
        <v/>
      </c>
      <c r="BT315" s="404" t="str">
        <f t="shared" si="70"/>
        <v/>
      </c>
    </row>
    <row r="316" spans="1:72" s="404" customFormat="1" ht="13.2">
      <c r="A316" s="406">
        <f t="shared" si="76"/>
        <v>304</v>
      </c>
      <c r="B316" s="472"/>
      <c r="C316" s="470"/>
      <c r="D316" s="407"/>
      <c r="E316" s="407"/>
      <c r="F316" s="408"/>
      <c r="G316" s="409"/>
      <c r="H316" s="407"/>
      <c r="I316" s="1029" t="str">
        <f>IFERROR(G316/HLOOKUP(H316,RentsUA!$B$8:$J$9,2),"")</f>
        <v/>
      </c>
      <c r="J316" s="407"/>
      <c r="K316" s="412"/>
      <c r="L316" s="672">
        <f t="shared" si="65"/>
        <v>0</v>
      </c>
      <c r="M316" s="671"/>
      <c r="N316" s="410">
        <f t="shared" si="66"/>
        <v>0</v>
      </c>
      <c r="O316" s="469" t="str">
        <f>IF($M316=0,"",IFERROR(($L316+$M316)/(HLOOKUP($D316,RentsUA!$K$12:$Q$35,19,FALSE)),""))</f>
        <v/>
      </c>
      <c r="P316" s="469" t="str">
        <f>IF($M316=0,"",IFERROR(($M316+K316+L316)/(HLOOKUP($D316,RentsUA!$K$12:$Q$35,19,FALSE)),""))</f>
        <v/>
      </c>
      <c r="Q316" s="411"/>
      <c r="R316" s="673" t="str">
        <f>IF($Q316=0,"",VLOOKUP($Q316,RentsUA!$A$12:$H$35,MATCH($D316,RentsUA!$A$12:$H$12,0),FALSE))</f>
        <v/>
      </c>
      <c r="S316" s="409"/>
      <c r="T316" s="674"/>
      <c r="U316" s="672"/>
      <c r="V316" s="673" t="str">
        <f t="shared" si="71"/>
        <v/>
      </c>
      <c r="W316" s="470"/>
      <c r="X316" s="411"/>
      <c r="Y316" s="410" t="str">
        <f>IF(X316=0,"",VLOOKUP($X316,RentsUA!$A$12:$H$35,MATCH($D316,RentsUA!$A$12:$H$12,0),FALSE))</f>
        <v/>
      </c>
      <c r="Z316" s="410" t="str">
        <f t="shared" si="67"/>
        <v/>
      </c>
      <c r="AA316" s="1297" t="str">
        <f>IF(H316="","",IF(G316/HLOOKUP($H316,RentsUA!$M$8:$T$9,2,FALSE)&gt;1,"&gt; 80%","&lt;= 80%"))</f>
        <v/>
      </c>
      <c r="AB316" s="1106"/>
      <c r="AC316" s="1106"/>
      <c r="AD316" s="622"/>
      <c r="AE316" s="412"/>
      <c r="AF316" s="807" t="str">
        <f>IF(AD316="","",IF(AD316=Lists!$U$3,M316,IF(AD316=Lists!$U$4,V316,IF(AD316=Lists!$U$5,Y316-L316,AE316))))</f>
        <v/>
      </c>
      <c r="AG316" s="410" t="str">
        <f t="shared" si="68"/>
        <v/>
      </c>
      <c r="AH316" s="469" t="str">
        <f t="shared" si="69"/>
        <v/>
      </c>
      <c r="AI316" s="469" t="str">
        <f>IF($AF316=0,0,IFERROR(($L316+$AF316)/(HLOOKUP($D316,RentsUA!$K$12:$Q$35,19,FALSE)),""))</f>
        <v/>
      </c>
      <c r="AJ316" s="469" t="str">
        <f>IF($AF316=0,0,IFERROR(($AF316+K316+L316)/(HLOOKUP($D316,RentsUA!$K$12:$Q$35,19,FALSE)),""))</f>
        <v/>
      </c>
      <c r="AK316" s="469" t="str">
        <f t="shared" si="72"/>
        <v/>
      </c>
      <c r="AL316" s="469" t="str">
        <f t="shared" si="73"/>
        <v/>
      </c>
      <c r="AM316" s="1106" t="str">
        <f t="shared" si="74"/>
        <v/>
      </c>
      <c r="AN316" s="1106" t="str">
        <f>IFERROR(AM316*(1+'7a.20YrDetails'!$F$9),"")</f>
        <v/>
      </c>
      <c r="AO316" s="1106" t="str">
        <f>IFERROR(AN316*(1+'7a.20YrDetails'!$F$9),"")</f>
        <v/>
      </c>
      <c r="AP316" s="1106" t="str">
        <f>IFERROR(AO316*(1+'7a.20YrDetails'!$F$9),"")</f>
        <v/>
      </c>
      <c r="AQ316" s="1106" t="str">
        <f>IFERROR(AP316*(1+'7a.20YrDetails'!$F$9),"")</f>
        <v/>
      </c>
      <c r="AR316" s="674"/>
      <c r="AS316" s="672"/>
      <c r="AT316" s="1732" t="str">
        <f>IF($AF316=0,0,IFERROR(($AF316+L316)/(HLOOKUP($D316,RentsUA!$B$61:$H$62,2,FALSE)),""))</f>
        <v/>
      </c>
      <c r="AU316" s="1733" t="str">
        <f>IFERROR(G316/HLOOKUP(H316,RentsUA!$B$40:$I$41,2),"")</f>
        <v/>
      </c>
      <c r="BR316" s="404" t="str">
        <f t="shared" si="75"/>
        <v/>
      </c>
      <c r="BT316" s="404" t="str">
        <f t="shared" si="70"/>
        <v/>
      </c>
    </row>
    <row r="317" spans="1:72" s="404" customFormat="1" ht="13.2">
      <c r="A317" s="406">
        <f t="shared" si="76"/>
        <v>305</v>
      </c>
      <c r="B317" s="472"/>
      <c r="C317" s="470"/>
      <c r="D317" s="407"/>
      <c r="E317" s="407"/>
      <c r="F317" s="408"/>
      <c r="G317" s="409"/>
      <c r="H317" s="407"/>
      <c r="I317" s="1029" t="str">
        <f>IFERROR(G317/HLOOKUP(H317,RentsUA!$B$8:$J$9,2),"")</f>
        <v/>
      </c>
      <c r="J317" s="407"/>
      <c r="K317" s="412"/>
      <c r="L317" s="672">
        <f t="shared" si="65"/>
        <v>0</v>
      </c>
      <c r="M317" s="671"/>
      <c r="N317" s="410">
        <f t="shared" si="66"/>
        <v>0</v>
      </c>
      <c r="O317" s="469" t="str">
        <f>IF($M317=0,"",IFERROR(($L317+$M317)/(HLOOKUP($D317,RentsUA!$K$12:$Q$35,19,FALSE)),""))</f>
        <v/>
      </c>
      <c r="P317" s="469" t="str">
        <f>IF($M317=0,"",IFERROR(($M317+K317+L317)/(HLOOKUP($D317,RentsUA!$K$12:$Q$35,19,FALSE)),""))</f>
        <v/>
      </c>
      <c r="Q317" s="411"/>
      <c r="R317" s="673" t="str">
        <f>IF($Q317=0,"",VLOOKUP($Q317,RentsUA!$A$12:$H$35,MATCH($D317,RentsUA!$A$12:$H$12,0),FALSE))</f>
        <v/>
      </c>
      <c r="S317" s="409"/>
      <c r="T317" s="674"/>
      <c r="U317" s="672"/>
      <c r="V317" s="673" t="str">
        <f t="shared" si="71"/>
        <v/>
      </c>
      <c r="W317" s="470"/>
      <c r="X317" s="411"/>
      <c r="Y317" s="410" t="str">
        <f>IF(X317=0,"",VLOOKUP($X317,RentsUA!$A$12:$H$35,MATCH($D317,RentsUA!$A$12:$H$12,0),FALSE))</f>
        <v/>
      </c>
      <c r="Z317" s="410" t="str">
        <f t="shared" si="67"/>
        <v/>
      </c>
      <c r="AA317" s="1297" t="str">
        <f>IF(H317="","",IF(G317/HLOOKUP($H317,RentsUA!$M$8:$T$9,2,FALSE)&gt;1,"&gt; 80%","&lt;= 80%"))</f>
        <v/>
      </c>
      <c r="AB317" s="1106"/>
      <c r="AC317" s="1106"/>
      <c r="AD317" s="622"/>
      <c r="AE317" s="412"/>
      <c r="AF317" s="807" t="str">
        <f>IF(AD317="","",IF(AD317=Lists!$U$3,M317,IF(AD317=Lists!$U$4,V317,IF(AD317=Lists!$U$5,Y317-L317,AE317))))</f>
        <v/>
      </c>
      <c r="AG317" s="410" t="str">
        <f t="shared" si="68"/>
        <v/>
      </c>
      <c r="AH317" s="469" t="str">
        <f t="shared" si="69"/>
        <v/>
      </c>
      <c r="AI317" s="469" t="str">
        <f>IF($AF317=0,0,IFERROR(($L317+$AF317)/(HLOOKUP($D317,RentsUA!$K$12:$Q$35,19,FALSE)),""))</f>
        <v/>
      </c>
      <c r="AJ317" s="469" t="str">
        <f>IF($AF317=0,0,IFERROR(($AF317+K317+L317)/(HLOOKUP($D317,RentsUA!$K$12:$Q$35,19,FALSE)),""))</f>
        <v/>
      </c>
      <c r="AK317" s="469" t="str">
        <f t="shared" si="72"/>
        <v/>
      </c>
      <c r="AL317" s="469" t="str">
        <f t="shared" si="73"/>
        <v/>
      </c>
      <c r="AM317" s="1106" t="str">
        <f t="shared" si="74"/>
        <v/>
      </c>
      <c r="AN317" s="1106" t="str">
        <f>IFERROR(AM317*(1+'7a.20YrDetails'!$F$9),"")</f>
        <v/>
      </c>
      <c r="AO317" s="1106" t="str">
        <f>IFERROR(AN317*(1+'7a.20YrDetails'!$F$9),"")</f>
        <v/>
      </c>
      <c r="AP317" s="1106" t="str">
        <f>IFERROR(AO317*(1+'7a.20YrDetails'!$F$9),"")</f>
        <v/>
      </c>
      <c r="AQ317" s="1106" t="str">
        <f>IFERROR(AP317*(1+'7a.20YrDetails'!$F$9),"")</f>
        <v/>
      </c>
      <c r="AR317" s="674"/>
      <c r="AS317" s="672"/>
      <c r="AT317" s="1732" t="str">
        <f>IF($AF317=0,0,IFERROR(($AF317+L317)/(HLOOKUP($D317,RentsUA!$B$61:$H$62,2,FALSE)),""))</f>
        <v/>
      </c>
      <c r="AU317" s="1733" t="str">
        <f>IFERROR(G317/HLOOKUP(H317,RentsUA!$B$40:$I$41,2),"")</f>
        <v/>
      </c>
      <c r="BR317" s="404" t="str">
        <f t="shared" si="75"/>
        <v/>
      </c>
      <c r="BT317" s="404" t="str">
        <f t="shared" si="70"/>
        <v/>
      </c>
    </row>
    <row r="318" spans="1:72" s="404" customFormat="1" ht="13.2">
      <c r="A318" s="406">
        <f t="shared" si="76"/>
        <v>306</v>
      </c>
      <c r="B318" s="472"/>
      <c r="C318" s="470"/>
      <c r="D318" s="407"/>
      <c r="E318" s="407"/>
      <c r="F318" s="408"/>
      <c r="G318" s="409"/>
      <c r="H318" s="407"/>
      <c r="I318" s="1029" t="str">
        <f>IFERROR(G318/HLOOKUP(H318,RentsUA!$B$8:$J$9,2),"")</f>
        <v/>
      </c>
      <c r="J318" s="407"/>
      <c r="K318" s="412"/>
      <c r="L318" s="672">
        <f t="shared" si="65"/>
        <v>0</v>
      </c>
      <c r="M318" s="671"/>
      <c r="N318" s="410">
        <f t="shared" si="66"/>
        <v>0</v>
      </c>
      <c r="O318" s="469" t="str">
        <f>IF($M318=0,"",IFERROR(($L318+$M318)/(HLOOKUP($D318,RentsUA!$K$12:$Q$35,19,FALSE)),""))</f>
        <v/>
      </c>
      <c r="P318" s="469" t="str">
        <f>IF($M318=0,"",IFERROR(($M318+K318+L318)/(HLOOKUP($D318,RentsUA!$K$12:$Q$35,19,FALSE)),""))</f>
        <v/>
      </c>
      <c r="Q318" s="411"/>
      <c r="R318" s="673" t="str">
        <f>IF($Q318=0,"",VLOOKUP($Q318,RentsUA!$A$12:$H$35,MATCH($D318,RentsUA!$A$12:$H$12,0),FALSE))</f>
        <v/>
      </c>
      <c r="S318" s="409"/>
      <c r="T318" s="674"/>
      <c r="U318" s="672"/>
      <c r="V318" s="673" t="str">
        <f t="shared" si="71"/>
        <v/>
      </c>
      <c r="W318" s="470"/>
      <c r="X318" s="411"/>
      <c r="Y318" s="410" t="str">
        <f>IF(X318=0,"",VLOOKUP($X318,RentsUA!$A$12:$H$35,MATCH($D318,RentsUA!$A$12:$H$12,0),FALSE))</f>
        <v/>
      </c>
      <c r="Z318" s="410" t="str">
        <f t="shared" si="67"/>
        <v/>
      </c>
      <c r="AA318" s="1297" t="str">
        <f>IF(H318="","",IF(G318/HLOOKUP($H318,RentsUA!$M$8:$T$9,2,FALSE)&gt;1,"&gt; 80%","&lt;= 80%"))</f>
        <v/>
      </c>
      <c r="AB318" s="1106"/>
      <c r="AC318" s="1106"/>
      <c r="AD318" s="622"/>
      <c r="AE318" s="412"/>
      <c r="AF318" s="807" t="str">
        <f>IF(AD318="","",IF(AD318=Lists!$U$3,M318,IF(AD318=Lists!$U$4,V318,IF(AD318=Lists!$U$5,Y318-L318,AE318))))</f>
        <v/>
      </c>
      <c r="AG318" s="410" t="str">
        <f t="shared" si="68"/>
        <v/>
      </c>
      <c r="AH318" s="469" t="str">
        <f t="shared" si="69"/>
        <v/>
      </c>
      <c r="AI318" s="469" t="str">
        <f>IF($AF318=0,0,IFERROR(($L318+$AF318)/(HLOOKUP($D318,RentsUA!$K$12:$Q$35,19,FALSE)),""))</f>
        <v/>
      </c>
      <c r="AJ318" s="469" t="str">
        <f>IF($AF318=0,0,IFERROR(($AF318+K318+L318)/(HLOOKUP($D318,RentsUA!$K$12:$Q$35,19,FALSE)),""))</f>
        <v/>
      </c>
      <c r="AK318" s="469" t="str">
        <f t="shared" si="72"/>
        <v/>
      </c>
      <c r="AL318" s="469" t="str">
        <f t="shared" si="73"/>
        <v/>
      </c>
      <c r="AM318" s="1106" t="str">
        <f t="shared" si="74"/>
        <v/>
      </c>
      <c r="AN318" s="1106" t="str">
        <f>IFERROR(AM318*(1+'7a.20YrDetails'!$F$9),"")</f>
        <v/>
      </c>
      <c r="AO318" s="1106" t="str">
        <f>IFERROR(AN318*(1+'7a.20YrDetails'!$F$9),"")</f>
        <v/>
      </c>
      <c r="AP318" s="1106" t="str">
        <f>IFERROR(AO318*(1+'7a.20YrDetails'!$F$9),"")</f>
        <v/>
      </c>
      <c r="AQ318" s="1106" t="str">
        <f>IFERROR(AP318*(1+'7a.20YrDetails'!$F$9),"")</f>
        <v/>
      </c>
      <c r="AR318" s="674"/>
      <c r="AS318" s="672"/>
      <c r="AT318" s="1732" t="str">
        <f>IF($AF318=0,0,IFERROR(($AF318+L318)/(HLOOKUP($D318,RentsUA!$B$61:$H$62,2,FALSE)),""))</f>
        <v/>
      </c>
      <c r="AU318" s="1733" t="str">
        <f>IFERROR(G318/HLOOKUP(H318,RentsUA!$B$40:$I$41,2),"")</f>
        <v/>
      </c>
      <c r="BR318" s="404" t="str">
        <f t="shared" si="75"/>
        <v/>
      </c>
      <c r="BT318" s="404" t="str">
        <f t="shared" si="70"/>
        <v/>
      </c>
    </row>
    <row r="319" spans="1:72" s="404" customFormat="1" ht="13.2">
      <c r="A319" s="406">
        <f t="shared" si="76"/>
        <v>307</v>
      </c>
      <c r="B319" s="472"/>
      <c r="C319" s="470"/>
      <c r="D319" s="407"/>
      <c r="E319" s="407"/>
      <c r="F319" s="408"/>
      <c r="G319" s="409"/>
      <c r="H319" s="407"/>
      <c r="I319" s="1029" t="str">
        <f>IFERROR(G319/HLOOKUP(H319,RentsUA!$B$8:$J$9,2),"")</f>
        <v/>
      </c>
      <c r="J319" s="407"/>
      <c r="K319" s="412"/>
      <c r="L319" s="672">
        <f t="shared" si="65"/>
        <v>0</v>
      </c>
      <c r="M319" s="671"/>
      <c r="N319" s="410">
        <f t="shared" si="66"/>
        <v>0</v>
      </c>
      <c r="O319" s="469" t="str">
        <f>IF($M319=0,"",IFERROR(($L319+$M319)/(HLOOKUP($D319,RentsUA!$K$12:$Q$35,19,FALSE)),""))</f>
        <v/>
      </c>
      <c r="P319" s="469" t="str">
        <f>IF($M319=0,"",IFERROR(($M319+K319+L319)/(HLOOKUP($D319,RentsUA!$K$12:$Q$35,19,FALSE)),""))</f>
        <v/>
      </c>
      <c r="Q319" s="411"/>
      <c r="R319" s="673" t="str">
        <f>IF($Q319=0,"",VLOOKUP($Q319,RentsUA!$A$12:$H$35,MATCH($D319,RentsUA!$A$12:$H$12,0),FALSE))</f>
        <v/>
      </c>
      <c r="S319" s="409"/>
      <c r="T319" s="674"/>
      <c r="U319" s="672"/>
      <c r="V319" s="673" t="str">
        <f t="shared" si="71"/>
        <v/>
      </c>
      <c r="W319" s="470"/>
      <c r="X319" s="411"/>
      <c r="Y319" s="410" t="str">
        <f>IF(X319=0,"",VLOOKUP($X319,RentsUA!$A$12:$H$35,MATCH($D319,RentsUA!$A$12:$H$12,0),FALSE))</f>
        <v/>
      </c>
      <c r="Z319" s="410" t="str">
        <f t="shared" si="67"/>
        <v/>
      </c>
      <c r="AA319" s="1297" t="str">
        <f>IF(H319="","",IF(G319/HLOOKUP($H319,RentsUA!$M$8:$T$9,2,FALSE)&gt;1,"&gt; 80%","&lt;= 80%"))</f>
        <v/>
      </c>
      <c r="AB319" s="1106"/>
      <c r="AC319" s="1106"/>
      <c r="AD319" s="622"/>
      <c r="AE319" s="412"/>
      <c r="AF319" s="807" t="str">
        <f>IF(AD319="","",IF(AD319=Lists!$U$3,M319,IF(AD319=Lists!$U$4,V319,IF(AD319=Lists!$U$5,Y319-L319,AE319))))</f>
        <v/>
      </c>
      <c r="AG319" s="410" t="str">
        <f t="shared" si="68"/>
        <v/>
      </c>
      <c r="AH319" s="469" t="str">
        <f t="shared" si="69"/>
        <v/>
      </c>
      <c r="AI319" s="469" t="str">
        <f>IF($AF319=0,0,IFERROR(($L319+$AF319)/(HLOOKUP($D319,RentsUA!$K$12:$Q$35,19,FALSE)),""))</f>
        <v/>
      </c>
      <c r="AJ319" s="469" t="str">
        <f>IF($AF319=0,0,IFERROR(($AF319+K319+L319)/(HLOOKUP($D319,RentsUA!$K$12:$Q$35,19,FALSE)),""))</f>
        <v/>
      </c>
      <c r="AK319" s="469" t="str">
        <f t="shared" si="72"/>
        <v/>
      </c>
      <c r="AL319" s="469" t="str">
        <f t="shared" si="73"/>
        <v/>
      </c>
      <c r="AM319" s="1106" t="str">
        <f t="shared" si="74"/>
        <v/>
      </c>
      <c r="AN319" s="1106" t="str">
        <f>IFERROR(AM319*(1+'7a.20YrDetails'!$F$9),"")</f>
        <v/>
      </c>
      <c r="AO319" s="1106" t="str">
        <f>IFERROR(AN319*(1+'7a.20YrDetails'!$F$9),"")</f>
        <v/>
      </c>
      <c r="AP319" s="1106" t="str">
        <f>IFERROR(AO319*(1+'7a.20YrDetails'!$F$9),"")</f>
        <v/>
      </c>
      <c r="AQ319" s="1106" t="str">
        <f>IFERROR(AP319*(1+'7a.20YrDetails'!$F$9),"")</f>
        <v/>
      </c>
      <c r="AR319" s="674"/>
      <c r="AS319" s="672"/>
      <c r="AT319" s="1732" t="str">
        <f>IF($AF319=0,0,IFERROR(($AF319+L319)/(HLOOKUP($D319,RentsUA!$B$61:$H$62,2,FALSE)),""))</f>
        <v/>
      </c>
      <c r="AU319" s="1733" t="str">
        <f>IFERROR(G319/HLOOKUP(H319,RentsUA!$B$40:$I$41,2),"")</f>
        <v/>
      </c>
      <c r="BR319" s="404" t="str">
        <f t="shared" si="75"/>
        <v/>
      </c>
      <c r="BT319" s="404" t="str">
        <f t="shared" si="70"/>
        <v/>
      </c>
    </row>
    <row r="320" spans="1:72" s="404" customFormat="1" ht="13.2">
      <c r="A320" s="406">
        <f t="shared" si="76"/>
        <v>308</v>
      </c>
      <c r="B320" s="472"/>
      <c r="C320" s="470"/>
      <c r="D320" s="407"/>
      <c r="E320" s="407"/>
      <c r="F320" s="408"/>
      <c r="G320" s="409"/>
      <c r="H320" s="407"/>
      <c r="I320" s="1029" t="str">
        <f>IFERROR(G320/HLOOKUP(H320,RentsUA!$B$8:$J$9,2),"")</f>
        <v/>
      </c>
      <c r="J320" s="407"/>
      <c r="K320" s="412"/>
      <c r="L320" s="672">
        <f t="shared" si="65"/>
        <v>0</v>
      </c>
      <c r="M320" s="671"/>
      <c r="N320" s="410">
        <f t="shared" si="66"/>
        <v>0</v>
      </c>
      <c r="O320" s="469" t="str">
        <f>IF($M320=0,"",IFERROR(($L320+$M320)/(HLOOKUP($D320,RentsUA!$K$12:$Q$35,19,FALSE)),""))</f>
        <v/>
      </c>
      <c r="P320" s="469" t="str">
        <f>IF($M320=0,"",IFERROR(($M320+K320+L320)/(HLOOKUP($D320,RentsUA!$K$12:$Q$35,19,FALSE)),""))</f>
        <v/>
      </c>
      <c r="Q320" s="411"/>
      <c r="R320" s="673" t="str">
        <f>IF($Q320=0,"",VLOOKUP($Q320,RentsUA!$A$12:$H$35,MATCH($D320,RentsUA!$A$12:$H$12,0),FALSE))</f>
        <v/>
      </c>
      <c r="S320" s="409"/>
      <c r="T320" s="674"/>
      <c r="U320" s="672"/>
      <c r="V320" s="673" t="str">
        <f t="shared" si="71"/>
        <v/>
      </c>
      <c r="W320" s="470"/>
      <c r="X320" s="411"/>
      <c r="Y320" s="410" t="str">
        <f>IF(X320=0,"",VLOOKUP($X320,RentsUA!$A$12:$H$35,MATCH($D320,RentsUA!$A$12:$H$12,0),FALSE))</f>
        <v/>
      </c>
      <c r="Z320" s="410" t="str">
        <f t="shared" si="67"/>
        <v/>
      </c>
      <c r="AA320" s="1297" t="str">
        <f>IF(H320="","",IF(G320/HLOOKUP($H320,RentsUA!$M$8:$T$9,2,FALSE)&gt;1,"&gt; 80%","&lt;= 80%"))</f>
        <v/>
      </c>
      <c r="AB320" s="1106"/>
      <c r="AC320" s="1106"/>
      <c r="AD320" s="622"/>
      <c r="AE320" s="412"/>
      <c r="AF320" s="807" t="str">
        <f>IF(AD320="","",IF(AD320=Lists!$U$3,M320,IF(AD320=Lists!$U$4,V320,IF(AD320=Lists!$U$5,Y320-L320,AE320))))</f>
        <v/>
      </c>
      <c r="AG320" s="410" t="str">
        <f t="shared" si="68"/>
        <v/>
      </c>
      <c r="AH320" s="469" t="str">
        <f t="shared" si="69"/>
        <v/>
      </c>
      <c r="AI320" s="469" t="str">
        <f>IF($AF320=0,0,IFERROR(($L320+$AF320)/(HLOOKUP($D320,RentsUA!$K$12:$Q$35,19,FALSE)),""))</f>
        <v/>
      </c>
      <c r="AJ320" s="469" t="str">
        <f>IF($AF320=0,0,IFERROR(($AF320+K320+L320)/(HLOOKUP($D320,RentsUA!$K$12:$Q$35,19,FALSE)),""))</f>
        <v/>
      </c>
      <c r="AK320" s="469" t="str">
        <f t="shared" si="72"/>
        <v/>
      </c>
      <c r="AL320" s="469" t="str">
        <f t="shared" si="73"/>
        <v/>
      </c>
      <c r="AM320" s="1106" t="str">
        <f t="shared" si="74"/>
        <v/>
      </c>
      <c r="AN320" s="1106" t="str">
        <f>IFERROR(AM320*(1+'7a.20YrDetails'!$F$9),"")</f>
        <v/>
      </c>
      <c r="AO320" s="1106" t="str">
        <f>IFERROR(AN320*(1+'7a.20YrDetails'!$F$9),"")</f>
        <v/>
      </c>
      <c r="AP320" s="1106" t="str">
        <f>IFERROR(AO320*(1+'7a.20YrDetails'!$F$9),"")</f>
        <v/>
      </c>
      <c r="AQ320" s="1106" t="str">
        <f>IFERROR(AP320*(1+'7a.20YrDetails'!$F$9),"")</f>
        <v/>
      </c>
      <c r="AR320" s="674"/>
      <c r="AS320" s="672"/>
      <c r="AT320" s="1732" t="str">
        <f>IF($AF320=0,0,IFERROR(($AF320+L320)/(HLOOKUP($D320,RentsUA!$B$61:$H$62,2,FALSE)),""))</f>
        <v/>
      </c>
      <c r="AU320" s="1733" t="str">
        <f>IFERROR(G320/HLOOKUP(H320,RentsUA!$B$40:$I$41,2),"")</f>
        <v/>
      </c>
      <c r="BR320" s="404" t="str">
        <f t="shared" si="75"/>
        <v/>
      </c>
      <c r="BT320" s="404" t="str">
        <f t="shared" si="70"/>
        <v/>
      </c>
    </row>
    <row r="321" spans="1:72" s="404" customFormat="1" ht="13.2">
      <c r="A321" s="406">
        <f t="shared" si="76"/>
        <v>309</v>
      </c>
      <c r="B321" s="472"/>
      <c r="C321" s="470"/>
      <c r="D321" s="407"/>
      <c r="E321" s="407"/>
      <c r="F321" s="408"/>
      <c r="G321" s="409"/>
      <c r="H321" s="407"/>
      <c r="I321" s="1029" t="str">
        <f>IFERROR(G321/HLOOKUP(H321,RentsUA!$B$8:$J$9,2),"")</f>
        <v/>
      </c>
      <c r="J321" s="407"/>
      <c r="K321" s="412"/>
      <c r="L321" s="672">
        <f t="shared" si="65"/>
        <v>0</v>
      </c>
      <c r="M321" s="671"/>
      <c r="N321" s="410">
        <f t="shared" si="66"/>
        <v>0</v>
      </c>
      <c r="O321" s="469" t="str">
        <f>IF($M321=0,"",IFERROR(($L321+$M321)/(HLOOKUP($D321,RentsUA!$K$12:$Q$35,19,FALSE)),""))</f>
        <v/>
      </c>
      <c r="P321" s="469" t="str">
        <f>IF($M321=0,"",IFERROR(($M321+K321+L321)/(HLOOKUP($D321,RentsUA!$K$12:$Q$35,19,FALSE)),""))</f>
        <v/>
      </c>
      <c r="Q321" s="411"/>
      <c r="R321" s="673" t="str">
        <f>IF($Q321=0,"",VLOOKUP($Q321,RentsUA!$A$12:$H$35,MATCH($D321,RentsUA!$A$12:$H$12,0),FALSE))</f>
        <v/>
      </c>
      <c r="S321" s="409"/>
      <c r="T321" s="674"/>
      <c r="U321" s="672"/>
      <c r="V321" s="673" t="str">
        <f t="shared" si="71"/>
        <v/>
      </c>
      <c r="W321" s="470"/>
      <c r="X321" s="411"/>
      <c r="Y321" s="410" t="str">
        <f>IF(X321=0,"",VLOOKUP($X321,RentsUA!$A$12:$H$35,MATCH($D321,RentsUA!$A$12:$H$12,0),FALSE))</f>
        <v/>
      </c>
      <c r="Z321" s="410" t="str">
        <f t="shared" si="67"/>
        <v/>
      </c>
      <c r="AA321" s="1297" t="str">
        <f>IF(H321="","",IF(G321/HLOOKUP($H321,RentsUA!$M$8:$T$9,2,FALSE)&gt;1,"&gt; 80%","&lt;= 80%"))</f>
        <v/>
      </c>
      <c r="AB321" s="1106"/>
      <c r="AC321" s="1106"/>
      <c r="AD321" s="622"/>
      <c r="AE321" s="412"/>
      <c r="AF321" s="807" t="str">
        <f>IF(AD321="","",IF(AD321=Lists!$U$3,M321,IF(AD321=Lists!$U$4,V321,IF(AD321=Lists!$U$5,Y321-L321,AE321))))</f>
        <v/>
      </c>
      <c r="AG321" s="410" t="str">
        <f t="shared" si="68"/>
        <v/>
      </c>
      <c r="AH321" s="469" t="str">
        <f t="shared" si="69"/>
        <v/>
      </c>
      <c r="AI321" s="469" t="str">
        <f>IF($AF321=0,0,IFERROR(($L321+$AF321)/(HLOOKUP($D321,RentsUA!$K$12:$Q$35,19,FALSE)),""))</f>
        <v/>
      </c>
      <c r="AJ321" s="469" t="str">
        <f>IF($AF321=0,0,IFERROR(($AF321+K321+L321)/(HLOOKUP($D321,RentsUA!$K$12:$Q$35,19,FALSE)),""))</f>
        <v/>
      </c>
      <c r="AK321" s="469" t="str">
        <f t="shared" si="72"/>
        <v/>
      </c>
      <c r="AL321" s="469" t="str">
        <f t="shared" si="73"/>
        <v/>
      </c>
      <c r="AM321" s="1106" t="str">
        <f t="shared" si="74"/>
        <v/>
      </c>
      <c r="AN321" s="1106" t="str">
        <f>IFERROR(AM321*(1+'7a.20YrDetails'!$F$9),"")</f>
        <v/>
      </c>
      <c r="AO321" s="1106" t="str">
        <f>IFERROR(AN321*(1+'7a.20YrDetails'!$F$9),"")</f>
        <v/>
      </c>
      <c r="AP321" s="1106" t="str">
        <f>IFERROR(AO321*(1+'7a.20YrDetails'!$F$9),"")</f>
        <v/>
      </c>
      <c r="AQ321" s="1106" t="str">
        <f>IFERROR(AP321*(1+'7a.20YrDetails'!$F$9),"")</f>
        <v/>
      </c>
      <c r="AR321" s="674"/>
      <c r="AS321" s="672"/>
      <c r="AT321" s="1732" t="str">
        <f>IF($AF321=0,0,IFERROR(($AF321+L321)/(HLOOKUP($D321,RentsUA!$B$61:$H$62,2,FALSE)),""))</f>
        <v/>
      </c>
      <c r="AU321" s="1733" t="str">
        <f>IFERROR(G321/HLOOKUP(H321,RentsUA!$B$40:$I$41,2),"")</f>
        <v/>
      </c>
      <c r="BR321" s="404" t="str">
        <f t="shared" si="75"/>
        <v/>
      </c>
      <c r="BT321" s="404" t="str">
        <f t="shared" si="70"/>
        <v/>
      </c>
    </row>
    <row r="322" spans="1:72" s="404" customFormat="1" ht="13.2">
      <c r="A322" s="406">
        <f t="shared" si="76"/>
        <v>310</v>
      </c>
      <c r="B322" s="472"/>
      <c r="C322" s="470"/>
      <c r="D322" s="407"/>
      <c r="E322" s="407"/>
      <c r="F322" s="408"/>
      <c r="G322" s="409"/>
      <c r="H322" s="407"/>
      <c r="I322" s="1029" t="str">
        <f>IFERROR(G322/HLOOKUP(H322,RentsUA!$B$8:$J$9,2),"")</f>
        <v/>
      </c>
      <c r="J322" s="407"/>
      <c r="K322" s="412"/>
      <c r="L322" s="672">
        <f t="shared" si="65"/>
        <v>0</v>
      </c>
      <c r="M322" s="671"/>
      <c r="N322" s="410">
        <f t="shared" si="66"/>
        <v>0</v>
      </c>
      <c r="O322" s="469" t="str">
        <f>IF($M322=0,"",IFERROR(($L322+$M322)/(HLOOKUP($D322,RentsUA!$K$12:$Q$35,19,FALSE)),""))</f>
        <v/>
      </c>
      <c r="P322" s="469" t="str">
        <f>IF($M322=0,"",IFERROR(($M322+K322+L322)/(HLOOKUP($D322,RentsUA!$K$12:$Q$35,19,FALSE)),""))</f>
        <v/>
      </c>
      <c r="Q322" s="411"/>
      <c r="R322" s="673" t="str">
        <f>IF($Q322=0,"",VLOOKUP($Q322,RentsUA!$A$12:$H$35,MATCH($D322,RentsUA!$A$12:$H$12,0),FALSE))</f>
        <v/>
      </c>
      <c r="S322" s="409"/>
      <c r="T322" s="674"/>
      <c r="U322" s="672"/>
      <c r="V322" s="673" t="str">
        <f t="shared" si="71"/>
        <v/>
      </c>
      <c r="W322" s="470"/>
      <c r="X322" s="411"/>
      <c r="Y322" s="410" t="str">
        <f>IF(X322=0,"",VLOOKUP($X322,RentsUA!$A$12:$H$35,MATCH($D322,RentsUA!$A$12:$H$12,0),FALSE))</f>
        <v/>
      </c>
      <c r="Z322" s="410" t="str">
        <f t="shared" si="67"/>
        <v/>
      </c>
      <c r="AA322" s="1297" t="str">
        <f>IF(H322="","",IF(G322/HLOOKUP($H322,RentsUA!$M$8:$T$9,2,FALSE)&gt;1,"&gt; 80%","&lt;= 80%"))</f>
        <v/>
      </c>
      <c r="AB322" s="1106"/>
      <c r="AC322" s="1106"/>
      <c r="AD322" s="622"/>
      <c r="AE322" s="412"/>
      <c r="AF322" s="807" t="str">
        <f>IF(AD322="","",IF(AD322=Lists!$U$3,M322,IF(AD322=Lists!$U$4,V322,IF(AD322=Lists!$U$5,Y322-L322,AE322))))</f>
        <v/>
      </c>
      <c r="AG322" s="410" t="str">
        <f t="shared" si="68"/>
        <v/>
      </c>
      <c r="AH322" s="469" t="str">
        <f t="shared" si="69"/>
        <v/>
      </c>
      <c r="AI322" s="469" t="str">
        <f>IF($AF322=0,0,IFERROR(($L322+$AF322)/(HLOOKUP($D322,RentsUA!$K$12:$Q$35,19,FALSE)),""))</f>
        <v/>
      </c>
      <c r="AJ322" s="469" t="str">
        <f>IF($AF322=0,0,IFERROR(($AF322+K322+L322)/(HLOOKUP($D322,RentsUA!$K$12:$Q$35,19,FALSE)),""))</f>
        <v/>
      </c>
      <c r="AK322" s="469" t="str">
        <f t="shared" si="72"/>
        <v/>
      </c>
      <c r="AL322" s="469" t="str">
        <f t="shared" si="73"/>
        <v/>
      </c>
      <c r="AM322" s="1106" t="str">
        <f t="shared" si="74"/>
        <v/>
      </c>
      <c r="AN322" s="1106" t="str">
        <f>IFERROR(AM322*(1+'7a.20YrDetails'!$F$9),"")</f>
        <v/>
      </c>
      <c r="AO322" s="1106" t="str">
        <f>IFERROR(AN322*(1+'7a.20YrDetails'!$F$9),"")</f>
        <v/>
      </c>
      <c r="AP322" s="1106" t="str">
        <f>IFERROR(AO322*(1+'7a.20YrDetails'!$F$9),"")</f>
        <v/>
      </c>
      <c r="AQ322" s="1106" t="str">
        <f>IFERROR(AP322*(1+'7a.20YrDetails'!$F$9),"")</f>
        <v/>
      </c>
      <c r="AR322" s="674"/>
      <c r="AS322" s="672"/>
      <c r="AT322" s="1732" t="str">
        <f>IF($AF322=0,0,IFERROR(($AF322+L322)/(HLOOKUP($D322,RentsUA!$B$61:$H$62,2,FALSE)),""))</f>
        <v/>
      </c>
      <c r="AU322" s="1733" t="str">
        <f>IFERROR(G322/HLOOKUP(H322,RentsUA!$B$40:$I$41,2),"")</f>
        <v/>
      </c>
      <c r="BR322" s="404" t="str">
        <f t="shared" si="75"/>
        <v/>
      </c>
      <c r="BT322" s="404" t="str">
        <f t="shared" si="70"/>
        <v/>
      </c>
    </row>
    <row r="323" spans="1:72" s="404" customFormat="1" ht="13.2">
      <c r="A323" s="406">
        <f t="shared" si="76"/>
        <v>311</v>
      </c>
      <c r="B323" s="472"/>
      <c r="C323" s="470"/>
      <c r="D323" s="407"/>
      <c r="E323" s="407"/>
      <c r="F323" s="408"/>
      <c r="G323" s="409"/>
      <c r="H323" s="407"/>
      <c r="I323" s="1029" t="str">
        <f>IFERROR(G323/HLOOKUP(H323,RentsUA!$B$8:$J$9,2),"")</f>
        <v/>
      </c>
      <c r="J323" s="407"/>
      <c r="K323" s="412"/>
      <c r="L323" s="672">
        <f t="shared" si="65"/>
        <v>0</v>
      </c>
      <c r="M323" s="671"/>
      <c r="N323" s="410">
        <f t="shared" si="66"/>
        <v>0</v>
      </c>
      <c r="O323" s="469" t="str">
        <f>IF($M323=0,"",IFERROR(($L323+$M323)/(HLOOKUP($D323,RentsUA!$K$12:$Q$35,19,FALSE)),""))</f>
        <v/>
      </c>
      <c r="P323" s="469" t="str">
        <f>IF($M323=0,"",IFERROR(($M323+K323+L323)/(HLOOKUP($D323,RentsUA!$K$12:$Q$35,19,FALSE)),""))</f>
        <v/>
      </c>
      <c r="Q323" s="411"/>
      <c r="R323" s="673" t="str">
        <f>IF($Q323=0,"",VLOOKUP($Q323,RentsUA!$A$12:$H$35,MATCH($D323,RentsUA!$A$12:$H$12,0),FALSE))</f>
        <v/>
      </c>
      <c r="S323" s="409"/>
      <c r="T323" s="674"/>
      <c r="U323" s="672"/>
      <c r="V323" s="673" t="str">
        <f t="shared" si="71"/>
        <v/>
      </c>
      <c r="W323" s="470"/>
      <c r="X323" s="411"/>
      <c r="Y323" s="410" t="str">
        <f>IF(X323=0,"",VLOOKUP($X323,RentsUA!$A$12:$H$35,MATCH($D323,RentsUA!$A$12:$H$12,0),FALSE))</f>
        <v/>
      </c>
      <c r="Z323" s="410" t="str">
        <f t="shared" si="67"/>
        <v/>
      </c>
      <c r="AA323" s="1297" t="str">
        <f>IF(H323="","",IF(G323/HLOOKUP($H323,RentsUA!$M$8:$T$9,2,FALSE)&gt;1,"&gt; 80%","&lt;= 80%"))</f>
        <v/>
      </c>
      <c r="AB323" s="1106"/>
      <c r="AC323" s="1106"/>
      <c r="AD323" s="622"/>
      <c r="AE323" s="412"/>
      <c r="AF323" s="807" t="str">
        <f>IF(AD323="","",IF(AD323=Lists!$U$3,M323,IF(AD323=Lists!$U$4,V323,IF(AD323=Lists!$U$5,Y323-L323,AE323))))</f>
        <v/>
      </c>
      <c r="AG323" s="410" t="str">
        <f t="shared" si="68"/>
        <v/>
      </c>
      <c r="AH323" s="469" t="str">
        <f t="shared" si="69"/>
        <v/>
      </c>
      <c r="AI323" s="469" t="str">
        <f>IF($AF323=0,0,IFERROR(($L323+$AF323)/(HLOOKUP($D323,RentsUA!$K$12:$Q$35,19,FALSE)),""))</f>
        <v/>
      </c>
      <c r="AJ323" s="469" t="str">
        <f>IF($AF323=0,0,IFERROR(($AF323+K323+L323)/(HLOOKUP($D323,RentsUA!$K$12:$Q$35,19,FALSE)),""))</f>
        <v/>
      </c>
      <c r="AK323" s="469" t="str">
        <f t="shared" si="72"/>
        <v/>
      </c>
      <c r="AL323" s="469" t="str">
        <f t="shared" si="73"/>
        <v/>
      </c>
      <c r="AM323" s="1106" t="str">
        <f t="shared" si="74"/>
        <v/>
      </c>
      <c r="AN323" s="1106" t="str">
        <f>IFERROR(AM323*(1+'7a.20YrDetails'!$F$9),"")</f>
        <v/>
      </c>
      <c r="AO323" s="1106" t="str">
        <f>IFERROR(AN323*(1+'7a.20YrDetails'!$F$9),"")</f>
        <v/>
      </c>
      <c r="AP323" s="1106" t="str">
        <f>IFERROR(AO323*(1+'7a.20YrDetails'!$F$9),"")</f>
        <v/>
      </c>
      <c r="AQ323" s="1106" t="str">
        <f>IFERROR(AP323*(1+'7a.20YrDetails'!$F$9),"")</f>
        <v/>
      </c>
      <c r="AR323" s="674"/>
      <c r="AS323" s="672"/>
      <c r="AT323" s="1732" t="str">
        <f>IF($AF323=0,0,IFERROR(($AF323+L323)/(HLOOKUP($D323,RentsUA!$B$61:$H$62,2,FALSE)),""))</f>
        <v/>
      </c>
      <c r="AU323" s="1733" t="str">
        <f>IFERROR(G323/HLOOKUP(H323,RentsUA!$B$40:$I$41,2),"")</f>
        <v/>
      </c>
      <c r="BR323" s="404" t="str">
        <f t="shared" si="75"/>
        <v/>
      </c>
      <c r="BT323" s="404" t="str">
        <f t="shared" si="70"/>
        <v/>
      </c>
    </row>
    <row r="324" spans="1:72" s="404" customFormat="1" ht="13.2">
      <c r="A324" s="406">
        <f t="shared" si="76"/>
        <v>312</v>
      </c>
      <c r="B324" s="472"/>
      <c r="C324" s="470"/>
      <c r="D324" s="407"/>
      <c r="E324" s="407"/>
      <c r="F324" s="408"/>
      <c r="G324" s="409"/>
      <c r="H324" s="407"/>
      <c r="I324" s="1029" t="str">
        <f>IFERROR(G324/HLOOKUP(H324,RentsUA!$B$8:$J$9,2),"")</f>
        <v/>
      </c>
      <c r="J324" s="407"/>
      <c r="K324" s="412"/>
      <c r="L324" s="672">
        <f t="shared" si="65"/>
        <v>0</v>
      </c>
      <c r="M324" s="671"/>
      <c r="N324" s="410">
        <f t="shared" si="66"/>
        <v>0</v>
      </c>
      <c r="O324" s="469" t="str">
        <f>IF($M324=0,"",IFERROR(($L324+$M324)/(HLOOKUP($D324,RentsUA!$K$12:$Q$35,19,FALSE)),""))</f>
        <v/>
      </c>
      <c r="P324" s="469" t="str">
        <f>IF($M324=0,"",IFERROR(($M324+K324+L324)/(HLOOKUP($D324,RentsUA!$K$12:$Q$35,19,FALSE)),""))</f>
        <v/>
      </c>
      <c r="Q324" s="411"/>
      <c r="R324" s="673" t="str">
        <f>IF($Q324=0,"",VLOOKUP($Q324,RentsUA!$A$12:$H$35,MATCH($D324,RentsUA!$A$12:$H$12,0),FALSE))</f>
        <v/>
      </c>
      <c r="S324" s="409"/>
      <c r="T324" s="674"/>
      <c r="U324" s="672"/>
      <c r="V324" s="673" t="str">
        <f t="shared" si="71"/>
        <v/>
      </c>
      <c r="W324" s="470"/>
      <c r="X324" s="411"/>
      <c r="Y324" s="410" t="str">
        <f>IF(X324=0,"",VLOOKUP($X324,RentsUA!$A$12:$H$35,MATCH($D324,RentsUA!$A$12:$H$12,0),FALSE))</f>
        <v/>
      </c>
      <c r="Z324" s="410" t="str">
        <f t="shared" si="67"/>
        <v/>
      </c>
      <c r="AA324" s="1297" t="str">
        <f>IF(H324="","",IF(G324/HLOOKUP($H324,RentsUA!$M$8:$T$9,2,FALSE)&gt;1,"&gt; 80%","&lt;= 80%"))</f>
        <v/>
      </c>
      <c r="AB324" s="1106"/>
      <c r="AC324" s="1106"/>
      <c r="AD324" s="622"/>
      <c r="AE324" s="412"/>
      <c r="AF324" s="807" t="str">
        <f>IF(AD324="","",IF(AD324=Lists!$U$3,M324,IF(AD324=Lists!$U$4,V324,IF(AD324=Lists!$U$5,Y324-L324,AE324))))</f>
        <v/>
      </c>
      <c r="AG324" s="410" t="str">
        <f t="shared" si="68"/>
        <v/>
      </c>
      <c r="AH324" s="469" t="str">
        <f t="shared" si="69"/>
        <v/>
      </c>
      <c r="AI324" s="469" t="str">
        <f>IF($AF324=0,0,IFERROR(($L324+$AF324)/(HLOOKUP($D324,RentsUA!$K$12:$Q$35,19,FALSE)),""))</f>
        <v/>
      </c>
      <c r="AJ324" s="469" t="str">
        <f>IF($AF324=0,0,IFERROR(($AF324+K324+L324)/(HLOOKUP($D324,RentsUA!$K$12:$Q$35,19,FALSE)),""))</f>
        <v/>
      </c>
      <c r="AK324" s="469" t="str">
        <f t="shared" si="72"/>
        <v/>
      </c>
      <c r="AL324" s="469" t="str">
        <f t="shared" si="73"/>
        <v/>
      </c>
      <c r="AM324" s="1106" t="str">
        <f t="shared" si="74"/>
        <v/>
      </c>
      <c r="AN324" s="1106" t="str">
        <f>IFERROR(AM324*(1+'7a.20YrDetails'!$F$9),"")</f>
        <v/>
      </c>
      <c r="AO324" s="1106" t="str">
        <f>IFERROR(AN324*(1+'7a.20YrDetails'!$F$9),"")</f>
        <v/>
      </c>
      <c r="AP324" s="1106" t="str">
        <f>IFERROR(AO324*(1+'7a.20YrDetails'!$F$9),"")</f>
        <v/>
      </c>
      <c r="AQ324" s="1106" t="str">
        <f>IFERROR(AP324*(1+'7a.20YrDetails'!$F$9),"")</f>
        <v/>
      </c>
      <c r="AR324" s="674"/>
      <c r="AS324" s="672"/>
      <c r="AT324" s="1732" t="str">
        <f>IF($AF324=0,0,IFERROR(($AF324+L324)/(HLOOKUP($D324,RentsUA!$B$61:$H$62,2,FALSE)),""))</f>
        <v/>
      </c>
      <c r="AU324" s="1733" t="str">
        <f>IFERROR(G324/HLOOKUP(H324,RentsUA!$B$40:$I$41,2),"")</f>
        <v/>
      </c>
      <c r="BR324" s="404" t="str">
        <f t="shared" si="75"/>
        <v/>
      </c>
      <c r="BT324" s="404" t="str">
        <f t="shared" si="70"/>
        <v/>
      </c>
    </row>
    <row r="325" spans="1:72" s="404" customFormat="1" ht="13.2">
      <c r="A325" s="406">
        <f t="shared" si="76"/>
        <v>313</v>
      </c>
      <c r="B325" s="472"/>
      <c r="C325" s="470"/>
      <c r="D325" s="407"/>
      <c r="E325" s="407"/>
      <c r="F325" s="408"/>
      <c r="G325" s="409"/>
      <c r="H325" s="407"/>
      <c r="I325" s="1029" t="str">
        <f>IFERROR(G325/HLOOKUP(H325,RentsUA!$B$8:$J$9,2),"")</f>
        <v/>
      </c>
      <c r="J325" s="407"/>
      <c r="K325" s="412"/>
      <c r="L325" s="672">
        <f t="shared" si="65"/>
        <v>0</v>
      </c>
      <c r="M325" s="671"/>
      <c r="N325" s="410">
        <f t="shared" si="66"/>
        <v>0</v>
      </c>
      <c r="O325" s="469" t="str">
        <f>IF($M325=0,"",IFERROR(($L325+$M325)/(HLOOKUP($D325,RentsUA!$K$12:$Q$35,19,FALSE)),""))</f>
        <v/>
      </c>
      <c r="P325" s="469" t="str">
        <f>IF($M325=0,"",IFERROR(($M325+K325+L325)/(HLOOKUP($D325,RentsUA!$K$12:$Q$35,19,FALSE)),""))</f>
        <v/>
      </c>
      <c r="Q325" s="411"/>
      <c r="R325" s="673" t="str">
        <f>IF($Q325=0,"",VLOOKUP($Q325,RentsUA!$A$12:$H$35,MATCH($D325,RentsUA!$A$12:$H$12,0),FALSE))</f>
        <v/>
      </c>
      <c r="S325" s="409"/>
      <c r="T325" s="674"/>
      <c r="U325" s="672"/>
      <c r="V325" s="673" t="str">
        <f t="shared" si="71"/>
        <v/>
      </c>
      <c r="W325" s="470"/>
      <c r="X325" s="411"/>
      <c r="Y325" s="410" t="str">
        <f>IF(X325=0,"",VLOOKUP($X325,RentsUA!$A$12:$H$35,MATCH($D325,RentsUA!$A$12:$H$12,0),FALSE))</f>
        <v/>
      </c>
      <c r="Z325" s="410" t="str">
        <f t="shared" si="67"/>
        <v/>
      </c>
      <c r="AA325" s="1297" t="str">
        <f>IF(H325="","",IF(G325/HLOOKUP($H325,RentsUA!$M$8:$T$9,2,FALSE)&gt;1,"&gt; 80%","&lt;= 80%"))</f>
        <v/>
      </c>
      <c r="AB325" s="1106"/>
      <c r="AC325" s="1106"/>
      <c r="AD325" s="622"/>
      <c r="AE325" s="412"/>
      <c r="AF325" s="807" t="str">
        <f>IF(AD325="","",IF(AD325=Lists!$U$3,M325,IF(AD325=Lists!$U$4,V325,IF(AD325=Lists!$U$5,Y325-L325,AE325))))</f>
        <v/>
      </c>
      <c r="AG325" s="410" t="str">
        <f t="shared" si="68"/>
        <v/>
      </c>
      <c r="AH325" s="469" t="str">
        <f t="shared" si="69"/>
        <v/>
      </c>
      <c r="AI325" s="469" t="str">
        <f>IF($AF325=0,0,IFERROR(($L325+$AF325)/(HLOOKUP($D325,RentsUA!$K$12:$Q$35,19,FALSE)),""))</f>
        <v/>
      </c>
      <c r="AJ325" s="469" t="str">
        <f>IF($AF325=0,0,IFERROR(($AF325+K325+L325)/(HLOOKUP($D325,RentsUA!$K$12:$Q$35,19,FALSE)),""))</f>
        <v/>
      </c>
      <c r="AK325" s="469" t="str">
        <f t="shared" si="72"/>
        <v/>
      </c>
      <c r="AL325" s="469" t="str">
        <f t="shared" si="73"/>
        <v/>
      </c>
      <c r="AM325" s="1106" t="str">
        <f t="shared" si="74"/>
        <v/>
      </c>
      <c r="AN325" s="1106" t="str">
        <f>IFERROR(AM325*(1+'7a.20YrDetails'!$F$9),"")</f>
        <v/>
      </c>
      <c r="AO325" s="1106" t="str">
        <f>IFERROR(AN325*(1+'7a.20YrDetails'!$F$9),"")</f>
        <v/>
      </c>
      <c r="AP325" s="1106" t="str">
        <f>IFERROR(AO325*(1+'7a.20YrDetails'!$F$9),"")</f>
        <v/>
      </c>
      <c r="AQ325" s="1106" t="str">
        <f>IFERROR(AP325*(1+'7a.20YrDetails'!$F$9),"")</f>
        <v/>
      </c>
      <c r="AR325" s="674"/>
      <c r="AS325" s="672"/>
      <c r="AT325" s="1732" t="str">
        <f>IF($AF325=0,0,IFERROR(($AF325+L325)/(HLOOKUP($D325,RentsUA!$B$61:$H$62,2,FALSE)),""))</f>
        <v/>
      </c>
      <c r="AU325" s="1733" t="str">
        <f>IFERROR(G325/HLOOKUP(H325,RentsUA!$B$40:$I$41,2),"")</f>
        <v/>
      </c>
      <c r="BR325" s="404" t="str">
        <f t="shared" si="75"/>
        <v/>
      </c>
      <c r="BT325" s="404" t="str">
        <f t="shared" si="70"/>
        <v/>
      </c>
    </row>
    <row r="326" spans="1:72" s="404" customFormat="1" ht="13.2">
      <c r="A326" s="406">
        <f t="shared" si="76"/>
        <v>314</v>
      </c>
      <c r="B326" s="472"/>
      <c r="C326" s="470"/>
      <c r="D326" s="407"/>
      <c r="E326" s="407"/>
      <c r="F326" s="408"/>
      <c r="G326" s="409"/>
      <c r="H326" s="407"/>
      <c r="I326" s="1029" t="str">
        <f>IFERROR(G326/HLOOKUP(H326,RentsUA!$B$8:$J$9,2),"")</f>
        <v/>
      </c>
      <c r="J326" s="407"/>
      <c r="K326" s="412"/>
      <c r="L326" s="672">
        <f t="shared" si="65"/>
        <v>0</v>
      </c>
      <c r="M326" s="671"/>
      <c r="N326" s="410">
        <f t="shared" si="66"/>
        <v>0</v>
      </c>
      <c r="O326" s="469" t="str">
        <f>IF($M326=0,"",IFERROR(($L326+$M326)/(HLOOKUP($D326,RentsUA!$K$12:$Q$35,19,FALSE)),""))</f>
        <v/>
      </c>
      <c r="P326" s="469" t="str">
        <f>IF($M326=0,"",IFERROR(($M326+K326+L326)/(HLOOKUP($D326,RentsUA!$K$12:$Q$35,19,FALSE)),""))</f>
        <v/>
      </c>
      <c r="Q326" s="411"/>
      <c r="R326" s="673" t="str">
        <f>IF($Q326=0,"",VLOOKUP($Q326,RentsUA!$A$12:$H$35,MATCH($D326,RentsUA!$A$12:$H$12,0),FALSE))</f>
        <v/>
      </c>
      <c r="S326" s="409"/>
      <c r="T326" s="674"/>
      <c r="U326" s="672"/>
      <c r="V326" s="673" t="str">
        <f t="shared" si="71"/>
        <v/>
      </c>
      <c r="W326" s="470"/>
      <c r="X326" s="411"/>
      <c r="Y326" s="410" t="str">
        <f>IF(X326=0,"",VLOOKUP($X326,RentsUA!$A$12:$H$35,MATCH($D326,RentsUA!$A$12:$H$12,0),FALSE))</f>
        <v/>
      </c>
      <c r="Z326" s="410" t="str">
        <f t="shared" si="67"/>
        <v/>
      </c>
      <c r="AA326" s="1297" t="str">
        <f>IF(H326="","",IF(G326/HLOOKUP($H326,RentsUA!$M$8:$T$9,2,FALSE)&gt;1,"&gt; 80%","&lt;= 80%"))</f>
        <v/>
      </c>
      <c r="AB326" s="1106"/>
      <c r="AC326" s="1106"/>
      <c r="AD326" s="622"/>
      <c r="AE326" s="412"/>
      <c r="AF326" s="807" t="str">
        <f>IF(AD326="","",IF(AD326=Lists!$U$3,M326,IF(AD326=Lists!$U$4,V326,IF(AD326=Lists!$U$5,Y326-L326,AE326))))</f>
        <v/>
      </c>
      <c r="AG326" s="410" t="str">
        <f t="shared" si="68"/>
        <v/>
      </c>
      <c r="AH326" s="469" t="str">
        <f t="shared" si="69"/>
        <v/>
      </c>
      <c r="AI326" s="469" t="str">
        <f>IF($AF326=0,0,IFERROR(($L326+$AF326)/(HLOOKUP($D326,RentsUA!$K$12:$Q$35,19,FALSE)),""))</f>
        <v/>
      </c>
      <c r="AJ326" s="469" t="str">
        <f>IF($AF326=0,0,IFERROR(($AF326+K326+L326)/(HLOOKUP($D326,RentsUA!$K$12:$Q$35,19,FALSE)),""))</f>
        <v/>
      </c>
      <c r="AK326" s="469" t="str">
        <f t="shared" si="72"/>
        <v/>
      </c>
      <c r="AL326" s="469" t="str">
        <f t="shared" si="73"/>
        <v/>
      </c>
      <c r="AM326" s="1106" t="str">
        <f t="shared" si="74"/>
        <v/>
      </c>
      <c r="AN326" s="1106" t="str">
        <f>IFERROR(AM326*(1+'7a.20YrDetails'!$F$9),"")</f>
        <v/>
      </c>
      <c r="AO326" s="1106" t="str">
        <f>IFERROR(AN326*(1+'7a.20YrDetails'!$F$9),"")</f>
        <v/>
      </c>
      <c r="AP326" s="1106" t="str">
        <f>IFERROR(AO326*(1+'7a.20YrDetails'!$F$9),"")</f>
        <v/>
      </c>
      <c r="AQ326" s="1106" t="str">
        <f>IFERROR(AP326*(1+'7a.20YrDetails'!$F$9),"")</f>
        <v/>
      </c>
      <c r="AR326" s="674"/>
      <c r="AS326" s="672"/>
      <c r="AT326" s="1732" t="str">
        <f>IF($AF326=0,0,IFERROR(($AF326+L326)/(HLOOKUP($D326,RentsUA!$B$61:$H$62,2,FALSE)),""))</f>
        <v/>
      </c>
      <c r="AU326" s="1733" t="str">
        <f>IFERROR(G326/HLOOKUP(H326,RentsUA!$B$40:$I$41,2),"")</f>
        <v/>
      </c>
      <c r="BR326" s="404" t="str">
        <f t="shared" si="75"/>
        <v/>
      </c>
      <c r="BT326" s="404" t="str">
        <f t="shared" si="70"/>
        <v/>
      </c>
    </row>
    <row r="327" spans="1:72" s="404" customFormat="1" ht="13.2">
      <c r="A327" s="406">
        <f t="shared" si="76"/>
        <v>315</v>
      </c>
      <c r="B327" s="472"/>
      <c r="C327" s="470"/>
      <c r="D327" s="407"/>
      <c r="E327" s="407"/>
      <c r="F327" s="408"/>
      <c r="G327" s="409"/>
      <c r="H327" s="407"/>
      <c r="I327" s="1029" t="str">
        <f>IFERROR(G327/HLOOKUP(H327,RentsUA!$B$8:$J$9,2),"")</f>
        <v/>
      </c>
      <c r="J327" s="407"/>
      <c r="K327" s="412"/>
      <c r="L327" s="672">
        <f t="shared" si="65"/>
        <v>0</v>
      </c>
      <c r="M327" s="671"/>
      <c r="N327" s="410">
        <f t="shared" si="66"/>
        <v>0</v>
      </c>
      <c r="O327" s="469" t="str">
        <f>IF($M327=0,"",IFERROR(($L327+$M327)/(HLOOKUP($D327,RentsUA!$K$12:$Q$35,19,FALSE)),""))</f>
        <v/>
      </c>
      <c r="P327" s="469" t="str">
        <f>IF($M327=0,"",IFERROR(($M327+K327+L327)/(HLOOKUP($D327,RentsUA!$K$12:$Q$35,19,FALSE)),""))</f>
        <v/>
      </c>
      <c r="Q327" s="411"/>
      <c r="R327" s="673" t="str">
        <f>IF($Q327=0,"",VLOOKUP($Q327,RentsUA!$A$12:$H$35,MATCH($D327,RentsUA!$A$12:$H$12,0),FALSE))</f>
        <v/>
      </c>
      <c r="S327" s="409"/>
      <c r="T327" s="674"/>
      <c r="U327" s="672"/>
      <c r="V327" s="673" t="str">
        <f t="shared" si="71"/>
        <v/>
      </c>
      <c r="W327" s="470"/>
      <c r="X327" s="411"/>
      <c r="Y327" s="410" t="str">
        <f>IF(X327=0,"",VLOOKUP($X327,RentsUA!$A$12:$H$35,MATCH($D327,RentsUA!$A$12:$H$12,0),FALSE))</f>
        <v/>
      </c>
      <c r="Z327" s="410" t="str">
        <f t="shared" si="67"/>
        <v/>
      </c>
      <c r="AA327" s="1297" t="str">
        <f>IF(H327="","",IF(G327/HLOOKUP($H327,RentsUA!$M$8:$T$9,2,FALSE)&gt;1,"&gt; 80%","&lt;= 80%"))</f>
        <v/>
      </c>
      <c r="AB327" s="1106"/>
      <c r="AC327" s="1106"/>
      <c r="AD327" s="622"/>
      <c r="AE327" s="412"/>
      <c r="AF327" s="807" t="str">
        <f>IF(AD327="","",IF(AD327=Lists!$U$3,M327,IF(AD327=Lists!$U$4,V327,IF(AD327=Lists!$U$5,Y327-L327,AE327))))</f>
        <v/>
      </c>
      <c r="AG327" s="410" t="str">
        <f t="shared" si="68"/>
        <v/>
      </c>
      <c r="AH327" s="469" t="str">
        <f t="shared" si="69"/>
        <v/>
      </c>
      <c r="AI327" s="469" t="str">
        <f>IF($AF327=0,0,IFERROR(($L327+$AF327)/(HLOOKUP($D327,RentsUA!$K$12:$Q$35,19,FALSE)),""))</f>
        <v/>
      </c>
      <c r="AJ327" s="469" t="str">
        <f>IF($AF327=0,0,IFERROR(($AF327+K327+L327)/(HLOOKUP($D327,RentsUA!$K$12:$Q$35,19,FALSE)),""))</f>
        <v/>
      </c>
      <c r="AK327" s="469" t="str">
        <f t="shared" si="72"/>
        <v/>
      </c>
      <c r="AL327" s="469" t="str">
        <f t="shared" si="73"/>
        <v/>
      </c>
      <c r="AM327" s="1106" t="str">
        <f t="shared" si="74"/>
        <v/>
      </c>
      <c r="AN327" s="1106" t="str">
        <f>IFERROR(AM327*(1+'7a.20YrDetails'!$F$9),"")</f>
        <v/>
      </c>
      <c r="AO327" s="1106" t="str">
        <f>IFERROR(AN327*(1+'7a.20YrDetails'!$F$9),"")</f>
        <v/>
      </c>
      <c r="AP327" s="1106" t="str">
        <f>IFERROR(AO327*(1+'7a.20YrDetails'!$F$9),"")</f>
        <v/>
      </c>
      <c r="AQ327" s="1106" t="str">
        <f>IFERROR(AP327*(1+'7a.20YrDetails'!$F$9),"")</f>
        <v/>
      </c>
      <c r="AR327" s="674"/>
      <c r="AS327" s="672"/>
      <c r="AT327" s="1732" t="str">
        <f>IF($AF327=0,0,IFERROR(($AF327+L327)/(HLOOKUP($D327,RentsUA!$B$61:$H$62,2,FALSE)),""))</f>
        <v/>
      </c>
      <c r="AU327" s="1733" t="str">
        <f>IFERROR(G327/HLOOKUP(H327,RentsUA!$B$40:$I$41,2),"")</f>
        <v/>
      </c>
      <c r="BR327" s="404" t="str">
        <f t="shared" si="75"/>
        <v/>
      </c>
      <c r="BT327" s="404" t="str">
        <f t="shared" si="70"/>
        <v/>
      </c>
    </row>
    <row r="328" spans="1:72" s="404" customFormat="1" ht="13.2">
      <c r="A328" s="406">
        <f t="shared" si="76"/>
        <v>316</v>
      </c>
      <c r="B328" s="472"/>
      <c r="C328" s="470"/>
      <c r="D328" s="407"/>
      <c r="E328" s="407"/>
      <c r="F328" s="408"/>
      <c r="G328" s="409"/>
      <c r="H328" s="407"/>
      <c r="I328" s="1029" t="str">
        <f>IFERROR(G328/HLOOKUP(H328,RentsUA!$B$8:$J$9,2),"")</f>
        <v/>
      </c>
      <c r="J328" s="407"/>
      <c r="K328" s="412"/>
      <c r="L328" s="672">
        <f t="shared" si="65"/>
        <v>0</v>
      </c>
      <c r="M328" s="671"/>
      <c r="N328" s="410">
        <f t="shared" si="66"/>
        <v>0</v>
      </c>
      <c r="O328" s="469" t="str">
        <f>IF($M328=0,"",IFERROR(($L328+$M328)/(HLOOKUP($D328,RentsUA!$K$12:$Q$35,19,FALSE)),""))</f>
        <v/>
      </c>
      <c r="P328" s="469" t="str">
        <f>IF($M328=0,"",IFERROR(($M328+K328+L328)/(HLOOKUP($D328,RentsUA!$K$12:$Q$35,19,FALSE)),""))</f>
        <v/>
      </c>
      <c r="Q328" s="411"/>
      <c r="R328" s="673" t="str">
        <f>IF($Q328=0,"",VLOOKUP($Q328,RentsUA!$A$12:$H$35,MATCH($D328,RentsUA!$A$12:$H$12,0),FALSE))</f>
        <v/>
      </c>
      <c r="S328" s="409"/>
      <c r="T328" s="674"/>
      <c r="U328" s="672"/>
      <c r="V328" s="673" t="str">
        <f t="shared" si="71"/>
        <v/>
      </c>
      <c r="W328" s="470"/>
      <c r="X328" s="411"/>
      <c r="Y328" s="410" t="str">
        <f>IF(X328=0,"",VLOOKUP($X328,RentsUA!$A$12:$H$35,MATCH($D328,RentsUA!$A$12:$H$12,0),FALSE))</f>
        <v/>
      </c>
      <c r="Z328" s="410" t="str">
        <f t="shared" si="67"/>
        <v/>
      </c>
      <c r="AA328" s="1297" t="str">
        <f>IF(H328="","",IF(G328/HLOOKUP($H328,RentsUA!$M$8:$T$9,2,FALSE)&gt;1,"&gt; 80%","&lt;= 80%"))</f>
        <v/>
      </c>
      <c r="AB328" s="1106"/>
      <c r="AC328" s="1106"/>
      <c r="AD328" s="622"/>
      <c r="AE328" s="412"/>
      <c r="AF328" s="807" t="str">
        <f>IF(AD328="","",IF(AD328=Lists!$U$3,M328,IF(AD328=Lists!$U$4,V328,IF(AD328=Lists!$U$5,Y328-L328,AE328))))</f>
        <v/>
      </c>
      <c r="AG328" s="410" t="str">
        <f t="shared" si="68"/>
        <v/>
      </c>
      <c r="AH328" s="469" t="str">
        <f t="shared" si="69"/>
        <v/>
      </c>
      <c r="AI328" s="469" t="str">
        <f>IF($AF328=0,0,IFERROR(($L328+$AF328)/(HLOOKUP($D328,RentsUA!$K$12:$Q$35,19,FALSE)),""))</f>
        <v/>
      </c>
      <c r="AJ328" s="469" t="str">
        <f>IF($AF328=0,0,IFERROR(($AF328+K328+L328)/(HLOOKUP($D328,RentsUA!$K$12:$Q$35,19,FALSE)),""))</f>
        <v/>
      </c>
      <c r="AK328" s="469" t="str">
        <f t="shared" si="72"/>
        <v/>
      </c>
      <c r="AL328" s="469" t="str">
        <f t="shared" si="73"/>
        <v/>
      </c>
      <c r="AM328" s="1106" t="str">
        <f t="shared" si="74"/>
        <v/>
      </c>
      <c r="AN328" s="1106" t="str">
        <f>IFERROR(AM328*(1+'7a.20YrDetails'!$F$9),"")</f>
        <v/>
      </c>
      <c r="AO328" s="1106" t="str">
        <f>IFERROR(AN328*(1+'7a.20YrDetails'!$F$9),"")</f>
        <v/>
      </c>
      <c r="AP328" s="1106" t="str">
        <f>IFERROR(AO328*(1+'7a.20YrDetails'!$F$9),"")</f>
        <v/>
      </c>
      <c r="AQ328" s="1106" t="str">
        <f>IFERROR(AP328*(1+'7a.20YrDetails'!$F$9),"")</f>
        <v/>
      </c>
      <c r="AR328" s="674"/>
      <c r="AS328" s="672"/>
      <c r="AT328" s="1732" t="str">
        <f>IF($AF328=0,0,IFERROR(($AF328+L328)/(HLOOKUP($D328,RentsUA!$B$61:$H$62,2,FALSE)),""))</f>
        <v/>
      </c>
      <c r="AU328" s="1733" t="str">
        <f>IFERROR(G328/HLOOKUP(H328,RentsUA!$B$40:$I$41,2),"")</f>
        <v/>
      </c>
      <c r="BR328" s="404" t="str">
        <f t="shared" si="75"/>
        <v/>
      </c>
      <c r="BT328" s="404" t="str">
        <f t="shared" si="70"/>
        <v/>
      </c>
    </row>
    <row r="329" spans="1:72" s="404" customFormat="1" ht="13.2">
      <c r="A329" s="406">
        <f t="shared" si="76"/>
        <v>317</v>
      </c>
      <c r="B329" s="472"/>
      <c r="C329" s="470"/>
      <c r="D329" s="407"/>
      <c r="E329" s="407"/>
      <c r="F329" s="408"/>
      <c r="G329" s="409"/>
      <c r="H329" s="407"/>
      <c r="I329" s="1029" t="str">
        <f>IFERROR(G329/HLOOKUP(H329,RentsUA!$B$8:$J$9,2),"")</f>
        <v/>
      </c>
      <c r="J329" s="407"/>
      <c r="K329" s="412"/>
      <c r="L329" s="672">
        <f t="shared" si="65"/>
        <v>0</v>
      </c>
      <c r="M329" s="671"/>
      <c r="N329" s="410">
        <f t="shared" si="66"/>
        <v>0</v>
      </c>
      <c r="O329" s="469" t="str">
        <f>IF($M329=0,"",IFERROR(($L329+$M329)/(HLOOKUP($D329,RentsUA!$K$12:$Q$35,19,FALSE)),""))</f>
        <v/>
      </c>
      <c r="P329" s="469" t="str">
        <f>IF($M329=0,"",IFERROR(($M329+K329+L329)/(HLOOKUP($D329,RentsUA!$K$12:$Q$35,19,FALSE)),""))</f>
        <v/>
      </c>
      <c r="Q329" s="411"/>
      <c r="R329" s="673" t="str">
        <f>IF($Q329=0,"",VLOOKUP($Q329,RentsUA!$A$12:$H$35,MATCH($D329,RentsUA!$A$12:$H$12,0),FALSE))</f>
        <v/>
      </c>
      <c r="S329" s="409"/>
      <c r="T329" s="674"/>
      <c r="U329" s="672"/>
      <c r="V329" s="673" t="str">
        <f t="shared" si="71"/>
        <v/>
      </c>
      <c r="W329" s="470"/>
      <c r="X329" s="411"/>
      <c r="Y329" s="410" t="str">
        <f>IF(X329=0,"",VLOOKUP($X329,RentsUA!$A$12:$H$35,MATCH($D329,RentsUA!$A$12:$H$12,0),FALSE))</f>
        <v/>
      </c>
      <c r="Z329" s="410" t="str">
        <f t="shared" si="67"/>
        <v/>
      </c>
      <c r="AA329" s="1297" t="str">
        <f>IF(H329="","",IF(G329/HLOOKUP($H329,RentsUA!$M$8:$T$9,2,FALSE)&gt;1,"&gt; 80%","&lt;= 80%"))</f>
        <v/>
      </c>
      <c r="AB329" s="1106"/>
      <c r="AC329" s="1106"/>
      <c r="AD329" s="622"/>
      <c r="AE329" s="412"/>
      <c r="AF329" s="807" t="str">
        <f>IF(AD329="","",IF(AD329=Lists!$U$3,M329,IF(AD329=Lists!$U$4,V329,IF(AD329=Lists!$U$5,Y329-L329,AE329))))</f>
        <v/>
      </c>
      <c r="AG329" s="410" t="str">
        <f t="shared" si="68"/>
        <v/>
      </c>
      <c r="AH329" s="469" t="str">
        <f t="shared" si="69"/>
        <v/>
      </c>
      <c r="AI329" s="469" t="str">
        <f>IF($AF329=0,0,IFERROR(($L329+$AF329)/(HLOOKUP($D329,RentsUA!$K$12:$Q$35,19,FALSE)),""))</f>
        <v/>
      </c>
      <c r="AJ329" s="469" t="str">
        <f>IF($AF329=0,0,IFERROR(($AF329+K329+L329)/(HLOOKUP($D329,RentsUA!$K$12:$Q$35,19,FALSE)),""))</f>
        <v/>
      </c>
      <c r="AK329" s="469" t="str">
        <f t="shared" si="72"/>
        <v/>
      </c>
      <c r="AL329" s="469" t="str">
        <f t="shared" si="73"/>
        <v/>
      </c>
      <c r="AM329" s="1106" t="str">
        <f t="shared" si="74"/>
        <v/>
      </c>
      <c r="AN329" s="1106" t="str">
        <f>IFERROR(AM329*(1+'7a.20YrDetails'!$F$9),"")</f>
        <v/>
      </c>
      <c r="AO329" s="1106" t="str">
        <f>IFERROR(AN329*(1+'7a.20YrDetails'!$F$9),"")</f>
        <v/>
      </c>
      <c r="AP329" s="1106" t="str">
        <f>IFERROR(AO329*(1+'7a.20YrDetails'!$F$9),"")</f>
        <v/>
      </c>
      <c r="AQ329" s="1106" t="str">
        <f>IFERROR(AP329*(1+'7a.20YrDetails'!$F$9),"")</f>
        <v/>
      </c>
      <c r="AR329" s="674"/>
      <c r="AS329" s="672"/>
      <c r="AT329" s="1732" t="str">
        <f>IF($AF329=0,0,IFERROR(($AF329+L329)/(HLOOKUP($D329,RentsUA!$B$61:$H$62,2,FALSE)),""))</f>
        <v/>
      </c>
      <c r="AU329" s="1733" t="str">
        <f>IFERROR(G329/HLOOKUP(H329,RentsUA!$B$40:$I$41,2),"")</f>
        <v/>
      </c>
      <c r="BR329" s="404" t="str">
        <f t="shared" si="75"/>
        <v/>
      </c>
      <c r="BT329" s="404" t="str">
        <f t="shared" si="70"/>
        <v/>
      </c>
    </row>
    <row r="330" spans="1:72" s="404" customFormat="1" ht="13.2">
      <c r="A330" s="406">
        <f t="shared" si="76"/>
        <v>318</v>
      </c>
      <c r="B330" s="472"/>
      <c r="C330" s="470"/>
      <c r="D330" s="407"/>
      <c r="E330" s="407"/>
      <c r="F330" s="408"/>
      <c r="G330" s="409"/>
      <c r="H330" s="407"/>
      <c r="I330" s="1029" t="str">
        <f>IFERROR(G330/HLOOKUP(H330,RentsUA!$B$8:$J$9,2),"")</f>
        <v/>
      </c>
      <c r="J330" s="407"/>
      <c r="K330" s="412"/>
      <c r="L330" s="672">
        <f t="shared" si="65"/>
        <v>0</v>
      </c>
      <c r="M330" s="671"/>
      <c r="N330" s="410">
        <f t="shared" si="66"/>
        <v>0</v>
      </c>
      <c r="O330" s="469" t="str">
        <f>IF($M330=0,"",IFERROR(($L330+$M330)/(HLOOKUP($D330,RentsUA!$K$12:$Q$35,19,FALSE)),""))</f>
        <v/>
      </c>
      <c r="P330" s="469" t="str">
        <f>IF($M330=0,"",IFERROR(($M330+K330+L330)/(HLOOKUP($D330,RentsUA!$K$12:$Q$35,19,FALSE)),""))</f>
        <v/>
      </c>
      <c r="Q330" s="411"/>
      <c r="R330" s="673" t="str">
        <f>IF($Q330=0,"",VLOOKUP($Q330,RentsUA!$A$12:$H$35,MATCH($D330,RentsUA!$A$12:$H$12,0),FALSE))</f>
        <v/>
      </c>
      <c r="S330" s="409"/>
      <c r="T330" s="674"/>
      <c r="U330" s="672"/>
      <c r="V330" s="673" t="str">
        <f t="shared" si="71"/>
        <v/>
      </c>
      <c r="W330" s="470"/>
      <c r="X330" s="411"/>
      <c r="Y330" s="410" t="str">
        <f>IF(X330=0,"",VLOOKUP($X330,RentsUA!$A$12:$H$35,MATCH($D330,RentsUA!$A$12:$H$12,0),FALSE))</f>
        <v/>
      </c>
      <c r="Z330" s="410" t="str">
        <f t="shared" si="67"/>
        <v/>
      </c>
      <c r="AA330" s="1297" t="str">
        <f>IF(H330="","",IF(G330/HLOOKUP($H330,RentsUA!$M$8:$T$9,2,FALSE)&gt;1,"&gt; 80%","&lt;= 80%"))</f>
        <v/>
      </c>
      <c r="AB330" s="1106"/>
      <c r="AC330" s="1106"/>
      <c r="AD330" s="622"/>
      <c r="AE330" s="412"/>
      <c r="AF330" s="807" t="str">
        <f>IF(AD330="","",IF(AD330=Lists!$U$3,M330,IF(AD330=Lists!$U$4,V330,IF(AD330=Lists!$U$5,Y330-L330,AE330))))</f>
        <v/>
      </c>
      <c r="AG330" s="410" t="str">
        <f t="shared" si="68"/>
        <v/>
      </c>
      <c r="AH330" s="469" t="str">
        <f t="shared" si="69"/>
        <v/>
      </c>
      <c r="AI330" s="469" t="str">
        <f>IF($AF330=0,0,IFERROR(($L330+$AF330)/(HLOOKUP($D330,RentsUA!$K$12:$Q$35,19,FALSE)),""))</f>
        <v/>
      </c>
      <c r="AJ330" s="469" t="str">
        <f>IF($AF330=0,0,IFERROR(($AF330+K330+L330)/(HLOOKUP($D330,RentsUA!$K$12:$Q$35,19,FALSE)),""))</f>
        <v/>
      </c>
      <c r="AK330" s="469" t="str">
        <f t="shared" si="72"/>
        <v/>
      </c>
      <c r="AL330" s="469" t="str">
        <f t="shared" si="73"/>
        <v/>
      </c>
      <c r="AM330" s="1106" t="str">
        <f t="shared" si="74"/>
        <v/>
      </c>
      <c r="AN330" s="1106" t="str">
        <f>IFERROR(AM330*(1+'7a.20YrDetails'!$F$9),"")</f>
        <v/>
      </c>
      <c r="AO330" s="1106" t="str">
        <f>IFERROR(AN330*(1+'7a.20YrDetails'!$F$9),"")</f>
        <v/>
      </c>
      <c r="AP330" s="1106" t="str">
        <f>IFERROR(AO330*(1+'7a.20YrDetails'!$F$9),"")</f>
        <v/>
      </c>
      <c r="AQ330" s="1106" t="str">
        <f>IFERROR(AP330*(1+'7a.20YrDetails'!$F$9),"")</f>
        <v/>
      </c>
      <c r="AR330" s="674"/>
      <c r="AS330" s="672"/>
      <c r="AT330" s="1732" t="str">
        <f>IF($AF330=0,0,IFERROR(($AF330+L330)/(HLOOKUP($D330,RentsUA!$B$61:$H$62,2,FALSE)),""))</f>
        <v/>
      </c>
      <c r="AU330" s="1733" t="str">
        <f>IFERROR(G330/HLOOKUP(H330,RentsUA!$B$40:$I$41,2),"")</f>
        <v/>
      </c>
      <c r="BR330" s="404" t="str">
        <f t="shared" si="75"/>
        <v/>
      </c>
      <c r="BT330" s="404" t="str">
        <f t="shared" si="70"/>
        <v/>
      </c>
    </row>
    <row r="331" spans="1:72" s="404" customFormat="1" ht="13.2">
      <c r="A331" s="406">
        <f t="shared" si="76"/>
        <v>319</v>
      </c>
      <c r="B331" s="472"/>
      <c r="C331" s="470"/>
      <c r="D331" s="407"/>
      <c r="E331" s="407"/>
      <c r="F331" s="408"/>
      <c r="G331" s="409"/>
      <c r="H331" s="407"/>
      <c r="I331" s="1029" t="str">
        <f>IFERROR(G331/HLOOKUP(H331,RentsUA!$B$8:$J$9,2),"")</f>
        <v/>
      </c>
      <c r="J331" s="407"/>
      <c r="K331" s="412"/>
      <c r="L331" s="672">
        <f t="shared" si="65"/>
        <v>0</v>
      </c>
      <c r="M331" s="671"/>
      <c r="N331" s="410">
        <f t="shared" si="66"/>
        <v>0</v>
      </c>
      <c r="O331" s="469" t="str">
        <f>IF($M331=0,"",IFERROR(($L331+$M331)/(HLOOKUP($D331,RentsUA!$K$12:$Q$35,19,FALSE)),""))</f>
        <v/>
      </c>
      <c r="P331" s="469" t="str">
        <f>IF($M331=0,"",IFERROR(($M331+K331+L331)/(HLOOKUP($D331,RentsUA!$K$12:$Q$35,19,FALSE)),""))</f>
        <v/>
      </c>
      <c r="Q331" s="411"/>
      <c r="R331" s="673" t="str">
        <f>IF($Q331=0,"",VLOOKUP($Q331,RentsUA!$A$12:$H$35,MATCH($D331,RentsUA!$A$12:$H$12,0),FALSE))</f>
        <v/>
      </c>
      <c r="S331" s="409"/>
      <c r="T331" s="674"/>
      <c r="U331" s="672"/>
      <c r="V331" s="673" t="str">
        <f t="shared" si="71"/>
        <v/>
      </c>
      <c r="W331" s="470"/>
      <c r="X331" s="411"/>
      <c r="Y331" s="410" t="str">
        <f>IF(X331=0,"",VLOOKUP($X331,RentsUA!$A$12:$H$35,MATCH($D331,RentsUA!$A$12:$H$12,0),FALSE))</f>
        <v/>
      </c>
      <c r="Z331" s="410" t="str">
        <f t="shared" si="67"/>
        <v/>
      </c>
      <c r="AA331" s="1297" t="str">
        <f>IF(H331="","",IF(G331/HLOOKUP($H331,RentsUA!$M$8:$T$9,2,FALSE)&gt;1,"&gt; 80%","&lt;= 80%"))</f>
        <v/>
      </c>
      <c r="AB331" s="1106"/>
      <c r="AC331" s="1106"/>
      <c r="AD331" s="622"/>
      <c r="AE331" s="412"/>
      <c r="AF331" s="807" t="str">
        <f>IF(AD331="","",IF(AD331=Lists!$U$3,M331,IF(AD331=Lists!$U$4,V331,IF(AD331=Lists!$U$5,Y331-L331,AE331))))</f>
        <v/>
      </c>
      <c r="AG331" s="410" t="str">
        <f t="shared" si="68"/>
        <v/>
      </c>
      <c r="AH331" s="469" t="str">
        <f t="shared" si="69"/>
        <v/>
      </c>
      <c r="AI331" s="469" t="str">
        <f>IF($AF331=0,0,IFERROR(($L331+$AF331)/(HLOOKUP($D331,RentsUA!$K$12:$Q$35,19,FALSE)),""))</f>
        <v/>
      </c>
      <c r="AJ331" s="469" t="str">
        <f>IF($AF331=0,0,IFERROR(($AF331+K331+L331)/(HLOOKUP($D331,RentsUA!$K$12:$Q$35,19,FALSE)),""))</f>
        <v/>
      </c>
      <c r="AK331" s="469" t="str">
        <f t="shared" si="72"/>
        <v/>
      </c>
      <c r="AL331" s="469" t="str">
        <f t="shared" si="73"/>
        <v/>
      </c>
      <c r="AM331" s="1106" t="str">
        <f t="shared" si="74"/>
        <v/>
      </c>
      <c r="AN331" s="1106" t="str">
        <f>IFERROR(AM331*(1+'7a.20YrDetails'!$F$9),"")</f>
        <v/>
      </c>
      <c r="AO331" s="1106" t="str">
        <f>IFERROR(AN331*(1+'7a.20YrDetails'!$F$9),"")</f>
        <v/>
      </c>
      <c r="AP331" s="1106" t="str">
        <f>IFERROR(AO331*(1+'7a.20YrDetails'!$F$9),"")</f>
        <v/>
      </c>
      <c r="AQ331" s="1106" t="str">
        <f>IFERROR(AP331*(1+'7a.20YrDetails'!$F$9),"")</f>
        <v/>
      </c>
      <c r="AR331" s="674"/>
      <c r="AS331" s="672"/>
      <c r="AT331" s="1732" t="str">
        <f>IF($AF331=0,0,IFERROR(($AF331+L331)/(HLOOKUP($D331,RentsUA!$B$61:$H$62,2,FALSE)),""))</f>
        <v/>
      </c>
      <c r="AU331" s="1733" t="str">
        <f>IFERROR(G331/HLOOKUP(H331,RentsUA!$B$40:$I$41,2),"")</f>
        <v/>
      </c>
      <c r="BR331" s="404" t="str">
        <f t="shared" si="75"/>
        <v/>
      </c>
      <c r="BT331" s="404" t="str">
        <f t="shared" si="70"/>
        <v/>
      </c>
    </row>
    <row r="332" spans="1:72" s="404" customFormat="1" ht="13.2">
      <c r="A332" s="406">
        <f t="shared" si="76"/>
        <v>320</v>
      </c>
      <c r="B332" s="472"/>
      <c r="C332" s="470"/>
      <c r="D332" s="407"/>
      <c r="E332" s="407"/>
      <c r="F332" s="408"/>
      <c r="G332" s="409"/>
      <c r="H332" s="407"/>
      <c r="I332" s="1029" t="str">
        <f>IFERROR(G332/HLOOKUP(H332,RentsUA!$B$8:$J$9,2),"")</f>
        <v/>
      </c>
      <c r="J332" s="407"/>
      <c r="K332" s="412"/>
      <c r="L332" s="672">
        <f t="shared" si="65"/>
        <v>0</v>
      </c>
      <c r="M332" s="671"/>
      <c r="N332" s="410">
        <f t="shared" si="66"/>
        <v>0</v>
      </c>
      <c r="O332" s="469" t="str">
        <f>IF($M332=0,"",IFERROR(($L332+$M332)/(HLOOKUP($D332,RentsUA!$K$12:$Q$35,19,FALSE)),""))</f>
        <v/>
      </c>
      <c r="P332" s="469" t="str">
        <f>IF($M332=0,"",IFERROR(($M332+K332+L332)/(HLOOKUP($D332,RentsUA!$K$12:$Q$35,19,FALSE)),""))</f>
        <v/>
      </c>
      <c r="Q332" s="411"/>
      <c r="R332" s="673" t="str">
        <f>IF($Q332=0,"",VLOOKUP($Q332,RentsUA!$A$12:$H$35,MATCH($D332,RentsUA!$A$12:$H$12,0),FALSE))</f>
        <v/>
      </c>
      <c r="S332" s="409"/>
      <c r="T332" s="674"/>
      <c r="U332" s="672"/>
      <c r="V332" s="673" t="str">
        <f t="shared" si="71"/>
        <v/>
      </c>
      <c r="W332" s="470"/>
      <c r="X332" s="411"/>
      <c r="Y332" s="410" t="str">
        <f>IF(X332=0,"",VLOOKUP($X332,RentsUA!$A$12:$H$35,MATCH($D332,RentsUA!$A$12:$H$12,0),FALSE))</f>
        <v/>
      </c>
      <c r="Z332" s="410" t="str">
        <f t="shared" si="67"/>
        <v/>
      </c>
      <c r="AA332" s="1297" t="str">
        <f>IF(H332="","",IF(G332/HLOOKUP($H332,RentsUA!$M$8:$T$9,2,FALSE)&gt;1,"&gt; 80%","&lt;= 80%"))</f>
        <v/>
      </c>
      <c r="AB332" s="1106"/>
      <c r="AC332" s="1106"/>
      <c r="AD332" s="622"/>
      <c r="AE332" s="412"/>
      <c r="AF332" s="807" t="str">
        <f>IF(AD332="","",IF(AD332=Lists!$U$3,M332,IF(AD332=Lists!$U$4,V332,IF(AD332=Lists!$U$5,Y332-L332,AE332))))</f>
        <v/>
      </c>
      <c r="AG332" s="410" t="str">
        <f t="shared" si="68"/>
        <v/>
      </c>
      <c r="AH332" s="469" t="str">
        <f t="shared" si="69"/>
        <v/>
      </c>
      <c r="AI332" s="469" t="str">
        <f>IF($AF332=0,0,IFERROR(($L332+$AF332)/(HLOOKUP($D332,RentsUA!$K$12:$Q$35,19,FALSE)),""))</f>
        <v/>
      </c>
      <c r="AJ332" s="469" t="str">
        <f>IF($AF332=0,0,IFERROR(($AF332+K332+L332)/(HLOOKUP($D332,RentsUA!$K$12:$Q$35,19,FALSE)),""))</f>
        <v/>
      </c>
      <c r="AK332" s="469" t="str">
        <f t="shared" si="72"/>
        <v/>
      </c>
      <c r="AL332" s="469" t="str">
        <f t="shared" si="73"/>
        <v/>
      </c>
      <c r="AM332" s="1106" t="str">
        <f t="shared" si="74"/>
        <v/>
      </c>
      <c r="AN332" s="1106" t="str">
        <f>IFERROR(AM332*(1+'7a.20YrDetails'!$F$9),"")</f>
        <v/>
      </c>
      <c r="AO332" s="1106" t="str">
        <f>IFERROR(AN332*(1+'7a.20YrDetails'!$F$9),"")</f>
        <v/>
      </c>
      <c r="AP332" s="1106" t="str">
        <f>IFERROR(AO332*(1+'7a.20YrDetails'!$F$9),"")</f>
        <v/>
      </c>
      <c r="AQ332" s="1106" t="str">
        <f>IFERROR(AP332*(1+'7a.20YrDetails'!$F$9),"")</f>
        <v/>
      </c>
      <c r="AR332" s="674"/>
      <c r="AS332" s="672"/>
      <c r="AT332" s="1732" t="str">
        <f>IF($AF332=0,0,IFERROR(($AF332+L332)/(HLOOKUP($D332,RentsUA!$B$61:$H$62,2,FALSE)),""))</f>
        <v/>
      </c>
      <c r="AU332" s="1733" t="str">
        <f>IFERROR(G332/HLOOKUP(H332,RentsUA!$B$40:$I$41,2),"")</f>
        <v/>
      </c>
      <c r="BR332" s="404" t="str">
        <f t="shared" si="75"/>
        <v/>
      </c>
      <c r="BT332" s="404" t="str">
        <f t="shared" si="70"/>
        <v/>
      </c>
    </row>
    <row r="333" spans="1:72" s="404" customFormat="1" ht="13.2">
      <c r="A333" s="406">
        <f t="shared" si="76"/>
        <v>321</v>
      </c>
      <c r="B333" s="472"/>
      <c r="C333" s="470"/>
      <c r="D333" s="407"/>
      <c r="E333" s="407"/>
      <c r="F333" s="408"/>
      <c r="G333" s="409"/>
      <c r="H333" s="407"/>
      <c r="I333" s="1029" t="str">
        <f>IFERROR(G333/HLOOKUP(H333,RentsUA!$B$8:$J$9,2),"")</f>
        <v/>
      </c>
      <c r="J333" s="407"/>
      <c r="K333" s="412"/>
      <c r="L333" s="672">
        <f t="shared" ref="L333:L396" si="77">IF(D333="",0,HLOOKUP($D333,UA,7,FALSE))</f>
        <v>0</v>
      </c>
      <c r="M333" s="671"/>
      <c r="N333" s="410">
        <f t="shared" ref="N333:N396" si="78">M333+L333</f>
        <v>0</v>
      </c>
      <c r="O333" s="469" t="str">
        <f>IF($M333=0,"",IFERROR(($L333+$M333)/(HLOOKUP($D333,RentsUA!$K$12:$Q$35,19,FALSE)),""))</f>
        <v/>
      </c>
      <c r="P333" s="469" t="str">
        <f>IF($M333=0,"",IFERROR(($M333+K333+L333)/(HLOOKUP($D333,RentsUA!$K$12:$Q$35,19,FALSE)),""))</f>
        <v/>
      </c>
      <c r="Q333" s="411"/>
      <c r="R333" s="673" t="str">
        <f>IF($Q333=0,"",VLOOKUP($Q333,RentsUA!$A$12:$H$35,MATCH($D333,RentsUA!$A$12:$H$12,0),FALSE))</f>
        <v/>
      </c>
      <c r="S333" s="409"/>
      <c r="T333" s="674"/>
      <c r="U333" s="672"/>
      <c r="V333" s="673" t="str">
        <f t="shared" si="71"/>
        <v/>
      </c>
      <c r="W333" s="470"/>
      <c r="X333" s="411"/>
      <c r="Y333" s="410" t="str">
        <f>IF(X333=0,"",VLOOKUP($X333,RentsUA!$A$12:$H$35,MATCH($D333,RentsUA!$A$12:$H$12,0),FALSE))</f>
        <v/>
      </c>
      <c r="Z333" s="410" t="str">
        <f t="shared" ref="Z333:Z396" si="79">IF(Y333&lt;&gt;"",Y333-L333,"")</f>
        <v/>
      </c>
      <c r="AA333" s="1297" t="str">
        <f>IF(H333="","",IF(G333/HLOOKUP($H333,RentsUA!$M$8:$T$9,2,FALSE)&gt;1,"&gt; 80%","&lt;= 80%"))</f>
        <v/>
      </c>
      <c r="AB333" s="1106"/>
      <c r="AC333" s="1106"/>
      <c r="AD333" s="622"/>
      <c r="AE333" s="412"/>
      <c r="AF333" s="807" t="str">
        <f>IF(AD333="","",IF(AD333=Lists!$U$3,M333,IF(AD333=Lists!$U$4,V333,IF(AD333=Lists!$U$5,Y333-L333,AE333))))</f>
        <v/>
      </c>
      <c r="AG333" s="410" t="str">
        <f t="shared" ref="AG333:AG396" si="80">IFERROR(AF333+L333,"")</f>
        <v/>
      </c>
      <c r="AH333" s="469" t="str">
        <f t="shared" ref="AH333:AH396" si="81">IFERROR(($AF333-$M333)/$M333,"")</f>
        <v/>
      </c>
      <c r="AI333" s="469" t="str">
        <f>IF($AF333=0,0,IFERROR(($L333+$AF333)/(HLOOKUP($D333,RentsUA!$K$12:$Q$35,19,FALSE)),""))</f>
        <v/>
      </c>
      <c r="AJ333" s="469" t="str">
        <f>IF($AF333=0,0,IFERROR(($AF333+K333+L333)/(HLOOKUP($D333,RentsUA!$K$12:$Q$35,19,FALSE)),""))</f>
        <v/>
      </c>
      <c r="AK333" s="469" t="str">
        <f t="shared" si="72"/>
        <v/>
      </c>
      <c r="AL333" s="469" t="str">
        <f t="shared" si="73"/>
        <v/>
      </c>
      <c r="AM333" s="1106" t="str">
        <f t="shared" si="74"/>
        <v/>
      </c>
      <c r="AN333" s="1106" t="str">
        <f>IFERROR(AM333*(1+'7a.20YrDetails'!$F$9),"")</f>
        <v/>
      </c>
      <c r="AO333" s="1106" t="str">
        <f>IFERROR(AN333*(1+'7a.20YrDetails'!$F$9),"")</f>
        <v/>
      </c>
      <c r="AP333" s="1106" t="str">
        <f>IFERROR(AO333*(1+'7a.20YrDetails'!$F$9),"")</f>
        <v/>
      </c>
      <c r="AQ333" s="1106" t="str">
        <f>IFERROR(AP333*(1+'7a.20YrDetails'!$F$9),"")</f>
        <v/>
      </c>
      <c r="AR333" s="674"/>
      <c r="AS333" s="672"/>
      <c r="AT333" s="1732" t="str">
        <f>IF($AF333=0,0,IFERROR(($AF333+L333)/(HLOOKUP($D333,RentsUA!$B$61:$H$62,2,FALSE)),""))</f>
        <v/>
      </c>
      <c r="AU333" s="1733" t="str">
        <f>IFERROR(G333/HLOOKUP(H333,RentsUA!$B$40:$I$41,2),"")</f>
        <v/>
      </c>
      <c r="BR333" s="404" t="str">
        <f t="shared" si="75"/>
        <v/>
      </c>
      <c r="BT333" s="404" t="str">
        <f t="shared" ref="BT333:BT396" si="82">IF(X333="","",CONCATENATE("MOHCD ",X333*100,"%"))</f>
        <v/>
      </c>
    </row>
    <row r="334" spans="1:72" s="404" customFormat="1" ht="13.2">
      <c r="A334" s="406">
        <f t="shared" si="76"/>
        <v>322</v>
      </c>
      <c r="B334" s="472"/>
      <c r="C334" s="470"/>
      <c r="D334" s="407"/>
      <c r="E334" s="407"/>
      <c r="F334" s="408"/>
      <c r="G334" s="409"/>
      <c r="H334" s="407"/>
      <c r="I334" s="1029" t="str">
        <f>IFERROR(G334/HLOOKUP(H334,RentsUA!$B$8:$J$9,2),"")</f>
        <v/>
      </c>
      <c r="J334" s="407"/>
      <c r="K334" s="412"/>
      <c r="L334" s="672">
        <f t="shared" si="77"/>
        <v>0</v>
      </c>
      <c r="M334" s="671"/>
      <c r="N334" s="410">
        <f t="shared" si="78"/>
        <v>0</v>
      </c>
      <c r="O334" s="469" t="str">
        <f>IF($M334=0,"",IFERROR(($L334+$M334)/(HLOOKUP($D334,RentsUA!$K$12:$Q$35,19,FALSE)),""))</f>
        <v/>
      </c>
      <c r="P334" s="469" t="str">
        <f>IF($M334=0,"",IFERROR(($M334+K334+L334)/(HLOOKUP($D334,RentsUA!$K$12:$Q$35,19,FALSE)),""))</f>
        <v/>
      </c>
      <c r="Q334" s="411"/>
      <c r="R334" s="673" t="str">
        <f>IF($Q334=0,"",VLOOKUP($Q334,RentsUA!$A$12:$H$35,MATCH($D334,RentsUA!$A$12:$H$12,0),FALSE))</f>
        <v/>
      </c>
      <c r="S334" s="409"/>
      <c r="T334" s="674"/>
      <c r="U334" s="672"/>
      <c r="V334" s="673" t="str">
        <f t="shared" ref="V334:V397" si="83">IF(Q334&lt;&gt;"",R334-L334,IF(U334&lt;&gt;0,U334-L334,""))</f>
        <v/>
      </c>
      <c r="W334" s="470"/>
      <c r="X334" s="411"/>
      <c r="Y334" s="410" t="str">
        <f>IF(X334=0,"",VLOOKUP($X334,RentsUA!$A$12:$H$35,MATCH($D334,RentsUA!$A$12:$H$12,0),FALSE))</f>
        <v/>
      </c>
      <c r="Z334" s="410" t="str">
        <f t="shared" si="79"/>
        <v/>
      </c>
      <c r="AA334" s="1297" t="str">
        <f>IF(H334="","",IF(G334/HLOOKUP($H334,RentsUA!$M$8:$T$9,2,FALSE)&gt;1,"&gt; 80%","&lt;= 80%"))</f>
        <v/>
      </c>
      <c r="AB334" s="1106"/>
      <c r="AC334" s="1106"/>
      <c r="AD334" s="622"/>
      <c r="AE334" s="412"/>
      <c r="AF334" s="807" t="str">
        <f>IF(AD334="","",IF(AD334=Lists!$U$3,M334,IF(AD334=Lists!$U$4,V334,IF(AD334=Lists!$U$5,Y334-L334,AE334))))</f>
        <v/>
      </c>
      <c r="AG334" s="410" t="str">
        <f t="shared" si="80"/>
        <v/>
      </c>
      <c r="AH334" s="469" t="str">
        <f t="shared" si="81"/>
        <v/>
      </c>
      <c r="AI334" s="469" t="str">
        <f>IF($AF334=0,0,IFERROR(($L334+$AF334)/(HLOOKUP($D334,RentsUA!$K$12:$Q$35,19,FALSE)),""))</f>
        <v/>
      </c>
      <c r="AJ334" s="469" t="str">
        <f>IF($AF334=0,0,IFERROR(($AF334+K334+L334)/(HLOOKUP($D334,RentsUA!$K$12:$Q$35,19,FALSE)),""))</f>
        <v/>
      </c>
      <c r="AK334" s="469" t="str">
        <f t="shared" ref="AK334:AK397" si="84">IFERROR(AG334*12/G334,"")</f>
        <v/>
      </c>
      <c r="AL334" s="469" t="str">
        <f t="shared" ref="AL334:AL397" si="85">IFERROR(AF334*12/$G334,"")</f>
        <v/>
      </c>
      <c r="AM334" s="1106" t="str">
        <f t="shared" ref="AM334:AM397" si="86">AF334</f>
        <v/>
      </c>
      <c r="AN334" s="1106" t="str">
        <f>IFERROR(AM334*(1+'7a.20YrDetails'!$F$9),"")</f>
        <v/>
      </c>
      <c r="AO334" s="1106" t="str">
        <f>IFERROR(AN334*(1+'7a.20YrDetails'!$F$9),"")</f>
        <v/>
      </c>
      <c r="AP334" s="1106" t="str">
        <f>IFERROR(AO334*(1+'7a.20YrDetails'!$F$9),"")</f>
        <v/>
      </c>
      <c r="AQ334" s="1106" t="str">
        <f>IFERROR(AP334*(1+'7a.20YrDetails'!$F$9),"")</f>
        <v/>
      </c>
      <c r="AR334" s="674"/>
      <c r="AS334" s="672"/>
      <c r="AT334" s="1732" t="str">
        <f>IF($AF334=0,0,IFERROR(($AF334+L334)/(HLOOKUP($D334,RentsUA!$B$61:$H$62,2,FALSE)),""))</f>
        <v/>
      </c>
      <c r="AU334" s="1733" t="str">
        <f>IFERROR(G334/HLOOKUP(H334,RentsUA!$B$40:$I$41,2),"")</f>
        <v/>
      </c>
      <c r="BR334" s="404" t="str">
        <f t="shared" ref="BR334:BR397" si="87">IF(Q334&lt;&gt;"","MOHCD "&amp;Q334*100&amp;"%",IF(AND(Q334="",S334&lt;&gt;""),CONCATENATE(S334, " ",T334*100,"%"),""))</f>
        <v/>
      </c>
      <c r="BT334" s="404" t="str">
        <f t="shared" si="82"/>
        <v/>
      </c>
    </row>
    <row r="335" spans="1:72" s="404" customFormat="1" ht="13.2">
      <c r="A335" s="406">
        <f t="shared" ref="A335:A398" si="88">A334+1</f>
        <v>323</v>
      </c>
      <c r="B335" s="472"/>
      <c r="C335" s="470"/>
      <c r="D335" s="407"/>
      <c r="E335" s="407"/>
      <c r="F335" s="408"/>
      <c r="G335" s="409"/>
      <c r="H335" s="407"/>
      <c r="I335" s="1029" t="str">
        <f>IFERROR(G335/HLOOKUP(H335,RentsUA!$B$8:$J$9,2),"")</f>
        <v/>
      </c>
      <c r="J335" s="407"/>
      <c r="K335" s="412"/>
      <c r="L335" s="672">
        <f t="shared" si="77"/>
        <v>0</v>
      </c>
      <c r="M335" s="671"/>
      <c r="N335" s="410">
        <f t="shared" si="78"/>
        <v>0</v>
      </c>
      <c r="O335" s="469" t="str">
        <f>IF($M335=0,"",IFERROR(($L335+$M335)/(HLOOKUP($D335,RentsUA!$K$12:$Q$35,19,FALSE)),""))</f>
        <v/>
      </c>
      <c r="P335" s="469" t="str">
        <f>IF($M335=0,"",IFERROR(($M335+K335+L335)/(HLOOKUP($D335,RentsUA!$K$12:$Q$35,19,FALSE)),""))</f>
        <v/>
      </c>
      <c r="Q335" s="411"/>
      <c r="R335" s="673" t="str">
        <f>IF($Q335=0,"",VLOOKUP($Q335,RentsUA!$A$12:$H$35,MATCH($D335,RentsUA!$A$12:$H$12,0),FALSE))</f>
        <v/>
      </c>
      <c r="S335" s="409"/>
      <c r="T335" s="674"/>
      <c r="U335" s="672"/>
      <c r="V335" s="673" t="str">
        <f t="shared" si="83"/>
        <v/>
      </c>
      <c r="W335" s="470"/>
      <c r="X335" s="411"/>
      <c r="Y335" s="410" t="str">
        <f>IF(X335=0,"",VLOOKUP($X335,RentsUA!$A$12:$H$35,MATCH($D335,RentsUA!$A$12:$H$12,0),FALSE))</f>
        <v/>
      </c>
      <c r="Z335" s="410" t="str">
        <f t="shared" si="79"/>
        <v/>
      </c>
      <c r="AA335" s="1297" t="str">
        <f>IF(H335="","",IF(G335/HLOOKUP($H335,RentsUA!$M$8:$T$9,2,FALSE)&gt;1,"&gt; 80%","&lt;= 80%"))</f>
        <v/>
      </c>
      <c r="AB335" s="1106"/>
      <c r="AC335" s="1106"/>
      <c r="AD335" s="622"/>
      <c r="AE335" s="412"/>
      <c r="AF335" s="807" t="str">
        <f>IF(AD335="","",IF(AD335=Lists!$U$3,M335,IF(AD335=Lists!$U$4,V335,IF(AD335=Lists!$U$5,Y335-L335,AE335))))</f>
        <v/>
      </c>
      <c r="AG335" s="410" t="str">
        <f t="shared" si="80"/>
        <v/>
      </c>
      <c r="AH335" s="469" t="str">
        <f t="shared" si="81"/>
        <v/>
      </c>
      <c r="AI335" s="469" t="str">
        <f>IF($AF335=0,0,IFERROR(($L335+$AF335)/(HLOOKUP($D335,RentsUA!$K$12:$Q$35,19,FALSE)),""))</f>
        <v/>
      </c>
      <c r="AJ335" s="469" t="str">
        <f>IF($AF335=0,0,IFERROR(($AF335+K335+L335)/(HLOOKUP($D335,RentsUA!$K$12:$Q$35,19,FALSE)),""))</f>
        <v/>
      </c>
      <c r="AK335" s="469" t="str">
        <f t="shared" si="84"/>
        <v/>
      </c>
      <c r="AL335" s="469" t="str">
        <f t="shared" si="85"/>
        <v/>
      </c>
      <c r="AM335" s="1106" t="str">
        <f t="shared" si="86"/>
        <v/>
      </c>
      <c r="AN335" s="1106" t="str">
        <f>IFERROR(AM335*(1+'7a.20YrDetails'!$F$9),"")</f>
        <v/>
      </c>
      <c r="AO335" s="1106" t="str">
        <f>IFERROR(AN335*(1+'7a.20YrDetails'!$F$9),"")</f>
        <v/>
      </c>
      <c r="AP335" s="1106" t="str">
        <f>IFERROR(AO335*(1+'7a.20YrDetails'!$F$9),"")</f>
        <v/>
      </c>
      <c r="AQ335" s="1106" t="str">
        <f>IFERROR(AP335*(1+'7a.20YrDetails'!$F$9),"")</f>
        <v/>
      </c>
      <c r="AR335" s="674"/>
      <c r="AS335" s="672"/>
      <c r="AT335" s="1732" t="str">
        <f>IF($AF335=0,0,IFERROR(($AF335+L335)/(HLOOKUP($D335,RentsUA!$B$61:$H$62,2,FALSE)),""))</f>
        <v/>
      </c>
      <c r="AU335" s="1733" t="str">
        <f>IFERROR(G335/HLOOKUP(H335,RentsUA!$B$40:$I$41,2),"")</f>
        <v/>
      </c>
      <c r="BR335" s="404" t="str">
        <f t="shared" si="87"/>
        <v/>
      </c>
      <c r="BT335" s="404" t="str">
        <f t="shared" si="82"/>
        <v/>
      </c>
    </row>
    <row r="336" spans="1:72" s="404" customFormat="1" ht="13.2">
      <c r="A336" s="406">
        <f t="shared" si="88"/>
        <v>324</v>
      </c>
      <c r="B336" s="472"/>
      <c r="C336" s="470"/>
      <c r="D336" s="407"/>
      <c r="E336" s="407"/>
      <c r="F336" s="408"/>
      <c r="G336" s="409"/>
      <c r="H336" s="407"/>
      <c r="I336" s="1029" t="str">
        <f>IFERROR(G336/HLOOKUP(H336,RentsUA!$B$8:$J$9,2),"")</f>
        <v/>
      </c>
      <c r="J336" s="407"/>
      <c r="K336" s="412"/>
      <c r="L336" s="672">
        <f t="shared" si="77"/>
        <v>0</v>
      </c>
      <c r="M336" s="671"/>
      <c r="N336" s="410">
        <f t="shared" si="78"/>
        <v>0</v>
      </c>
      <c r="O336" s="469" t="str">
        <f>IF($M336=0,"",IFERROR(($L336+$M336)/(HLOOKUP($D336,RentsUA!$K$12:$Q$35,19,FALSE)),""))</f>
        <v/>
      </c>
      <c r="P336" s="469" t="str">
        <f>IF($M336=0,"",IFERROR(($M336+K336+L336)/(HLOOKUP($D336,RentsUA!$K$12:$Q$35,19,FALSE)),""))</f>
        <v/>
      </c>
      <c r="Q336" s="411"/>
      <c r="R336" s="673" t="str">
        <f>IF($Q336=0,"",VLOOKUP($Q336,RentsUA!$A$12:$H$35,MATCH($D336,RentsUA!$A$12:$H$12,0),FALSE))</f>
        <v/>
      </c>
      <c r="S336" s="409"/>
      <c r="T336" s="674"/>
      <c r="U336" s="672"/>
      <c r="V336" s="673" t="str">
        <f t="shared" si="83"/>
        <v/>
      </c>
      <c r="W336" s="470"/>
      <c r="X336" s="411"/>
      <c r="Y336" s="410" t="str">
        <f>IF(X336=0,"",VLOOKUP($X336,RentsUA!$A$12:$H$35,MATCH($D336,RentsUA!$A$12:$H$12,0),FALSE))</f>
        <v/>
      </c>
      <c r="Z336" s="410" t="str">
        <f t="shared" si="79"/>
        <v/>
      </c>
      <c r="AA336" s="1297" t="str">
        <f>IF(H336="","",IF(G336/HLOOKUP($H336,RentsUA!$M$8:$T$9,2,FALSE)&gt;1,"&gt; 80%","&lt;= 80%"))</f>
        <v/>
      </c>
      <c r="AB336" s="1106"/>
      <c r="AC336" s="1106"/>
      <c r="AD336" s="622"/>
      <c r="AE336" s="412"/>
      <c r="AF336" s="807" t="str">
        <f>IF(AD336="","",IF(AD336=Lists!$U$3,M336,IF(AD336=Lists!$U$4,V336,IF(AD336=Lists!$U$5,Y336-L336,AE336))))</f>
        <v/>
      </c>
      <c r="AG336" s="410" t="str">
        <f t="shared" si="80"/>
        <v/>
      </c>
      <c r="AH336" s="469" t="str">
        <f t="shared" si="81"/>
        <v/>
      </c>
      <c r="AI336" s="469" t="str">
        <f>IF($AF336=0,0,IFERROR(($L336+$AF336)/(HLOOKUP($D336,RentsUA!$K$12:$Q$35,19,FALSE)),""))</f>
        <v/>
      </c>
      <c r="AJ336" s="469" t="str">
        <f>IF($AF336=0,0,IFERROR(($AF336+K336+L336)/(HLOOKUP($D336,RentsUA!$K$12:$Q$35,19,FALSE)),""))</f>
        <v/>
      </c>
      <c r="AK336" s="469" t="str">
        <f t="shared" si="84"/>
        <v/>
      </c>
      <c r="AL336" s="469" t="str">
        <f t="shared" si="85"/>
        <v/>
      </c>
      <c r="AM336" s="1106" t="str">
        <f t="shared" si="86"/>
        <v/>
      </c>
      <c r="AN336" s="1106" t="str">
        <f>IFERROR(AM336*(1+'7a.20YrDetails'!$F$9),"")</f>
        <v/>
      </c>
      <c r="AO336" s="1106" t="str">
        <f>IFERROR(AN336*(1+'7a.20YrDetails'!$F$9),"")</f>
        <v/>
      </c>
      <c r="AP336" s="1106" t="str">
        <f>IFERROR(AO336*(1+'7a.20YrDetails'!$F$9),"")</f>
        <v/>
      </c>
      <c r="AQ336" s="1106" t="str">
        <f>IFERROR(AP336*(1+'7a.20YrDetails'!$F$9),"")</f>
        <v/>
      </c>
      <c r="AR336" s="674"/>
      <c r="AS336" s="672"/>
      <c r="AT336" s="1732" t="str">
        <f>IF($AF336=0,0,IFERROR(($AF336+L336)/(HLOOKUP($D336,RentsUA!$B$61:$H$62,2,FALSE)),""))</f>
        <v/>
      </c>
      <c r="AU336" s="1733" t="str">
        <f>IFERROR(G336/HLOOKUP(H336,RentsUA!$B$40:$I$41,2),"")</f>
        <v/>
      </c>
      <c r="BR336" s="404" t="str">
        <f t="shared" si="87"/>
        <v/>
      </c>
      <c r="BT336" s="404" t="str">
        <f t="shared" si="82"/>
        <v/>
      </c>
    </row>
    <row r="337" spans="1:72" s="404" customFormat="1" ht="13.2">
      <c r="A337" s="406">
        <f t="shared" si="88"/>
        <v>325</v>
      </c>
      <c r="B337" s="472"/>
      <c r="C337" s="470"/>
      <c r="D337" s="407"/>
      <c r="E337" s="407"/>
      <c r="F337" s="408"/>
      <c r="G337" s="409"/>
      <c r="H337" s="407"/>
      <c r="I337" s="1029" t="str">
        <f>IFERROR(G337/HLOOKUP(H337,RentsUA!$B$8:$J$9,2),"")</f>
        <v/>
      </c>
      <c r="J337" s="407"/>
      <c r="K337" s="412"/>
      <c r="L337" s="672">
        <f t="shared" si="77"/>
        <v>0</v>
      </c>
      <c r="M337" s="671"/>
      <c r="N337" s="410">
        <f t="shared" si="78"/>
        <v>0</v>
      </c>
      <c r="O337" s="469" t="str">
        <f>IF($M337=0,"",IFERROR(($L337+$M337)/(HLOOKUP($D337,RentsUA!$K$12:$Q$35,19,FALSE)),""))</f>
        <v/>
      </c>
      <c r="P337" s="469" t="str">
        <f>IF($M337=0,"",IFERROR(($M337+K337+L337)/(HLOOKUP($D337,RentsUA!$K$12:$Q$35,19,FALSE)),""))</f>
        <v/>
      </c>
      <c r="Q337" s="411"/>
      <c r="R337" s="673" t="str">
        <f>IF($Q337=0,"",VLOOKUP($Q337,RentsUA!$A$12:$H$35,MATCH($D337,RentsUA!$A$12:$H$12,0),FALSE))</f>
        <v/>
      </c>
      <c r="S337" s="409"/>
      <c r="T337" s="674"/>
      <c r="U337" s="672"/>
      <c r="V337" s="673" t="str">
        <f t="shared" si="83"/>
        <v/>
      </c>
      <c r="W337" s="470"/>
      <c r="X337" s="411"/>
      <c r="Y337" s="410" t="str">
        <f>IF(X337=0,"",VLOOKUP($X337,RentsUA!$A$12:$H$35,MATCH($D337,RentsUA!$A$12:$H$12,0),FALSE))</f>
        <v/>
      </c>
      <c r="Z337" s="410" t="str">
        <f t="shared" si="79"/>
        <v/>
      </c>
      <c r="AA337" s="1297" t="str">
        <f>IF(H337="","",IF(G337/HLOOKUP($H337,RentsUA!$M$8:$T$9,2,FALSE)&gt;1,"&gt; 80%","&lt;= 80%"))</f>
        <v/>
      </c>
      <c r="AB337" s="1106"/>
      <c r="AC337" s="1106"/>
      <c r="AD337" s="622"/>
      <c r="AE337" s="412"/>
      <c r="AF337" s="807" t="str">
        <f>IF(AD337="","",IF(AD337=Lists!$U$3,M337,IF(AD337=Lists!$U$4,V337,IF(AD337=Lists!$U$5,Y337-L337,AE337))))</f>
        <v/>
      </c>
      <c r="AG337" s="410" t="str">
        <f t="shared" si="80"/>
        <v/>
      </c>
      <c r="AH337" s="469" t="str">
        <f t="shared" si="81"/>
        <v/>
      </c>
      <c r="AI337" s="469" t="str">
        <f>IF($AF337=0,0,IFERROR(($L337+$AF337)/(HLOOKUP($D337,RentsUA!$K$12:$Q$35,19,FALSE)),""))</f>
        <v/>
      </c>
      <c r="AJ337" s="469" t="str">
        <f>IF($AF337=0,0,IFERROR(($AF337+K337+L337)/(HLOOKUP($D337,RentsUA!$K$12:$Q$35,19,FALSE)),""))</f>
        <v/>
      </c>
      <c r="AK337" s="469" t="str">
        <f t="shared" si="84"/>
        <v/>
      </c>
      <c r="AL337" s="469" t="str">
        <f t="shared" si="85"/>
        <v/>
      </c>
      <c r="AM337" s="1106" t="str">
        <f t="shared" si="86"/>
        <v/>
      </c>
      <c r="AN337" s="1106" t="str">
        <f>IFERROR(AM337*(1+'7a.20YrDetails'!$F$9),"")</f>
        <v/>
      </c>
      <c r="AO337" s="1106" t="str">
        <f>IFERROR(AN337*(1+'7a.20YrDetails'!$F$9),"")</f>
        <v/>
      </c>
      <c r="AP337" s="1106" t="str">
        <f>IFERROR(AO337*(1+'7a.20YrDetails'!$F$9),"")</f>
        <v/>
      </c>
      <c r="AQ337" s="1106" t="str">
        <f>IFERROR(AP337*(1+'7a.20YrDetails'!$F$9),"")</f>
        <v/>
      </c>
      <c r="AR337" s="674"/>
      <c r="AS337" s="672"/>
      <c r="AT337" s="1732" t="str">
        <f>IF($AF337=0,0,IFERROR(($AF337+L337)/(HLOOKUP($D337,RentsUA!$B$61:$H$62,2,FALSE)),""))</f>
        <v/>
      </c>
      <c r="AU337" s="1733" t="str">
        <f>IFERROR(G337/HLOOKUP(H337,RentsUA!$B$40:$I$41,2),"")</f>
        <v/>
      </c>
      <c r="BR337" s="404" t="str">
        <f t="shared" si="87"/>
        <v/>
      </c>
      <c r="BT337" s="404" t="str">
        <f t="shared" si="82"/>
        <v/>
      </c>
    </row>
    <row r="338" spans="1:72" s="404" customFormat="1" ht="13.2">
      <c r="A338" s="406">
        <f t="shared" si="88"/>
        <v>326</v>
      </c>
      <c r="B338" s="472"/>
      <c r="C338" s="470"/>
      <c r="D338" s="407"/>
      <c r="E338" s="407"/>
      <c r="F338" s="408"/>
      <c r="G338" s="409"/>
      <c r="H338" s="407"/>
      <c r="I338" s="1029" t="str">
        <f>IFERROR(G338/HLOOKUP(H338,RentsUA!$B$8:$J$9,2),"")</f>
        <v/>
      </c>
      <c r="J338" s="407"/>
      <c r="K338" s="412"/>
      <c r="L338" s="672">
        <f t="shared" si="77"/>
        <v>0</v>
      </c>
      <c r="M338" s="671"/>
      <c r="N338" s="410">
        <f t="shared" si="78"/>
        <v>0</v>
      </c>
      <c r="O338" s="469" t="str">
        <f>IF($M338=0,"",IFERROR(($L338+$M338)/(HLOOKUP($D338,RentsUA!$K$12:$Q$35,19,FALSE)),""))</f>
        <v/>
      </c>
      <c r="P338" s="469" t="str">
        <f>IF($M338=0,"",IFERROR(($M338+K338+L338)/(HLOOKUP($D338,RentsUA!$K$12:$Q$35,19,FALSE)),""))</f>
        <v/>
      </c>
      <c r="Q338" s="411"/>
      <c r="R338" s="673" t="str">
        <f>IF($Q338=0,"",VLOOKUP($Q338,RentsUA!$A$12:$H$35,MATCH($D338,RentsUA!$A$12:$H$12,0),FALSE))</f>
        <v/>
      </c>
      <c r="S338" s="409"/>
      <c r="T338" s="674"/>
      <c r="U338" s="672"/>
      <c r="V338" s="673" t="str">
        <f t="shared" si="83"/>
        <v/>
      </c>
      <c r="W338" s="470"/>
      <c r="X338" s="411"/>
      <c r="Y338" s="410" t="str">
        <f>IF(X338=0,"",VLOOKUP($X338,RentsUA!$A$12:$H$35,MATCH($D338,RentsUA!$A$12:$H$12,0),FALSE))</f>
        <v/>
      </c>
      <c r="Z338" s="410" t="str">
        <f t="shared" si="79"/>
        <v/>
      </c>
      <c r="AA338" s="1297" t="str">
        <f>IF(H338="","",IF(G338/HLOOKUP($H338,RentsUA!$M$8:$T$9,2,FALSE)&gt;1,"&gt; 80%","&lt;= 80%"))</f>
        <v/>
      </c>
      <c r="AB338" s="1106"/>
      <c r="AC338" s="1106"/>
      <c r="AD338" s="622"/>
      <c r="AE338" s="412"/>
      <c r="AF338" s="807" t="str">
        <f>IF(AD338="","",IF(AD338=Lists!$U$3,M338,IF(AD338=Lists!$U$4,V338,IF(AD338=Lists!$U$5,Y338-L338,AE338))))</f>
        <v/>
      </c>
      <c r="AG338" s="410" t="str">
        <f t="shared" si="80"/>
        <v/>
      </c>
      <c r="AH338" s="469" t="str">
        <f t="shared" si="81"/>
        <v/>
      </c>
      <c r="AI338" s="469" t="str">
        <f>IF($AF338=0,0,IFERROR(($L338+$AF338)/(HLOOKUP($D338,RentsUA!$K$12:$Q$35,19,FALSE)),""))</f>
        <v/>
      </c>
      <c r="AJ338" s="469" t="str">
        <f>IF($AF338=0,0,IFERROR(($AF338+K338+L338)/(HLOOKUP($D338,RentsUA!$K$12:$Q$35,19,FALSE)),""))</f>
        <v/>
      </c>
      <c r="AK338" s="469" t="str">
        <f t="shared" si="84"/>
        <v/>
      </c>
      <c r="AL338" s="469" t="str">
        <f t="shared" si="85"/>
        <v/>
      </c>
      <c r="AM338" s="1106" t="str">
        <f t="shared" si="86"/>
        <v/>
      </c>
      <c r="AN338" s="1106" t="str">
        <f>IFERROR(AM338*(1+'7a.20YrDetails'!$F$9),"")</f>
        <v/>
      </c>
      <c r="AO338" s="1106" t="str">
        <f>IFERROR(AN338*(1+'7a.20YrDetails'!$F$9),"")</f>
        <v/>
      </c>
      <c r="AP338" s="1106" t="str">
        <f>IFERROR(AO338*(1+'7a.20YrDetails'!$F$9),"")</f>
        <v/>
      </c>
      <c r="AQ338" s="1106" t="str">
        <f>IFERROR(AP338*(1+'7a.20YrDetails'!$F$9),"")</f>
        <v/>
      </c>
      <c r="AR338" s="674"/>
      <c r="AS338" s="672"/>
      <c r="AT338" s="1732" t="str">
        <f>IF($AF338=0,0,IFERROR(($AF338+L338)/(HLOOKUP($D338,RentsUA!$B$61:$H$62,2,FALSE)),""))</f>
        <v/>
      </c>
      <c r="AU338" s="1733" t="str">
        <f>IFERROR(G338/HLOOKUP(H338,RentsUA!$B$40:$I$41,2),"")</f>
        <v/>
      </c>
      <c r="BR338" s="404" t="str">
        <f t="shared" si="87"/>
        <v/>
      </c>
      <c r="BT338" s="404" t="str">
        <f t="shared" si="82"/>
        <v/>
      </c>
    </row>
    <row r="339" spans="1:72" s="404" customFormat="1" ht="13.2">
      <c r="A339" s="406">
        <f t="shared" si="88"/>
        <v>327</v>
      </c>
      <c r="B339" s="472"/>
      <c r="C339" s="470"/>
      <c r="D339" s="407"/>
      <c r="E339" s="407"/>
      <c r="F339" s="408"/>
      <c r="G339" s="409"/>
      <c r="H339" s="407"/>
      <c r="I339" s="1029" t="str">
        <f>IFERROR(G339/HLOOKUP(H339,RentsUA!$B$8:$J$9,2),"")</f>
        <v/>
      </c>
      <c r="J339" s="407"/>
      <c r="K339" s="412"/>
      <c r="L339" s="672">
        <f t="shared" si="77"/>
        <v>0</v>
      </c>
      <c r="M339" s="671"/>
      <c r="N339" s="410">
        <f t="shared" si="78"/>
        <v>0</v>
      </c>
      <c r="O339" s="469" t="str">
        <f>IF($M339=0,"",IFERROR(($L339+$M339)/(HLOOKUP($D339,RentsUA!$K$12:$Q$35,19,FALSE)),""))</f>
        <v/>
      </c>
      <c r="P339" s="469" t="str">
        <f>IF($M339=0,"",IFERROR(($M339+K339+L339)/(HLOOKUP($D339,RentsUA!$K$12:$Q$35,19,FALSE)),""))</f>
        <v/>
      </c>
      <c r="Q339" s="411"/>
      <c r="R339" s="673" t="str">
        <f>IF($Q339=0,"",VLOOKUP($Q339,RentsUA!$A$12:$H$35,MATCH($D339,RentsUA!$A$12:$H$12,0),FALSE))</f>
        <v/>
      </c>
      <c r="S339" s="409"/>
      <c r="T339" s="674"/>
      <c r="U339" s="672"/>
      <c r="V339" s="673" t="str">
        <f t="shared" si="83"/>
        <v/>
      </c>
      <c r="W339" s="470"/>
      <c r="X339" s="411"/>
      <c r="Y339" s="410" t="str">
        <f>IF(X339=0,"",VLOOKUP($X339,RentsUA!$A$12:$H$35,MATCH($D339,RentsUA!$A$12:$H$12,0),FALSE))</f>
        <v/>
      </c>
      <c r="Z339" s="410" t="str">
        <f t="shared" si="79"/>
        <v/>
      </c>
      <c r="AA339" s="1297" t="str">
        <f>IF(H339="","",IF(G339/HLOOKUP($H339,RentsUA!$M$8:$T$9,2,FALSE)&gt;1,"&gt; 80%","&lt;= 80%"))</f>
        <v/>
      </c>
      <c r="AB339" s="1106"/>
      <c r="AC339" s="1106"/>
      <c r="AD339" s="622"/>
      <c r="AE339" s="412"/>
      <c r="AF339" s="807" t="str">
        <f>IF(AD339="","",IF(AD339=Lists!$U$3,M339,IF(AD339=Lists!$U$4,V339,IF(AD339=Lists!$U$5,Y339-L339,AE339))))</f>
        <v/>
      </c>
      <c r="AG339" s="410" t="str">
        <f t="shared" si="80"/>
        <v/>
      </c>
      <c r="AH339" s="469" t="str">
        <f t="shared" si="81"/>
        <v/>
      </c>
      <c r="AI339" s="469" t="str">
        <f>IF($AF339=0,0,IFERROR(($L339+$AF339)/(HLOOKUP($D339,RentsUA!$K$12:$Q$35,19,FALSE)),""))</f>
        <v/>
      </c>
      <c r="AJ339" s="469" t="str">
        <f>IF($AF339=0,0,IFERROR(($AF339+K339+L339)/(HLOOKUP($D339,RentsUA!$K$12:$Q$35,19,FALSE)),""))</f>
        <v/>
      </c>
      <c r="AK339" s="469" t="str">
        <f t="shared" si="84"/>
        <v/>
      </c>
      <c r="AL339" s="469" t="str">
        <f t="shared" si="85"/>
        <v/>
      </c>
      <c r="AM339" s="1106" t="str">
        <f t="shared" si="86"/>
        <v/>
      </c>
      <c r="AN339" s="1106" t="str">
        <f>IFERROR(AM339*(1+'7a.20YrDetails'!$F$9),"")</f>
        <v/>
      </c>
      <c r="AO339" s="1106" t="str">
        <f>IFERROR(AN339*(1+'7a.20YrDetails'!$F$9),"")</f>
        <v/>
      </c>
      <c r="AP339" s="1106" t="str">
        <f>IFERROR(AO339*(1+'7a.20YrDetails'!$F$9),"")</f>
        <v/>
      </c>
      <c r="AQ339" s="1106" t="str">
        <f>IFERROR(AP339*(1+'7a.20YrDetails'!$F$9),"")</f>
        <v/>
      </c>
      <c r="AR339" s="674"/>
      <c r="AS339" s="672"/>
      <c r="AT339" s="1732" t="str">
        <f>IF($AF339=0,0,IFERROR(($AF339+L339)/(HLOOKUP($D339,RentsUA!$B$61:$H$62,2,FALSE)),""))</f>
        <v/>
      </c>
      <c r="AU339" s="1733" t="str">
        <f>IFERROR(G339/HLOOKUP(H339,RentsUA!$B$40:$I$41,2),"")</f>
        <v/>
      </c>
      <c r="BR339" s="404" t="str">
        <f t="shared" si="87"/>
        <v/>
      </c>
      <c r="BT339" s="404" t="str">
        <f t="shared" si="82"/>
        <v/>
      </c>
    </row>
    <row r="340" spans="1:72" s="404" customFormat="1" ht="13.2">
      <c r="A340" s="406">
        <f t="shared" si="88"/>
        <v>328</v>
      </c>
      <c r="B340" s="472"/>
      <c r="C340" s="470"/>
      <c r="D340" s="407"/>
      <c r="E340" s="407"/>
      <c r="F340" s="408"/>
      <c r="G340" s="409"/>
      <c r="H340" s="407"/>
      <c r="I340" s="1029" t="str">
        <f>IFERROR(G340/HLOOKUP(H340,RentsUA!$B$8:$J$9,2),"")</f>
        <v/>
      </c>
      <c r="J340" s="407"/>
      <c r="K340" s="412"/>
      <c r="L340" s="672">
        <f t="shared" si="77"/>
        <v>0</v>
      </c>
      <c r="M340" s="671"/>
      <c r="N340" s="410">
        <f t="shared" si="78"/>
        <v>0</v>
      </c>
      <c r="O340" s="469" t="str">
        <f>IF($M340=0,"",IFERROR(($L340+$M340)/(HLOOKUP($D340,RentsUA!$K$12:$Q$35,19,FALSE)),""))</f>
        <v/>
      </c>
      <c r="P340" s="469" t="str">
        <f>IF($M340=0,"",IFERROR(($M340+K340+L340)/(HLOOKUP($D340,RentsUA!$K$12:$Q$35,19,FALSE)),""))</f>
        <v/>
      </c>
      <c r="Q340" s="411"/>
      <c r="R340" s="673" t="str">
        <f>IF($Q340=0,"",VLOOKUP($Q340,RentsUA!$A$12:$H$35,MATCH($D340,RentsUA!$A$12:$H$12,0),FALSE))</f>
        <v/>
      </c>
      <c r="S340" s="409"/>
      <c r="T340" s="674"/>
      <c r="U340" s="672"/>
      <c r="V340" s="673" t="str">
        <f t="shared" si="83"/>
        <v/>
      </c>
      <c r="W340" s="470"/>
      <c r="X340" s="411"/>
      <c r="Y340" s="410" t="str">
        <f>IF(X340=0,"",VLOOKUP($X340,RentsUA!$A$12:$H$35,MATCH($D340,RentsUA!$A$12:$H$12,0),FALSE))</f>
        <v/>
      </c>
      <c r="Z340" s="410" t="str">
        <f t="shared" si="79"/>
        <v/>
      </c>
      <c r="AA340" s="1297" t="str">
        <f>IF(H340="","",IF(G340/HLOOKUP($H340,RentsUA!$M$8:$T$9,2,FALSE)&gt;1,"&gt; 80%","&lt;= 80%"))</f>
        <v/>
      </c>
      <c r="AB340" s="1106"/>
      <c r="AC340" s="1106"/>
      <c r="AD340" s="622"/>
      <c r="AE340" s="412"/>
      <c r="AF340" s="807" t="str">
        <f>IF(AD340="","",IF(AD340=Lists!$U$3,M340,IF(AD340=Lists!$U$4,V340,IF(AD340=Lists!$U$5,Y340-L340,AE340))))</f>
        <v/>
      </c>
      <c r="AG340" s="410" t="str">
        <f t="shared" si="80"/>
        <v/>
      </c>
      <c r="AH340" s="469" t="str">
        <f t="shared" si="81"/>
        <v/>
      </c>
      <c r="AI340" s="469" t="str">
        <f>IF($AF340=0,0,IFERROR(($L340+$AF340)/(HLOOKUP($D340,RentsUA!$K$12:$Q$35,19,FALSE)),""))</f>
        <v/>
      </c>
      <c r="AJ340" s="469" t="str">
        <f>IF($AF340=0,0,IFERROR(($AF340+K340+L340)/(HLOOKUP($D340,RentsUA!$K$12:$Q$35,19,FALSE)),""))</f>
        <v/>
      </c>
      <c r="AK340" s="469" t="str">
        <f t="shared" si="84"/>
        <v/>
      </c>
      <c r="AL340" s="469" t="str">
        <f t="shared" si="85"/>
        <v/>
      </c>
      <c r="AM340" s="1106" t="str">
        <f t="shared" si="86"/>
        <v/>
      </c>
      <c r="AN340" s="1106" t="str">
        <f>IFERROR(AM340*(1+'7a.20YrDetails'!$F$9),"")</f>
        <v/>
      </c>
      <c r="AO340" s="1106" t="str">
        <f>IFERROR(AN340*(1+'7a.20YrDetails'!$F$9),"")</f>
        <v/>
      </c>
      <c r="AP340" s="1106" t="str">
        <f>IFERROR(AO340*(1+'7a.20YrDetails'!$F$9),"")</f>
        <v/>
      </c>
      <c r="AQ340" s="1106" t="str">
        <f>IFERROR(AP340*(1+'7a.20YrDetails'!$F$9),"")</f>
        <v/>
      </c>
      <c r="AR340" s="674"/>
      <c r="AS340" s="672"/>
      <c r="AT340" s="1732" t="str">
        <f>IF($AF340=0,0,IFERROR(($AF340+L340)/(HLOOKUP($D340,RentsUA!$B$61:$H$62,2,FALSE)),""))</f>
        <v/>
      </c>
      <c r="AU340" s="1733" t="str">
        <f>IFERROR(G340/HLOOKUP(H340,RentsUA!$B$40:$I$41,2),"")</f>
        <v/>
      </c>
      <c r="BR340" s="404" t="str">
        <f t="shared" si="87"/>
        <v/>
      </c>
      <c r="BT340" s="404" t="str">
        <f t="shared" si="82"/>
        <v/>
      </c>
    </row>
    <row r="341" spans="1:72" s="404" customFormat="1" ht="13.2">
      <c r="A341" s="406">
        <f t="shared" si="88"/>
        <v>329</v>
      </c>
      <c r="B341" s="472"/>
      <c r="C341" s="470"/>
      <c r="D341" s="407"/>
      <c r="E341" s="407"/>
      <c r="F341" s="408"/>
      <c r="G341" s="409"/>
      <c r="H341" s="407"/>
      <c r="I341" s="1029" t="str">
        <f>IFERROR(G341/HLOOKUP(H341,RentsUA!$B$8:$J$9,2),"")</f>
        <v/>
      </c>
      <c r="J341" s="407"/>
      <c r="K341" s="412"/>
      <c r="L341" s="672">
        <f t="shared" si="77"/>
        <v>0</v>
      </c>
      <c r="M341" s="671"/>
      <c r="N341" s="410">
        <f t="shared" si="78"/>
        <v>0</v>
      </c>
      <c r="O341" s="469" t="str">
        <f>IF($M341=0,"",IFERROR(($L341+$M341)/(HLOOKUP($D341,RentsUA!$K$12:$Q$35,19,FALSE)),""))</f>
        <v/>
      </c>
      <c r="P341" s="469" t="str">
        <f>IF($M341=0,"",IFERROR(($M341+K341+L341)/(HLOOKUP($D341,RentsUA!$K$12:$Q$35,19,FALSE)),""))</f>
        <v/>
      </c>
      <c r="Q341" s="411"/>
      <c r="R341" s="673" t="str">
        <f>IF($Q341=0,"",VLOOKUP($Q341,RentsUA!$A$12:$H$35,MATCH($D341,RentsUA!$A$12:$H$12,0),FALSE))</f>
        <v/>
      </c>
      <c r="S341" s="409"/>
      <c r="T341" s="674"/>
      <c r="U341" s="672"/>
      <c r="V341" s="673" t="str">
        <f t="shared" si="83"/>
        <v/>
      </c>
      <c r="W341" s="470"/>
      <c r="X341" s="411"/>
      <c r="Y341" s="410" t="str">
        <f>IF(X341=0,"",VLOOKUP($X341,RentsUA!$A$12:$H$35,MATCH($D341,RentsUA!$A$12:$H$12,0),FALSE))</f>
        <v/>
      </c>
      <c r="Z341" s="410" t="str">
        <f t="shared" si="79"/>
        <v/>
      </c>
      <c r="AA341" s="1297" t="str">
        <f>IF(H341="","",IF(G341/HLOOKUP($H341,RentsUA!$M$8:$T$9,2,FALSE)&gt;1,"&gt; 80%","&lt;= 80%"))</f>
        <v/>
      </c>
      <c r="AB341" s="1106"/>
      <c r="AC341" s="1106"/>
      <c r="AD341" s="622"/>
      <c r="AE341" s="412"/>
      <c r="AF341" s="807" t="str">
        <f>IF(AD341="","",IF(AD341=Lists!$U$3,M341,IF(AD341=Lists!$U$4,V341,IF(AD341=Lists!$U$5,Y341-L341,AE341))))</f>
        <v/>
      </c>
      <c r="AG341" s="410" t="str">
        <f t="shared" si="80"/>
        <v/>
      </c>
      <c r="AH341" s="469" t="str">
        <f t="shared" si="81"/>
        <v/>
      </c>
      <c r="AI341" s="469" t="str">
        <f>IF($AF341=0,0,IFERROR(($L341+$AF341)/(HLOOKUP($D341,RentsUA!$K$12:$Q$35,19,FALSE)),""))</f>
        <v/>
      </c>
      <c r="AJ341" s="469" t="str">
        <f>IF($AF341=0,0,IFERROR(($AF341+K341+L341)/(HLOOKUP($D341,RentsUA!$K$12:$Q$35,19,FALSE)),""))</f>
        <v/>
      </c>
      <c r="AK341" s="469" t="str">
        <f t="shared" si="84"/>
        <v/>
      </c>
      <c r="AL341" s="469" t="str">
        <f t="shared" si="85"/>
        <v/>
      </c>
      <c r="AM341" s="1106" t="str">
        <f t="shared" si="86"/>
        <v/>
      </c>
      <c r="AN341" s="1106" t="str">
        <f>IFERROR(AM341*(1+'7a.20YrDetails'!$F$9),"")</f>
        <v/>
      </c>
      <c r="AO341" s="1106" t="str">
        <f>IFERROR(AN341*(1+'7a.20YrDetails'!$F$9),"")</f>
        <v/>
      </c>
      <c r="AP341" s="1106" t="str">
        <f>IFERROR(AO341*(1+'7a.20YrDetails'!$F$9),"")</f>
        <v/>
      </c>
      <c r="AQ341" s="1106" t="str">
        <f>IFERROR(AP341*(1+'7a.20YrDetails'!$F$9),"")</f>
        <v/>
      </c>
      <c r="AR341" s="674"/>
      <c r="AS341" s="672"/>
      <c r="AT341" s="1732" t="str">
        <f>IF($AF341=0,0,IFERROR(($AF341+L341)/(HLOOKUP($D341,RentsUA!$B$61:$H$62,2,FALSE)),""))</f>
        <v/>
      </c>
      <c r="AU341" s="1733" t="str">
        <f>IFERROR(G341/HLOOKUP(H341,RentsUA!$B$40:$I$41,2),"")</f>
        <v/>
      </c>
      <c r="BR341" s="404" t="str">
        <f t="shared" si="87"/>
        <v/>
      </c>
      <c r="BT341" s="404" t="str">
        <f t="shared" si="82"/>
        <v/>
      </c>
    </row>
    <row r="342" spans="1:72" s="404" customFormat="1" ht="13.2">
      <c r="A342" s="406">
        <f t="shared" si="88"/>
        <v>330</v>
      </c>
      <c r="B342" s="472"/>
      <c r="C342" s="470"/>
      <c r="D342" s="407"/>
      <c r="E342" s="407"/>
      <c r="F342" s="408"/>
      <c r="G342" s="409"/>
      <c r="H342" s="407"/>
      <c r="I342" s="1029" t="str">
        <f>IFERROR(G342/HLOOKUP(H342,RentsUA!$B$8:$J$9,2),"")</f>
        <v/>
      </c>
      <c r="J342" s="407"/>
      <c r="K342" s="412"/>
      <c r="L342" s="672">
        <f t="shared" si="77"/>
        <v>0</v>
      </c>
      <c r="M342" s="671"/>
      <c r="N342" s="410">
        <f t="shared" si="78"/>
        <v>0</v>
      </c>
      <c r="O342" s="469" t="str">
        <f>IF($M342=0,"",IFERROR(($L342+$M342)/(HLOOKUP($D342,RentsUA!$K$12:$Q$35,19,FALSE)),""))</f>
        <v/>
      </c>
      <c r="P342" s="469" t="str">
        <f>IF($M342=0,"",IFERROR(($M342+K342+L342)/(HLOOKUP($D342,RentsUA!$K$12:$Q$35,19,FALSE)),""))</f>
        <v/>
      </c>
      <c r="Q342" s="411"/>
      <c r="R342" s="673" t="str">
        <f>IF($Q342=0,"",VLOOKUP($Q342,RentsUA!$A$12:$H$35,MATCH($D342,RentsUA!$A$12:$H$12,0),FALSE))</f>
        <v/>
      </c>
      <c r="S342" s="409"/>
      <c r="T342" s="674"/>
      <c r="U342" s="672"/>
      <c r="V342" s="673" t="str">
        <f t="shared" si="83"/>
        <v/>
      </c>
      <c r="W342" s="470"/>
      <c r="X342" s="411"/>
      <c r="Y342" s="410" t="str">
        <f>IF(X342=0,"",VLOOKUP($X342,RentsUA!$A$12:$H$35,MATCH($D342,RentsUA!$A$12:$H$12,0),FALSE))</f>
        <v/>
      </c>
      <c r="Z342" s="410" t="str">
        <f t="shared" si="79"/>
        <v/>
      </c>
      <c r="AA342" s="1297" t="str">
        <f>IF(H342="","",IF(G342/HLOOKUP($H342,RentsUA!$M$8:$T$9,2,FALSE)&gt;1,"&gt; 80%","&lt;= 80%"))</f>
        <v/>
      </c>
      <c r="AB342" s="1106"/>
      <c r="AC342" s="1106"/>
      <c r="AD342" s="622"/>
      <c r="AE342" s="412"/>
      <c r="AF342" s="807" t="str">
        <f>IF(AD342="","",IF(AD342=Lists!$U$3,M342,IF(AD342=Lists!$U$4,V342,IF(AD342=Lists!$U$5,Y342-L342,AE342))))</f>
        <v/>
      </c>
      <c r="AG342" s="410" t="str">
        <f t="shared" si="80"/>
        <v/>
      </c>
      <c r="AH342" s="469" t="str">
        <f t="shared" si="81"/>
        <v/>
      </c>
      <c r="AI342" s="469" t="str">
        <f>IF($AF342=0,0,IFERROR(($L342+$AF342)/(HLOOKUP($D342,RentsUA!$K$12:$Q$35,19,FALSE)),""))</f>
        <v/>
      </c>
      <c r="AJ342" s="469" t="str">
        <f>IF($AF342=0,0,IFERROR(($AF342+K342+L342)/(HLOOKUP($D342,RentsUA!$K$12:$Q$35,19,FALSE)),""))</f>
        <v/>
      </c>
      <c r="AK342" s="469" t="str">
        <f t="shared" si="84"/>
        <v/>
      </c>
      <c r="AL342" s="469" t="str">
        <f t="shared" si="85"/>
        <v/>
      </c>
      <c r="AM342" s="1106" t="str">
        <f t="shared" si="86"/>
        <v/>
      </c>
      <c r="AN342" s="1106" t="str">
        <f>IFERROR(AM342*(1+'7a.20YrDetails'!$F$9),"")</f>
        <v/>
      </c>
      <c r="AO342" s="1106" t="str">
        <f>IFERROR(AN342*(1+'7a.20YrDetails'!$F$9),"")</f>
        <v/>
      </c>
      <c r="AP342" s="1106" t="str">
        <f>IFERROR(AO342*(1+'7a.20YrDetails'!$F$9),"")</f>
        <v/>
      </c>
      <c r="AQ342" s="1106" t="str">
        <f>IFERROR(AP342*(1+'7a.20YrDetails'!$F$9),"")</f>
        <v/>
      </c>
      <c r="AR342" s="674"/>
      <c r="AS342" s="672"/>
      <c r="AT342" s="1732" t="str">
        <f>IF($AF342=0,0,IFERROR(($AF342+L342)/(HLOOKUP($D342,RentsUA!$B$61:$H$62,2,FALSE)),""))</f>
        <v/>
      </c>
      <c r="AU342" s="1733" t="str">
        <f>IFERROR(G342/HLOOKUP(H342,RentsUA!$B$40:$I$41,2),"")</f>
        <v/>
      </c>
      <c r="BR342" s="404" t="str">
        <f t="shared" si="87"/>
        <v/>
      </c>
      <c r="BT342" s="404" t="str">
        <f t="shared" si="82"/>
        <v/>
      </c>
    </row>
    <row r="343" spans="1:72" s="404" customFormat="1" ht="13.2">
      <c r="A343" s="406">
        <f t="shared" si="88"/>
        <v>331</v>
      </c>
      <c r="B343" s="472"/>
      <c r="C343" s="470"/>
      <c r="D343" s="407"/>
      <c r="E343" s="407"/>
      <c r="F343" s="408"/>
      <c r="G343" s="409"/>
      <c r="H343" s="407"/>
      <c r="I343" s="1029" t="str">
        <f>IFERROR(G343/HLOOKUP(H343,RentsUA!$B$8:$J$9,2),"")</f>
        <v/>
      </c>
      <c r="J343" s="407"/>
      <c r="K343" s="412"/>
      <c r="L343" s="672">
        <f t="shared" si="77"/>
        <v>0</v>
      </c>
      <c r="M343" s="671"/>
      <c r="N343" s="410">
        <f t="shared" si="78"/>
        <v>0</v>
      </c>
      <c r="O343" s="469" t="str">
        <f>IF($M343=0,"",IFERROR(($L343+$M343)/(HLOOKUP($D343,RentsUA!$K$12:$Q$35,19,FALSE)),""))</f>
        <v/>
      </c>
      <c r="P343" s="469" t="str">
        <f>IF($M343=0,"",IFERROR(($M343+K343+L343)/(HLOOKUP($D343,RentsUA!$K$12:$Q$35,19,FALSE)),""))</f>
        <v/>
      </c>
      <c r="Q343" s="411"/>
      <c r="R343" s="673" t="str">
        <f>IF($Q343=0,"",VLOOKUP($Q343,RentsUA!$A$12:$H$35,MATCH($D343,RentsUA!$A$12:$H$12,0),FALSE))</f>
        <v/>
      </c>
      <c r="S343" s="409"/>
      <c r="T343" s="674"/>
      <c r="U343" s="672"/>
      <c r="V343" s="673" t="str">
        <f t="shared" si="83"/>
        <v/>
      </c>
      <c r="W343" s="470"/>
      <c r="X343" s="411"/>
      <c r="Y343" s="410" t="str">
        <f>IF(X343=0,"",VLOOKUP($X343,RentsUA!$A$12:$H$35,MATCH($D343,RentsUA!$A$12:$H$12,0),FALSE))</f>
        <v/>
      </c>
      <c r="Z343" s="410" t="str">
        <f t="shared" si="79"/>
        <v/>
      </c>
      <c r="AA343" s="1297" t="str">
        <f>IF(H343="","",IF(G343/HLOOKUP($H343,RentsUA!$M$8:$T$9,2,FALSE)&gt;1,"&gt; 80%","&lt;= 80%"))</f>
        <v/>
      </c>
      <c r="AB343" s="1106"/>
      <c r="AC343" s="1106"/>
      <c r="AD343" s="622"/>
      <c r="AE343" s="412"/>
      <c r="AF343" s="807" t="str">
        <f>IF(AD343="","",IF(AD343=Lists!$U$3,M343,IF(AD343=Lists!$U$4,V343,IF(AD343=Lists!$U$5,Y343-L343,AE343))))</f>
        <v/>
      </c>
      <c r="AG343" s="410" t="str">
        <f t="shared" si="80"/>
        <v/>
      </c>
      <c r="AH343" s="469" t="str">
        <f t="shared" si="81"/>
        <v/>
      </c>
      <c r="AI343" s="469" t="str">
        <f>IF($AF343=0,0,IFERROR(($L343+$AF343)/(HLOOKUP($D343,RentsUA!$K$12:$Q$35,19,FALSE)),""))</f>
        <v/>
      </c>
      <c r="AJ343" s="469" t="str">
        <f>IF($AF343=0,0,IFERROR(($AF343+K343+L343)/(HLOOKUP($D343,RentsUA!$K$12:$Q$35,19,FALSE)),""))</f>
        <v/>
      </c>
      <c r="AK343" s="469" t="str">
        <f t="shared" si="84"/>
        <v/>
      </c>
      <c r="AL343" s="469" t="str">
        <f t="shared" si="85"/>
        <v/>
      </c>
      <c r="AM343" s="1106" t="str">
        <f t="shared" si="86"/>
        <v/>
      </c>
      <c r="AN343" s="1106" t="str">
        <f>IFERROR(AM343*(1+'7a.20YrDetails'!$F$9),"")</f>
        <v/>
      </c>
      <c r="AO343" s="1106" t="str">
        <f>IFERROR(AN343*(1+'7a.20YrDetails'!$F$9),"")</f>
        <v/>
      </c>
      <c r="AP343" s="1106" t="str">
        <f>IFERROR(AO343*(1+'7a.20YrDetails'!$F$9),"")</f>
        <v/>
      </c>
      <c r="AQ343" s="1106" t="str">
        <f>IFERROR(AP343*(1+'7a.20YrDetails'!$F$9),"")</f>
        <v/>
      </c>
      <c r="AR343" s="674"/>
      <c r="AS343" s="672"/>
      <c r="AT343" s="1732" t="str">
        <f>IF($AF343=0,0,IFERROR(($AF343+L343)/(HLOOKUP($D343,RentsUA!$B$61:$H$62,2,FALSE)),""))</f>
        <v/>
      </c>
      <c r="AU343" s="1733" t="str">
        <f>IFERROR(G343/HLOOKUP(H343,RentsUA!$B$40:$I$41,2),"")</f>
        <v/>
      </c>
      <c r="BR343" s="404" t="str">
        <f t="shared" si="87"/>
        <v/>
      </c>
      <c r="BT343" s="404" t="str">
        <f t="shared" si="82"/>
        <v/>
      </c>
    </row>
    <row r="344" spans="1:72" s="404" customFormat="1" ht="13.2">
      <c r="A344" s="406">
        <f t="shared" si="88"/>
        <v>332</v>
      </c>
      <c r="B344" s="472"/>
      <c r="C344" s="470"/>
      <c r="D344" s="407"/>
      <c r="E344" s="407"/>
      <c r="F344" s="408"/>
      <c r="G344" s="409"/>
      <c r="H344" s="407"/>
      <c r="I344" s="1029" t="str">
        <f>IFERROR(G344/HLOOKUP(H344,RentsUA!$B$8:$J$9,2),"")</f>
        <v/>
      </c>
      <c r="J344" s="407"/>
      <c r="K344" s="412"/>
      <c r="L344" s="672">
        <f t="shared" si="77"/>
        <v>0</v>
      </c>
      <c r="M344" s="671"/>
      <c r="N344" s="410">
        <f t="shared" si="78"/>
        <v>0</v>
      </c>
      <c r="O344" s="469" t="str">
        <f>IF($M344=0,"",IFERROR(($L344+$M344)/(HLOOKUP($D344,RentsUA!$K$12:$Q$35,19,FALSE)),""))</f>
        <v/>
      </c>
      <c r="P344" s="469" t="str">
        <f>IF($M344=0,"",IFERROR(($M344+K344+L344)/(HLOOKUP($D344,RentsUA!$K$12:$Q$35,19,FALSE)),""))</f>
        <v/>
      </c>
      <c r="Q344" s="411"/>
      <c r="R344" s="673" t="str">
        <f>IF($Q344=0,"",VLOOKUP($Q344,RentsUA!$A$12:$H$35,MATCH($D344,RentsUA!$A$12:$H$12,0),FALSE))</f>
        <v/>
      </c>
      <c r="S344" s="409"/>
      <c r="T344" s="674"/>
      <c r="U344" s="672"/>
      <c r="V344" s="673" t="str">
        <f t="shared" si="83"/>
        <v/>
      </c>
      <c r="W344" s="470"/>
      <c r="X344" s="411"/>
      <c r="Y344" s="410" t="str">
        <f>IF(X344=0,"",VLOOKUP($X344,RentsUA!$A$12:$H$35,MATCH($D344,RentsUA!$A$12:$H$12,0),FALSE))</f>
        <v/>
      </c>
      <c r="Z344" s="410" t="str">
        <f t="shared" si="79"/>
        <v/>
      </c>
      <c r="AA344" s="1297" t="str">
        <f>IF(H344="","",IF(G344/HLOOKUP($H344,RentsUA!$M$8:$T$9,2,FALSE)&gt;1,"&gt; 80%","&lt;= 80%"))</f>
        <v/>
      </c>
      <c r="AB344" s="1106"/>
      <c r="AC344" s="1106"/>
      <c r="AD344" s="622"/>
      <c r="AE344" s="412"/>
      <c r="AF344" s="807" t="str">
        <f>IF(AD344="","",IF(AD344=Lists!$U$3,M344,IF(AD344=Lists!$U$4,V344,IF(AD344=Lists!$U$5,Y344-L344,AE344))))</f>
        <v/>
      </c>
      <c r="AG344" s="410" t="str">
        <f t="shared" si="80"/>
        <v/>
      </c>
      <c r="AH344" s="469" t="str">
        <f t="shared" si="81"/>
        <v/>
      </c>
      <c r="AI344" s="469" t="str">
        <f>IF($AF344=0,0,IFERROR(($L344+$AF344)/(HLOOKUP($D344,RentsUA!$K$12:$Q$35,19,FALSE)),""))</f>
        <v/>
      </c>
      <c r="AJ344" s="469" t="str">
        <f>IF($AF344=0,0,IFERROR(($AF344+K344+L344)/(HLOOKUP($D344,RentsUA!$K$12:$Q$35,19,FALSE)),""))</f>
        <v/>
      </c>
      <c r="AK344" s="469" t="str">
        <f t="shared" si="84"/>
        <v/>
      </c>
      <c r="AL344" s="469" t="str">
        <f t="shared" si="85"/>
        <v/>
      </c>
      <c r="AM344" s="1106" t="str">
        <f t="shared" si="86"/>
        <v/>
      </c>
      <c r="AN344" s="1106" t="str">
        <f>IFERROR(AM344*(1+'7a.20YrDetails'!$F$9),"")</f>
        <v/>
      </c>
      <c r="AO344" s="1106" t="str">
        <f>IFERROR(AN344*(1+'7a.20YrDetails'!$F$9),"")</f>
        <v/>
      </c>
      <c r="AP344" s="1106" t="str">
        <f>IFERROR(AO344*(1+'7a.20YrDetails'!$F$9),"")</f>
        <v/>
      </c>
      <c r="AQ344" s="1106" t="str">
        <f>IFERROR(AP344*(1+'7a.20YrDetails'!$F$9),"")</f>
        <v/>
      </c>
      <c r="AR344" s="674"/>
      <c r="AS344" s="672"/>
      <c r="AT344" s="1732" t="str">
        <f>IF($AF344=0,0,IFERROR(($AF344+L344)/(HLOOKUP($D344,RentsUA!$B$61:$H$62,2,FALSE)),""))</f>
        <v/>
      </c>
      <c r="AU344" s="1733" t="str">
        <f>IFERROR(G344/HLOOKUP(H344,RentsUA!$B$40:$I$41,2),"")</f>
        <v/>
      </c>
      <c r="BR344" s="404" t="str">
        <f t="shared" si="87"/>
        <v/>
      </c>
      <c r="BT344" s="404" t="str">
        <f t="shared" si="82"/>
        <v/>
      </c>
    </row>
    <row r="345" spans="1:72" s="404" customFormat="1" ht="13.2">
      <c r="A345" s="406">
        <f t="shared" si="88"/>
        <v>333</v>
      </c>
      <c r="B345" s="472"/>
      <c r="C345" s="470"/>
      <c r="D345" s="407"/>
      <c r="E345" s="407"/>
      <c r="F345" s="408"/>
      <c r="G345" s="409"/>
      <c r="H345" s="407"/>
      <c r="I345" s="1029" t="str">
        <f>IFERROR(G345/HLOOKUP(H345,RentsUA!$B$8:$J$9,2),"")</f>
        <v/>
      </c>
      <c r="J345" s="407"/>
      <c r="K345" s="412"/>
      <c r="L345" s="672">
        <f t="shared" si="77"/>
        <v>0</v>
      </c>
      <c r="M345" s="671"/>
      <c r="N345" s="410">
        <f t="shared" si="78"/>
        <v>0</v>
      </c>
      <c r="O345" s="469" t="str">
        <f>IF($M345=0,"",IFERROR(($L345+$M345)/(HLOOKUP($D345,RentsUA!$K$12:$Q$35,19,FALSE)),""))</f>
        <v/>
      </c>
      <c r="P345" s="469" t="str">
        <f>IF($M345=0,"",IFERROR(($M345+K345+L345)/(HLOOKUP($D345,RentsUA!$K$12:$Q$35,19,FALSE)),""))</f>
        <v/>
      </c>
      <c r="Q345" s="411"/>
      <c r="R345" s="673" t="str">
        <f>IF($Q345=0,"",VLOOKUP($Q345,RentsUA!$A$12:$H$35,MATCH($D345,RentsUA!$A$12:$H$12,0),FALSE))</f>
        <v/>
      </c>
      <c r="S345" s="409"/>
      <c r="T345" s="674"/>
      <c r="U345" s="672"/>
      <c r="V345" s="673" t="str">
        <f t="shared" si="83"/>
        <v/>
      </c>
      <c r="W345" s="470"/>
      <c r="X345" s="411"/>
      <c r="Y345" s="410" t="str">
        <f>IF(X345=0,"",VLOOKUP($X345,RentsUA!$A$12:$H$35,MATCH($D345,RentsUA!$A$12:$H$12,0),FALSE))</f>
        <v/>
      </c>
      <c r="Z345" s="410" t="str">
        <f t="shared" si="79"/>
        <v/>
      </c>
      <c r="AA345" s="1297" t="str">
        <f>IF(H345="","",IF(G345/HLOOKUP($H345,RentsUA!$M$8:$T$9,2,FALSE)&gt;1,"&gt; 80%","&lt;= 80%"))</f>
        <v/>
      </c>
      <c r="AB345" s="1106"/>
      <c r="AC345" s="1106"/>
      <c r="AD345" s="622"/>
      <c r="AE345" s="412"/>
      <c r="AF345" s="807" t="str">
        <f>IF(AD345="","",IF(AD345=Lists!$U$3,M345,IF(AD345=Lists!$U$4,V345,IF(AD345=Lists!$U$5,Y345-L345,AE345))))</f>
        <v/>
      </c>
      <c r="AG345" s="410" t="str">
        <f t="shared" si="80"/>
        <v/>
      </c>
      <c r="AH345" s="469" t="str">
        <f t="shared" si="81"/>
        <v/>
      </c>
      <c r="AI345" s="469" t="str">
        <f>IF($AF345=0,0,IFERROR(($L345+$AF345)/(HLOOKUP($D345,RentsUA!$K$12:$Q$35,19,FALSE)),""))</f>
        <v/>
      </c>
      <c r="AJ345" s="469" t="str">
        <f>IF($AF345=0,0,IFERROR(($AF345+K345+L345)/(HLOOKUP($D345,RentsUA!$K$12:$Q$35,19,FALSE)),""))</f>
        <v/>
      </c>
      <c r="AK345" s="469" t="str">
        <f t="shared" si="84"/>
        <v/>
      </c>
      <c r="AL345" s="469" t="str">
        <f t="shared" si="85"/>
        <v/>
      </c>
      <c r="AM345" s="1106" t="str">
        <f t="shared" si="86"/>
        <v/>
      </c>
      <c r="AN345" s="1106" t="str">
        <f>IFERROR(AM345*(1+'7a.20YrDetails'!$F$9),"")</f>
        <v/>
      </c>
      <c r="AO345" s="1106" t="str">
        <f>IFERROR(AN345*(1+'7a.20YrDetails'!$F$9),"")</f>
        <v/>
      </c>
      <c r="AP345" s="1106" t="str">
        <f>IFERROR(AO345*(1+'7a.20YrDetails'!$F$9),"")</f>
        <v/>
      </c>
      <c r="AQ345" s="1106" t="str">
        <f>IFERROR(AP345*(1+'7a.20YrDetails'!$F$9),"")</f>
        <v/>
      </c>
      <c r="AR345" s="674"/>
      <c r="AS345" s="672"/>
      <c r="AT345" s="1732" t="str">
        <f>IF($AF345=0,0,IFERROR(($AF345+L345)/(HLOOKUP($D345,RentsUA!$B$61:$H$62,2,FALSE)),""))</f>
        <v/>
      </c>
      <c r="AU345" s="1733" t="str">
        <f>IFERROR(G345/HLOOKUP(H345,RentsUA!$B$40:$I$41,2),"")</f>
        <v/>
      </c>
      <c r="BR345" s="404" t="str">
        <f t="shared" si="87"/>
        <v/>
      </c>
      <c r="BT345" s="404" t="str">
        <f t="shared" si="82"/>
        <v/>
      </c>
    </row>
    <row r="346" spans="1:72" s="404" customFormat="1" ht="13.2">
      <c r="A346" s="406">
        <f t="shared" si="88"/>
        <v>334</v>
      </c>
      <c r="B346" s="472"/>
      <c r="C346" s="470"/>
      <c r="D346" s="407"/>
      <c r="E346" s="407"/>
      <c r="F346" s="408"/>
      <c r="G346" s="409"/>
      <c r="H346" s="407"/>
      <c r="I346" s="1029" t="str">
        <f>IFERROR(G346/HLOOKUP(H346,RentsUA!$B$8:$J$9,2),"")</f>
        <v/>
      </c>
      <c r="J346" s="407"/>
      <c r="K346" s="412"/>
      <c r="L346" s="672">
        <f t="shared" si="77"/>
        <v>0</v>
      </c>
      <c r="M346" s="671"/>
      <c r="N346" s="410">
        <f t="shared" si="78"/>
        <v>0</v>
      </c>
      <c r="O346" s="469" t="str">
        <f>IF($M346=0,"",IFERROR(($L346+$M346)/(HLOOKUP($D346,RentsUA!$K$12:$Q$35,19,FALSE)),""))</f>
        <v/>
      </c>
      <c r="P346" s="469" t="str">
        <f>IF($M346=0,"",IFERROR(($M346+K346+L346)/(HLOOKUP($D346,RentsUA!$K$12:$Q$35,19,FALSE)),""))</f>
        <v/>
      </c>
      <c r="Q346" s="411"/>
      <c r="R346" s="673" t="str">
        <f>IF($Q346=0,"",VLOOKUP($Q346,RentsUA!$A$12:$H$35,MATCH($D346,RentsUA!$A$12:$H$12,0),FALSE))</f>
        <v/>
      </c>
      <c r="S346" s="409"/>
      <c r="T346" s="674"/>
      <c r="U346" s="672"/>
      <c r="V346" s="673" t="str">
        <f t="shared" si="83"/>
        <v/>
      </c>
      <c r="W346" s="470"/>
      <c r="X346" s="411"/>
      <c r="Y346" s="410" t="str">
        <f>IF(X346=0,"",VLOOKUP($X346,RentsUA!$A$12:$H$35,MATCH($D346,RentsUA!$A$12:$H$12,0),FALSE))</f>
        <v/>
      </c>
      <c r="Z346" s="410" t="str">
        <f t="shared" si="79"/>
        <v/>
      </c>
      <c r="AA346" s="1297" t="str">
        <f>IF(H346="","",IF(G346/HLOOKUP($H346,RentsUA!$M$8:$T$9,2,FALSE)&gt;1,"&gt; 80%","&lt;= 80%"))</f>
        <v/>
      </c>
      <c r="AB346" s="1106"/>
      <c r="AC346" s="1106"/>
      <c r="AD346" s="622"/>
      <c r="AE346" s="412"/>
      <c r="AF346" s="807" t="str">
        <f>IF(AD346="","",IF(AD346=Lists!$U$3,M346,IF(AD346=Lists!$U$4,V346,IF(AD346=Lists!$U$5,Y346-L346,AE346))))</f>
        <v/>
      </c>
      <c r="AG346" s="410" t="str">
        <f t="shared" si="80"/>
        <v/>
      </c>
      <c r="AH346" s="469" t="str">
        <f t="shared" si="81"/>
        <v/>
      </c>
      <c r="AI346" s="469" t="str">
        <f>IF($AF346=0,0,IFERROR(($L346+$AF346)/(HLOOKUP($D346,RentsUA!$K$12:$Q$35,19,FALSE)),""))</f>
        <v/>
      </c>
      <c r="AJ346" s="469" t="str">
        <f>IF($AF346=0,0,IFERROR(($AF346+K346+L346)/(HLOOKUP($D346,RentsUA!$K$12:$Q$35,19,FALSE)),""))</f>
        <v/>
      </c>
      <c r="AK346" s="469" t="str">
        <f t="shared" si="84"/>
        <v/>
      </c>
      <c r="AL346" s="469" t="str">
        <f t="shared" si="85"/>
        <v/>
      </c>
      <c r="AM346" s="1106" t="str">
        <f t="shared" si="86"/>
        <v/>
      </c>
      <c r="AN346" s="1106" t="str">
        <f>IFERROR(AM346*(1+'7a.20YrDetails'!$F$9),"")</f>
        <v/>
      </c>
      <c r="AO346" s="1106" t="str">
        <f>IFERROR(AN346*(1+'7a.20YrDetails'!$F$9),"")</f>
        <v/>
      </c>
      <c r="AP346" s="1106" t="str">
        <f>IFERROR(AO346*(1+'7a.20YrDetails'!$F$9),"")</f>
        <v/>
      </c>
      <c r="AQ346" s="1106" t="str">
        <f>IFERROR(AP346*(1+'7a.20YrDetails'!$F$9),"")</f>
        <v/>
      </c>
      <c r="AR346" s="674"/>
      <c r="AS346" s="672"/>
      <c r="AT346" s="1732" t="str">
        <f>IF($AF346=0,0,IFERROR(($AF346+L346)/(HLOOKUP($D346,RentsUA!$B$61:$H$62,2,FALSE)),""))</f>
        <v/>
      </c>
      <c r="AU346" s="1733" t="str">
        <f>IFERROR(G346/HLOOKUP(H346,RentsUA!$B$40:$I$41,2),"")</f>
        <v/>
      </c>
      <c r="BR346" s="404" t="str">
        <f t="shared" si="87"/>
        <v/>
      </c>
      <c r="BT346" s="404" t="str">
        <f t="shared" si="82"/>
        <v/>
      </c>
    </row>
    <row r="347" spans="1:72" s="404" customFormat="1" ht="13.2">
      <c r="A347" s="406">
        <f t="shared" si="88"/>
        <v>335</v>
      </c>
      <c r="B347" s="472"/>
      <c r="C347" s="470"/>
      <c r="D347" s="407"/>
      <c r="E347" s="407"/>
      <c r="F347" s="408"/>
      <c r="G347" s="409"/>
      <c r="H347" s="407"/>
      <c r="I347" s="1029" t="str">
        <f>IFERROR(G347/HLOOKUP(H347,RentsUA!$B$8:$J$9,2),"")</f>
        <v/>
      </c>
      <c r="J347" s="407"/>
      <c r="K347" s="412"/>
      <c r="L347" s="672">
        <f t="shared" si="77"/>
        <v>0</v>
      </c>
      <c r="M347" s="671"/>
      <c r="N347" s="410">
        <f t="shared" si="78"/>
        <v>0</v>
      </c>
      <c r="O347" s="469" t="str">
        <f>IF($M347=0,"",IFERROR(($L347+$M347)/(HLOOKUP($D347,RentsUA!$K$12:$Q$35,19,FALSE)),""))</f>
        <v/>
      </c>
      <c r="P347" s="469" t="str">
        <f>IF($M347=0,"",IFERROR(($M347+K347+L347)/(HLOOKUP($D347,RentsUA!$K$12:$Q$35,19,FALSE)),""))</f>
        <v/>
      </c>
      <c r="Q347" s="411"/>
      <c r="R347" s="673" t="str">
        <f>IF($Q347=0,"",VLOOKUP($Q347,RentsUA!$A$12:$H$35,MATCH($D347,RentsUA!$A$12:$H$12,0),FALSE))</f>
        <v/>
      </c>
      <c r="S347" s="409"/>
      <c r="T347" s="674"/>
      <c r="U347" s="672"/>
      <c r="V347" s="673" t="str">
        <f t="shared" si="83"/>
        <v/>
      </c>
      <c r="W347" s="470"/>
      <c r="X347" s="411"/>
      <c r="Y347" s="410" t="str">
        <f>IF(X347=0,"",VLOOKUP($X347,RentsUA!$A$12:$H$35,MATCH($D347,RentsUA!$A$12:$H$12,0),FALSE))</f>
        <v/>
      </c>
      <c r="Z347" s="410" t="str">
        <f t="shared" si="79"/>
        <v/>
      </c>
      <c r="AA347" s="1297" t="str">
        <f>IF(H347="","",IF(G347/HLOOKUP($H347,RentsUA!$M$8:$T$9,2,FALSE)&gt;1,"&gt; 80%","&lt;= 80%"))</f>
        <v/>
      </c>
      <c r="AB347" s="1106"/>
      <c r="AC347" s="1106"/>
      <c r="AD347" s="622"/>
      <c r="AE347" s="412"/>
      <c r="AF347" s="807" t="str">
        <f>IF(AD347="","",IF(AD347=Lists!$U$3,M347,IF(AD347=Lists!$U$4,V347,IF(AD347=Lists!$U$5,Y347-L347,AE347))))</f>
        <v/>
      </c>
      <c r="AG347" s="410" t="str">
        <f t="shared" si="80"/>
        <v/>
      </c>
      <c r="AH347" s="469" t="str">
        <f t="shared" si="81"/>
        <v/>
      </c>
      <c r="AI347" s="469" t="str">
        <f>IF($AF347=0,0,IFERROR(($L347+$AF347)/(HLOOKUP($D347,RentsUA!$K$12:$Q$35,19,FALSE)),""))</f>
        <v/>
      </c>
      <c r="AJ347" s="469" t="str">
        <f>IF($AF347=0,0,IFERROR(($AF347+K347+L347)/(HLOOKUP($D347,RentsUA!$K$12:$Q$35,19,FALSE)),""))</f>
        <v/>
      </c>
      <c r="AK347" s="469" t="str">
        <f t="shared" si="84"/>
        <v/>
      </c>
      <c r="AL347" s="469" t="str">
        <f t="shared" si="85"/>
        <v/>
      </c>
      <c r="AM347" s="1106" t="str">
        <f t="shared" si="86"/>
        <v/>
      </c>
      <c r="AN347" s="1106" t="str">
        <f>IFERROR(AM347*(1+'7a.20YrDetails'!$F$9),"")</f>
        <v/>
      </c>
      <c r="AO347" s="1106" t="str">
        <f>IFERROR(AN347*(1+'7a.20YrDetails'!$F$9),"")</f>
        <v/>
      </c>
      <c r="AP347" s="1106" t="str">
        <f>IFERROR(AO347*(1+'7a.20YrDetails'!$F$9),"")</f>
        <v/>
      </c>
      <c r="AQ347" s="1106" t="str">
        <f>IFERROR(AP347*(1+'7a.20YrDetails'!$F$9),"")</f>
        <v/>
      </c>
      <c r="AR347" s="674"/>
      <c r="AS347" s="672"/>
      <c r="AT347" s="1732" t="str">
        <f>IF($AF347=0,0,IFERROR(($AF347+L347)/(HLOOKUP($D347,RentsUA!$B$61:$H$62,2,FALSE)),""))</f>
        <v/>
      </c>
      <c r="AU347" s="1733" t="str">
        <f>IFERROR(G347/HLOOKUP(H347,RentsUA!$B$40:$I$41,2),"")</f>
        <v/>
      </c>
      <c r="BR347" s="404" t="str">
        <f t="shared" si="87"/>
        <v/>
      </c>
      <c r="BT347" s="404" t="str">
        <f t="shared" si="82"/>
        <v/>
      </c>
    </row>
    <row r="348" spans="1:72" s="404" customFormat="1" ht="13.2">
      <c r="A348" s="406">
        <f t="shared" si="88"/>
        <v>336</v>
      </c>
      <c r="B348" s="472"/>
      <c r="C348" s="470"/>
      <c r="D348" s="407"/>
      <c r="E348" s="407"/>
      <c r="F348" s="408"/>
      <c r="G348" s="409"/>
      <c r="H348" s="407"/>
      <c r="I348" s="1029" t="str">
        <f>IFERROR(G348/HLOOKUP(H348,RentsUA!$B$8:$J$9,2),"")</f>
        <v/>
      </c>
      <c r="J348" s="407"/>
      <c r="K348" s="412"/>
      <c r="L348" s="672">
        <f t="shared" si="77"/>
        <v>0</v>
      </c>
      <c r="M348" s="671"/>
      <c r="N348" s="410">
        <f t="shared" si="78"/>
        <v>0</v>
      </c>
      <c r="O348" s="469" t="str">
        <f>IF($M348=0,"",IFERROR(($L348+$M348)/(HLOOKUP($D348,RentsUA!$K$12:$Q$35,19,FALSE)),""))</f>
        <v/>
      </c>
      <c r="P348" s="469" t="str">
        <f>IF($M348=0,"",IFERROR(($M348+K348+L348)/(HLOOKUP($D348,RentsUA!$K$12:$Q$35,19,FALSE)),""))</f>
        <v/>
      </c>
      <c r="Q348" s="411"/>
      <c r="R348" s="673" t="str">
        <f>IF($Q348=0,"",VLOOKUP($Q348,RentsUA!$A$12:$H$35,MATCH($D348,RentsUA!$A$12:$H$12,0),FALSE))</f>
        <v/>
      </c>
      <c r="S348" s="409"/>
      <c r="T348" s="674"/>
      <c r="U348" s="672"/>
      <c r="V348" s="673" t="str">
        <f t="shared" si="83"/>
        <v/>
      </c>
      <c r="W348" s="470"/>
      <c r="X348" s="411"/>
      <c r="Y348" s="410" t="str">
        <f>IF(X348=0,"",VLOOKUP($X348,RentsUA!$A$12:$H$35,MATCH($D348,RentsUA!$A$12:$H$12,0),FALSE))</f>
        <v/>
      </c>
      <c r="Z348" s="410" t="str">
        <f t="shared" si="79"/>
        <v/>
      </c>
      <c r="AA348" s="1297" t="str">
        <f>IF(H348="","",IF(G348/HLOOKUP($H348,RentsUA!$M$8:$T$9,2,FALSE)&gt;1,"&gt; 80%","&lt;= 80%"))</f>
        <v/>
      </c>
      <c r="AB348" s="1106"/>
      <c r="AC348" s="1106"/>
      <c r="AD348" s="622"/>
      <c r="AE348" s="412"/>
      <c r="AF348" s="807" t="str">
        <f>IF(AD348="","",IF(AD348=Lists!$U$3,M348,IF(AD348=Lists!$U$4,V348,IF(AD348=Lists!$U$5,Y348-L348,AE348))))</f>
        <v/>
      </c>
      <c r="AG348" s="410" t="str">
        <f t="shared" si="80"/>
        <v/>
      </c>
      <c r="AH348" s="469" t="str">
        <f t="shared" si="81"/>
        <v/>
      </c>
      <c r="AI348" s="469" t="str">
        <f>IF($AF348=0,0,IFERROR(($L348+$AF348)/(HLOOKUP($D348,RentsUA!$K$12:$Q$35,19,FALSE)),""))</f>
        <v/>
      </c>
      <c r="AJ348" s="469" t="str">
        <f>IF($AF348=0,0,IFERROR(($AF348+K348+L348)/(HLOOKUP($D348,RentsUA!$K$12:$Q$35,19,FALSE)),""))</f>
        <v/>
      </c>
      <c r="AK348" s="469" t="str">
        <f t="shared" si="84"/>
        <v/>
      </c>
      <c r="AL348" s="469" t="str">
        <f t="shared" si="85"/>
        <v/>
      </c>
      <c r="AM348" s="1106" t="str">
        <f t="shared" si="86"/>
        <v/>
      </c>
      <c r="AN348" s="1106" t="str">
        <f>IFERROR(AM348*(1+'7a.20YrDetails'!$F$9),"")</f>
        <v/>
      </c>
      <c r="AO348" s="1106" t="str">
        <f>IFERROR(AN348*(1+'7a.20YrDetails'!$F$9),"")</f>
        <v/>
      </c>
      <c r="AP348" s="1106" t="str">
        <f>IFERROR(AO348*(1+'7a.20YrDetails'!$F$9),"")</f>
        <v/>
      </c>
      <c r="AQ348" s="1106" t="str">
        <f>IFERROR(AP348*(1+'7a.20YrDetails'!$F$9),"")</f>
        <v/>
      </c>
      <c r="AR348" s="674"/>
      <c r="AS348" s="672"/>
      <c r="AT348" s="1732" t="str">
        <f>IF($AF348=0,0,IFERROR(($AF348+L348)/(HLOOKUP($D348,RentsUA!$B$61:$H$62,2,FALSE)),""))</f>
        <v/>
      </c>
      <c r="AU348" s="1733" t="str">
        <f>IFERROR(G348/HLOOKUP(H348,RentsUA!$B$40:$I$41,2),"")</f>
        <v/>
      </c>
      <c r="BR348" s="404" t="str">
        <f t="shared" si="87"/>
        <v/>
      </c>
      <c r="BT348" s="404" t="str">
        <f t="shared" si="82"/>
        <v/>
      </c>
    </row>
    <row r="349" spans="1:72" s="404" customFormat="1" ht="13.2">
      <c r="A349" s="406">
        <f t="shared" si="88"/>
        <v>337</v>
      </c>
      <c r="B349" s="472"/>
      <c r="C349" s="470"/>
      <c r="D349" s="407"/>
      <c r="E349" s="407"/>
      <c r="F349" s="408"/>
      <c r="G349" s="409"/>
      <c r="H349" s="407"/>
      <c r="I349" s="1029" t="str">
        <f>IFERROR(G349/HLOOKUP(H349,RentsUA!$B$8:$J$9,2),"")</f>
        <v/>
      </c>
      <c r="J349" s="407"/>
      <c r="K349" s="412"/>
      <c r="L349" s="672">
        <f t="shared" si="77"/>
        <v>0</v>
      </c>
      <c r="M349" s="671"/>
      <c r="N349" s="410">
        <f t="shared" si="78"/>
        <v>0</v>
      </c>
      <c r="O349" s="469" t="str">
        <f>IF($M349=0,"",IFERROR(($L349+$M349)/(HLOOKUP($D349,RentsUA!$K$12:$Q$35,19,FALSE)),""))</f>
        <v/>
      </c>
      <c r="P349" s="469" t="str">
        <f>IF($M349=0,"",IFERROR(($M349+K349+L349)/(HLOOKUP($D349,RentsUA!$K$12:$Q$35,19,FALSE)),""))</f>
        <v/>
      </c>
      <c r="Q349" s="411"/>
      <c r="R349" s="673" t="str">
        <f>IF($Q349=0,"",VLOOKUP($Q349,RentsUA!$A$12:$H$35,MATCH($D349,RentsUA!$A$12:$H$12,0),FALSE))</f>
        <v/>
      </c>
      <c r="S349" s="409"/>
      <c r="T349" s="674"/>
      <c r="U349" s="672"/>
      <c r="V349" s="673" t="str">
        <f t="shared" si="83"/>
        <v/>
      </c>
      <c r="W349" s="470"/>
      <c r="X349" s="411"/>
      <c r="Y349" s="410" t="str">
        <f>IF(X349=0,"",VLOOKUP($X349,RentsUA!$A$12:$H$35,MATCH($D349,RentsUA!$A$12:$H$12,0),FALSE))</f>
        <v/>
      </c>
      <c r="Z349" s="410" t="str">
        <f t="shared" si="79"/>
        <v/>
      </c>
      <c r="AA349" s="1297" t="str">
        <f>IF(H349="","",IF(G349/HLOOKUP($H349,RentsUA!$M$8:$T$9,2,FALSE)&gt;1,"&gt; 80%","&lt;= 80%"))</f>
        <v/>
      </c>
      <c r="AB349" s="1106"/>
      <c r="AC349" s="1106"/>
      <c r="AD349" s="622"/>
      <c r="AE349" s="412"/>
      <c r="AF349" s="807" t="str">
        <f>IF(AD349="","",IF(AD349=Lists!$U$3,M349,IF(AD349=Lists!$U$4,V349,IF(AD349=Lists!$U$5,Y349-L349,AE349))))</f>
        <v/>
      </c>
      <c r="AG349" s="410" t="str">
        <f t="shared" si="80"/>
        <v/>
      </c>
      <c r="AH349" s="469" t="str">
        <f t="shared" si="81"/>
        <v/>
      </c>
      <c r="AI349" s="469" t="str">
        <f>IF($AF349=0,0,IFERROR(($L349+$AF349)/(HLOOKUP($D349,RentsUA!$K$12:$Q$35,19,FALSE)),""))</f>
        <v/>
      </c>
      <c r="AJ349" s="469" t="str">
        <f>IF($AF349=0,0,IFERROR(($AF349+K349+L349)/(HLOOKUP($D349,RentsUA!$K$12:$Q$35,19,FALSE)),""))</f>
        <v/>
      </c>
      <c r="AK349" s="469" t="str">
        <f t="shared" si="84"/>
        <v/>
      </c>
      <c r="AL349" s="469" t="str">
        <f t="shared" si="85"/>
        <v/>
      </c>
      <c r="AM349" s="1106" t="str">
        <f t="shared" si="86"/>
        <v/>
      </c>
      <c r="AN349" s="1106" t="str">
        <f>IFERROR(AM349*(1+'7a.20YrDetails'!$F$9),"")</f>
        <v/>
      </c>
      <c r="AO349" s="1106" t="str">
        <f>IFERROR(AN349*(1+'7a.20YrDetails'!$F$9),"")</f>
        <v/>
      </c>
      <c r="AP349" s="1106" t="str">
        <f>IFERROR(AO349*(1+'7a.20YrDetails'!$F$9),"")</f>
        <v/>
      </c>
      <c r="AQ349" s="1106" t="str">
        <f>IFERROR(AP349*(1+'7a.20YrDetails'!$F$9),"")</f>
        <v/>
      </c>
      <c r="AR349" s="674"/>
      <c r="AS349" s="672"/>
      <c r="AT349" s="1732" t="str">
        <f>IF($AF349=0,0,IFERROR(($AF349+L349)/(HLOOKUP($D349,RentsUA!$B$61:$H$62,2,FALSE)),""))</f>
        <v/>
      </c>
      <c r="AU349" s="1733" t="str">
        <f>IFERROR(G349/HLOOKUP(H349,RentsUA!$B$40:$I$41,2),"")</f>
        <v/>
      </c>
      <c r="BR349" s="404" t="str">
        <f t="shared" si="87"/>
        <v/>
      </c>
      <c r="BT349" s="404" t="str">
        <f t="shared" si="82"/>
        <v/>
      </c>
    </row>
    <row r="350" spans="1:72" s="404" customFormat="1" ht="13.2">
      <c r="A350" s="406">
        <f t="shared" si="88"/>
        <v>338</v>
      </c>
      <c r="B350" s="472"/>
      <c r="C350" s="470"/>
      <c r="D350" s="407"/>
      <c r="E350" s="407"/>
      <c r="F350" s="408"/>
      <c r="G350" s="409"/>
      <c r="H350" s="407"/>
      <c r="I350" s="1029" t="str">
        <f>IFERROR(G350/HLOOKUP(H350,RentsUA!$B$8:$J$9,2),"")</f>
        <v/>
      </c>
      <c r="J350" s="407"/>
      <c r="K350" s="412"/>
      <c r="L350" s="672">
        <f t="shared" si="77"/>
        <v>0</v>
      </c>
      <c r="M350" s="671"/>
      <c r="N350" s="410">
        <f t="shared" si="78"/>
        <v>0</v>
      </c>
      <c r="O350" s="469" t="str">
        <f>IF($M350=0,"",IFERROR(($L350+$M350)/(HLOOKUP($D350,RentsUA!$K$12:$Q$35,19,FALSE)),""))</f>
        <v/>
      </c>
      <c r="P350" s="469" t="str">
        <f>IF($M350=0,"",IFERROR(($M350+K350+L350)/(HLOOKUP($D350,RentsUA!$K$12:$Q$35,19,FALSE)),""))</f>
        <v/>
      </c>
      <c r="Q350" s="411"/>
      <c r="R350" s="673" t="str">
        <f>IF($Q350=0,"",VLOOKUP($Q350,RentsUA!$A$12:$H$35,MATCH($D350,RentsUA!$A$12:$H$12,0),FALSE))</f>
        <v/>
      </c>
      <c r="S350" s="409"/>
      <c r="T350" s="674"/>
      <c r="U350" s="672"/>
      <c r="V350" s="673" t="str">
        <f t="shared" si="83"/>
        <v/>
      </c>
      <c r="W350" s="470"/>
      <c r="X350" s="411"/>
      <c r="Y350" s="410" t="str">
        <f>IF(X350=0,"",VLOOKUP($X350,RentsUA!$A$12:$H$35,MATCH($D350,RentsUA!$A$12:$H$12,0),FALSE))</f>
        <v/>
      </c>
      <c r="Z350" s="410" t="str">
        <f t="shared" si="79"/>
        <v/>
      </c>
      <c r="AA350" s="1297" t="str">
        <f>IF(H350="","",IF(G350/HLOOKUP($H350,RentsUA!$M$8:$T$9,2,FALSE)&gt;1,"&gt; 80%","&lt;= 80%"))</f>
        <v/>
      </c>
      <c r="AB350" s="1106"/>
      <c r="AC350" s="1106"/>
      <c r="AD350" s="622"/>
      <c r="AE350" s="412"/>
      <c r="AF350" s="807" t="str">
        <f>IF(AD350="","",IF(AD350=Lists!$U$3,M350,IF(AD350=Lists!$U$4,V350,IF(AD350=Lists!$U$5,Y350-L350,AE350))))</f>
        <v/>
      </c>
      <c r="AG350" s="410" t="str">
        <f t="shared" si="80"/>
        <v/>
      </c>
      <c r="AH350" s="469" t="str">
        <f t="shared" si="81"/>
        <v/>
      </c>
      <c r="AI350" s="469" t="str">
        <f>IF($AF350=0,0,IFERROR(($L350+$AF350)/(HLOOKUP($D350,RentsUA!$K$12:$Q$35,19,FALSE)),""))</f>
        <v/>
      </c>
      <c r="AJ350" s="469" t="str">
        <f>IF($AF350=0,0,IFERROR(($AF350+K350+L350)/(HLOOKUP($D350,RentsUA!$K$12:$Q$35,19,FALSE)),""))</f>
        <v/>
      </c>
      <c r="AK350" s="469" t="str">
        <f t="shared" si="84"/>
        <v/>
      </c>
      <c r="AL350" s="469" t="str">
        <f t="shared" si="85"/>
        <v/>
      </c>
      <c r="AM350" s="1106" t="str">
        <f t="shared" si="86"/>
        <v/>
      </c>
      <c r="AN350" s="1106" t="str">
        <f>IFERROR(AM350*(1+'7a.20YrDetails'!$F$9),"")</f>
        <v/>
      </c>
      <c r="AO350" s="1106" t="str">
        <f>IFERROR(AN350*(1+'7a.20YrDetails'!$F$9),"")</f>
        <v/>
      </c>
      <c r="AP350" s="1106" t="str">
        <f>IFERROR(AO350*(1+'7a.20YrDetails'!$F$9),"")</f>
        <v/>
      </c>
      <c r="AQ350" s="1106" t="str">
        <f>IFERROR(AP350*(1+'7a.20YrDetails'!$F$9),"")</f>
        <v/>
      </c>
      <c r="AR350" s="674"/>
      <c r="AS350" s="672"/>
      <c r="AT350" s="1732" t="str">
        <f>IF($AF350=0,0,IFERROR(($AF350+L350)/(HLOOKUP($D350,RentsUA!$B$61:$H$62,2,FALSE)),""))</f>
        <v/>
      </c>
      <c r="AU350" s="1733" t="str">
        <f>IFERROR(G350/HLOOKUP(H350,RentsUA!$B$40:$I$41,2),"")</f>
        <v/>
      </c>
      <c r="BR350" s="404" t="str">
        <f t="shared" si="87"/>
        <v/>
      </c>
      <c r="BT350" s="404" t="str">
        <f t="shared" si="82"/>
        <v/>
      </c>
    </row>
    <row r="351" spans="1:72" s="404" customFormat="1" ht="13.2">
      <c r="A351" s="406">
        <f t="shared" si="88"/>
        <v>339</v>
      </c>
      <c r="B351" s="472"/>
      <c r="C351" s="470"/>
      <c r="D351" s="407"/>
      <c r="E351" s="407"/>
      <c r="F351" s="408"/>
      <c r="G351" s="409"/>
      <c r="H351" s="407"/>
      <c r="I351" s="1029" t="str">
        <f>IFERROR(G351/HLOOKUP(H351,RentsUA!$B$8:$J$9,2),"")</f>
        <v/>
      </c>
      <c r="J351" s="407"/>
      <c r="K351" s="412"/>
      <c r="L351" s="672">
        <f t="shared" si="77"/>
        <v>0</v>
      </c>
      <c r="M351" s="671"/>
      <c r="N351" s="410">
        <f t="shared" si="78"/>
        <v>0</v>
      </c>
      <c r="O351" s="469" t="str">
        <f>IF($M351=0,"",IFERROR(($L351+$M351)/(HLOOKUP($D351,RentsUA!$K$12:$Q$35,19,FALSE)),""))</f>
        <v/>
      </c>
      <c r="P351" s="469" t="str">
        <f>IF($M351=0,"",IFERROR(($M351+K351+L351)/(HLOOKUP($D351,RentsUA!$K$12:$Q$35,19,FALSE)),""))</f>
        <v/>
      </c>
      <c r="Q351" s="411"/>
      <c r="R351" s="673" t="str">
        <f>IF($Q351=0,"",VLOOKUP($Q351,RentsUA!$A$12:$H$35,MATCH($D351,RentsUA!$A$12:$H$12,0),FALSE))</f>
        <v/>
      </c>
      <c r="S351" s="409"/>
      <c r="T351" s="674"/>
      <c r="U351" s="672"/>
      <c r="V351" s="673" t="str">
        <f t="shared" si="83"/>
        <v/>
      </c>
      <c r="W351" s="470"/>
      <c r="X351" s="411"/>
      <c r="Y351" s="410" t="str">
        <f>IF(X351=0,"",VLOOKUP($X351,RentsUA!$A$12:$H$35,MATCH($D351,RentsUA!$A$12:$H$12,0),FALSE))</f>
        <v/>
      </c>
      <c r="Z351" s="410" t="str">
        <f t="shared" si="79"/>
        <v/>
      </c>
      <c r="AA351" s="1297" t="str">
        <f>IF(H351="","",IF(G351/HLOOKUP($H351,RentsUA!$M$8:$T$9,2,FALSE)&gt;1,"&gt; 80%","&lt;= 80%"))</f>
        <v/>
      </c>
      <c r="AB351" s="1106"/>
      <c r="AC351" s="1106"/>
      <c r="AD351" s="622"/>
      <c r="AE351" s="412"/>
      <c r="AF351" s="807" t="str">
        <f>IF(AD351="","",IF(AD351=Lists!$U$3,M351,IF(AD351=Lists!$U$4,V351,IF(AD351=Lists!$U$5,Y351-L351,AE351))))</f>
        <v/>
      </c>
      <c r="AG351" s="410" t="str">
        <f t="shared" si="80"/>
        <v/>
      </c>
      <c r="AH351" s="469" t="str">
        <f t="shared" si="81"/>
        <v/>
      </c>
      <c r="AI351" s="469" t="str">
        <f>IF($AF351=0,0,IFERROR(($L351+$AF351)/(HLOOKUP($D351,RentsUA!$K$12:$Q$35,19,FALSE)),""))</f>
        <v/>
      </c>
      <c r="AJ351" s="469" t="str">
        <f>IF($AF351=0,0,IFERROR(($AF351+K351+L351)/(HLOOKUP($D351,RentsUA!$K$12:$Q$35,19,FALSE)),""))</f>
        <v/>
      </c>
      <c r="AK351" s="469" t="str">
        <f t="shared" si="84"/>
        <v/>
      </c>
      <c r="AL351" s="469" t="str">
        <f t="shared" si="85"/>
        <v/>
      </c>
      <c r="AM351" s="1106" t="str">
        <f t="shared" si="86"/>
        <v/>
      </c>
      <c r="AN351" s="1106" t="str">
        <f>IFERROR(AM351*(1+'7a.20YrDetails'!$F$9),"")</f>
        <v/>
      </c>
      <c r="AO351" s="1106" t="str">
        <f>IFERROR(AN351*(1+'7a.20YrDetails'!$F$9),"")</f>
        <v/>
      </c>
      <c r="AP351" s="1106" t="str">
        <f>IFERROR(AO351*(1+'7a.20YrDetails'!$F$9),"")</f>
        <v/>
      </c>
      <c r="AQ351" s="1106" t="str">
        <f>IFERROR(AP351*(1+'7a.20YrDetails'!$F$9),"")</f>
        <v/>
      </c>
      <c r="AR351" s="674"/>
      <c r="AS351" s="672"/>
      <c r="AT351" s="1732" t="str">
        <f>IF($AF351=0,0,IFERROR(($AF351+L351)/(HLOOKUP($D351,RentsUA!$B$61:$H$62,2,FALSE)),""))</f>
        <v/>
      </c>
      <c r="AU351" s="1733" t="str">
        <f>IFERROR(G351/HLOOKUP(H351,RentsUA!$B$40:$I$41,2),"")</f>
        <v/>
      </c>
      <c r="BR351" s="404" t="str">
        <f t="shared" si="87"/>
        <v/>
      </c>
      <c r="BT351" s="404" t="str">
        <f t="shared" si="82"/>
        <v/>
      </c>
    </row>
    <row r="352" spans="1:72" s="404" customFormat="1" ht="13.2">
      <c r="A352" s="406">
        <f t="shared" si="88"/>
        <v>340</v>
      </c>
      <c r="B352" s="472"/>
      <c r="C352" s="470"/>
      <c r="D352" s="407"/>
      <c r="E352" s="407"/>
      <c r="F352" s="408"/>
      <c r="G352" s="409"/>
      <c r="H352" s="407"/>
      <c r="I352" s="1029" t="str">
        <f>IFERROR(G352/HLOOKUP(H352,RentsUA!$B$8:$J$9,2),"")</f>
        <v/>
      </c>
      <c r="J352" s="407"/>
      <c r="K352" s="412"/>
      <c r="L352" s="672">
        <f t="shared" si="77"/>
        <v>0</v>
      </c>
      <c r="M352" s="671"/>
      <c r="N352" s="410">
        <f t="shared" si="78"/>
        <v>0</v>
      </c>
      <c r="O352" s="469" t="str">
        <f>IF($M352=0,"",IFERROR(($L352+$M352)/(HLOOKUP($D352,RentsUA!$K$12:$Q$35,19,FALSE)),""))</f>
        <v/>
      </c>
      <c r="P352" s="469" t="str">
        <f>IF($M352=0,"",IFERROR(($M352+K352+L352)/(HLOOKUP($D352,RentsUA!$K$12:$Q$35,19,FALSE)),""))</f>
        <v/>
      </c>
      <c r="Q352" s="411"/>
      <c r="R352" s="673" t="str">
        <f>IF($Q352=0,"",VLOOKUP($Q352,RentsUA!$A$12:$H$35,MATCH($D352,RentsUA!$A$12:$H$12,0),FALSE))</f>
        <v/>
      </c>
      <c r="S352" s="409"/>
      <c r="T352" s="674"/>
      <c r="U352" s="672"/>
      <c r="V352" s="673" t="str">
        <f t="shared" si="83"/>
        <v/>
      </c>
      <c r="W352" s="470"/>
      <c r="X352" s="411"/>
      <c r="Y352" s="410" t="str">
        <f>IF(X352=0,"",VLOOKUP($X352,RentsUA!$A$12:$H$35,MATCH($D352,RentsUA!$A$12:$H$12,0),FALSE))</f>
        <v/>
      </c>
      <c r="Z352" s="410" t="str">
        <f t="shared" si="79"/>
        <v/>
      </c>
      <c r="AA352" s="1297" t="str">
        <f>IF(H352="","",IF(G352/HLOOKUP($H352,RentsUA!$M$8:$T$9,2,FALSE)&gt;1,"&gt; 80%","&lt;= 80%"))</f>
        <v/>
      </c>
      <c r="AB352" s="1106"/>
      <c r="AC352" s="1106"/>
      <c r="AD352" s="622"/>
      <c r="AE352" s="412"/>
      <c r="AF352" s="807" t="str">
        <f>IF(AD352="","",IF(AD352=Lists!$U$3,M352,IF(AD352=Lists!$U$4,V352,IF(AD352=Lists!$U$5,Y352-L352,AE352))))</f>
        <v/>
      </c>
      <c r="AG352" s="410" t="str">
        <f t="shared" si="80"/>
        <v/>
      </c>
      <c r="AH352" s="469" t="str">
        <f t="shared" si="81"/>
        <v/>
      </c>
      <c r="AI352" s="469" t="str">
        <f>IF($AF352=0,0,IFERROR(($L352+$AF352)/(HLOOKUP($D352,RentsUA!$K$12:$Q$35,19,FALSE)),""))</f>
        <v/>
      </c>
      <c r="AJ352" s="469" t="str">
        <f>IF($AF352=0,0,IFERROR(($AF352+K352+L352)/(HLOOKUP($D352,RentsUA!$K$12:$Q$35,19,FALSE)),""))</f>
        <v/>
      </c>
      <c r="AK352" s="469" t="str">
        <f t="shared" si="84"/>
        <v/>
      </c>
      <c r="AL352" s="469" t="str">
        <f t="shared" si="85"/>
        <v/>
      </c>
      <c r="AM352" s="1106" t="str">
        <f t="shared" si="86"/>
        <v/>
      </c>
      <c r="AN352" s="1106" t="str">
        <f>IFERROR(AM352*(1+'7a.20YrDetails'!$F$9),"")</f>
        <v/>
      </c>
      <c r="AO352" s="1106" t="str">
        <f>IFERROR(AN352*(1+'7a.20YrDetails'!$F$9),"")</f>
        <v/>
      </c>
      <c r="AP352" s="1106" t="str">
        <f>IFERROR(AO352*(1+'7a.20YrDetails'!$F$9),"")</f>
        <v/>
      </c>
      <c r="AQ352" s="1106" t="str">
        <f>IFERROR(AP352*(1+'7a.20YrDetails'!$F$9),"")</f>
        <v/>
      </c>
      <c r="AR352" s="674"/>
      <c r="AS352" s="672"/>
      <c r="AT352" s="1732" t="str">
        <f>IF($AF352=0,0,IFERROR(($AF352+L352)/(HLOOKUP($D352,RentsUA!$B$61:$H$62,2,FALSE)),""))</f>
        <v/>
      </c>
      <c r="AU352" s="1733" t="str">
        <f>IFERROR(G352/HLOOKUP(H352,RentsUA!$B$40:$I$41,2),"")</f>
        <v/>
      </c>
      <c r="BR352" s="404" t="str">
        <f t="shared" si="87"/>
        <v/>
      </c>
      <c r="BT352" s="404" t="str">
        <f t="shared" si="82"/>
        <v/>
      </c>
    </row>
    <row r="353" spans="1:72" s="404" customFormat="1" ht="13.2">
      <c r="A353" s="406">
        <f t="shared" si="88"/>
        <v>341</v>
      </c>
      <c r="B353" s="472"/>
      <c r="C353" s="470"/>
      <c r="D353" s="407"/>
      <c r="E353" s="407"/>
      <c r="F353" s="408"/>
      <c r="G353" s="409"/>
      <c r="H353" s="407"/>
      <c r="I353" s="1029" t="str">
        <f>IFERROR(G353/HLOOKUP(H353,RentsUA!$B$8:$J$9,2),"")</f>
        <v/>
      </c>
      <c r="J353" s="407"/>
      <c r="K353" s="412"/>
      <c r="L353" s="672">
        <f t="shared" si="77"/>
        <v>0</v>
      </c>
      <c r="M353" s="671"/>
      <c r="N353" s="410">
        <f t="shared" si="78"/>
        <v>0</v>
      </c>
      <c r="O353" s="469" t="str">
        <f>IF($M353=0,"",IFERROR(($L353+$M353)/(HLOOKUP($D353,RentsUA!$K$12:$Q$35,19,FALSE)),""))</f>
        <v/>
      </c>
      <c r="P353" s="469" t="str">
        <f>IF($M353=0,"",IFERROR(($M353+K353+L353)/(HLOOKUP($D353,RentsUA!$K$12:$Q$35,19,FALSE)),""))</f>
        <v/>
      </c>
      <c r="Q353" s="411"/>
      <c r="R353" s="673" t="str">
        <f>IF($Q353=0,"",VLOOKUP($Q353,RentsUA!$A$12:$H$35,MATCH($D353,RentsUA!$A$12:$H$12,0),FALSE))</f>
        <v/>
      </c>
      <c r="S353" s="409"/>
      <c r="T353" s="674"/>
      <c r="U353" s="672"/>
      <c r="V353" s="673" t="str">
        <f t="shared" si="83"/>
        <v/>
      </c>
      <c r="W353" s="470"/>
      <c r="X353" s="411"/>
      <c r="Y353" s="410" t="str">
        <f>IF(X353=0,"",VLOOKUP($X353,RentsUA!$A$12:$H$35,MATCH($D353,RentsUA!$A$12:$H$12,0),FALSE))</f>
        <v/>
      </c>
      <c r="Z353" s="410" t="str">
        <f t="shared" si="79"/>
        <v/>
      </c>
      <c r="AA353" s="1297" t="str">
        <f>IF(H353="","",IF(G353/HLOOKUP($H353,RentsUA!$M$8:$T$9,2,FALSE)&gt;1,"&gt; 80%","&lt;= 80%"))</f>
        <v/>
      </c>
      <c r="AB353" s="1106"/>
      <c r="AC353" s="1106"/>
      <c r="AD353" s="622"/>
      <c r="AE353" s="412"/>
      <c r="AF353" s="807" t="str">
        <f>IF(AD353="","",IF(AD353=Lists!$U$3,M353,IF(AD353=Lists!$U$4,V353,IF(AD353=Lists!$U$5,Y353-L353,AE353))))</f>
        <v/>
      </c>
      <c r="AG353" s="410" t="str">
        <f t="shared" si="80"/>
        <v/>
      </c>
      <c r="AH353" s="469" t="str">
        <f t="shared" si="81"/>
        <v/>
      </c>
      <c r="AI353" s="469" t="str">
        <f>IF($AF353=0,0,IFERROR(($L353+$AF353)/(HLOOKUP($D353,RentsUA!$K$12:$Q$35,19,FALSE)),""))</f>
        <v/>
      </c>
      <c r="AJ353" s="469" t="str">
        <f>IF($AF353=0,0,IFERROR(($AF353+K353+L353)/(HLOOKUP($D353,RentsUA!$K$12:$Q$35,19,FALSE)),""))</f>
        <v/>
      </c>
      <c r="AK353" s="469" t="str">
        <f t="shared" si="84"/>
        <v/>
      </c>
      <c r="AL353" s="469" t="str">
        <f t="shared" si="85"/>
        <v/>
      </c>
      <c r="AM353" s="1106" t="str">
        <f t="shared" si="86"/>
        <v/>
      </c>
      <c r="AN353" s="1106" t="str">
        <f>IFERROR(AM353*(1+'7a.20YrDetails'!$F$9),"")</f>
        <v/>
      </c>
      <c r="AO353" s="1106" t="str">
        <f>IFERROR(AN353*(1+'7a.20YrDetails'!$F$9),"")</f>
        <v/>
      </c>
      <c r="AP353" s="1106" t="str">
        <f>IFERROR(AO353*(1+'7a.20YrDetails'!$F$9),"")</f>
        <v/>
      </c>
      <c r="AQ353" s="1106" t="str">
        <f>IFERROR(AP353*(1+'7a.20YrDetails'!$F$9),"")</f>
        <v/>
      </c>
      <c r="AR353" s="674"/>
      <c r="AS353" s="672"/>
      <c r="AT353" s="1732" t="str">
        <f>IF($AF353=0,0,IFERROR(($AF353+L353)/(HLOOKUP($D353,RentsUA!$B$61:$H$62,2,FALSE)),""))</f>
        <v/>
      </c>
      <c r="AU353" s="1733" t="str">
        <f>IFERROR(G353/HLOOKUP(H353,RentsUA!$B$40:$I$41,2),"")</f>
        <v/>
      </c>
      <c r="BR353" s="404" t="str">
        <f t="shared" si="87"/>
        <v/>
      </c>
      <c r="BT353" s="404" t="str">
        <f t="shared" si="82"/>
        <v/>
      </c>
    </row>
    <row r="354" spans="1:72" s="404" customFormat="1" ht="13.2">
      <c r="A354" s="406">
        <f t="shared" si="88"/>
        <v>342</v>
      </c>
      <c r="B354" s="472"/>
      <c r="C354" s="470"/>
      <c r="D354" s="407"/>
      <c r="E354" s="407"/>
      <c r="F354" s="408"/>
      <c r="G354" s="409"/>
      <c r="H354" s="407"/>
      <c r="I354" s="1029" t="str">
        <f>IFERROR(G354/HLOOKUP(H354,RentsUA!$B$8:$J$9,2),"")</f>
        <v/>
      </c>
      <c r="J354" s="407"/>
      <c r="K354" s="412"/>
      <c r="L354" s="672">
        <f t="shared" si="77"/>
        <v>0</v>
      </c>
      <c r="M354" s="671"/>
      <c r="N354" s="410">
        <f t="shared" si="78"/>
        <v>0</v>
      </c>
      <c r="O354" s="469" t="str">
        <f>IF($M354=0,"",IFERROR(($L354+$M354)/(HLOOKUP($D354,RentsUA!$K$12:$Q$35,19,FALSE)),""))</f>
        <v/>
      </c>
      <c r="P354" s="469" t="str">
        <f>IF($M354=0,"",IFERROR(($M354+K354+L354)/(HLOOKUP($D354,RentsUA!$K$12:$Q$35,19,FALSE)),""))</f>
        <v/>
      </c>
      <c r="Q354" s="411"/>
      <c r="R354" s="673" t="str">
        <f>IF($Q354=0,"",VLOOKUP($Q354,RentsUA!$A$12:$H$35,MATCH($D354,RentsUA!$A$12:$H$12,0),FALSE))</f>
        <v/>
      </c>
      <c r="S354" s="409"/>
      <c r="T354" s="674"/>
      <c r="U354" s="672"/>
      <c r="V354" s="673" t="str">
        <f t="shared" si="83"/>
        <v/>
      </c>
      <c r="W354" s="470"/>
      <c r="X354" s="411"/>
      <c r="Y354" s="410" t="str">
        <f>IF(X354=0,"",VLOOKUP($X354,RentsUA!$A$12:$H$35,MATCH($D354,RentsUA!$A$12:$H$12,0),FALSE))</f>
        <v/>
      </c>
      <c r="Z354" s="410" t="str">
        <f t="shared" si="79"/>
        <v/>
      </c>
      <c r="AA354" s="1297" t="str">
        <f>IF(H354="","",IF(G354/HLOOKUP($H354,RentsUA!$M$8:$T$9,2,FALSE)&gt;1,"&gt; 80%","&lt;= 80%"))</f>
        <v/>
      </c>
      <c r="AB354" s="1106"/>
      <c r="AC354" s="1106"/>
      <c r="AD354" s="622"/>
      <c r="AE354" s="412"/>
      <c r="AF354" s="807" t="str">
        <f>IF(AD354="","",IF(AD354=Lists!$U$3,M354,IF(AD354=Lists!$U$4,V354,IF(AD354=Lists!$U$5,Y354-L354,AE354))))</f>
        <v/>
      </c>
      <c r="AG354" s="410" t="str">
        <f t="shared" si="80"/>
        <v/>
      </c>
      <c r="AH354" s="469" t="str">
        <f t="shared" si="81"/>
        <v/>
      </c>
      <c r="AI354" s="469" t="str">
        <f>IF($AF354=0,0,IFERROR(($L354+$AF354)/(HLOOKUP($D354,RentsUA!$K$12:$Q$35,19,FALSE)),""))</f>
        <v/>
      </c>
      <c r="AJ354" s="469" t="str">
        <f>IF($AF354=0,0,IFERROR(($AF354+K354+L354)/(HLOOKUP($D354,RentsUA!$K$12:$Q$35,19,FALSE)),""))</f>
        <v/>
      </c>
      <c r="AK354" s="469" t="str">
        <f t="shared" si="84"/>
        <v/>
      </c>
      <c r="AL354" s="469" t="str">
        <f t="shared" si="85"/>
        <v/>
      </c>
      <c r="AM354" s="1106" t="str">
        <f t="shared" si="86"/>
        <v/>
      </c>
      <c r="AN354" s="1106" t="str">
        <f>IFERROR(AM354*(1+'7a.20YrDetails'!$F$9),"")</f>
        <v/>
      </c>
      <c r="AO354" s="1106" t="str">
        <f>IFERROR(AN354*(1+'7a.20YrDetails'!$F$9),"")</f>
        <v/>
      </c>
      <c r="AP354" s="1106" t="str">
        <f>IFERROR(AO354*(1+'7a.20YrDetails'!$F$9),"")</f>
        <v/>
      </c>
      <c r="AQ354" s="1106" t="str">
        <f>IFERROR(AP354*(1+'7a.20YrDetails'!$F$9),"")</f>
        <v/>
      </c>
      <c r="AR354" s="674"/>
      <c r="AS354" s="672"/>
      <c r="AT354" s="1732" t="str">
        <f>IF($AF354=0,0,IFERROR(($AF354+L354)/(HLOOKUP($D354,RentsUA!$B$61:$H$62,2,FALSE)),""))</f>
        <v/>
      </c>
      <c r="AU354" s="1733" t="str">
        <f>IFERROR(G354/HLOOKUP(H354,RentsUA!$B$40:$I$41,2),"")</f>
        <v/>
      </c>
      <c r="BR354" s="404" t="str">
        <f t="shared" si="87"/>
        <v/>
      </c>
      <c r="BT354" s="404" t="str">
        <f t="shared" si="82"/>
        <v/>
      </c>
    </row>
    <row r="355" spans="1:72" s="404" customFormat="1" ht="13.2">
      <c r="A355" s="406">
        <f t="shared" si="88"/>
        <v>343</v>
      </c>
      <c r="B355" s="472"/>
      <c r="C355" s="470"/>
      <c r="D355" s="407"/>
      <c r="E355" s="407"/>
      <c r="F355" s="408"/>
      <c r="G355" s="409"/>
      <c r="H355" s="407"/>
      <c r="I355" s="1029" t="str">
        <f>IFERROR(G355/HLOOKUP(H355,RentsUA!$B$8:$J$9,2),"")</f>
        <v/>
      </c>
      <c r="J355" s="407"/>
      <c r="K355" s="412"/>
      <c r="L355" s="672">
        <f t="shared" si="77"/>
        <v>0</v>
      </c>
      <c r="M355" s="671"/>
      <c r="N355" s="410">
        <f t="shared" si="78"/>
        <v>0</v>
      </c>
      <c r="O355" s="469" t="str">
        <f>IF($M355=0,"",IFERROR(($L355+$M355)/(HLOOKUP($D355,RentsUA!$K$12:$Q$35,19,FALSE)),""))</f>
        <v/>
      </c>
      <c r="P355" s="469" t="str">
        <f>IF($M355=0,"",IFERROR(($M355+K355+L355)/(HLOOKUP($D355,RentsUA!$K$12:$Q$35,19,FALSE)),""))</f>
        <v/>
      </c>
      <c r="Q355" s="411"/>
      <c r="R355" s="673" t="str">
        <f>IF($Q355=0,"",VLOOKUP($Q355,RentsUA!$A$12:$H$35,MATCH($D355,RentsUA!$A$12:$H$12,0),FALSE))</f>
        <v/>
      </c>
      <c r="S355" s="409"/>
      <c r="T355" s="674"/>
      <c r="U355" s="672"/>
      <c r="V355" s="673" t="str">
        <f t="shared" si="83"/>
        <v/>
      </c>
      <c r="W355" s="470"/>
      <c r="X355" s="411"/>
      <c r="Y355" s="410" t="str">
        <f>IF(X355=0,"",VLOOKUP($X355,RentsUA!$A$12:$H$35,MATCH($D355,RentsUA!$A$12:$H$12,0),FALSE))</f>
        <v/>
      </c>
      <c r="Z355" s="410" t="str">
        <f t="shared" si="79"/>
        <v/>
      </c>
      <c r="AA355" s="1297" t="str">
        <f>IF(H355="","",IF(G355/HLOOKUP($H355,RentsUA!$M$8:$T$9,2,FALSE)&gt;1,"&gt; 80%","&lt;= 80%"))</f>
        <v/>
      </c>
      <c r="AB355" s="1106"/>
      <c r="AC355" s="1106"/>
      <c r="AD355" s="622"/>
      <c r="AE355" s="412"/>
      <c r="AF355" s="807" t="str">
        <f>IF(AD355="","",IF(AD355=Lists!$U$3,M355,IF(AD355=Lists!$U$4,V355,IF(AD355=Lists!$U$5,Y355-L355,AE355))))</f>
        <v/>
      </c>
      <c r="AG355" s="410" t="str">
        <f t="shared" si="80"/>
        <v/>
      </c>
      <c r="AH355" s="469" t="str">
        <f t="shared" si="81"/>
        <v/>
      </c>
      <c r="AI355" s="469" t="str">
        <f>IF($AF355=0,0,IFERROR(($L355+$AF355)/(HLOOKUP($D355,RentsUA!$K$12:$Q$35,19,FALSE)),""))</f>
        <v/>
      </c>
      <c r="AJ355" s="469" t="str">
        <f>IF($AF355=0,0,IFERROR(($AF355+K355+L355)/(HLOOKUP($D355,RentsUA!$K$12:$Q$35,19,FALSE)),""))</f>
        <v/>
      </c>
      <c r="AK355" s="469" t="str">
        <f t="shared" si="84"/>
        <v/>
      </c>
      <c r="AL355" s="469" t="str">
        <f t="shared" si="85"/>
        <v/>
      </c>
      <c r="AM355" s="1106" t="str">
        <f t="shared" si="86"/>
        <v/>
      </c>
      <c r="AN355" s="1106" t="str">
        <f>IFERROR(AM355*(1+'7a.20YrDetails'!$F$9),"")</f>
        <v/>
      </c>
      <c r="AO355" s="1106" t="str">
        <f>IFERROR(AN355*(1+'7a.20YrDetails'!$F$9),"")</f>
        <v/>
      </c>
      <c r="AP355" s="1106" t="str">
        <f>IFERROR(AO355*(1+'7a.20YrDetails'!$F$9),"")</f>
        <v/>
      </c>
      <c r="AQ355" s="1106" t="str">
        <f>IFERROR(AP355*(1+'7a.20YrDetails'!$F$9),"")</f>
        <v/>
      </c>
      <c r="AR355" s="674"/>
      <c r="AS355" s="672"/>
      <c r="AT355" s="1732" t="str">
        <f>IF($AF355=0,0,IFERROR(($AF355+L355)/(HLOOKUP($D355,RentsUA!$B$61:$H$62,2,FALSE)),""))</f>
        <v/>
      </c>
      <c r="AU355" s="1733" t="str">
        <f>IFERROR(G355/HLOOKUP(H355,RentsUA!$B$40:$I$41,2),"")</f>
        <v/>
      </c>
      <c r="BR355" s="404" t="str">
        <f t="shared" si="87"/>
        <v/>
      </c>
      <c r="BT355" s="404" t="str">
        <f t="shared" si="82"/>
        <v/>
      </c>
    </row>
    <row r="356" spans="1:72" s="404" customFormat="1" ht="13.2">
      <c r="A356" s="406">
        <f t="shared" si="88"/>
        <v>344</v>
      </c>
      <c r="B356" s="472"/>
      <c r="C356" s="470"/>
      <c r="D356" s="407"/>
      <c r="E356" s="407"/>
      <c r="F356" s="408"/>
      <c r="G356" s="409"/>
      <c r="H356" s="407"/>
      <c r="I356" s="1029" t="str">
        <f>IFERROR(G356/HLOOKUP(H356,RentsUA!$B$8:$J$9,2),"")</f>
        <v/>
      </c>
      <c r="J356" s="407"/>
      <c r="K356" s="412"/>
      <c r="L356" s="672">
        <f t="shared" si="77"/>
        <v>0</v>
      </c>
      <c r="M356" s="671"/>
      <c r="N356" s="410">
        <f t="shared" si="78"/>
        <v>0</v>
      </c>
      <c r="O356" s="469" t="str">
        <f>IF($M356=0,"",IFERROR(($L356+$M356)/(HLOOKUP($D356,RentsUA!$K$12:$Q$35,19,FALSE)),""))</f>
        <v/>
      </c>
      <c r="P356" s="469" t="str">
        <f>IF($M356=0,"",IFERROR(($M356+K356+L356)/(HLOOKUP($D356,RentsUA!$K$12:$Q$35,19,FALSE)),""))</f>
        <v/>
      </c>
      <c r="Q356" s="411"/>
      <c r="R356" s="673" t="str">
        <f>IF($Q356=0,"",VLOOKUP($Q356,RentsUA!$A$12:$H$35,MATCH($D356,RentsUA!$A$12:$H$12,0),FALSE))</f>
        <v/>
      </c>
      <c r="S356" s="409"/>
      <c r="T356" s="674"/>
      <c r="U356" s="672"/>
      <c r="V356" s="673" t="str">
        <f t="shared" si="83"/>
        <v/>
      </c>
      <c r="W356" s="470"/>
      <c r="X356" s="411"/>
      <c r="Y356" s="410" t="str">
        <f>IF(X356=0,"",VLOOKUP($X356,RentsUA!$A$12:$H$35,MATCH($D356,RentsUA!$A$12:$H$12,0),FALSE))</f>
        <v/>
      </c>
      <c r="Z356" s="410" t="str">
        <f t="shared" si="79"/>
        <v/>
      </c>
      <c r="AA356" s="1297" t="str">
        <f>IF(H356="","",IF(G356/HLOOKUP($H356,RentsUA!$M$8:$T$9,2,FALSE)&gt;1,"&gt; 80%","&lt;= 80%"))</f>
        <v/>
      </c>
      <c r="AB356" s="1106"/>
      <c r="AC356" s="1106"/>
      <c r="AD356" s="622"/>
      <c r="AE356" s="412"/>
      <c r="AF356" s="807" t="str">
        <f>IF(AD356="","",IF(AD356=Lists!$U$3,M356,IF(AD356=Lists!$U$4,V356,IF(AD356=Lists!$U$5,Y356-L356,AE356))))</f>
        <v/>
      </c>
      <c r="AG356" s="410" t="str">
        <f t="shared" si="80"/>
        <v/>
      </c>
      <c r="AH356" s="469" t="str">
        <f t="shared" si="81"/>
        <v/>
      </c>
      <c r="AI356" s="469" t="str">
        <f>IF($AF356=0,0,IFERROR(($L356+$AF356)/(HLOOKUP($D356,RentsUA!$K$12:$Q$35,19,FALSE)),""))</f>
        <v/>
      </c>
      <c r="AJ356" s="469" t="str">
        <f>IF($AF356=0,0,IFERROR(($AF356+K356+L356)/(HLOOKUP($D356,RentsUA!$K$12:$Q$35,19,FALSE)),""))</f>
        <v/>
      </c>
      <c r="AK356" s="469" t="str">
        <f t="shared" si="84"/>
        <v/>
      </c>
      <c r="AL356" s="469" t="str">
        <f t="shared" si="85"/>
        <v/>
      </c>
      <c r="AM356" s="1106" t="str">
        <f t="shared" si="86"/>
        <v/>
      </c>
      <c r="AN356" s="1106" t="str">
        <f>IFERROR(AM356*(1+'7a.20YrDetails'!$F$9),"")</f>
        <v/>
      </c>
      <c r="AO356" s="1106" t="str">
        <f>IFERROR(AN356*(1+'7a.20YrDetails'!$F$9),"")</f>
        <v/>
      </c>
      <c r="AP356" s="1106" t="str">
        <f>IFERROR(AO356*(1+'7a.20YrDetails'!$F$9),"")</f>
        <v/>
      </c>
      <c r="AQ356" s="1106" t="str">
        <f>IFERROR(AP356*(1+'7a.20YrDetails'!$F$9),"")</f>
        <v/>
      </c>
      <c r="AR356" s="674"/>
      <c r="AS356" s="672"/>
      <c r="AT356" s="1732" t="str">
        <f>IF($AF356=0,0,IFERROR(($AF356+L356)/(HLOOKUP($D356,RentsUA!$B$61:$H$62,2,FALSE)),""))</f>
        <v/>
      </c>
      <c r="AU356" s="1733" t="str">
        <f>IFERROR(G356/HLOOKUP(H356,RentsUA!$B$40:$I$41,2),"")</f>
        <v/>
      </c>
      <c r="BR356" s="404" t="str">
        <f t="shared" si="87"/>
        <v/>
      </c>
      <c r="BT356" s="404" t="str">
        <f t="shared" si="82"/>
        <v/>
      </c>
    </row>
    <row r="357" spans="1:72" s="404" customFormat="1" ht="13.2">
      <c r="A357" s="406">
        <f t="shared" si="88"/>
        <v>345</v>
      </c>
      <c r="B357" s="472"/>
      <c r="C357" s="470"/>
      <c r="D357" s="407"/>
      <c r="E357" s="407"/>
      <c r="F357" s="408"/>
      <c r="G357" s="409"/>
      <c r="H357" s="407"/>
      <c r="I357" s="1029" t="str">
        <f>IFERROR(G357/HLOOKUP(H357,RentsUA!$B$8:$J$9,2),"")</f>
        <v/>
      </c>
      <c r="J357" s="407"/>
      <c r="K357" s="412"/>
      <c r="L357" s="672">
        <f t="shared" si="77"/>
        <v>0</v>
      </c>
      <c r="M357" s="671"/>
      <c r="N357" s="410">
        <f t="shared" si="78"/>
        <v>0</v>
      </c>
      <c r="O357" s="469" t="str">
        <f>IF($M357=0,"",IFERROR(($L357+$M357)/(HLOOKUP($D357,RentsUA!$K$12:$Q$35,19,FALSE)),""))</f>
        <v/>
      </c>
      <c r="P357" s="469" t="str">
        <f>IF($M357=0,"",IFERROR(($M357+K357+L357)/(HLOOKUP($D357,RentsUA!$K$12:$Q$35,19,FALSE)),""))</f>
        <v/>
      </c>
      <c r="Q357" s="411"/>
      <c r="R357" s="673" t="str">
        <f>IF($Q357=0,"",VLOOKUP($Q357,RentsUA!$A$12:$H$35,MATCH($D357,RentsUA!$A$12:$H$12,0),FALSE))</f>
        <v/>
      </c>
      <c r="S357" s="409"/>
      <c r="T357" s="674"/>
      <c r="U357" s="672"/>
      <c r="V357" s="673" t="str">
        <f t="shared" si="83"/>
        <v/>
      </c>
      <c r="W357" s="470"/>
      <c r="X357" s="411"/>
      <c r="Y357" s="410" t="str">
        <f>IF(X357=0,"",VLOOKUP($X357,RentsUA!$A$12:$H$35,MATCH($D357,RentsUA!$A$12:$H$12,0),FALSE))</f>
        <v/>
      </c>
      <c r="Z357" s="410" t="str">
        <f t="shared" si="79"/>
        <v/>
      </c>
      <c r="AA357" s="1297" t="str">
        <f>IF(H357="","",IF(G357/HLOOKUP($H357,RentsUA!$M$8:$T$9,2,FALSE)&gt;1,"&gt; 80%","&lt;= 80%"))</f>
        <v/>
      </c>
      <c r="AB357" s="1106"/>
      <c r="AC357" s="1106"/>
      <c r="AD357" s="622"/>
      <c r="AE357" s="412"/>
      <c r="AF357" s="807" t="str">
        <f>IF(AD357="","",IF(AD357=Lists!$U$3,M357,IF(AD357=Lists!$U$4,V357,IF(AD357=Lists!$U$5,Y357-L357,AE357))))</f>
        <v/>
      </c>
      <c r="AG357" s="410" t="str">
        <f t="shared" si="80"/>
        <v/>
      </c>
      <c r="AH357" s="469" t="str">
        <f t="shared" si="81"/>
        <v/>
      </c>
      <c r="AI357" s="469" t="str">
        <f>IF($AF357=0,0,IFERROR(($L357+$AF357)/(HLOOKUP($D357,RentsUA!$K$12:$Q$35,19,FALSE)),""))</f>
        <v/>
      </c>
      <c r="AJ357" s="469" t="str">
        <f>IF($AF357=0,0,IFERROR(($AF357+K357+L357)/(HLOOKUP($D357,RentsUA!$K$12:$Q$35,19,FALSE)),""))</f>
        <v/>
      </c>
      <c r="AK357" s="469" t="str">
        <f t="shared" si="84"/>
        <v/>
      </c>
      <c r="AL357" s="469" t="str">
        <f t="shared" si="85"/>
        <v/>
      </c>
      <c r="AM357" s="1106" t="str">
        <f t="shared" si="86"/>
        <v/>
      </c>
      <c r="AN357" s="1106" t="str">
        <f>IFERROR(AM357*(1+'7a.20YrDetails'!$F$9),"")</f>
        <v/>
      </c>
      <c r="AO357" s="1106" t="str">
        <f>IFERROR(AN357*(1+'7a.20YrDetails'!$F$9),"")</f>
        <v/>
      </c>
      <c r="AP357" s="1106" t="str">
        <f>IFERROR(AO357*(1+'7a.20YrDetails'!$F$9),"")</f>
        <v/>
      </c>
      <c r="AQ357" s="1106" t="str">
        <f>IFERROR(AP357*(1+'7a.20YrDetails'!$F$9),"")</f>
        <v/>
      </c>
      <c r="AR357" s="674"/>
      <c r="AS357" s="672"/>
      <c r="AT357" s="1732" t="str">
        <f>IF($AF357=0,0,IFERROR(($AF357+L357)/(HLOOKUP($D357,RentsUA!$B$61:$H$62,2,FALSE)),""))</f>
        <v/>
      </c>
      <c r="AU357" s="1733" t="str">
        <f>IFERROR(G357/HLOOKUP(H357,RentsUA!$B$40:$I$41,2),"")</f>
        <v/>
      </c>
      <c r="BR357" s="404" t="str">
        <f t="shared" si="87"/>
        <v/>
      </c>
      <c r="BT357" s="404" t="str">
        <f t="shared" si="82"/>
        <v/>
      </c>
    </row>
    <row r="358" spans="1:72" s="404" customFormat="1" ht="13.2">
      <c r="A358" s="406">
        <f t="shared" si="88"/>
        <v>346</v>
      </c>
      <c r="B358" s="472"/>
      <c r="C358" s="470"/>
      <c r="D358" s="407"/>
      <c r="E358" s="407"/>
      <c r="F358" s="408"/>
      <c r="G358" s="409"/>
      <c r="H358" s="407"/>
      <c r="I358" s="1029" t="str">
        <f>IFERROR(G358/HLOOKUP(H358,RentsUA!$B$8:$J$9,2),"")</f>
        <v/>
      </c>
      <c r="J358" s="407"/>
      <c r="K358" s="412"/>
      <c r="L358" s="672">
        <f t="shared" si="77"/>
        <v>0</v>
      </c>
      <c r="M358" s="671"/>
      <c r="N358" s="410">
        <f t="shared" si="78"/>
        <v>0</v>
      </c>
      <c r="O358" s="469" t="str">
        <f>IF($M358=0,"",IFERROR(($L358+$M358)/(HLOOKUP($D358,RentsUA!$K$12:$Q$35,19,FALSE)),""))</f>
        <v/>
      </c>
      <c r="P358" s="469" t="str">
        <f>IF($M358=0,"",IFERROR(($M358+K358+L358)/(HLOOKUP($D358,RentsUA!$K$12:$Q$35,19,FALSE)),""))</f>
        <v/>
      </c>
      <c r="Q358" s="411"/>
      <c r="R358" s="673" t="str">
        <f>IF($Q358=0,"",VLOOKUP($Q358,RentsUA!$A$12:$H$35,MATCH($D358,RentsUA!$A$12:$H$12,0),FALSE))</f>
        <v/>
      </c>
      <c r="S358" s="409"/>
      <c r="T358" s="674"/>
      <c r="U358" s="672"/>
      <c r="V358" s="673" t="str">
        <f t="shared" si="83"/>
        <v/>
      </c>
      <c r="W358" s="470"/>
      <c r="X358" s="411"/>
      <c r="Y358" s="410" t="str">
        <f>IF(X358=0,"",VLOOKUP($X358,RentsUA!$A$12:$H$35,MATCH($D358,RentsUA!$A$12:$H$12,0),FALSE))</f>
        <v/>
      </c>
      <c r="Z358" s="410" t="str">
        <f t="shared" si="79"/>
        <v/>
      </c>
      <c r="AA358" s="1297" t="str">
        <f>IF(H358="","",IF(G358/HLOOKUP($H358,RentsUA!$M$8:$T$9,2,FALSE)&gt;1,"&gt; 80%","&lt;= 80%"))</f>
        <v/>
      </c>
      <c r="AB358" s="1106"/>
      <c r="AC358" s="1106"/>
      <c r="AD358" s="622"/>
      <c r="AE358" s="412"/>
      <c r="AF358" s="807" t="str">
        <f>IF(AD358="","",IF(AD358=Lists!$U$3,M358,IF(AD358=Lists!$U$4,V358,IF(AD358=Lists!$U$5,Y358-L358,AE358))))</f>
        <v/>
      </c>
      <c r="AG358" s="410" t="str">
        <f t="shared" si="80"/>
        <v/>
      </c>
      <c r="AH358" s="469" t="str">
        <f t="shared" si="81"/>
        <v/>
      </c>
      <c r="AI358" s="469" t="str">
        <f>IF($AF358=0,0,IFERROR(($L358+$AF358)/(HLOOKUP($D358,RentsUA!$K$12:$Q$35,19,FALSE)),""))</f>
        <v/>
      </c>
      <c r="AJ358" s="469" t="str">
        <f>IF($AF358=0,0,IFERROR(($AF358+K358+L358)/(HLOOKUP($D358,RentsUA!$K$12:$Q$35,19,FALSE)),""))</f>
        <v/>
      </c>
      <c r="AK358" s="469" t="str">
        <f t="shared" si="84"/>
        <v/>
      </c>
      <c r="AL358" s="469" t="str">
        <f t="shared" si="85"/>
        <v/>
      </c>
      <c r="AM358" s="1106" t="str">
        <f t="shared" si="86"/>
        <v/>
      </c>
      <c r="AN358" s="1106" t="str">
        <f>IFERROR(AM358*(1+'7a.20YrDetails'!$F$9),"")</f>
        <v/>
      </c>
      <c r="AO358" s="1106" t="str">
        <f>IFERROR(AN358*(1+'7a.20YrDetails'!$F$9),"")</f>
        <v/>
      </c>
      <c r="AP358" s="1106" t="str">
        <f>IFERROR(AO358*(1+'7a.20YrDetails'!$F$9),"")</f>
        <v/>
      </c>
      <c r="AQ358" s="1106" t="str">
        <f>IFERROR(AP358*(1+'7a.20YrDetails'!$F$9),"")</f>
        <v/>
      </c>
      <c r="AR358" s="674"/>
      <c r="AS358" s="672"/>
      <c r="AT358" s="1732" t="str">
        <f>IF($AF358=0,0,IFERROR(($AF358+L358)/(HLOOKUP($D358,RentsUA!$B$61:$H$62,2,FALSE)),""))</f>
        <v/>
      </c>
      <c r="AU358" s="1733" t="str">
        <f>IFERROR(G358/HLOOKUP(H358,RentsUA!$B$40:$I$41,2),"")</f>
        <v/>
      </c>
      <c r="BR358" s="404" t="str">
        <f t="shared" si="87"/>
        <v/>
      </c>
      <c r="BT358" s="404" t="str">
        <f t="shared" si="82"/>
        <v/>
      </c>
    </row>
    <row r="359" spans="1:72" s="404" customFormat="1" ht="13.2">
      <c r="A359" s="406">
        <f t="shared" si="88"/>
        <v>347</v>
      </c>
      <c r="B359" s="472"/>
      <c r="C359" s="470"/>
      <c r="D359" s="407"/>
      <c r="E359" s="407"/>
      <c r="F359" s="408"/>
      <c r="G359" s="409"/>
      <c r="H359" s="407"/>
      <c r="I359" s="1029" t="str">
        <f>IFERROR(G359/HLOOKUP(H359,RentsUA!$B$8:$J$9,2),"")</f>
        <v/>
      </c>
      <c r="J359" s="407"/>
      <c r="K359" s="412"/>
      <c r="L359" s="672">
        <f t="shared" si="77"/>
        <v>0</v>
      </c>
      <c r="M359" s="671"/>
      <c r="N359" s="410">
        <f t="shared" si="78"/>
        <v>0</v>
      </c>
      <c r="O359" s="469" t="str">
        <f>IF($M359=0,"",IFERROR(($L359+$M359)/(HLOOKUP($D359,RentsUA!$K$12:$Q$35,19,FALSE)),""))</f>
        <v/>
      </c>
      <c r="P359" s="469" t="str">
        <f>IF($M359=0,"",IFERROR(($M359+K359+L359)/(HLOOKUP($D359,RentsUA!$K$12:$Q$35,19,FALSE)),""))</f>
        <v/>
      </c>
      <c r="Q359" s="411"/>
      <c r="R359" s="673" t="str">
        <f>IF($Q359=0,"",VLOOKUP($Q359,RentsUA!$A$12:$H$35,MATCH($D359,RentsUA!$A$12:$H$12,0),FALSE))</f>
        <v/>
      </c>
      <c r="S359" s="409"/>
      <c r="T359" s="674"/>
      <c r="U359" s="672"/>
      <c r="V359" s="673" t="str">
        <f t="shared" si="83"/>
        <v/>
      </c>
      <c r="W359" s="470"/>
      <c r="X359" s="411"/>
      <c r="Y359" s="410" t="str">
        <f>IF(X359=0,"",VLOOKUP($X359,RentsUA!$A$12:$H$35,MATCH($D359,RentsUA!$A$12:$H$12,0),FALSE))</f>
        <v/>
      </c>
      <c r="Z359" s="410" t="str">
        <f t="shared" si="79"/>
        <v/>
      </c>
      <c r="AA359" s="1297" t="str">
        <f>IF(H359="","",IF(G359/HLOOKUP($H359,RentsUA!$M$8:$T$9,2,FALSE)&gt;1,"&gt; 80%","&lt;= 80%"))</f>
        <v/>
      </c>
      <c r="AB359" s="1106"/>
      <c r="AC359" s="1106"/>
      <c r="AD359" s="622"/>
      <c r="AE359" s="412"/>
      <c r="AF359" s="807" t="str">
        <f>IF(AD359="","",IF(AD359=Lists!$U$3,M359,IF(AD359=Lists!$U$4,V359,IF(AD359=Lists!$U$5,Y359-L359,AE359))))</f>
        <v/>
      </c>
      <c r="AG359" s="410" t="str">
        <f t="shared" si="80"/>
        <v/>
      </c>
      <c r="AH359" s="469" t="str">
        <f t="shared" si="81"/>
        <v/>
      </c>
      <c r="AI359" s="469" t="str">
        <f>IF($AF359=0,0,IFERROR(($L359+$AF359)/(HLOOKUP($D359,RentsUA!$K$12:$Q$35,19,FALSE)),""))</f>
        <v/>
      </c>
      <c r="AJ359" s="469" t="str">
        <f>IF($AF359=0,0,IFERROR(($AF359+K359+L359)/(HLOOKUP($D359,RentsUA!$K$12:$Q$35,19,FALSE)),""))</f>
        <v/>
      </c>
      <c r="AK359" s="469" t="str">
        <f t="shared" si="84"/>
        <v/>
      </c>
      <c r="AL359" s="469" t="str">
        <f t="shared" si="85"/>
        <v/>
      </c>
      <c r="AM359" s="1106" t="str">
        <f t="shared" si="86"/>
        <v/>
      </c>
      <c r="AN359" s="1106" t="str">
        <f>IFERROR(AM359*(1+'7a.20YrDetails'!$F$9),"")</f>
        <v/>
      </c>
      <c r="AO359" s="1106" t="str">
        <f>IFERROR(AN359*(1+'7a.20YrDetails'!$F$9),"")</f>
        <v/>
      </c>
      <c r="AP359" s="1106" t="str">
        <f>IFERROR(AO359*(1+'7a.20YrDetails'!$F$9),"")</f>
        <v/>
      </c>
      <c r="AQ359" s="1106" t="str">
        <f>IFERROR(AP359*(1+'7a.20YrDetails'!$F$9),"")</f>
        <v/>
      </c>
      <c r="AR359" s="674"/>
      <c r="AS359" s="672"/>
      <c r="AT359" s="1732" t="str">
        <f>IF($AF359=0,0,IFERROR(($AF359+L359)/(HLOOKUP($D359,RentsUA!$B$61:$H$62,2,FALSE)),""))</f>
        <v/>
      </c>
      <c r="AU359" s="1733" t="str">
        <f>IFERROR(G359/HLOOKUP(H359,RentsUA!$B$40:$I$41,2),"")</f>
        <v/>
      </c>
      <c r="BR359" s="404" t="str">
        <f t="shared" si="87"/>
        <v/>
      </c>
      <c r="BT359" s="404" t="str">
        <f t="shared" si="82"/>
        <v/>
      </c>
    </row>
    <row r="360" spans="1:72" s="404" customFormat="1" ht="13.2">
      <c r="A360" s="406">
        <f t="shared" si="88"/>
        <v>348</v>
      </c>
      <c r="B360" s="472"/>
      <c r="C360" s="470"/>
      <c r="D360" s="407"/>
      <c r="E360" s="407"/>
      <c r="F360" s="408"/>
      <c r="G360" s="409"/>
      <c r="H360" s="407"/>
      <c r="I360" s="1029" t="str">
        <f>IFERROR(G360/HLOOKUP(H360,RentsUA!$B$8:$J$9,2),"")</f>
        <v/>
      </c>
      <c r="J360" s="407"/>
      <c r="K360" s="412"/>
      <c r="L360" s="672">
        <f t="shared" si="77"/>
        <v>0</v>
      </c>
      <c r="M360" s="671"/>
      <c r="N360" s="410">
        <f t="shared" si="78"/>
        <v>0</v>
      </c>
      <c r="O360" s="469" t="str">
        <f>IF($M360=0,"",IFERROR(($L360+$M360)/(HLOOKUP($D360,RentsUA!$K$12:$Q$35,19,FALSE)),""))</f>
        <v/>
      </c>
      <c r="P360" s="469" t="str">
        <f>IF($M360=0,"",IFERROR(($M360+K360+L360)/(HLOOKUP($D360,RentsUA!$K$12:$Q$35,19,FALSE)),""))</f>
        <v/>
      </c>
      <c r="Q360" s="411"/>
      <c r="R360" s="673" t="str">
        <f>IF($Q360=0,"",VLOOKUP($Q360,RentsUA!$A$12:$H$35,MATCH($D360,RentsUA!$A$12:$H$12,0),FALSE))</f>
        <v/>
      </c>
      <c r="S360" s="409"/>
      <c r="T360" s="674"/>
      <c r="U360" s="672"/>
      <c r="V360" s="673" t="str">
        <f t="shared" si="83"/>
        <v/>
      </c>
      <c r="W360" s="470"/>
      <c r="X360" s="411"/>
      <c r="Y360" s="410" t="str">
        <f>IF(X360=0,"",VLOOKUP($X360,RentsUA!$A$12:$H$35,MATCH($D360,RentsUA!$A$12:$H$12,0),FALSE))</f>
        <v/>
      </c>
      <c r="Z360" s="410" t="str">
        <f t="shared" si="79"/>
        <v/>
      </c>
      <c r="AA360" s="1297" t="str">
        <f>IF(H360="","",IF(G360/HLOOKUP($H360,RentsUA!$M$8:$T$9,2,FALSE)&gt;1,"&gt; 80%","&lt;= 80%"))</f>
        <v/>
      </c>
      <c r="AB360" s="1106"/>
      <c r="AC360" s="1106"/>
      <c r="AD360" s="622"/>
      <c r="AE360" s="412"/>
      <c r="AF360" s="807" t="str">
        <f>IF(AD360="","",IF(AD360=Lists!$U$3,M360,IF(AD360=Lists!$U$4,V360,IF(AD360=Lists!$U$5,Y360-L360,AE360))))</f>
        <v/>
      </c>
      <c r="AG360" s="410" t="str">
        <f t="shared" si="80"/>
        <v/>
      </c>
      <c r="AH360" s="469" t="str">
        <f t="shared" si="81"/>
        <v/>
      </c>
      <c r="AI360" s="469" t="str">
        <f>IF($AF360=0,0,IFERROR(($L360+$AF360)/(HLOOKUP($D360,RentsUA!$K$12:$Q$35,19,FALSE)),""))</f>
        <v/>
      </c>
      <c r="AJ360" s="469" t="str">
        <f>IF($AF360=0,0,IFERROR(($AF360+K360+L360)/(HLOOKUP($D360,RentsUA!$K$12:$Q$35,19,FALSE)),""))</f>
        <v/>
      </c>
      <c r="AK360" s="469" t="str">
        <f t="shared" si="84"/>
        <v/>
      </c>
      <c r="AL360" s="469" t="str">
        <f t="shared" si="85"/>
        <v/>
      </c>
      <c r="AM360" s="1106" t="str">
        <f t="shared" si="86"/>
        <v/>
      </c>
      <c r="AN360" s="1106" t="str">
        <f>IFERROR(AM360*(1+'7a.20YrDetails'!$F$9),"")</f>
        <v/>
      </c>
      <c r="AO360" s="1106" t="str">
        <f>IFERROR(AN360*(1+'7a.20YrDetails'!$F$9),"")</f>
        <v/>
      </c>
      <c r="AP360" s="1106" t="str">
        <f>IFERROR(AO360*(1+'7a.20YrDetails'!$F$9),"")</f>
        <v/>
      </c>
      <c r="AQ360" s="1106" t="str">
        <f>IFERROR(AP360*(1+'7a.20YrDetails'!$F$9),"")</f>
        <v/>
      </c>
      <c r="AR360" s="674"/>
      <c r="AS360" s="672"/>
      <c r="AT360" s="1732" t="str">
        <f>IF($AF360=0,0,IFERROR(($AF360+L360)/(HLOOKUP($D360,RentsUA!$B$61:$H$62,2,FALSE)),""))</f>
        <v/>
      </c>
      <c r="AU360" s="1733" t="str">
        <f>IFERROR(G360/HLOOKUP(H360,RentsUA!$B$40:$I$41,2),"")</f>
        <v/>
      </c>
      <c r="BR360" s="404" t="str">
        <f t="shared" si="87"/>
        <v/>
      </c>
      <c r="BT360" s="404" t="str">
        <f t="shared" si="82"/>
        <v/>
      </c>
    </row>
    <row r="361" spans="1:72" s="404" customFormat="1" ht="13.2">
      <c r="A361" s="406">
        <f t="shared" si="88"/>
        <v>349</v>
      </c>
      <c r="B361" s="472"/>
      <c r="C361" s="470"/>
      <c r="D361" s="407"/>
      <c r="E361" s="407"/>
      <c r="F361" s="408"/>
      <c r="G361" s="409"/>
      <c r="H361" s="407"/>
      <c r="I361" s="1029" t="str">
        <f>IFERROR(G361/HLOOKUP(H361,RentsUA!$B$8:$J$9,2),"")</f>
        <v/>
      </c>
      <c r="J361" s="407"/>
      <c r="K361" s="412"/>
      <c r="L361" s="672">
        <f t="shared" si="77"/>
        <v>0</v>
      </c>
      <c r="M361" s="671"/>
      <c r="N361" s="410">
        <f t="shared" si="78"/>
        <v>0</v>
      </c>
      <c r="O361" s="469" t="str">
        <f>IF($M361=0,"",IFERROR(($L361+$M361)/(HLOOKUP($D361,RentsUA!$K$12:$Q$35,19,FALSE)),""))</f>
        <v/>
      </c>
      <c r="P361" s="469" t="str">
        <f>IF($M361=0,"",IFERROR(($M361+K361+L361)/(HLOOKUP($D361,RentsUA!$K$12:$Q$35,19,FALSE)),""))</f>
        <v/>
      </c>
      <c r="Q361" s="411"/>
      <c r="R361" s="673" t="str">
        <f>IF($Q361=0,"",VLOOKUP($Q361,RentsUA!$A$12:$H$35,MATCH($D361,RentsUA!$A$12:$H$12,0),FALSE))</f>
        <v/>
      </c>
      <c r="S361" s="409"/>
      <c r="T361" s="674"/>
      <c r="U361" s="672"/>
      <c r="V361" s="673" t="str">
        <f t="shared" si="83"/>
        <v/>
      </c>
      <c r="W361" s="470"/>
      <c r="X361" s="411"/>
      <c r="Y361" s="410" t="str">
        <f>IF(X361=0,"",VLOOKUP($X361,RentsUA!$A$12:$H$35,MATCH($D361,RentsUA!$A$12:$H$12,0),FALSE))</f>
        <v/>
      </c>
      <c r="Z361" s="410" t="str">
        <f t="shared" si="79"/>
        <v/>
      </c>
      <c r="AA361" s="1297" t="str">
        <f>IF(H361="","",IF(G361/HLOOKUP($H361,RentsUA!$M$8:$T$9,2,FALSE)&gt;1,"&gt; 80%","&lt;= 80%"))</f>
        <v/>
      </c>
      <c r="AB361" s="1106"/>
      <c r="AC361" s="1106"/>
      <c r="AD361" s="622"/>
      <c r="AE361" s="412"/>
      <c r="AF361" s="807" t="str">
        <f>IF(AD361="","",IF(AD361=Lists!$U$3,M361,IF(AD361=Lists!$U$4,V361,IF(AD361=Lists!$U$5,Y361-L361,AE361))))</f>
        <v/>
      </c>
      <c r="AG361" s="410" t="str">
        <f t="shared" si="80"/>
        <v/>
      </c>
      <c r="AH361" s="469" t="str">
        <f t="shared" si="81"/>
        <v/>
      </c>
      <c r="AI361" s="469" t="str">
        <f>IF($AF361=0,0,IFERROR(($L361+$AF361)/(HLOOKUP($D361,RentsUA!$K$12:$Q$35,19,FALSE)),""))</f>
        <v/>
      </c>
      <c r="AJ361" s="469" t="str">
        <f>IF($AF361=0,0,IFERROR(($AF361+K361+L361)/(HLOOKUP($D361,RentsUA!$K$12:$Q$35,19,FALSE)),""))</f>
        <v/>
      </c>
      <c r="AK361" s="469" t="str">
        <f t="shared" si="84"/>
        <v/>
      </c>
      <c r="AL361" s="469" t="str">
        <f t="shared" si="85"/>
        <v/>
      </c>
      <c r="AM361" s="1106" t="str">
        <f t="shared" si="86"/>
        <v/>
      </c>
      <c r="AN361" s="1106" t="str">
        <f>IFERROR(AM361*(1+'7a.20YrDetails'!$F$9),"")</f>
        <v/>
      </c>
      <c r="AO361" s="1106" t="str">
        <f>IFERROR(AN361*(1+'7a.20YrDetails'!$F$9),"")</f>
        <v/>
      </c>
      <c r="AP361" s="1106" t="str">
        <f>IFERROR(AO361*(1+'7a.20YrDetails'!$F$9),"")</f>
        <v/>
      </c>
      <c r="AQ361" s="1106" t="str">
        <f>IFERROR(AP361*(1+'7a.20YrDetails'!$F$9),"")</f>
        <v/>
      </c>
      <c r="AR361" s="674"/>
      <c r="AS361" s="672"/>
      <c r="AT361" s="1732" t="str">
        <f>IF($AF361=0,0,IFERROR(($AF361+L361)/(HLOOKUP($D361,RentsUA!$B$61:$H$62,2,FALSE)),""))</f>
        <v/>
      </c>
      <c r="AU361" s="1733" t="str">
        <f>IFERROR(G361/HLOOKUP(H361,RentsUA!$B$40:$I$41,2),"")</f>
        <v/>
      </c>
      <c r="BR361" s="404" t="str">
        <f t="shared" si="87"/>
        <v/>
      </c>
      <c r="BT361" s="404" t="str">
        <f t="shared" si="82"/>
        <v/>
      </c>
    </row>
    <row r="362" spans="1:72" s="404" customFormat="1" ht="13.2">
      <c r="A362" s="406">
        <f t="shared" si="88"/>
        <v>350</v>
      </c>
      <c r="B362" s="472"/>
      <c r="C362" s="470"/>
      <c r="D362" s="407"/>
      <c r="E362" s="407"/>
      <c r="F362" s="408"/>
      <c r="G362" s="409"/>
      <c r="H362" s="407"/>
      <c r="I362" s="1029" t="str">
        <f>IFERROR(G362/HLOOKUP(H362,RentsUA!$B$8:$J$9,2),"")</f>
        <v/>
      </c>
      <c r="J362" s="407"/>
      <c r="K362" s="412"/>
      <c r="L362" s="672">
        <f t="shared" si="77"/>
        <v>0</v>
      </c>
      <c r="M362" s="671"/>
      <c r="N362" s="410">
        <f t="shared" si="78"/>
        <v>0</v>
      </c>
      <c r="O362" s="469" t="str">
        <f>IF($M362=0,"",IFERROR(($L362+$M362)/(HLOOKUP($D362,RentsUA!$K$12:$Q$35,19,FALSE)),""))</f>
        <v/>
      </c>
      <c r="P362" s="469" t="str">
        <f>IF($M362=0,"",IFERROR(($M362+K362+L362)/(HLOOKUP($D362,RentsUA!$K$12:$Q$35,19,FALSE)),""))</f>
        <v/>
      </c>
      <c r="Q362" s="411"/>
      <c r="R362" s="673" t="str">
        <f>IF($Q362=0,"",VLOOKUP($Q362,RentsUA!$A$12:$H$35,MATCH($D362,RentsUA!$A$12:$H$12,0),FALSE))</f>
        <v/>
      </c>
      <c r="S362" s="409"/>
      <c r="T362" s="674"/>
      <c r="U362" s="672"/>
      <c r="V362" s="673" t="str">
        <f t="shared" si="83"/>
        <v/>
      </c>
      <c r="W362" s="470"/>
      <c r="X362" s="411"/>
      <c r="Y362" s="410" t="str">
        <f>IF(X362=0,"",VLOOKUP($X362,RentsUA!$A$12:$H$35,MATCH($D362,RentsUA!$A$12:$H$12,0),FALSE))</f>
        <v/>
      </c>
      <c r="Z362" s="410" t="str">
        <f t="shared" si="79"/>
        <v/>
      </c>
      <c r="AA362" s="1297" t="str">
        <f>IF(H362="","",IF(G362/HLOOKUP($H362,RentsUA!$M$8:$T$9,2,FALSE)&gt;1,"&gt; 80%","&lt;= 80%"))</f>
        <v/>
      </c>
      <c r="AB362" s="1106"/>
      <c r="AC362" s="1106"/>
      <c r="AD362" s="622"/>
      <c r="AE362" s="412"/>
      <c r="AF362" s="807" t="str">
        <f>IF(AD362="","",IF(AD362=Lists!$U$3,M362,IF(AD362=Lists!$U$4,V362,IF(AD362=Lists!$U$5,Y362-L362,AE362))))</f>
        <v/>
      </c>
      <c r="AG362" s="410" t="str">
        <f t="shared" si="80"/>
        <v/>
      </c>
      <c r="AH362" s="469" t="str">
        <f t="shared" si="81"/>
        <v/>
      </c>
      <c r="AI362" s="469" t="str">
        <f>IF($AF362=0,0,IFERROR(($L362+$AF362)/(HLOOKUP($D362,RentsUA!$K$12:$Q$35,19,FALSE)),""))</f>
        <v/>
      </c>
      <c r="AJ362" s="469" t="str">
        <f>IF($AF362=0,0,IFERROR(($AF362+K362+L362)/(HLOOKUP($D362,RentsUA!$K$12:$Q$35,19,FALSE)),""))</f>
        <v/>
      </c>
      <c r="AK362" s="469" t="str">
        <f t="shared" si="84"/>
        <v/>
      </c>
      <c r="AL362" s="469" t="str">
        <f t="shared" si="85"/>
        <v/>
      </c>
      <c r="AM362" s="1106" t="str">
        <f t="shared" si="86"/>
        <v/>
      </c>
      <c r="AN362" s="1106" t="str">
        <f>IFERROR(AM362*(1+'7a.20YrDetails'!$F$9),"")</f>
        <v/>
      </c>
      <c r="AO362" s="1106" t="str">
        <f>IFERROR(AN362*(1+'7a.20YrDetails'!$F$9),"")</f>
        <v/>
      </c>
      <c r="AP362" s="1106" t="str">
        <f>IFERROR(AO362*(1+'7a.20YrDetails'!$F$9),"")</f>
        <v/>
      </c>
      <c r="AQ362" s="1106" t="str">
        <f>IFERROR(AP362*(1+'7a.20YrDetails'!$F$9),"")</f>
        <v/>
      </c>
      <c r="AR362" s="674"/>
      <c r="AS362" s="672"/>
      <c r="AT362" s="1732" t="str">
        <f>IF($AF362=0,0,IFERROR(($AF362+L362)/(HLOOKUP($D362,RentsUA!$B$61:$H$62,2,FALSE)),""))</f>
        <v/>
      </c>
      <c r="AU362" s="1733" t="str">
        <f>IFERROR(G362/HLOOKUP(H362,RentsUA!$B$40:$I$41,2),"")</f>
        <v/>
      </c>
      <c r="BR362" s="404" t="str">
        <f t="shared" si="87"/>
        <v/>
      </c>
      <c r="BT362" s="404" t="str">
        <f t="shared" si="82"/>
        <v/>
      </c>
    </row>
    <row r="363" spans="1:72" s="404" customFormat="1" ht="13.2">
      <c r="A363" s="406">
        <f t="shared" si="88"/>
        <v>351</v>
      </c>
      <c r="B363" s="472"/>
      <c r="C363" s="470"/>
      <c r="D363" s="407"/>
      <c r="E363" s="407"/>
      <c r="F363" s="408"/>
      <c r="G363" s="409"/>
      <c r="H363" s="407"/>
      <c r="I363" s="1029" t="str">
        <f>IFERROR(G363/HLOOKUP(H363,RentsUA!$B$8:$J$9,2),"")</f>
        <v/>
      </c>
      <c r="J363" s="407"/>
      <c r="K363" s="412"/>
      <c r="L363" s="672">
        <f t="shared" si="77"/>
        <v>0</v>
      </c>
      <c r="M363" s="671"/>
      <c r="N363" s="410">
        <f t="shared" si="78"/>
        <v>0</v>
      </c>
      <c r="O363" s="469" t="str">
        <f>IF($M363=0,"",IFERROR(($L363+$M363)/(HLOOKUP($D363,RentsUA!$K$12:$Q$35,19,FALSE)),""))</f>
        <v/>
      </c>
      <c r="P363" s="469" t="str">
        <f>IF($M363=0,"",IFERROR(($M363+K363+L363)/(HLOOKUP($D363,RentsUA!$K$12:$Q$35,19,FALSE)),""))</f>
        <v/>
      </c>
      <c r="Q363" s="411"/>
      <c r="R363" s="673" t="str">
        <f>IF($Q363=0,"",VLOOKUP($Q363,RentsUA!$A$12:$H$35,MATCH($D363,RentsUA!$A$12:$H$12,0),FALSE))</f>
        <v/>
      </c>
      <c r="S363" s="409"/>
      <c r="T363" s="674"/>
      <c r="U363" s="672"/>
      <c r="V363" s="673" t="str">
        <f t="shared" si="83"/>
        <v/>
      </c>
      <c r="W363" s="470"/>
      <c r="X363" s="411"/>
      <c r="Y363" s="410" t="str">
        <f>IF(X363=0,"",VLOOKUP($X363,RentsUA!$A$12:$H$35,MATCH($D363,RentsUA!$A$12:$H$12,0),FALSE))</f>
        <v/>
      </c>
      <c r="Z363" s="410" t="str">
        <f t="shared" si="79"/>
        <v/>
      </c>
      <c r="AA363" s="1297" t="str">
        <f>IF(H363="","",IF(G363/HLOOKUP($H363,RentsUA!$M$8:$T$9,2,FALSE)&gt;1,"&gt; 80%","&lt;= 80%"))</f>
        <v/>
      </c>
      <c r="AB363" s="1106"/>
      <c r="AC363" s="1106"/>
      <c r="AD363" s="622"/>
      <c r="AE363" s="412"/>
      <c r="AF363" s="807" t="str">
        <f>IF(AD363="","",IF(AD363=Lists!$U$3,M363,IF(AD363=Lists!$U$4,V363,IF(AD363=Lists!$U$5,Y363-L363,AE363))))</f>
        <v/>
      </c>
      <c r="AG363" s="410" t="str">
        <f t="shared" si="80"/>
        <v/>
      </c>
      <c r="AH363" s="469" t="str">
        <f t="shared" si="81"/>
        <v/>
      </c>
      <c r="AI363" s="469" t="str">
        <f>IF($AF363=0,0,IFERROR(($L363+$AF363)/(HLOOKUP($D363,RentsUA!$K$12:$Q$35,19,FALSE)),""))</f>
        <v/>
      </c>
      <c r="AJ363" s="469" t="str">
        <f>IF($AF363=0,0,IFERROR(($AF363+K363+L363)/(HLOOKUP($D363,RentsUA!$K$12:$Q$35,19,FALSE)),""))</f>
        <v/>
      </c>
      <c r="AK363" s="469" t="str">
        <f t="shared" si="84"/>
        <v/>
      </c>
      <c r="AL363" s="469" t="str">
        <f t="shared" si="85"/>
        <v/>
      </c>
      <c r="AM363" s="1106" t="str">
        <f t="shared" si="86"/>
        <v/>
      </c>
      <c r="AN363" s="1106" t="str">
        <f>IFERROR(AM363*(1+'7a.20YrDetails'!$F$9),"")</f>
        <v/>
      </c>
      <c r="AO363" s="1106" t="str">
        <f>IFERROR(AN363*(1+'7a.20YrDetails'!$F$9),"")</f>
        <v/>
      </c>
      <c r="AP363" s="1106" t="str">
        <f>IFERROR(AO363*(1+'7a.20YrDetails'!$F$9),"")</f>
        <v/>
      </c>
      <c r="AQ363" s="1106" t="str">
        <f>IFERROR(AP363*(1+'7a.20YrDetails'!$F$9),"")</f>
        <v/>
      </c>
      <c r="AR363" s="674"/>
      <c r="AS363" s="672"/>
      <c r="AT363" s="1732" t="str">
        <f>IF($AF363=0,0,IFERROR(($AF363+L363)/(HLOOKUP($D363,RentsUA!$B$61:$H$62,2,FALSE)),""))</f>
        <v/>
      </c>
      <c r="AU363" s="1733" t="str">
        <f>IFERROR(G363/HLOOKUP(H363,RentsUA!$B$40:$I$41,2),"")</f>
        <v/>
      </c>
      <c r="BR363" s="404" t="str">
        <f t="shared" si="87"/>
        <v/>
      </c>
      <c r="BT363" s="404" t="str">
        <f t="shared" si="82"/>
        <v/>
      </c>
    </row>
    <row r="364" spans="1:72" s="404" customFormat="1" ht="13.2">
      <c r="A364" s="406">
        <f t="shared" si="88"/>
        <v>352</v>
      </c>
      <c r="B364" s="472"/>
      <c r="C364" s="470"/>
      <c r="D364" s="407"/>
      <c r="E364" s="407"/>
      <c r="F364" s="408"/>
      <c r="G364" s="409"/>
      <c r="H364" s="407"/>
      <c r="I364" s="1029" t="str">
        <f>IFERROR(G364/HLOOKUP(H364,RentsUA!$B$8:$J$9,2),"")</f>
        <v/>
      </c>
      <c r="J364" s="407"/>
      <c r="K364" s="412"/>
      <c r="L364" s="672">
        <f t="shared" si="77"/>
        <v>0</v>
      </c>
      <c r="M364" s="671"/>
      <c r="N364" s="410">
        <f t="shared" si="78"/>
        <v>0</v>
      </c>
      <c r="O364" s="469" t="str">
        <f>IF($M364=0,"",IFERROR(($L364+$M364)/(HLOOKUP($D364,RentsUA!$K$12:$Q$35,19,FALSE)),""))</f>
        <v/>
      </c>
      <c r="P364" s="469" t="str">
        <f>IF($M364=0,"",IFERROR(($M364+K364+L364)/(HLOOKUP($D364,RentsUA!$K$12:$Q$35,19,FALSE)),""))</f>
        <v/>
      </c>
      <c r="Q364" s="411"/>
      <c r="R364" s="673" t="str">
        <f>IF($Q364=0,"",VLOOKUP($Q364,RentsUA!$A$12:$H$35,MATCH($D364,RentsUA!$A$12:$H$12,0),FALSE))</f>
        <v/>
      </c>
      <c r="S364" s="409"/>
      <c r="T364" s="674"/>
      <c r="U364" s="672"/>
      <c r="V364" s="673" t="str">
        <f t="shared" si="83"/>
        <v/>
      </c>
      <c r="W364" s="470"/>
      <c r="X364" s="411"/>
      <c r="Y364" s="410" t="str">
        <f>IF(X364=0,"",VLOOKUP($X364,RentsUA!$A$12:$H$35,MATCH($D364,RentsUA!$A$12:$H$12,0),FALSE))</f>
        <v/>
      </c>
      <c r="Z364" s="410" t="str">
        <f t="shared" si="79"/>
        <v/>
      </c>
      <c r="AA364" s="1297" t="str">
        <f>IF(H364="","",IF(G364/HLOOKUP($H364,RentsUA!$M$8:$T$9,2,FALSE)&gt;1,"&gt; 80%","&lt;= 80%"))</f>
        <v/>
      </c>
      <c r="AB364" s="1106"/>
      <c r="AC364" s="1106"/>
      <c r="AD364" s="622"/>
      <c r="AE364" s="412"/>
      <c r="AF364" s="807" t="str">
        <f>IF(AD364="","",IF(AD364=Lists!$U$3,M364,IF(AD364=Lists!$U$4,V364,IF(AD364=Lists!$U$5,Y364-L364,AE364))))</f>
        <v/>
      </c>
      <c r="AG364" s="410" t="str">
        <f t="shared" si="80"/>
        <v/>
      </c>
      <c r="AH364" s="469" t="str">
        <f t="shared" si="81"/>
        <v/>
      </c>
      <c r="AI364" s="469" t="str">
        <f>IF($AF364=0,0,IFERROR(($L364+$AF364)/(HLOOKUP($D364,RentsUA!$K$12:$Q$35,19,FALSE)),""))</f>
        <v/>
      </c>
      <c r="AJ364" s="469" t="str">
        <f>IF($AF364=0,0,IFERROR(($AF364+K364+L364)/(HLOOKUP($D364,RentsUA!$K$12:$Q$35,19,FALSE)),""))</f>
        <v/>
      </c>
      <c r="AK364" s="469" t="str">
        <f t="shared" si="84"/>
        <v/>
      </c>
      <c r="AL364" s="469" t="str">
        <f t="shared" si="85"/>
        <v/>
      </c>
      <c r="AM364" s="1106" t="str">
        <f t="shared" si="86"/>
        <v/>
      </c>
      <c r="AN364" s="1106" t="str">
        <f>IFERROR(AM364*(1+'7a.20YrDetails'!$F$9),"")</f>
        <v/>
      </c>
      <c r="AO364" s="1106" t="str">
        <f>IFERROR(AN364*(1+'7a.20YrDetails'!$F$9),"")</f>
        <v/>
      </c>
      <c r="AP364" s="1106" t="str">
        <f>IFERROR(AO364*(1+'7a.20YrDetails'!$F$9),"")</f>
        <v/>
      </c>
      <c r="AQ364" s="1106" t="str">
        <f>IFERROR(AP364*(1+'7a.20YrDetails'!$F$9),"")</f>
        <v/>
      </c>
      <c r="AR364" s="674"/>
      <c r="AS364" s="672"/>
      <c r="AT364" s="1732" t="str">
        <f>IF($AF364=0,0,IFERROR(($AF364+L364)/(HLOOKUP($D364,RentsUA!$B$61:$H$62,2,FALSE)),""))</f>
        <v/>
      </c>
      <c r="AU364" s="1733" t="str">
        <f>IFERROR(G364/HLOOKUP(H364,RentsUA!$B$40:$I$41,2),"")</f>
        <v/>
      </c>
      <c r="BR364" s="404" t="str">
        <f t="shared" si="87"/>
        <v/>
      </c>
      <c r="BT364" s="404" t="str">
        <f t="shared" si="82"/>
        <v/>
      </c>
    </row>
    <row r="365" spans="1:72" s="404" customFormat="1" ht="13.2">
      <c r="A365" s="406">
        <f t="shared" si="88"/>
        <v>353</v>
      </c>
      <c r="B365" s="472"/>
      <c r="C365" s="470"/>
      <c r="D365" s="407"/>
      <c r="E365" s="407"/>
      <c r="F365" s="408"/>
      <c r="G365" s="409"/>
      <c r="H365" s="407"/>
      <c r="I365" s="1029" t="str">
        <f>IFERROR(G365/HLOOKUP(H365,RentsUA!$B$8:$J$9,2),"")</f>
        <v/>
      </c>
      <c r="J365" s="407"/>
      <c r="K365" s="412"/>
      <c r="L365" s="672">
        <f t="shared" si="77"/>
        <v>0</v>
      </c>
      <c r="M365" s="671"/>
      <c r="N365" s="410">
        <f t="shared" si="78"/>
        <v>0</v>
      </c>
      <c r="O365" s="469" t="str">
        <f>IF($M365=0,"",IFERROR(($L365+$M365)/(HLOOKUP($D365,RentsUA!$K$12:$Q$35,19,FALSE)),""))</f>
        <v/>
      </c>
      <c r="P365" s="469" t="str">
        <f>IF($M365=0,"",IFERROR(($M365+K365+L365)/(HLOOKUP($D365,RentsUA!$K$12:$Q$35,19,FALSE)),""))</f>
        <v/>
      </c>
      <c r="Q365" s="411"/>
      <c r="R365" s="673" t="str">
        <f>IF($Q365=0,"",VLOOKUP($Q365,RentsUA!$A$12:$H$35,MATCH($D365,RentsUA!$A$12:$H$12,0),FALSE))</f>
        <v/>
      </c>
      <c r="S365" s="409"/>
      <c r="T365" s="674"/>
      <c r="U365" s="672"/>
      <c r="V365" s="673" t="str">
        <f t="shared" si="83"/>
        <v/>
      </c>
      <c r="W365" s="470"/>
      <c r="X365" s="411"/>
      <c r="Y365" s="410" t="str">
        <f>IF(X365=0,"",VLOOKUP($X365,RentsUA!$A$12:$H$35,MATCH($D365,RentsUA!$A$12:$H$12,0),FALSE))</f>
        <v/>
      </c>
      <c r="Z365" s="410" t="str">
        <f t="shared" si="79"/>
        <v/>
      </c>
      <c r="AA365" s="1297" t="str">
        <f>IF(H365="","",IF(G365/HLOOKUP($H365,RentsUA!$M$8:$T$9,2,FALSE)&gt;1,"&gt; 80%","&lt;= 80%"))</f>
        <v/>
      </c>
      <c r="AB365" s="1106"/>
      <c r="AC365" s="1106"/>
      <c r="AD365" s="622"/>
      <c r="AE365" s="412"/>
      <c r="AF365" s="807" t="str">
        <f>IF(AD365="","",IF(AD365=Lists!$U$3,M365,IF(AD365=Lists!$U$4,V365,IF(AD365=Lists!$U$5,Y365-L365,AE365))))</f>
        <v/>
      </c>
      <c r="AG365" s="410" t="str">
        <f t="shared" si="80"/>
        <v/>
      </c>
      <c r="AH365" s="469" t="str">
        <f t="shared" si="81"/>
        <v/>
      </c>
      <c r="AI365" s="469" t="str">
        <f>IF($AF365=0,0,IFERROR(($L365+$AF365)/(HLOOKUP($D365,RentsUA!$K$12:$Q$35,19,FALSE)),""))</f>
        <v/>
      </c>
      <c r="AJ365" s="469" t="str">
        <f>IF($AF365=0,0,IFERROR(($AF365+K365+L365)/(HLOOKUP($D365,RentsUA!$K$12:$Q$35,19,FALSE)),""))</f>
        <v/>
      </c>
      <c r="AK365" s="469" t="str">
        <f t="shared" si="84"/>
        <v/>
      </c>
      <c r="AL365" s="469" t="str">
        <f t="shared" si="85"/>
        <v/>
      </c>
      <c r="AM365" s="1106" t="str">
        <f t="shared" si="86"/>
        <v/>
      </c>
      <c r="AN365" s="1106" t="str">
        <f>IFERROR(AM365*(1+'7a.20YrDetails'!$F$9),"")</f>
        <v/>
      </c>
      <c r="AO365" s="1106" t="str">
        <f>IFERROR(AN365*(1+'7a.20YrDetails'!$F$9),"")</f>
        <v/>
      </c>
      <c r="AP365" s="1106" t="str">
        <f>IFERROR(AO365*(1+'7a.20YrDetails'!$F$9),"")</f>
        <v/>
      </c>
      <c r="AQ365" s="1106" t="str">
        <f>IFERROR(AP365*(1+'7a.20YrDetails'!$F$9),"")</f>
        <v/>
      </c>
      <c r="AR365" s="674"/>
      <c r="AS365" s="672"/>
      <c r="AT365" s="1732" t="str">
        <f>IF($AF365=0,0,IFERROR(($AF365+L365)/(HLOOKUP($D365,RentsUA!$B$61:$H$62,2,FALSE)),""))</f>
        <v/>
      </c>
      <c r="AU365" s="1733" t="str">
        <f>IFERROR(G365/HLOOKUP(H365,RentsUA!$B$40:$I$41,2),"")</f>
        <v/>
      </c>
      <c r="BR365" s="404" t="str">
        <f t="shared" si="87"/>
        <v/>
      </c>
      <c r="BT365" s="404" t="str">
        <f t="shared" si="82"/>
        <v/>
      </c>
    </row>
    <row r="366" spans="1:72" s="404" customFormat="1" ht="13.2">
      <c r="A366" s="406">
        <f t="shared" si="88"/>
        <v>354</v>
      </c>
      <c r="B366" s="472"/>
      <c r="C366" s="470"/>
      <c r="D366" s="407"/>
      <c r="E366" s="407"/>
      <c r="F366" s="408"/>
      <c r="G366" s="409"/>
      <c r="H366" s="407"/>
      <c r="I366" s="1029" t="str">
        <f>IFERROR(G366/HLOOKUP(H366,RentsUA!$B$8:$J$9,2),"")</f>
        <v/>
      </c>
      <c r="J366" s="407"/>
      <c r="K366" s="412"/>
      <c r="L366" s="673">
        <f t="shared" si="77"/>
        <v>0</v>
      </c>
      <c r="M366" s="671"/>
      <c r="N366" s="410">
        <f t="shared" si="78"/>
        <v>0</v>
      </c>
      <c r="O366" s="469" t="str">
        <f>IF($M366=0,"",IFERROR(($L366+$M366)/(HLOOKUP($D366,RentsUA!$K$12:$Q$35,19,FALSE)),""))</f>
        <v/>
      </c>
      <c r="P366" s="469" t="str">
        <f>IF($M366=0,"",IFERROR(($M366+K366+L366)/(HLOOKUP($D366,RentsUA!$K$12:$Q$35,19,FALSE)),""))</f>
        <v/>
      </c>
      <c r="Q366" s="411"/>
      <c r="R366" s="673" t="str">
        <f>IF($Q366=0,"",VLOOKUP($Q366,RentsUA!$A$12:$H$35,MATCH($D366,RentsUA!$A$12:$H$12,0),FALSE))</f>
        <v/>
      </c>
      <c r="S366" s="409"/>
      <c r="T366" s="674"/>
      <c r="U366" s="672"/>
      <c r="V366" s="673" t="str">
        <f t="shared" si="83"/>
        <v/>
      </c>
      <c r="W366" s="470"/>
      <c r="X366" s="411"/>
      <c r="Y366" s="410" t="str">
        <f>IF(X366=0,"",VLOOKUP($X366,RentsUA!$A$12:$H$35,MATCH($D366,RentsUA!$A$12:$H$12,0),FALSE))</f>
        <v/>
      </c>
      <c r="Z366" s="410" t="str">
        <f t="shared" si="79"/>
        <v/>
      </c>
      <c r="AA366" s="1297" t="str">
        <f>IF(H366="","",IF(G366/HLOOKUP($H366,RentsUA!$M$8:$T$9,2,FALSE)&gt;1,"&gt; 80%","&lt;= 80%"))</f>
        <v/>
      </c>
      <c r="AB366" s="1106"/>
      <c r="AC366" s="1106"/>
      <c r="AD366" s="622"/>
      <c r="AE366" s="412"/>
      <c r="AF366" s="807" t="str">
        <f>IF(AD366="","",IF(AD366=Lists!$U$3,M366,IF(AD366=Lists!$U$4,V366,IF(AD366=Lists!$U$5,Y366-L366,AE366))))</f>
        <v/>
      </c>
      <c r="AG366" s="410" t="str">
        <f t="shared" si="80"/>
        <v/>
      </c>
      <c r="AH366" s="469" t="str">
        <f t="shared" si="81"/>
        <v/>
      </c>
      <c r="AI366" s="469" t="str">
        <f>IF($AF366=0,0,IFERROR(($L366+$AF366)/(HLOOKUP($D366,RentsUA!$K$12:$Q$35,19,FALSE)),""))</f>
        <v/>
      </c>
      <c r="AJ366" s="469" t="str">
        <f>IF($AF366=0,0,IFERROR(($AF366+K366+L366)/(HLOOKUP($D366,RentsUA!$K$12:$Q$35,19,FALSE)),""))</f>
        <v/>
      </c>
      <c r="AK366" s="469" t="str">
        <f t="shared" si="84"/>
        <v/>
      </c>
      <c r="AL366" s="469" t="str">
        <f t="shared" si="85"/>
        <v/>
      </c>
      <c r="AM366" s="1106" t="str">
        <f t="shared" si="86"/>
        <v/>
      </c>
      <c r="AN366" s="1106" t="str">
        <f>IFERROR(AM366*(1+'7a.20YrDetails'!$F$9),"")</f>
        <v/>
      </c>
      <c r="AO366" s="1106" t="str">
        <f>IFERROR(AN366*(1+'7a.20YrDetails'!$F$9),"")</f>
        <v/>
      </c>
      <c r="AP366" s="1106" t="str">
        <f>IFERROR(AO366*(1+'7a.20YrDetails'!$F$9),"")</f>
        <v/>
      </c>
      <c r="AQ366" s="1106" t="str">
        <f>IFERROR(AP366*(1+'7a.20YrDetails'!$F$9),"")</f>
        <v/>
      </c>
      <c r="AR366" s="674"/>
      <c r="AS366" s="672"/>
      <c r="AT366" s="1732" t="str">
        <f>IF($AF366=0,0,IFERROR(($AF366+L366)/(HLOOKUP($D366,RentsUA!$B$61:$H$62,2,FALSE)),""))</f>
        <v/>
      </c>
      <c r="AU366" s="1733" t="str">
        <f>IFERROR(G366/HLOOKUP(H366,RentsUA!$B$40:$I$41,2),"")</f>
        <v/>
      </c>
      <c r="BR366" s="404" t="str">
        <f t="shared" si="87"/>
        <v/>
      </c>
      <c r="BT366" s="404" t="str">
        <f t="shared" si="82"/>
        <v/>
      </c>
    </row>
    <row r="367" spans="1:72" s="404" customFormat="1" ht="13.2">
      <c r="A367" s="406">
        <f t="shared" si="88"/>
        <v>355</v>
      </c>
      <c r="B367" s="472"/>
      <c r="C367" s="470"/>
      <c r="D367" s="407"/>
      <c r="E367" s="407"/>
      <c r="F367" s="408"/>
      <c r="G367" s="409"/>
      <c r="H367" s="407"/>
      <c r="I367" s="1029" t="str">
        <f>IFERROR(G367/HLOOKUP(H367,RentsUA!$B$8:$J$9,2),"")</f>
        <v/>
      </c>
      <c r="J367" s="407"/>
      <c r="K367" s="412"/>
      <c r="L367" s="673">
        <f t="shared" si="77"/>
        <v>0</v>
      </c>
      <c r="M367" s="671"/>
      <c r="N367" s="410">
        <f t="shared" si="78"/>
        <v>0</v>
      </c>
      <c r="O367" s="469" t="str">
        <f>IF($M367=0,"",IFERROR(($L367+$M367)/(HLOOKUP($D367,RentsUA!$K$12:$Q$35,19,FALSE)),""))</f>
        <v/>
      </c>
      <c r="P367" s="469" t="str">
        <f>IF($M367=0,"",IFERROR(($M367+K367+L367)/(HLOOKUP($D367,RentsUA!$K$12:$Q$35,19,FALSE)),""))</f>
        <v/>
      </c>
      <c r="Q367" s="411"/>
      <c r="R367" s="673" t="str">
        <f>IF($Q367=0,"",VLOOKUP($Q367,RentsUA!$A$12:$H$35,MATCH($D367,RentsUA!$A$12:$H$12,0),FALSE))</f>
        <v/>
      </c>
      <c r="S367" s="409"/>
      <c r="T367" s="674"/>
      <c r="U367" s="672"/>
      <c r="V367" s="673" t="str">
        <f t="shared" si="83"/>
        <v/>
      </c>
      <c r="W367" s="470"/>
      <c r="X367" s="411"/>
      <c r="Y367" s="410" t="str">
        <f>IF(X367=0,"",VLOOKUP($X367,RentsUA!$A$12:$H$35,MATCH($D367,RentsUA!$A$12:$H$12,0),FALSE))</f>
        <v/>
      </c>
      <c r="Z367" s="410" t="str">
        <f t="shared" si="79"/>
        <v/>
      </c>
      <c r="AA367" s="1297" t="str">
        <f>IF(H367="","",IF(G367/HLOOKUP($H367,RentsUA!$M$8:$T$9,2,FALSE)&gt;1,"&gt; 80%","&lt;= 80%"))</f>
        <v/>
      </c>
      <c r="AB367" s="1106"/>
      <c r="AC367" s="1106"/>
      <c r="AD367" s="622"/>
      <c r="AE367" s="412"/>
      <c r="AF367" s="807" t="str">
        <f>IF(AD367="","",IF(AD367=Lists!$U$3,M367,IF(AD367=Lists!$U$4,V367,IF(AD367=Lists!$U$5,Y367-L367,AE367))))</f>
        <v/>
      </c>
      <c r="AG367" s="410" t="str">
        <f t="shared" si="80"/>
        <v/>
      </c>
      <c r="AH367" s="469" t="str">
        <f t="shared" si="81"/>
        <v/>
      </c>
      <c r="AI367" s="469" t="str">
        <f>IF($AF367=0,0,IFERROR(($L367+$AF367)/(HLOOKUP($D367,RentsUA!$K$12:$Q$35,19,FALSE)),""))</f>
        <v/>
      </c>
      <c r="AJ367" s="469" t="str">
        <f>IF($AF367=0,0,IFERROR(($AF367+K367+L367)/(HLOOKUP($D367,RentsUA!$K$12:$Q$35,19,FALSE)),""))</f>
        <v/>
      </c>
      <c r="AK367" s="469" t="str">
        <f t="shared" si="84"/>
        <v/>
      </c>
      <c r="AL367" s="469" t="str">
        <f t="shared" si="85"/>
        <v/>
      </c>
      <c r="AM367" s="1106" t="str">
        <f t="shared" si="86"/>
        <v/>
      </c>
      <c r="AN367" s="1106" t="str">
        <f>IFERROR(AM367*(1+'7a.20YrDetails'!$F$9),"")</f>
        <v/>
      </c>
      <c r="AO367" s="1106" t="str">
        <f>IFERROR(AN367*(1+'7a.20YrDetails'!$F$9),"")</f>
        <v/>
      </c>
      <c r="AP367" s="1106" t="str">
        <f>IFERROR(AO367*(1+'7a.20YrDetails'!$F$9),"")</f>
        <v/>
      </c>
      <c r="AQ367" s="1106" t="str">
        <f>IFERROR(AP367*(1+'7a.20YrDetails'!$F$9),"")</f>
        <v/>
      </c>
      <c r="AR367" s="674"/>
      <c r="AS367" s="672"/>
      <c r="AT367" s="1732" t="str">
        <f>IF($AF367=0,0,IFERROR(($AF367+L367)/(HLOOKUP($D367,RentsUA!$B$61:$H$62,2,FALSE)),""))</f>
        <v/>
      </c>
      <c r="AU367" s="1733" t="str">
        <f>IFERROR(G367/HLOOKUP(H367,RentsUA!$B$40:$I$41,2),"")</f>
        <v/>
      </c>
      <c r="BR367" s="404" t="str">
        <f t="shared" si="87"/>
        <v/>
      </c>
      <c r="BT367" s="404" t="str">
        <f t="shared" si="82"/>
        <v/>
      </c>
    </row>
    <row r="368" spans="1:72" s="404" customFormat="1" ht="13.2">
      <c r="A368" s="406">
        <f t="shared" si="88"/>
        <v>356</v>
      </c>
      <c r="B368" s="472"/>
      <c r="C368" s="470"/>
      <c r="D368" s="407"/>
      <c r="E368" s="407"/>
      <c r="F368" s="408"/>
      <c r="G368" s="409"/>
      <c r="H368" s="407"/>
      <c r="I368" s="1029" t="str">
        <f>IFERROR(G368/HLOOKUP(H368,RentsUA!$B$8:$J$9,2),"")</f>
        <v/>
      </c>
      <c r="J368" s="407"/>
      <c r="K368" s="412"/>
      <c r="L368" s="673">
        <f t="shared" si="77"/>
        <v>0</v>
      </c>
      <c r="M368" s="671"/>
      <c r="N368" s="410">
        <f t="shared" si="78"/>
        <v>0</v>
      </c>
      <c r="O368" s="469" t="str">
        <f>IF($M368=0,"",IFERROR(($L368+$M368)/(HLOOKUP($D368,RentsUA!$K$12:$Q$35,19,FALSE)),""))</f>
        <v/>
      </c>
      <c r="P368" s="469" t="str">
        <f>IF($M368=0,"",IFERROR(($M368+K368+L368)/(HLOOKUP($D368,RentsUA!$K$12:$Q$35,19,FALSE)),""))</f>
        <v/>
      </c>
      <c r="Q368" s="411"/>
      <c r="R368" s="673" t="str">
        <f>IF($Q368=0,"",VLOOKUP($Q368,RentsUA!$A$12:$H$35,MATCH($D368,RentsUA!$A$12:$H$12,0),FALSE))</f>
        <v/>
      </c>
      <c r="S368" s="409"/>
      <c r="T368" s="674"/>
      <c r="U368" s="672"/>
      <c r="V368" s="673" t="str">
        <f t="shared" si="83"/>
        <v/>
      </c>
      <c r="W368" s="470"/>
      <c r="X368" s="411"/>
      <c r="Y368" s="410" t="str">
        <f>IF(X368=0,"",VLOOKUP($X368,RentsUA!$A$12:$H$35,MATCH($D368,RentsUA!$A$12:$H$12,0),FALSE))</f>
        <v/>
      </c>
      <c r="Z368" s="410" t="str">
        <f t="shared" si="79"/>
        <v/>
      </c>
      <c r="AA368" s="1297" t="str">
        <f>IF(H368="","",IF(G368/HLOOKUP($H368,RentsUA!$M$8:$T$9,2,FALSE)&gt;1,"&gt; 80%","&lt;= 80%"))</f>
        <v/>
      </c>
      <c r="AB368" s="1106"/>
      <c r="AC368" s="1106"/>
      <c r="AD368" s="622"/>
      <c r="AE368" s="412"/>
      <c r="AF368" s="807" t="str">
        <f>IF(AD368="","",IF(AD368=Lists!$U$3,M368,IF(AD368=Lists!$U$4,V368,IF(AD368=Lists!$U$5,Y368-L368,AE368))))</f>
        <v/>
      </c>
      <c r="AG368" s="410" t="str">
        <f t="shared" si="80"/>
        <v/>
      </c>
      <c r="AH368" s="469" t="str">
        <f t="shared" si="81"/>
        <v/>
      </c>
      <c r="AI368" s="469" t="str">
        <f>IF($AF368=0,0,IFERROR(($L368+$AF368)/(HLOOKUP($D368,RentsUA!$K$12:$Q$35,19,FALSE)),""))</f>
        <v/>
      </c>
      <c r="AJ368" s="469" t="str">
        <f>IF($AF368=0,0,IFERROR(($AF368+K368+L368)/(HLOOKUP($D368,RentsUA!$K$12:$Q$35,19,FALSE)),""))</f>
        <v/>
      </c>
      <c r="AK368" s="469" t="str">
        <f t="shared" si="84"/>
        <v/>
      </c>
      <c r="AL368" s="469" t="str">
        <f t="shared" si="85"/>
        <v/>
      </c>
      <c r="AM368" s="1106" t="str">
        <f t="shared" si="86"/>
        <v/>
      </c>
      <c r="AN368" s="1106" t="str">
        <f>IFERROR(AM368*(1+'7a.20YrDetails'!$F$9),"")</f>
        <v/>
      </c>
      <c r="AO368" s="1106" t="str">
        <f>IFERROR(AN368*(1+'7a.20YrDetails'!$F$9),"")</f>
        <v/>
      </c>
      <c r="AP368" s="1106" t="str">
        <f>IFERROR(AO368*(1+'7a.20YrDetails'!$F$9),"")</f>
        <v/>
      </c>
      <c r="AQ368" s="1106" t="str">
        <f>IFERROR(AP368*(1+'7a.20YrDetails'!$F$9),"")</f>
        <v/>
      </c>
      <c r="AR368" s="674"/>
      <c r="AS368" s="672"/>
      <c r="AT368" s="1732" t="str">
        <f>IF($AF368=0,0,IFERROR(($AF368+L368)/(HLOOKUP($D368,RentsUA!$B$61:$H$62,2,FALSE)),""))</f>
        <v/>
      </c>
      <c r="AU368" s="1733" t="str">
        <f>IFERROR(G368/HLOOKUP(H368,RentsUA!$B$40:$I$41,2),"")</f>
        <v/>
      </c>
      <c r="BR368" s="404" t="str">
        <f t="shared" si="87"/>
        <v/>
      </c>
      <c r="BT368" s="404" t="str">
        <f t="shared" si="82"/>
        <v/>
      </c>
    </row>
    <row r="369" spans="1:72" s="404" customFormat="1" ht="13.2">
      <c r="A369" s="406">
        <f t="shared" si="88"/>
        <v>357</v>
      </c>
      <c r="B369" s="472"/>
      <c r="C369" s="470"/>
      <c r="D369" s="407"/>
      <c r="E369" s="407"/>
      <c r="F369" s="408"/>
      <c r="G369" s="409"/>
      <c r="H369" s="407"/>
      <c r="I369" s="1029" t="str">
        <f>IFERROR(G369/HLOOKUP(H369,RentsUA!$B$8:$J$9,2),"")</f>
        <v/>
      </c>
      <c r="J369" s="407"/>
      <c r="K369" s="412"/>
      <c r="L369" s="673">
        <f t="shared" si="77"/>
        <v>0</v>
      </c>
      <c r="M369" s="671"/>
      <c r="N369" s="410">
        <f t="shared" si="78"/>
        <v>0</v>
      </c>
      <c r="O369" s="469" t="str">
        <f>IF($M369=0,"",IFERROR(($L369+$M369)/(HLOOKUP($D369,RentsUA!$K$12:$Q$35,19,FALSE)),""))</f>
        <v/>
      </c>
      <c r="P369" s="469" t="str">
        <f>IF($M369=0,"",IFERROR(($M369+K369+L369)/(HLOOKUP($D369,RentsUA!$K$12:$Q$35,19,FALSE)),""))</f>
        <v/>
      </c>
      <c r="Q369" s="411"/>
      <c r="R369" s="673" t="str">
        <f>IF($Q369=0,"",VLOOKUP($Q369,RentsUA!$A$12:$H$35,MATCH($D369,RentsUA!$A$12:$H$12,0),FALSE))</f>
        <v/>
      </c>
      <c r="S369" s="409"/>
      <c r="T369" s="674"/>
      <c r="U369" s="672"/>
      <c r="V369" s="673" t="str">
        <f t="shared" si="83"/>
        <v/>
      </c>
      <c r="W369" s="470"/>
      <c r="X369" s="411"/>
      <c r="Y369" s="410" t="str">
        <f>IF(X369=0,"",VLOOKUP($X369,RentsUA!$A$12:$H$35,MATCH($D369,RentsUA!$A$12:$H$12,0),FALSE))</f>
        <v/>
      </c>
      <c r="Z369" s="410" t="str">
        <f t="shared" si="79"/>
        <v/>
      </c>
      <c r="AA369" s="1297" t="str">
        <f>IF(H369="","",IF(G369/HLOOKUP($H369,RentsUA!$M$8:$T$9,2,FALSE)&gt;1,"&gt; 80%","&lt;= 80%"))</f>
        <v/>
      </c>
      <c r="AB369" s="1106"/>
      <c r="AC369" s="1106"/>
      <c r="AD369" s="622"/>
      <c r="AE369" s="412"/>
      <c r="AF369" s="807" t="str">
        <f>IF(AD369="","",IF(AD369=Lists!$U$3,M369,IF(AD369=Lists!$U$4,V369,IF(AD369=Lists!$U$5,Y369-L369,AE369))))</f>
        <v/>
      </c>
      <c r="AG369" s="410" t="str">
        <f t="shared" si="80"/>
        <v/>
      </c>
      <c r="AH369" s="469" t="str">
        <f t="shared" si="81"/>
        <v/>
      </c>
      <c r="AI369" s="469" t="str">
        <f>IF($AF369=0,0,IFERROR(($L369+$AF369)/(HLOOKUP($D369,RentsUA!$K$12:$Q$35,19,FALSE)),""))</f>
        <v/>
      </c>
      <c r="AJ369" s="469" t="str">
        <f>IF($AF369=0,0,IFERROR(($AF369+K369+L369)/(HLOOKUP($D369,RentsUA!$K$12:$Q$35,19,FALSE)),""))</f>
        <v/>
      </c>
      <c r="AK369" s="469" t="str">
        <f t="shared" si="84"/>
        <v/>
      </c>
      <c r="AL369" s="469" t="str">
        <f t="shared" si="85"/>
        <v/>
      </c>
      <c r="AM369" s="1106" t="str">
        <f t="shared" si="86"/>
        <v/>
      </c>
      <c r="AN369" s="1106" t="str">
        <f>IFERROR(AM369*(1+'7a.20YrDetails'!$F$9),"")</f>
        <v/>
      </c>
      <c r="AO369" s="1106" t="str">
        <f>IFERROR(AN369*(1+'7a.20YrDetails'!$F$9),"")</f>
        <v/>
      </c>
      <c r="AP369" s="1106" t="str">
        <f>IFERROR(AO369*(1+'7a.20YrDetails'!$F$9),"")</f>
        <v/>
      </c>
      <c r="AQ369" s="1106" t="str">
        <f>IFERROR(AP369*(1+'7a.20YrDetails'!$F$9),"")</f>
        <v/>
      </c>
      <c r="AR369" s="674"/>
      <c r="AS369" s="672"/>
      <c r="AT369" s="1732" t="str">
        <f>IF($AF369=0,0,IFERROR(($AF369+L369)/(HLOOKUP($D369,RentsUA!$B$61:$H$62,2,FALSE)),""))</f>
        <v/>
      </c>
      <c r="AU369" s="1733" t="str">
        <f>IFERROR(G369/HLOOKUP(H369,RentsUA!$B$40:$I$41,2),"")</f>
        <v/>
      </c>
      <c r="BR369" s="404" t="str">
        <f t="shared" si="87"/>
        <v/>
      </c>
      <c r="BT369" s="404" t="str">
        <f t="shared" si="82"/>
        <v/>
      </c>
    </row>
    <row r="370" spans="1:72" s="404" customFormat="1" ht="13.2">
      <c r="A370" s="406">
        <f t="shared" si="88"/>
        <v>358</v>
      </c>
      <c r="B370" s="472"/>
      <c r="C370" s="470"/>
      <c r="D370" s="407"/>
      <c r="E370" s="407"/>
      <c r="F370" s="408"/>
      <c r="G370" s="409"/>
      <c r="H370" s="407"/>
      <c r="I370" s="1029" t="str">
        <f>IFERROR(G370/HLOOKUP(H370,RentsUA!$B$8:$J$9,2),"")</f>
        <v/>
      </c>
      <c r="J370" s="407"/>
      <c r="K370" s="412"/>
      <c r="L370" s="673">
        <f t="shared" si="77"/>
        <v>0</v>
      </c>
      <c r="M370" s="671"/>
      <c r="N370" s="410">
        <f t="shared" si="78"/>
        <v>0</v>
      </c>
      <c r="O370" s="469" t="str">
        <f>IF($M370=0,"",IFERROR(($L370+$M370)/(HLOOKUP($D370,RentsUA!$K$12:$Q$35,19,FALSE)),""))</f>
        <v/>
      </c>
      <c r="P370" s="469" t="str">
        <f>IF($M370=0,"",IFERROR(($M370+K370+L370)/(HLOOKUP($D370,RentsUA!$K$12:$Q$35,19,FALSE)),""))</f>
        <v/>
      </c>
      <c r="Q370" s="411"/>
      <c r="R370" s="673" t="str">
        <f>IF($Q370=0,"",VLOOKUP($Q370,RentsUA!$A$12:$H$35,MATCH($D370,RentsUA!$A$12:$H$12,0),FALSE))</f>
        <v/>
      </c>
      <c r="S370" s="409"/>
      <c r="T370" s="674"/>
      <c r="U370" s="672"/>
      <c r="V370" s="673" t="str">
        <f t="shared" si="83"/>
        <v/>
      </c>
      <c r="W370" s="470"/>
      <c r="X370" s="411"/>
      <c r="Y370" s="410" t="str">
        <f>IF(X370=0,"",VLOOKUP($X370,RentsUA!$A$12:$H$35,MATCH($D370,RentsUA!$A$12:$H$12,0),FALSE))</f>
        <v/>
      </c>
      <c r="Z370" s="410" t="str">
        <f t="shared" si="79"/>
        <v/>
      </c>
      <c r="AA370" s="1297" t="str">
        <f>IF(H370="","",IF(G370/HLOOKUP($H370,RentsUA!$M$8:$T$9,2,FALSE)&gt;1,"&gt; 80%","&lt;= 80%"))</f>
        <v/>
      </c>
      <c r="AB370" s="1106"/>
      <c r="AC370" s="1106"/>
      <c r="AD370" s="622"/>
      <c r="AE370" s="412"/>
      <c r="AF370" s="807" t="str">
        <f>IF(AD370="","",IF(AD370=Lists!$U$3,M370,IF(AD370=Lists!$U$4,V370,IF(AD370=Lists!$U$5,Y370-L370,AE370))))</f>
        <v/>
      </c>
      <c r="AG370" s="410" t="str">
        <f t="shared" si="80"/>
        <v/>
      </c>
      <c r="AH370" s="469" t="str">
        <f t="shared" si="81"/>
        <v/>
      </c>
      <c r="AI370" s="469" t="str">
        <f>IF($AF370=0,0,IFERROR(($L370+$AF370)/(HLOOKUP($D370,RentsUA!$K$12:$Q$35,19,FALSE)),""))</f>
        <v/>
      </c>
      <c r="AJ370" s="469" t="str">
        <f>IF($AF370=0,0,IFERROR(($AF370+K370+L370)/(HLOOKUP($D370,RentsUA!$K$12:$Q$35,19,FALSE)),""))</f>
        <v/>
      </c>
      <c r="AK370" s="469" t="str">
        <f t="shared" si="84"/>
        <v/>
      </c>
      <c r="AL370" s="469" t="str">
        <f t="shared" si="85"/>
        <v/>
      </c>
      <c r="AM370" s="1106" t="str">
        <f t="shared" si="86"/>
        <v/>
      </c>
      <c r="AN370" s="1106" t="str">
        <f>IFERROR(AM370*(1+'7a.20YrDetails'!$F$9),"")</f>
        <v/>
      </c>
      <c r="AO370" s="1106" t="str">
        <f>IFERROR(AN370*(1+'7a.20YrDetails'!$F$9),"")</f>
        <v/>
      </c>
      <c r="AP370" s="1106" t="str">
        <f>IFERROR(AO370*(1+'7a.20YrDetails'!$F$9),"")</f>
        <v/>
      </c>
      <c r="AQ370" s="1106" t="str">
        <f>IFERROR(AP370*(1+'7a.20YrDetails'!$F$9),"")</f>
        <v/>
      </c>
      <c r="AR370" s="674"/>
      <c r="AS370" s="672"/>
      <c r="AT370" s="1732" t="str">
        <f>IF($AF370=0,0,IFERROR(($AF370+L370)/(HLOOKUP($D370,RentsUA!$B$61:$H$62,2,FALSE)),""))</f>
        <v/>
      </c>
      <c r="AU370" s="1733" t="str">
        <f>IFERROR(G370/HLOOKUP(H370,RentsUA!$B$40:$I$41,2),"")</f>
        <v/>
      </c>
      <c r="BR370" s="404" t="str">
        <f t="shared" si="87"/>
        <v/>
      </c>
      <c r="BT370" s="404" t="str">
        <f t="shared" si="82"/>
        <v/>
      </c>
    </row>
    <row r="371" spans="1:72" s="404" customFormat="1" ht="13.2">
      <c r="A371" s="406">
        <f t="shared" si="88"/>
        <v>359</v>
      </c>
      <c r="B371" s="472"/>
      <c r="C371" s="470"/>
      <c r="D371" s="407"/>
      <c r="E371" s="407"/>
      <c r="F371" s="408"/>
      <c r="G371" s="409"/>
      <c r="H371" s="407"/>
      <c r="I371" s="1029" t="str">
        <f>IFERROR(G371/HLOOKUP(H371,RentsUA!$B$8:$J$9,2),"")</f>
        <v/>
      </c>
      <c r="J371" s="407"/>
      <c r="K371" s="412"/>
      <c r="L371" s="673">
        <f t="shared" si="77"/>
        <v>0</v>
      </c>
      <c r="M371" s="671"/>
      <c r="N371" s="410">
        <f t="shared" si="78"/>
        <v>0</v>
      </c>
      <c r="O371" s="469" t="str">
        <f>IF($M371=0,"",IFERROR(($L371+$M371)/(HLOOKUP($D371,RentsUA!$K$12:$Q$35,19,FALSE)),""))</f>
        <v/>
      </c>
      <c r="P371" s="469" t="str">
        <f>IF($M371=0,"",IFERROR(($M371+K371+L371)/(HLOOKUP($D371,RentsUA!$K$12:$Q$35,19,FALSE)),""))</f>
        <v/>
      </c>
      <c r="Q371" s="411"/>
      <c r="R371" s="673" t="str">
        <f>IF($Q371=0,"",VLOOKUP($Q371,RentsUA!$A$12:$H$35,MATCH($D371,RentsUA!$A$12:$H$12,0),FALSE))</f>
        <v/>
      </c>
      <c r="S371" s="409"/>
      <c r="T371" s="674"/>
      <c r="U371" s="672"/>
      <c r="V371" s="673" t="str">
        <f t="shared" si="83"/>
        <v/>
      </c>
      <c r="W371" s="470"/>
      <c r="X371" s="411"/>
      <c r="Y371" s="410" t="str">
        <f>IF(X371=0,"",VLOOKUP($X371,RentsUA!$A$12:$H$35,MATCH($D371,RentsUA!$A$12:$H$12,0),FALSE))</f>
        <v/>
      </c>
      <c r="Z371" s="410" t="str">
        <f t="shared" si="79"/>
        <v/>
      </c>
      <c r="AA371" s="1297" t="str">
        <f>IF(H371="","",IF(G371/HLOOKUP($H371,RentsUA!$M$8:$T$9,2,FALSE)&gt;1,"&gt; 80%","&lt;= 80%"))</f>
        <v/>
      </c>
      <c r="AB371" s="1106"/>
      <c r="AC371" s="1106"/>
      <c r="AD371" s="622"/>
      <c r="AE371" s="412"/>
      <c r="AF371" s="807" t="str">
        <f>IF(AD371="","",IF(AD371=Lists!$U$3,M371,IF(AD371=Lists!$U$4,V371,IF(AD371=Lists!$U$5,Y371-L371,AE371))))</f>
        <v/>
      </c>
      <c r="AG371" s="410" t="str">
        <f t="shared" si="80"/>
        <v/>
      </c>
      <c r="AH371" s="469" t="str">
        <f t="shared" si="81"/>
        <v/>
      </c>
      <c r="AI371" s="469" t="str">
        <f>IF($AF371=0,0,IFERROR(($L371+$AF371)/(HLOOKUP($D371,RentsUA!$K$12:$Q$35,19,FALSE)),""))</f>
        <v/>
      </c>
      <c r="AJ371" s="469" t="str">
        <f>IF($AF371=0,0,IFERROR(($AF371+K371+L371)/(HLOOKUP($D371,RentsUA!$K$12:$Q$35,19,FALSE)),""))</f>
        <v/>
      </c>
      <c r="AK371" s="469" t="str">
        <f t="shared" si="84"/>
        <v/>
      </c>
      <c r="AL371" s="469" t="str">
        <f t="shared" si="85"/>
        <v/>
      </c>
      <c r="AM371" s="1106" t="str">
        <f t="shared" si="86"/>
        <v/>
      </c>
      <c r="AN371" s="1106" t="str">
        <f>IFERROR(AM371*(1+'7a.20YrDetails'!$F$9),"")</f>
        <v/>
      </c>
      <c r="AO371" s="1106" t="str">
        <f>IFERROR(AN371*(1+'7a.20YrDetails'!$F$9),"")</f>
        <v/>
      </c>
      <c r="AP371" s="1106" t="str">
        <f>IFERROR(AO371*(1+'7a.20YrDetails'!$F$9),"")</f>
        <v/>
      </c>
      <c r="AQ371" s="1106" t="str">
        <f>IFERROR(AP371*(1+'7a.20YrDetails'!$F$9),"")</f>
        <v/>
      </c>
      <c r="AR371" s="674"/>
      <c r="AS371" s="672"/>
      <c r="AT371" s="1732" t="str">
        <f>IF($AF371=0,0,IFERROR(($AF371+L371)/(HLOOKUP($D371,RentsUA!$B$61:$H$62,2,FALSE)),""))</f>
        <v/>
      </c>
      <c r="AU371" s="1733" t="str">
        <f>IFERROR(G371/HLOOKUP(H371,RentsUA!$B$40:$I$41,2),"")</f>
        <v/>
      </c>
      <c r="BR371" s="404" t="str">
        <f t="shared" si="87"/>
        <v/>
      </c>
      <c r="BT371" s="404" t="str">
        <f t="shared" si="82"/>
        <v/>
      </c>
    </row>
    <row r="372" spans="1:72" s="404" customFormat="1" ht="13.2">
      <c r="A372" s="406">
        <f t="shared" si="88"/>
        <v>360</v>
      </c>
      <c r="B372" s="472"/>
      <c r="C372" s="470"/>
      <c r="D372" s="407"/>
      <c r="E372" s="407"/>
      <c r="F372" s="408"/>
      <c r="G372" s="409"/>
      <c r="H372" s="407"/>
      <c r="I372" s="1029" t="str">
        <f>IFERROR(G372/HLOOKUP(H372,RentsUA!$B$8:$J$9,2),"")</f>
        <v/>
      </c>
      <c r="J372" s="407"/>
      <c r="K372" s="412"/>
      <c r="L372" s="673">
        <f t="shared" si="77"/>
        <v>0</v>
      </c>
      <c r="M372" s="671"/>
      <c r="N372" s="410">
        <f t="shared" si="78"/>
        <v>0</v>
      </c>
      <c r="O372" s="469" t="str">
        <f>IF($M372=0,"",IFERROR(($L372+$M372)/(HLOOKUP($D372,RentsUA!$K$12:$Q$35,19,FALSE)),""))</f>
        <v/>
      </c>
      <c r="P372" s="469" t="str">
        <f>IF($M372=0,"",IFERROR(($M372+K372+L372)/(HLOOKUP($D372,RentsUA!$K$12:$Q$35,19,FALSE)),""))</f>
        <v/>
      </c>
      <c r="Q372" s="411"/>
      <c r="R372" s="673" t="str">
        <f>IF($Q372=0,"",VLOOKUP($Q372,RentsUA!$A$12:$H$35,MATCH($D372,RentsUA!$A$12:$H$12,0),FALSE))</f>
        <v/>
      </c>
      <c r="S372" s="409"/>
      <c r="T372" s="674"/>
      <c r="U372" s="672"/>
      <c r="V372" s="673" t="str">
        <f t="shared" si="83"/>
        <v/>
      </c>
      <c r="W372" s="470"/>
      <c r="X372" s="411"/>
      <c r="Y372" s="410" t="str">
        <f>IF(X372=0,"",VLOOKUP($X372,RentsUA!$A$12:$H$35,MATCH($D372,RentsUA!$A$12:$H$12,0),FALSE))</f>
        <v/>
      </c>
      <c r="Z372" s="410" t="str">
        <f t="shared" si="79"/>
        <v/>
      </c>
      <c r="AA372" s="1297" t="str">
        <f>IF(H372="","",IF(G372/HLOOKUP($H372,RentsUA!$M$8:$T$9,2,FALSE)&gt;1,"&gt; 80%","&lt;= 80%"))</f>
        <v/>
      </c>
      <c r="AB372" s="1106"/>
      <c r="AC372" s="1106"/>
      <c r="AD372" s="622"/>
      <c r="AE372" s="412"/>
      <c r="AF372" s="807" t="str">
        <f>IF(AD372="","",IF(AD372=Lists!$U$3,M372,IF(AD372=Lists!$U$4,V372,IF(AD372=Lists!$U$5,Y372-L372,AE372))))</f>
        <v/>
      </c>
      <c r="AG372" s="410" t="str">
        <f t="shared" si="80"/>
        <v/>
      </c>
      <c r="AH372" s="469" t="str">
        <f t="shared" si="81"/>
        <v/>
      </c>
      <c r="AI372" s="469" t="str">
        <f>IF($AF372=0,0,IFERROR(($L372+$AF372)/(HLOOKUP($D372,RentsUA!$K$12:$Q$35,19,FALSE)),""))</f>
        <v/>
      </c>
      <c r="AJ372" s="469" t="str">
        <f>IF($AF372=0,0,IFERROR(($AF372+K372+L372)/(HLOOKUP($D372,RentsUA!$K$12:$Q$35,19,FALSE)),""))</f>
        <v/>
      </c>
      <c r="AK372" s="469" t="str">
        <f t="shared" si="84"/>
        <v/>
      </c>
      <c r="AL372" s="469" t="str">
        <f t="shared" si="85"/>
        <v/>
      </c>
      <c r="AM372" s="1106" t="str">
        <f t="shared" si="86"/>
        <v/>
      </c>
      <c r="AN372" s="1106" t="str">
        <f>IFERROR(AM372*(1+'7a.20YrDetails'!$F$9),"")</f>
        <v/>
      </c>
      <c r="AO372" s="1106" t="str">
        <f>IFERROR(AN372*(1+'7a.20YrDetails'!$F$9),"")</f>
        <v/>
      </c>
      <c r="AP372" s="1106" t="str">
        <f>IFERROR(AO372*(1+'7a.20YrDetails'!$F$9),"")</f>
        <v/>
      </c>
      <c r="AQ372" s="1106" t="str">
        <f>IFERROR(AP372*(1+'7a.20YrDetails'!$F$9),"")</f>
        <v/>
      </c>
      <c r="AR372" s="674"/>
      <c r="AS372" s="672"/>
      <c r="AT372" s="1732" t="str">
        <f>IF($AF372=0,0,IFERROR(($AF372+L372)/(HLOOKUP($D372,RentsUA!$B$61:$H$62,2,FALSE)),""))</f>
        <v/>
      </c>
      <c r="AU372" s="1733" t="str">
        <f>IFERROR(G372/HLOOKUP(H372,RentsUA!$B$40:$I$41,2),"")</f>
        <v/>
      </c>
      <c r="BR372" s="404" t="str">
        <f t="shared" si="87"/>
        <v/>
      </c>
      <c r="BT372" s="404" t="str">
        <f t="shared" si="82"/>
        <v/>
      </c>
    </row>
    <row r="373" spans="1:72" s="404" customFormat="1" ht="13.2">
      <c r="A373" s="406">
        <f t="shared" si="88"/>
        <v>361</v>
      </c>
      <c r="B373" s="472"/>
      <c r="C373" s="470"/>
      <c r="D373" s="407"/>
      <c r="E373" s="407"/>
      <c r="F373" s="408"/>
      <c r="G373" s="409"/>
      <c r="H373" s="407"/>
      <c r="I373" s="1029" t="str">
        <f>IFERROR(G373/HLOOKUP(H373,RentsUA!$B$8:$J$9,2),"")</f>
        <v/>
      </c>
      <c r="J373" s="407"/>
      <c r="K373" s="412"/>
      <c r="L373" s="673">
        <f t="shared" si="77"/>
        <v>0</v>
      </c>
      <c r="M373" s="671"/>
      <c r="N373" s="410">
        <f t="shared" si="78"/>
        <v>0</v>
      </c>
      <c r="O373" s="469" t="str">
        <f>IF($M373=0,"",IFERROR(($L373+$M373)/(HLOOKUP($D373,RentsUA!$K$12:$Q$35,19,FALSE)),""))</f>
        <v/>
      </c>
      <c r="P373" s="469" t="str">
        <f>IF($M373=0,"",IFERROR(($M373+K373+L373)/(HLOOKUP($D373,RentsUA!$K$12:$Q$35,19,FALSE)),""))</f>
        <v/>
      </c>
      <c r="Q373" s="411"/>
      <c r="R373" s="673" t="str">
        <f>IF($Q373=0,"",VLOOKUP($Q373,RentsUA!$A$12:$H$35,MATCH($D373,RentsUA!$A$12:$H$12,0),FALSE))</f>
        <v/>
      </c>
      <c r="S373" s="409"/>
      <c r="T373" s="674"/>
      <c r="U373" s="672"/>
      <c r="V373" s="673" t="str">
        <f t="shared" si="83"/>
        <v/>
      </c>
      <c r="W373" s="470"/>
      <c r="X373" s="411"/>
      <c r="Y373" s="410" t="str">
        <f>IF(X373=0,"",VLOOKUP($X373,RentsUA!$A$12:$H$35,MATCH($D373,RentsUA!$A$12:$H$12,0),FALSE))</f>
        <v/>
      </c>
      <c r="Z373" s="410" t="str">
        <f t="shared" si="79"/>
        <v/>
      </c>
      <c r="AA373" s="1297" t="str">
        <f>IF(H373="","",IF(G373/HLOOKUP($H373,RentsUA!$M$8:$T$9,2,FALSE)&gt;1,"&gt; 80%","&lt;= 80%"))</f>
        <v/>
      </c>
      <c r="AB373" s="1106"/>
      <c r="AC373" s="1106"/>
      <c r="AD373" s="622"/>
      <c r="AE373" s="412"/>
      <c r="AF373" s="807" t="str">
        <f>IF(AD373="","",IF(AD373=Lists!$U$3,M373,IF(AD373=Lists!$U$4,V373,IF(AD373=Lists!$U$5,Y373-L373,AE373))))</f>
        <v/>
      </c>
      <c r="AG373" s="410" t="str">
        <f t="shared" si="80"/>
        <v/>
      </c>
      <c r="AH373" s="469" t="str">
        <f t="shared" si="81"/>
        <v/>
      </c>
      <c r="AI373" s="469" t="str">
        <f>IF($AF373=0,0,IFERROR(($L373+$AF373)/(HLOOKUP($D373,RentsUA!$K$12:$Q$35,19,FALSE)),""))</f>
        <v/>
      </c>
      <c r="AJ373" s="469" t="str">
        <f>IF($AF373=0,0,IFERROR(($AF373+K373+L373)/(HLOOKUP($D373,RentsUA!$K$12:$Q$35,19,FALSE)),""))</f>
        <v/>
      </c>
      <c r="AK373" s="469" t="str">
        <f t="shared" si="84"/>
        <v/>
      </c>
      <c r="AL373" s="469" t="str">
        <f t="shared" si="85"/>
        <v/>
      </c>
      <c r="AM373" s="1106" t="str">
        <f t="shared" si="86"/>
        <v/>
      </c>
      <c r="AN373" s="1106" t="str">
        <f>IFERROR(AM373*(1+'7a.20YrDetails'!$F$9),"")</f>
        <v/>
      </c>
      <c r="AO373" s="1106" t="str">
        <f>IFERROR(AN373*(1+'7a.20YrDetails'!$F$9),"")</f>
        <v/>
      </c>
      <c r="AP373" s="1106" t="str">
        <f>IFERROR(AO373*(1+'7a.20YrDetails'!$F$9),"")</f>
        <v/>
      </c>
      <c r="AQ373" s="1106" t="str">
        <f>IFERROR(AP373*(1+'7a.20YrDetails'!$F$9),"")</f>
        <v/>
      </c>
      <c r="AR373" s="674"/>
      <c r="AS373" s="672"/>
      <c r="AT373" s="1732" t="str">
        <f>IF($AF373=0,0,IFERROR(($AF373+L373)/(HLOOKUP($D373,RentsUA!$B$61:$H$62,2,FALSE)),""))</f>
        <v/>
      </c>
      <c r="AU373" s="1733" t="str">
        <f>IFERROR(G373/HLOOKUP(H373,RentsUA!$B$40:$I$41,2),"")</f>
        <v/>
      </c>
      <c r="BR373" s="404" t="str">
        <f t="shared" si="87"/>
        <v/>
      </c>
      <c r="BT373" s="404" t="str">
        <f t="shared" si="82"/>
        <v/>
      </c>
    </row>
    <row r="374" spans="1:72" s="404" customFormat="1" ht="13.2">
      <c r="A374" s="406">
        <f t="shared" si="88"/>
        <v>362</v>
      </c>
      <c r="B374" s="472"/>
      <c r="C374" s="470"/>
      <c r="D374" s="407"/>
      <c r="E374" s="407"/>
      <c r="F374" s="408"/>
      <c r="G374" s="409"/>
      <c r="H374" s="407"/>
      <c r="I374" s="1029" t="str">
        <f>IFERROR(G374/HLOOKUP(H374,RentsUA!$B$8:$J$9,2),"")</f>
        <v/>
      </c>
      <c r="J374" s="407"/>
      <c r="K374" s="412"/>
      <c r="L374" s="673">
        <f t="shared" si="77"/>
        <v>0</v>
      </c>
      <c r="M374" s="671"/>
      <c r="N374" s="410">
        <f t="shared" si="78"/>
        <v>0</v>
      </c>
      <c r="O374" s="469" t="str">
        <f>IF($M374=0,"",IFERROR(($L374+$M374)/(HLOOKUP($D374,RentsUA!$K$12:$Q$35,19,FALSE)),""))</f>
        <v/>
      </c>
      <c r="P374" s="469" t="str">
        <f>IF($M374=0,"",IFERROR(($M374+K374+L374)/(HLOOKUP($D374,RentsUA!$K$12:$Q$35,19,FALSE)),""))</f>
        <v/>
      </c>
      <c r="Q374" s="411"/>
      <c r="R374" s="673" t="str">
        <f>IF($Q374=0,"",VLOOKUP($Q374,RentsUA!$A$12:$H$35,MATCH($D374,RentsUA!$A$12:$H$12,0),FALSE))</f>
        <v/>
      </c>
      <c r="S374" s="409"/>
      <c r="T374" s="674"/>
      <c r="U374" s="672"/>
      <c r="V374" s="673" t="str">
        <f t="shared" si="83"/>
        <v/>
      </c>
      <c r="W374" s="470"/>
      <c r="X374" s="411"/>
      <c r="Y374" s="410" t="str">
        <f>IF(X374=0,"",VLOOKUP($X374,RentsUA!$A$12:$H$35,MATCH($D374,RentsUA!$A$12:$H$12,0),FALSE))</f>
        <v/>
      </c>
      <c r="Z374" s="410" t="str">
        <f t="shared" si="79"/>
        <v/>
      </c>
      <c r="AA374" s="1297" t="str">
        <f>IF(H374="","",IF(G374/HLOOKUP($H374,RentsUA!$M$8:$T$9,2,FALSE)&gt;1,"&gt; 80%","&lt;= 80%"))</f>
        <v/>
      </c>
      <c r="AB374" s="1106"/>
      <c r="AC374" s="1106"/>
      <c r="AD374" s="622"/>
      <c r="AE374" s="412"/>
      <c r="AF374" s="807" t="str">
        <f>IF(AD374="","",IF(AD374=Lists!$U$3,M374,IF(AD374=Lists!$U$4,V374,IF(AD374=Lists!$U$5,Y374-L374,AE374))))</f>
        <v/>
      </c>
      <c r="AG374" s="410" t="str">
        <f t="shared" si="80"/>
        <v/>
      </c>
      <c r="AH374" s="469" t="str">
        <f t="shared" si="81"/>
        <v/>
      </c>
      <c r="AI374" s="469" t="str">
        <f>IF($AF374=0,0,IFERROR(($L374+$AF374)/(HLOOKUP($D374,RentsUA!$K$12:$Q$35,19,FALSE)),""))</f>
        <v/>
      </c>
      <c r="AJ374" s="469" t="str">
        <f>IF($AF374=0,0,IFERROR(($AF374+K374+L374)/(HLOOKUP($D374,RentsUA!$K$12:$Q$35,19,FALSE)),""))</f>
        <v/>
      </c>
      <c r="AK374" s="469" t="str">
        <f t="shared" si="84"/>
        <v/>
      </c>
      <c r="AL374" s="469" t="str">
        <f t="shared" si="85"/>
        <v/>
      </c>
      <c r="AM374" s="1106" t="str">
        <f t="shared" si="86"/>
        <v/>
      </c>
      <c r="AN374" s="1106" t="str">
        <f>IFERROR(AM374*(1+'7a.20YrDetails'!$F$9),"")</f>
        <v/>
      </c>
      <c r="AO374" s="1106" t="str">
        <f>IFERROR(AN374*(1+'7a.20YrDetails'!$F$9),"")</f>
        <v/>
      </c>
      <c r="AP374" s="1106" t="str">
        <f>IFERROR(AO374*(1+'7a.20YrDetails'!$F$9),"")</f>
        <v/>
      </c>
      <c r="AQ374" s="1106" t="str">
        <f>IFERROR(AP374*(1+'7a.20YrDetails'!$F$9),"")</f>
        <v/>
      </c>
      <c r="AR374" s="674"/>
      <c r="AS374" s="672"/>
      <c r="AT374" s="1732" t="str">
        <f>IF($AF374=0,0,IFERROR(($AF374+L374)/(HLOOKUP($D374,RentsUA!$B$61:$H$62,2,FALSE)),""))</f>
        <v/>
      </c>
      <c r="AU374" s="1733" t="str">
        <f>IFERROR(G374/HLOOKUP(H374,RentsUA!$B$40:$I$41,2),"")</f>
        <v/>
      </c>
      <c r="BR374" s="404" t="str">
        <f t="shared" si="87"/>
        <v/>
      </c>
      <c r="BT374" s="404" t="str">
        <f t="shared" si="82"/>
        <v/>
      </c>
    </row>
    <row r="375" spans="1:72" s="404" customFormat="1" ht="13.2">
      <c r="A375" s="406">
        <f t="shared" si="88"/>
        <v>363</v>
      </c>
      <c r="B375" s="472"/>
      <c r="C375" s="470"/>
      <c r="D375" s="407"/>
      <c r="E375" s="407"/>
      <c r="F375" s="408"/>
      <c r="G375" s="409"/>
      <c r="H375" s="407"/>
      <c r="I375" s="1029" t="str">
        <f>IFERROR(G375/HLOOKUP(H375,RentsUA!$B$8:$J$9,2),"")</f>
        <v/>
      </c>
      <c r="J375" s="407"/>
      <c r="K375" s="412"/>
      <c r="L375" s="673">
        <f t="shared" si="77"/>
        <v>0</v>
      </c>
      <c r="M375" s="671"/>
      <c r="N375" s="410">
        <f t="shared" si="78"/>
        <v>0</v>
      </c>
      <c r="O375" s="469" t="str">
        <f>IF($M375=0,"",IFERROR(($L375+$M375)/(HLOOKUP($D375,RentsUA!$K$12:$Q$35,19,FALSE)),""))</f>
        <v/>
      </c>
      <c r="P375" s="469" t="str">
        <f>IF($M375=0,"",IFERROR(($M375+K375+L375)/(HLOOKUP($D375,RentsUA!$K$12:$Q$35,19,FALSE)),""))</f>
        <v/>
      </c>
      <c r="Q375" s="411"/>
      <c r="R375" s="673" t="str">
        <f>IF($Q375=0,"",VLOOKUP($Q375,RentsUA!$A$12:$H$35,MATCH($D375,RentsUA!$A$12:$H$12,0),FALSE))</f>
        <v/>
      </c>
      <c r="S375" s="409"/>
      <c r="T375" s="674"/>
      <c r="U375" s="672"/>
      <c r="V375" s="673" t="str">
        <f t="shared" si="83"/>
        <v/>
      </c>
      <c r="W375" s="470"/>
      <c r="X375" s="411"/>
      <c r="Y375" s="410" t="str">
        <f>IF(X375=0,"",VLOOKUP($X375,RentsUA!$A$12:$H$35,MATCH($D375,RentsUA!$A$12:$H$12,0),FALSE))</f>
        <v/>
      </c>
      <c r="Z375" s="410" t="str">
        <f t="shared" si="79"/>
        <v/>
      </c>
      <c r="AA375" s="1297" t="str">
        <f>IF(H375="","",IF(G375/HLOOKUP($H375,RentsUA!$M$8:$T$9,2,FALSE)&gt;1,"&gt; 80%","&lt;= 80%"))</f>
        <v/>
      </c>
      <c r="AB375" s="1106"/>
      <c r="AC375" s="1106"/>
      <c r="AD375" s="622"/>
      <c r="AE375" s="412"/>
      <c r="AF375" s="807" t="str">
        <f>IF(AD375="","",IF(AD375=Lists!$U$3,M375,IF(AD375=Lists!$U$4,V375,IF(AD375=Lists!$U$5,Y375-L375,AE375))))</f>
        <v/>
      </c>
      <c r="AG375" s="410" t="str">
        <f t="shared" si="80"/>
        <v/>
      </c>
      <c r="AH375" s="469" t="str">
        <f t="shared" si="81"/>
        <v/>
      </c>
      <c r="AI375" s="469" t="str">
        <f>IF($AF375=0,0,IFERROR(($L375+$AF375)/(HLOOKUP($D375,RentsUA!$K$12:$Q$35,19,FALSE)),""))</f>
        <v/>
      </c>
      <c r="AJ375" s="469" t="str">
        <f>IF($AF375=0,0,IFERROR(($AF375+K375+L375)/(HLOOKUP($D375,RentsUA!$K$12:$Q$35,19,FALSE)),""))</f>
        <v/>
      </c>
      <c r="AK375" s="469" t="str">
        <f t="shared" si="84"/>
        <v/>
      </c>
      <c r="AL375" s="469" t="str">
        <f t="shared" si="85"/>
        <v/>
      </c>
      <c r="AM375" s="1106" t="str">
        <f t="shared" si="86"/>
        <v/>
      </c>
      <c r="AN375" s="1106" t="str">
        <f>IFERROR(AM375*(1+'7a.20YrDetails'!$F$9),"")</f>
        <v/>
      </c>
      <c r="AO375" s="1106" t="str">
        <f>IFERROR(AN375*(1+'7a.20YrDetails'!$F$9),"")</f>
        <v/>
      </c>
      <c r="AP375" s="1106" t="str">
        <f>IFERROR(AO375*(1+'7a.20YrDetails'!$F$9),"")</f>
        <v/>
      </c>
      <c r="AQ375" s="1106" t="str">
        <f>IFERROR(AP375*(1+'7a.20YrDetails'!$F$9),"")</f>
        <v/>
      </c>
      <c r="AR375" s="674"/>
      <c r="AS375" s="672"/>
      <c r="AT375" s="1732" t="str">
        <f>IF($AF375=0,0,IFERROR(($AF375+L375)/(HLOOKUP($D375,RentsUA!$B$61:$H$62,2,FALSE)),""))</f>
        <v/>
      </c>
      <c r="AU375" s="1733" t="str">
        <f>IFERROR(G375/HLOOKUP(H375,RentsUA!$B$40:$I$41,2),"")</f>
        <v/>
      </c>
      <c r="BR375" s="404" t="str">
        <f t="shared" si="87"/>
        <v/>
      </c>
      <c r="BT375" s="404" t="str">
        <f t="shared" si="82"/>
        <v/>
      </c>
    </row>
    <row r="376" spans="1:72" s="404" customFormat="1" ht="13.2">
      <c r="A376" s="406">
        <f t="shared" si="88"/>
        <v>364</v>
      </c>
      <c r="B376" s="472"/>
      <c r="C376" s="470"/>
      <c r="D376" s="407"/>
      <c r="E376" s="407"/>
      <c r="F376" s="408"/>
      <c r="G376" s="409"/>
      <c r="H376" s="407"/>
      <c r="I376" s="1029" t="str">
        <f>IFERROR(G376/HLOOKUP(H376,RentsUA!$B$8:$J$9,2),"")</f>
        <v/>
      </c>
      <c r="J376" s="407"/>
      <c r="K376" s="412"/>
      <c r="L376" s="673">
        <f t="shared" si="77"/>
        <v>0</v>
      </c>
      <c r="M376" s="671"/>
      <c r="N376" s="410">
        <f t="shared" si="78"/>
        <v>0</v>
      </c>
      <c r="O376" s="469" t="str">
        <f>IF($M376=0,"",IFERROR(($L376+$M376)/(HLOOKUP($D376,RentsUA!$K$12:$Q$35,19,FALSE)),""))</f>
        <v/>
      </c>
      <c r="P376" s="469" t="str">
        <f>IF($M376=0,"",IFERROR(($M376+K376+L376)/(HLOOKUP($D376,RentsUA!$K$12:$Q$35,19,FALSE)),""))</f>
        <v/>
      </c>
      <c r="Q376" s="411"/>
      <c r="R376" s="673" t="str">
        <f>IF($Q376=0,"",VLOOKUP($Q376,RentsUA!$A$12:$H$35,MATCH($D376,RentsUA!$A$12:$H$12,0),FALSE))</f>
        <v/>
      </c>
      <c r="S376" s="409"/>
      <c r="T376" s="674"/>
      <c r="U376" s="672"/>
      <c r="V376" s="673" t="str">
        <f t="shared" si="83"/>
        <v/>
      </c>
      <c r="W376" s="470"/>
      <c r="X376" s="411"/>
      <c r="Y376" s="410" t="str">
        <f>IF(X376=0,"",VLOOKUP($X376,RentsUA!$A$12:$H$35,MATCH($D376,RentsUA!$A$12:$H$12,0),FALSE))</f>
        <v/>
      </c>
      <c r="Z376" s="410" t="str">
        <f t="shared" si="79"/>
        <v/>
      </c>
      <c r="AA376" s="1297" t="str">
        <f>IF(H376="","",IF(G376/HLOOKUP($H376,RentsUA!$M$8:$T$9,2,FALSE)&gt;1,"&gt; 80%","&lt;= 80%"))</f>
        <v/>
      </c>
      <c r="AB376" s="1106"/>
      <c r="AC376" s="1106"/>
      <c r="AD376" s="622"/>
      <c r="AE376" s="412"/>
      <c r="AF376" s="807" t="str">
        <f>IF(AD376="","",IF(AD376=Lists!$U$3,M376,IF(AD376=Lists!$U$4,V376,IF(AD376=Lists!$U$5,Y376-L376,AE376))))</f>
        <v/>
      </c>
      <c r="AG376" s="410" t="str">
        <f t="shared" si="80"/>
        <v/>
      </c>
      <c r="AH376" s="469" t="str">
        <f t="shared" si="81"/>
        <v/>
      </c>
      <c r="AI376" s="469" t="str">
        <f>IF($AF376=0,0,IFERROR(($L376+$AF376)/(HLOOKUP($D376,RentsUA!$K$12:$Q$35,19,FALSE)),""))</f>
        <v/>
      </c>
      <c r="AJ376" s="469" t="str">
        <f>IF($AF376=0,0,IFERROR(($AF376+K376+L376)/(HLOOKUP($D376,RentsUA!$K$12:$Q$35,19,FALSE)),""))</f>
        <v/>
      </c>
      <c r="AK376" s="469" t="str">
        <f t="shared" si="84"/>
        <v/>
      </c>
      <c r="AL376" s="469" t="str">
        <f t="shared" si="85"/>
        <v/>
      </c>
      <c r="AM376" s="1106" t="str">
        <f t="shared" si="86"/>
        <v/>
      </c>
      <c r="AN376" s="1106" t="str">
        <f>IFERROR(AM376*(1+'7a.20YrDetails'!$F$9),"")</f>
        <v/>
      </c>
      <c r="AO376" s="1106" t="str">
        <f>IFERROR(AN376*(1+'7a.20YrDetails'!$F$9),"")</f>
        <v/>
      </c>
      <c r="AP376" s="1106" t="str">
        <f>IFERROR(AO376*(1+'7a.20YrDetails'!$F$9),"")</f>
        <v/>
      </c>
      <c r="AQ376" s="1106" t="str">
        <f>IFERROR(AP376*(1+'7a.20YrDetails'!$F$9),"")</f>
        <v/>
      </c>
      <c r="AR376" s="674"/>
      <c r="AS376" s="672"/>
      <c r="AT376" s="1732" t="str">
        <f>IF($AF376=0,0,IFERROR(($AF376+L376)/(HLOOKUP($D376,RentsUA!$B$61:$H$62,2,FALSE)),""))</f>
        <v/>
      </c>
      <c r="AU376" s="1733" t="str">
        <f>IFERROR(G376/HLOOKUP(H376,RentsUA!$B$40:$I$41,2),"")</f>
        <v/>
      </c>
      <c r="BR376" s="404" t="str">
        <f t="shared" si="87"/>
        <v/>
      </c>
      <c r="BT376" s="404" t="str">
        <f t="shared" si="82"/>
        <v/>
      </c>
    </row>
    <row r="377" spans="1:72" s="404" customFormat="1" ht="13.2">
      <c r="A377" s="406">
        <f t="shared" si="88"/>
        <v>365</v>
      </c>
      <c r="B377" s="472"/>
      <c r="C377" s="470"/>
      <c r="D377" s="407"/>
      <c r="E377" s="407"/>
      <c r="F377" s="408"/>
      <c r="G377" s="409"/>
      <c r="H377" s="407"/>
      <c r="I377" s="1029" t="str">
        <f>IFERROR(G377/HLOOKUP(H377,RentsUA!$B$8:$J$9,2),"")</f>
        <v/>
      </c>
      <c r="J377" s="407"/>
      <c r="K377" s="412"/>
      <c r="L377" s="673">
        <f t="shared" si="77"/>
        <v>0</v>
      </c>
      <c r="M377" s="671"/>
      <c r="N377" s="410">
        <f t="shared" si="78"/>
        <v>0</v>
      </c>
      <c r="O377" s="469" t="str">
        <f>IF($M377=0,"",IFERROR(($L377+$M377)/(HLOOKUP($D377,RentsUA!$K$12:$Q$35,19,FALSE)),""))</f>
        <v/>
      </c>
      <c r="P377" s="469" t="str">
        <f>IF($M377=0,"",IFERROR(($M377+K377+L377)/(HLOOKUP($D377,RentsUA!$K$12:$Q$35,19,FALSE)),""))</f>
        <v/>
      </c>
      <c r="Q377" s="411"/>
      <c r="R377" s="673" t="str">
        <f>IF($Q377=0,"",VLOOKUP($Q377,RentsUA!$A$12:$H$35,MATCH($D377,RentsUA!$A$12:$H$12,0),FALSE))</f>
        <v/>
      </c>
      <c r="S377" s="409"/>
      <c r="T377" s="674"/>
      <c r="U377" s="672"/>
      <c r="V377" s="673" t="str">
        <f t="shared" si="83"/>
        <v/>
      </c>
      <c r="W377" s="470"/>
      <c r="X377" s="411"/>
      <c r="Y377" s="410" t="str">
        <f>IF(X377=0,"",VLOOKUP($X377,RentsUA!$A$12:$H$35,MATCH($D377,RentsUA!$A$12:$H$12,0),FALSE))</f>
        <v/>
      </c>
      <c r="Z377" s="410" t="str">
        <f t="shared" si="79"/>
        <v/>
      </c>
      <c r="AA377" s="1297" t="str">
        <f>IF(H377="","",IF(G377/HLOOKUP($H377,RentsUA!$M$8:$T$9,2,FALSE)&gt;1,"&gt; 80%","&lt;= 80%"))</f>
        <v/>
      </c>
      <c r="AB377" s="1106"/>
      <c r="AC377" s="1106"/>
      <c r="AD377" s="622"/>
      <c r="AE377" s="412"/>
      <c r="AF377" s="807" t="str">
        <f>IF(AD377="","",IF(AD377=Lists!$U$3,M377,IF(AD377=Lists!$U$4,V377,IF(AD377=Lists!$U$5,Y377-L377,AE377))))</f>
        <v/>
      </c>
      <c r="AG377" s="410" t="str">
        <f t="shared" si="80"/>
        <v/>
      </c>
      <c r="AH377" s="469" t="str">
        <f t="shared" si="81"/>
        <v/>
      </c>
      <c r="AI377" s="469" t="str">
        <f>IF($AF377=0,0,IFERROR(($L377+$AF377)/(HLOOKUP($D377,RentsUA!$K$12:$Q$35,19,FALSE)),""))</f>
        <v/>
      </c>
      <c r="AJ377" s="469" t="str">
        <f>IF($AF377=0,0,IFERROR(($AF377+K377+L377)/(HLOOKUP($D377,RentsUA!$K$12:$Q$35,19,FALSE)),""))</f>
        <v/>
      </c>
      <c r="AK377" s="469" t="str">
        <f t="shared" si="84"/>
        <v/>
      </c>
      <c r="AL377" s="469" t="str">
        <f t="shared" si="85"/>
        <v/>
      </c>
      <c r="AM377" s="1106" t="str">
        <f t="shared" si="86"/>
        <v/>
      </c>
      <c r="AN377" s="1106" t="str">
        <f>IFERROR(AM377*(1+'7a.20YrDetails'!$F$9),"")</f>
        <v/>
      </c>
      <c r="AO377" s="1106" t="str">
        <f>IFERROR(AN377*(1+'7a.20YrDetails'!$F$9),"")</f>
        <v/>
      </c>
      <c r="AP377" s="1106" t="str">
        <f>IFERROR(AO377*(1+'7a.20YrDetails'!$F$9),"")</f>
        <v/>
      </c>
      <c r="AQ377" s="1106" t="str">
        <f>IFERROR(AP377*(1+'7a.20YrDetails'!$F$9),"")</f>
        <v/>
      </c>
      <c r="AR377" s="674"/>
      <c r="AS377" s="672"/>
      <c r="AT377" s="1732" t="str">
        <f>IF($AF377=0,0,IFERROR(($AF377+L377)/(HLOOKUP($D377,RentsUA!$B$61:$H$62,2,FALSE)),""))</f>
        <v/>
      </c>
      <c r="AU377" s="1733" t="str">
        <f>IFERROR(G377/HLOOKUP(H377,RentsUA!$B$40:$I$41,2),"")</f>
        <v/>
      </c>
      <c r="BR377" s="404" t="str">
        <f t="shared" si="87"/>
        <v/>
      </c>
      <c r="BT377" s="404" t="str">
        <f t="shared" si="82"/>
        <v/>
      </c>
    </row>
    <row r="378" spans="1:72" s="404" customFormat="1" ht="13.2">
      <c r="A378" s="406">
        <f t="shared" si="88"/>
        <v>366</v>
      </c>
      <c r="B378" s="472"/>
      <c r="C378" s="470"/>
      <c r="D378" s="407"/>
      <c r="E378" s="407"/>
      <c r="F378" s="408"/>
      <c r="G378" s="409"/>
      <c r="H378" s="407"/>
      <c r="I378" s="1029" t="str">
        <f>IFERROR(G378/HLOOKUP(H378,RentsUA!$B$8:$J$9,2),"")</f>
        <v/>
      </c>
      <c r="J378" s="407"/>
      <c r="K378" s="412"/>
      <c r="L378" s="673">
        <f t="shared" si="77"/>
        <v>0</v>
      </c>
      <c r="M378" s="671"/>
      <c r="N378" s="410">
        <f t="shared" si="78"/>
        <v>0</v>
      </c>
      <c r="O378" s="469" t="str">
        <f>IF($M378=0,"",IFERROR(($L378+$M378)/(HLOOKUP($D378,RentsUA!$K$12:$Q$35,19,FALSE)),""))</f>
        <v/>
      </c>
      <c r="P378" s="469" t="str">
        <f>IF($M378=0,"",IFERROR(($M378+K378+L378)/(HLOOKUP($D378,RentsUA!$K$12:$Q$35,19,FALSE)),""))</f>
        <v/>
      </c>
      <c r="Q378" s="411"/>
      <c r="R378" s="673" t="str">
        <f>IF($Q378=0,"",VLOOKUP($Q378,RentsUA!$A$12:$H$35,MATCH($D378,RentsUA!$A$12:$H$12,0),FALSE))</f>
        <v/>
      </c>
      <c r="S378" s="409"/>
      <c r="T378" s="674"/>
      <c r="U378" s="672"/>
      <c r="V378" s="673" t="str">
        <f t="shared" si="83"/>
        <v/>
      </c>
      <c r="W378" s="470"/>
      <c r="X378" s="411"/>
      <c r="Y378" s="410" t="str">
        <f>IF(X378=0,"",VLOOKUP($X378,RentsUA!$A$12:$H$35,MATCH($D378,RentsUA!$A$12:$H$12,0),FALSE))</f>
        <v/>
      </c>
      <c r="Z378" s="410" t="str">
        <f t="shared" si="79"/>
        <v/>
      </c>
      <c r="AA378" s="1297" t="str">
        <f>IF(H378="","",IF(G378/HLOOKUP($H378,RentsUA!$M$8:$T$9,2,FALSE)&gt;1,"&gt; 80%","&lt;= 80%"))</f>
        <v/>
      </c>
      <c r="AB378" s="1106"/>
      <c r="AC378" s="1106"/>
      <c r="AD378" s="622"/>
      <c r="AE378" s="412"/>
      <c r="AF378" s="807" t="str">
        <f>IF(AD378="","",IF(AD378=Lists!$U$3,M378,IF(AD378=Lists!$U$4,V378,IF(AD378=Lists!$U$5,Y378-L378,AE378))))</f>
        <v/>
      </c>
      <c r="AG378" s="410" t="str">
        <f t="shared" si="80"/>
        <v/>
      </c>
      <c r="AH378" s="469" t="str">
        <f t="shared" si="81"/>
        <v/>
      </c>
      <c r="AI378" s="469" t="str">
        <f>IF($AF378=0,0,IFERROR(($L378+$AF378)/(HLOOKUP($D378,RentsUA!$K$12:$Q$35,19,FALSE)),""))</f>
        <v/>
      </c>
      <c r="AJ378" s="469" t="str">
        <f>IF($AF378=0,0,IFERROR(($AF378+K378+L378)/(HLOOKUP($D378,RentsUA!$K$12:$Q$35,19,FALSE)),""))</f>
        <v/>
      </c>
      <c r="AK378" s="469" t="str">
        <f t="shared" si="84"/>
        <v/>
      </c>
      <c r="AL378" s="469" t="str">
        <f t="shared" si="85"/>
        <v/>
      </c>
      <c r="AM378" s="1106" t="str">
        <f t="shared" si="86"/>
        <v/>
      </c>
      <c r="AN378" s="1106" t="str">
        <f>IFERROR(AM378*(1+'7a.20YrDetails'!$F$9),"")</f>
        <v/>
      </c>
      <c r="AO378" s="1106" t="str">
        <f>IFERROR(AN378*(1+'7a.20YrDetails'!$F$9),"")</f>
        <v/>
      </c>
      <c r="AP378" s="1106" t="str">
        <f>IFERROR(AO378*(1+'7a.20YrDetails'!$F$9),"")</f>
        <v/>
      </c>
      <c r="AQ378" s="1106" t="str">
        <f>IFERROR(AP378*(1+'7a.20YrDetails'!$F$9),"")</f>
        <v/>
      </c>
      <c r="AR378" s="674"/>
      <c r="AS378" s="672"/>
      <c r="AT378" s="1732" t="str">
        <f>IF($AF378=0,0,IFERROR(($AF378+L378)/(HLOOKUP($D378,RentsUA!$B$61:$H$62,2,FALSE)),""))</f>
        <v/>
      </c>
      <c r="AU378" s="1733" t="str">
        <f>IFERROR(G378/HLOOKUP(H378,RentsUA!$B$40:$I$41,2),"")</f>
        <v/>
      </c>
      <c r="BR378" s="404" t="str">
        <f t="shared" si="87"/>
        <v/>
      </c>
      <c r="BT378" s="404" t="str">
        <f t="shared" si="82"/>
        <v/>
      </c>
    </row>
    <row r="379" spans="1:72" s="404" customFormat="1" ht="13.2">
      <c r="A379" s="406">
        <f t="shared" si="88"/>
        <v>367</v>
      </c>
      <c r="B379" s="472"/>
      <c r="C379" s="470"/>
      <c r="D379" s="407"/>
      <c r="E379" s="407"/>
      <c r="F379" s="408"/>
      <c r="G379" s="409"/>
      <c r="H379" s="407"/>
      <c r="I379" s="1029" t="str">
        <f>IFERROR(G379/HLOOKUP(H379,RentsUA!$B$8:$J$9,2),"")</f>
        <v/>
      </c>
      <c r="J379" s="407"/>
      <c r="K379" s="412"/>
      <c r="L379" s="673">
        <f t="shared" si="77"/>
        <v>0</v>
      </c>
      <c r="M379" s="671"/>
      <c r="N379" s="410">
        <f t="shared" si="78"/>
        <v>0</v>
      </c>
      <c r="O379" s="469" t="str">
        <f>IF($M379=0,"",IFERROR(($L379+$M379)/(HLOOKUP($D379,RentsUA!$K$12:$Q$35,19,FALSE)),""))</f>
        <v/>
      </c>
      <c r="P379" s="469" t="str">
        <f>IF($M379=0,"",IFERROR(($M379+K379+L379)/(HLOOKUP($D379,RentsUA!$K$12:$Q$35,19,FALSE)),""))</f>
        <v/>
      </c>
      <c r="Q379" s="411"/>
      <c r="R379" s="673" t="str">
        <f>IF($Q379=0,"",VLOOKUP($Q379,RentsUA!$A$12:$H$35,MATCH($D379,RentsUA!$A$12:$H$12,0),FALSE))</f>
        <v/>
      </c>
      <c r="S379" s="409"/>
      <c r="T379" s="674"/>
      <c r="U379" s="672"/>
      <c r="V379" s="673" t="str">
        <f t="shared" si="83"/>
        <v/>
      </c>
      <c r="W379" s="470"/>
      <c r="X379" s="411"/>
      <c r="Y379" s="410" t="str">
        <f>IF(X379=0,"",VLOOKUP($X379,RentsUA!$A$12:$H$35,MATCH($D379,RentsUA!$A$12:$H$12,0),FALSE))</f>
        <v/>
      </c>
      <c r="Z379" s="410" t="str">
        <f t="shared" si="79"/>
        <v/>
      </c>
      <c r="AA379" s="1297" t="str">
        <f>IF(H379="","",IF(G379/HLOOKUP($H379,RentsUA!$M$8:$T$9,2,FALSE)&gt;1,"&gt; 80%","&lt;= 80%"))</f>
        <v/>
      </c>
      <c r="AB379" s="1106"/>
      <c r="AC379" s="1106"/>
      <c r="AD379" s="622"/>
      <c r="AE379" s="412"/>
      <c r="AF379" s="807" t="str">
        <f>IF(AD379="","",IF(AD379=Lists!$U$3,M379,IF(AD379=Lists!$U$4,V379,IF(AD379=Lists!$U$5,Y379-L379,AE379))))</f>
        <v/>
      </c>
      <c r="AG379" s="410" t="str">
        <f t="shared" si="80"/>
        <v/>
      </c>
      <c r="AH379" s="469" t="str">
        <f t="shared" si="81"/>
        <v/>
      </c>
      <c r="AI379" s="469" t="str">
        <f>IF($AF379=0,0,IFERROR(($L379+$AF379)/(HLOOKUP($D379,RentsUA!$K$12:$Q$35,19,FALSE)),""))</f>
        <v/>
      </c>
      <c r="AJ379" s="469" t="str">
        <f>IF($AF379=0,0,IFERROR(($AF379+K379+L379)/(HLOOKUP($D379,RentsUA!$K$12:$Q$35,19,FALSE)),""))</f>
        <v/>
      </c>
      <c r="AK379" s="469" t="str">
        <f t="shared" si="84"/>
        <v/>
      </c>
      <c r="AL379" s="469" t="str">
        <f t="shared" si="85"/>
        <v/>
      </c>
      <c r="AM379" s="1106" t="str">
        <f t="shared" si="86"/>
        <v/>
      </c>
      <c r="AN379" s="1106" t="str">
        <f>IFERROR(AM379*(1+'7a.20YrDetails'!$F$9),"")</f>
        <v/>
      </c>
      <c r="AO379" s="1106" t="str">
        <f>IFERROR(AN379*(1+'7a.20YrDetails'!$F$9),"")</f>
        <v/>
      </c>
      <c r="AP379" s="1106" t="str">
        <f>IFERROR(AO379*(1+'7a.20YrDetails'!$F$9),"")</f>
        <v/>
      </c>
      <c r="AQ379" s="1106" t="str">
        <f>IFERROR(AP379*(1+'7a.20YrDetails'!$F$9),"")</f>
        <v/>
      </c>
      <c r="AR379" s="674"/>
      <c r="AS379" s="672"/>
      <c r="AT379" s="1732" t="str">
        <f>IF($AF379=0,0,IFERROR(($AF379+L379)/(HLOOKUP($D379,RentsUA!$B$61:$H$62,2,FALSE)),""))</f>
        <v/>
      </c>
      <c r="AU379" s="1733" t="str">
        <f>IFERROR(G379/HLOOKUP(H379,RentsUA!$B$40:$I$41,2),"")</f>
        <v/>
      </c>
      <c r="BR379" s="404" t="str">
        <f t="shared" si="87"/>
        <v/>
      </c>
      <c r="BT379" s="404" t="str">
        <f t="shared" si="82"/>
        <v/>
      </c>
    </row>
    <row r="380" spans="1:72" s="404" customFormat="1" ht="13.2">
      <c r="A380" s="406">
        <f t="shared" si="88"/>
        <v>368</v>
      </c>
      <c r="B380" s="472"/>
      <c r="C380" s="470"/>
      <c r="D380" s="407"/>
      <c r="E380" s="407"/>
      <c r="F380" s="408"/>
      <c r="G380" s="409"/>
      <c r="H380" s="407"/>
      <c r="I380" s="1029" t="str">
        <f>IFERROR(G380/HLOOKUP(H380,RentsUA!$B$8:$J$9,2),"")</f>
        <v/>
      </c>
      <c r="J380" s="407"/>
      <c r="K380" s="412"/>
      <c r="L380" s="673">
        <f t="shared" si="77"/>
        <v>0</v>
      </c>
      <c r="M380" s="671"/>
      <c r="N380" s="410">
        <f t="shared" si="78"/>
        <v>0</v>
      </c>
      <c r="O380" s="469" t="str">
        <f>IF($M380=0,"",IFERROR(($L380+$M380)/(HLOOKUP($D380,RentsUA!$K$12:$Q$35,19,FALSE)),""))</f>
        <v/>
      </c>
      <c r="P380" s="469" t="str">
        <f>IF($M380=0,"",IFERROR(($M380+K380+L380)/(HLOOKUP($D380,RentsUA!$K$12:$Q$35,19,FALSE)),""))</f>
        <v/>
      </c>
      <c r="Q380" s="411"/>
      <c r="R380" s="673" t="str">
        <f>IF($Q380=0,"",VLOOKUP($Q380,RentsUA!$A$12:$H$35,MATCH($D380,RentsUA!$A$12:$H$12,0),FALSE))</f>
        <v/>
      </c>
      <c r="S380" s="409"/>
      <c r="T380" s="674"/>
      <c r="U380" s="672"/>
      <c r="V380" s="673" t="str">
        <f t="shared" si="83"/>
        <v/>
      </c>
      <c r="W380" s="470"/>
      <c r="X380" s="411"/>
      <c r="Y380" s="410" t="str">
        <f>IF(X380=0,"",VLOOKUP($X380,RentsUA!$A$12:$H$35,MATCH($D380,RentsUA!$A$12:$H$12,0),FALSE))</f>
        <v/>
      </c>
      <c r="Z380" s="410" t="str">
        <f t="shared" si="79"/>
        <v/>
      </c>
      <c r="AA380" s="1297" t="str">
        <f>IF(H380="","",IF(G380/HLOOKUP($H380,RentsUA!$M$8:$T$9,2,FALSE)&gt;1,"&gt; 80%","&lt;= 80%"))</f>
        <v/>
      </c>
      <c r="AB380" s="1106"/>
      <c r="AC380" s="1106"/>
      <c r="AD380" s="622"/>
      <c r="AE380" s="412"/>
      <c r="AF380" s="807" t="str">
        <f>IF(AD380="","",IF(AD380=Lists!$U$3,M380,IF(AD380=Lists!$U$4,V380,IF(AD380=Lists!$U$5,Y380-L380,AE380))))</f>
        <v/>
      </c>
      <c r="AG380" s="410" t="str">
        <f t="shared" si="80"/>
        <v/>
      </c>
      <c r="AH380" s="469" t="str">
        <f t="shared" si="81"/>
        <v/>
      </c>
      <c r="AI380" s="469" t="str">
        <f>IF($AF380=0,0,IFERROR(($L380+$AF380)/(HLOOKUP($D380,RentsUA!$K$12:$Q$35,19,FALSE)),""))</f>
        <v/>
      </c>
      <c r="AJ380" s="469" t="str">
        <f>IF($AF380=0,0,IFERROR(($AF380+K380+L380)/(HLOOKUP($D380,RentsUA!$K$12:$Q$35,19,FALSE)),""))</f>
        <v/>
      </c>
      <c r="AK380" s="469" t="str">
        <f t="shared" si="84"/>
        <v/>
      </c>
      <c r="AL380" s="469" t="str">
        <f t="shared" si="85"/>
        <v/>
      </c>
      <c r="AM380" s="1106" t="str">
        <f t="shared" si="86"/>
        <v/>
      </c>
      <c r="AN380" s="1106" t="str">
        <f>IFERROR(AM380*(1+'7a.20YrDetails'!$F$9),"")</f>
        <v/>
      </c>
      <c r="AO380" s="1106" t="str">
        <f>IFERROR(AN380*(1+'7a.20YrDetails'!$F$9),"")</f>
        <v/>
      </c>
      <c r="AP380" s="1106" t="str">
        <f>IFERROR(AO380*(1+'7a.20YrDetails'!$F$9),"")</f>
        <v/>
      </c>
      <c r="AQ380" s="1106" t="str">
        <f>IFERROR(AP380*(1+'7a.20YrDetails'!$F$9),"")</f>
        <v/>
      </c>
      <c r="AR380" s="674"/>
      <c r="AS380" s="672"/>
      <c r="AT380" s="1732" t="str">
        <f>IF($AF380=0,0,IFERROR(($AF380+L380)/(HLOOKUP($D380,RentsUA!$B$61:$H$62,2,FALSE)),""))</f>
        <v/>
      </c>
      <c r="AU380" s="1733" t="str">
        <f>IFERROR(G380/HLOOKUP(H380,RentsUA!$B$40:$I$41,2),"")</f>
        <v/>
      </c>
      <c r="BR380" s="404" t="str">
        <f t="shared" si="87"/>
        <v/>
      </c>
      <c r="BT380" s="404" t="str">
        <f t="shared" si="82"/>
        <v/>
      </c>
    </row>
    <row r="381" spans="1:72" s="404" customFormat="1" ht="13.2">
      <c r="A381" s="406">
        <f t="shared" si="88"/>
        <v>369</v>
      </c>
      <c r="B381" s="472"/>
      <c r="C381" s="470"/>
      <c r="D381" s="407"/>
      <c r="E381" s="407"/>
      <c r="F381" s="408"/>
      <c r="G381" s="409"/>
      <c r="H381" s="407"/>
      <c r="I381" s="1029" t="str">
        <f>IFERROR(G381/HLOOKUP(H381,RentsUA!$B$8:$J$9,2),"")</f>
        <v/>
      </c>
      <c r="J381" s="407"/>
      <c r="K381" s="412"/>
      <c r="L381" s="673">
        <f t="shared" si="77"/>
        <v>0</v>
      </c>
      <c r="M381" s="671"/>
      <c r="N381" s="410">
        <f t="shared" si="78"/>
        <v>0</v>
      </c>
      <c r="O381" s="469" t="str">
        <f>IF($M381=0,"",IFERROR(($L381+$M381)/(HLOOKUP($D381,RentsUA!$K$12:$Q$35,19,FALSE)),""))</f>
        <v/>
      </c>
      <c r="P381" s="469" t="str">
        <f>IF($M381=0,"",IFERROR(($M381+K381+L381)/(HLOOKUP($D381,RentsUA!$K$12:$Q$35,19,FALSE)),""))</f>
        <v/>
      </c>
      <c r="Q381" s="411"/>
      <c r="R381" s="673" t="str">
        <f>IF($Q381=0,"",VLOOKUP($Q381,RentsUA!$A$12:$H$35,MATCH($D381,RentsUA!$A$12:$H$12,0),FALSE))</f>
        <v/>
      </c>
      <c r="S381" s="409"/>
      <c r="T381" s="674"/>
      <c r="U381" s="672"/>
      <c r="V381" s="673" t="str">
        <f t="shared" si="83"/>
        <v/>
      </c>
      <c r="W381" s="470"/>
      <c r="X381" s="411"/>
      <c r="Y381" s="410" t="str">
        <f>IF(X381=0,"",VLOOKUP($X381,RentsUA!$A$12:$H$35,MATCH($D381,RentsUA!$A$12:$H$12,0),FALSE))</f>
        <v/>
      </c>
      <c r="Z381" s="410" t="str">
        <f t="shared" si="79"/>
        <v/>
      </c>
      <c r="AA381" s="1297" t="str">
        <f>IF(H381="","",IF(G381/HLOOKUP($H381,RentsUA!$M$8:$T$9,2,FALSE)&gt;1,"&gt; 80%","&lt;= 80%"))</f>
        <v/>
      </c>
      <c r="AB381" s="1106"/>
      <c r="AC381" s="1106"/>
      <c r="AD381" s="622"/>
      <c r="AE381" s="412"/>
      <c r="AF381" s="807" t="str">
        <f>IF(AD381="","",IF(AD381=Lists!$U$3,M381,IF(AD381=Lists!$U$4,V381,IF(AD381=Lists!$U$5,Y381-L381,AE381))))</f>
        <v/>
      </c>
      <c r="AG381" s="410" t="str">
        <f t="shared" si="80"/>
        <v/>
      </c>
      <c r="AH381" s="469" t="str">
        <f t="shared" si="81"/>
        <v/>
      </c>
      <c r="AI381" s="469" t="str">
        <f>IF($AF381=0,0,IFERROR(($L381+$AF381)/(HLOOKUP($D381,RentsUA!$K$12:$Q$35,19,FALSE)),""))</f>
        <v/>
      </c>
      <c r="AJ381" s="469" t="str">
        <f>IF($AF381=0,0,IFERROR(($AF381+K381+L381)/(HLOOKUP($D381,RentsUA!$K$12:$Q$35,19,FALSE)),""))</f>
        <v/>
      </c>
      <c r="AK381" s="469" t="str">
        <f t="shared" si="84"/>
        <v/>
      </c>
      <c r="AL381" s="469" t="str">
        <f t="shared" si="85"/>
        <v/>
      </c>
      <c r="AM381" s="1106" t="str">
        <f t="shared" si="86"/>
        <v/>
      </c>
      <c r="AN381" s="1106" t="str">
        <f>IFERROR(AM381*(1+'7a.20YrDetails'!$F$9),"")</f>
        <v/>
      </c>
      <c r="AO381" s="1106" t="str">
        <f>IFERROR(AN381*(1+'7a.20YrDetails'!$F$9),"")</f>
        <v/>
      </c>
      <c r="AP381" s="1106" t="str">
        <f>IFERROR(AO381*(1+'7a.20YrDetails'!$F$9),"")</f>
        <v/>
      </c>
      <c r="AQ381" s="1106" t="str">
        <f>IFERROR(AP381*(1+'7a.20YrDetails'!$F$9),"")</f>
        <v/>
      </c>
      <c r="AR381" s="674"/>
      <c r="AS381" s="672"/>
      <c r="AT381" s="1732" t="str">
        <f>IF($AF381=0,0,IFERROR(($AF381+L381)/(HLOOKUP($D381,RentsUA!$B$61:$H$62,2,FALSE)),""))</f>
        <v/>
      </c>
      <c r="AU381" s="1733" t="str">
        <f>IFERROR(G381/HLOOKUP(H381,RentsUA!$B$40:$I$41,2),"")</f>
        <v/>
      </c>
      <c r="BR381" s="404" t="str">
        <f t="shared" si="87"/>
        <v/>
      </c>
      <c r="BT381" s="404" t="str">
        <f t="shared" si="82"/>
        <v/>
      </c>
    </row>
    <row r="382" spans="1:72" s="404" customFormat="1" ht="13.2">
      <c r="A382" s="406">
        <f t="shared" si="88"/>
        <v>370</v>
      </c>
      <c r="B382" s="472"/>
      <c r="C382" s="470"/>
      <c r="D382" s="407"/>
      <c r="E382" s="407"/>
      <c r="F382" s="408"/>
      <c r="G382" s="409"/>
      <c r="H382" s="407"/>
      <c r="I382" s="1029" t="str">
        <f>IFERROR(G382/HLOOKUP(H382,RentsUA!$B$8:$J$9,2),"")</f>
        <v/>
      </c>
      <c r="J382" s="407"/>
      <c r="K382" s="412"/>
      <c r="L382" s="673">
        <f t="shared" si="77"/>
        <v>0</v>
      </c>
      <c r="M382" s="671"/>
      <c r="N382" s="410">
        <f t="shared" si="78"/>
        <v>0</v>
      </c>
      <c r="O382" s="469" t="str">
        <f>IF($M382=0,"",IFERROR(($L382+$M382)/(HLOOKUP($D382,RentsUA!$K$12:$Q$35,19,FALSE)),""))</f>
        <v/>
      </c>
      <c r="P382" s="469" t="str">
        <f>IF($M382=0,"",IFERROR(($M382+K382+L382)/(HLOOKUP($D382,RentsUA!$K$12:$Q$35,19,FALSE)),""))</f>
        <v/>
      </c>
      <c r="Q382" s="411"/>
      <c r="R382" s="673" t="str">
        <f>IF($Q382=0,"",VLOOKUP($Q382,RentsUA!$A$12:$H$35,MATCH($D382,RentsUA!$A$12:$H$12,0),FALSE))</f>
        <v/>
      </c>
      <c r="S382" s="409"/>
      <c r="T382" s="674"/>
      <c r="U382" s="672"/>
      <c r="V382" s="673" t="str">
        <f t="shared" si="83"/>
        <v/>
      </c>
      <c r="W382" s="470"/>
      <c r="X382" s="411"/>
      <c r="Y382" s="410" t="str">
        <f>IF(X382=0,"",VLOOKUP($X382,RentsUA!$A$12:$H$35,MATCH($D382,RentsUA!$A$12:$H$12,0),FALSE))</f>
        <v/>
      </c>
      <c r="Z382" s="410" t="str">
        <f t="shared" si="79"/>
        <v/>
      </c>
      <c r="AA382" s="1297" t="str">
        <f>IF(H382="","",IF(G382/HLOOKUP($H382,RentsUA!$M$8:$T$9,2,FALSE)&gt;1,"&gt; 80%","&lt;= 80%"))</f>
        <v/>
      </c>
      <c r="AB382" s="1106"/>
      <c r="AC382" s="1106"/>
      <c r="AD382" s="622"/>
      <c r="AE382" s="412"/>
      <c r="AF382" s="807" t="str">
        <f>IF(AD382="","",IF(AD382=Lists!$U$3,M382,IF(AD382=Lists!$U$4,V382,IF(AD382=Lists!$U$5,Y382-L382,AE382))))</f>
        <v/>
      </c>
      <c r="AG382" s="410" t="str">
        <f t="shared" si="80"/>
        <v/>
      </c>
      <c r="AH382" s="469" t="str">
        <f t="shared" si="81"/>
        <v/>
      </c>
      <c r="AI382" s="469" t="str">
        <f>IF($AF382=0,0,IFERROR(($L382+$AF382)/(HLOOKUP($D382,RentsUA!$K$12:$Q$35,19,FALSE)),""))</f>
        <v/>
      </c>
      <c r="AJ382" s="469" t="str">
        <f>IF($AF382=0,0,IFERROR(($AF382+K382+L382)/(HLOOKUP($D382,RentsUA!$K$12:$Q$35,19,FALSE)),""))</f>
        <v/>
      </c>
      <c r="AK382" s="469" t="str">
        <f t="shared" si="84"/>
        <v/>
      </c>
      <c r="AL382" s="469" t="str">
        <f t="shared" si="85"/>
        <v/>
      </c>
      <c r="AM382" s="1106" t="str">
        <f t="shared" si="86"/>
        <v/>
      </c>
      <c r="AN382" s="1106" t="str">
        <f>IFERROR(AM382*(1+'7a.20YrDetails'!$F$9),"")</f>
        <v/>
      </c>
      <c r="AO382" s="1106" t="str">
        <f>IFERROR(AN382*(1+'7a.20YrDetails'!$F$9),"")</f>
        <v/>
      </c>
      <c r="AP382" s="1106" t="str">
        <f>IFERROR(AO382*(1+'7a.20YrDetails'!$F$9),"")</f>
        <v/>
      </c>
      <c r="AQ382" s="1106" t="str">
        <f>IFERROR(AP382*(1+'7a.20YrDetails'!$F$9),"")</f>
        <v/>
      </c>
      <c r="AR382" s="674"/>
      <c r="AS382" s="672"/>
      <c r="AT382" s="1732" t="str">
        <f>IF($AF382=0,0,IFERROR(($AF382+L382)/(HLOOKUP($D382,RentsUA!$B$61:$H$62,2,FALSE)),""))</f>
        <v/>
      </c>
      <c r="AU382" s="1733" t="str">
        <f>IFERROR(G382/HLOOKUP(H382,RentsUA!$B$40:$I$41,2),"")</f>
        <v/>
      </c>
      <c r="BR382" s="404" t="str">
        <f t="shared" si="87"/>
        <v/>
      </c>
      <c r="BT382" s="404" t="str">
        <f t="shared" si="82"/>
        <v/>
      </c>
    </row>
    <row r="383" spans="1:72" s="404" customFormat="1" ht="13.2">
      <c r="A383" s="406">
        <f t="shared" si="88"/>
        <v>371</v>
      </c>
      <c r="B383" s="472"/>
      <c r="C383" s="470"/>
      <c r="D383" s="407"/>
      <c r="E383" s="407"/>
      <c r="F383" s="408"/>
      <c r="G383" s="409"/>
      <c r="H383" s="407"/>
      <c r="I383" s="1029" t="str">
        <f>IFERROR(G383/HLOOKUP(H383,RentsUA!$B$8:$J$9,2),"")</f>
        <v/>
      </c>
      <c r="J383" s="407"/>
      <c r="K383" s="412"/>
      <c r="L383" s="673">
        <f t="shared" si="77"/>
        <v>0</v>
      </c>
      <c r="M383" s="671"/>
      <c r="N383" s="410">
        <f t="shared" si="78"/>
        <v>0</v>
      </c>
      <c r="O383" s="469" t="str">
        <f>IF($M383=0,"",IFERROR(($L383+$M383)/(HLOOKUP($D383,RentsUA!$K$12:$Q$35,19,FALSE)),""))</f>
        <v/>
      </c>
      <c r="P383" s="469" t="str">
        <f>IF($M383=0,"",IFERROR(($M383+K383+L383)/(HLOOKUP($D383,RentsUA!$K$12:$Q$35,19,FALSE)),""))</f>
        <v/>
      </c>
      <c r="Q383" s="411"/>
      <c r="R383" s="673" t="str">
        <f>IF($Q383=0,"",VLOOKUP($Q383,RentsUA!$A$12:$H$35,MATCH($D383,RentsUA!$A$12:$H$12,0),FALSE))</f>
        <v/>
      </c>
      <c r="S383" s="409"/>
      <c r="T383" s="674"/>
      <c r="U383" s="672"/>
      <c r="V383" s="673" t="str">
        <f t="shared" si="83"/>
        <v/>
      </c>
      <c r="W383" s="470"/>
      <c r="X383" s="411"/>
      <c r="Y383" s="410" t="str">
        <f>IF(X383=0,"",VLOOKUP($X383,RentsUA!$A$12:$H$35,MATCH($D383,RentsUA!$A$12:$H$12,0),FALSE))</f>
        <v/>
      </c>
      <c r="Z383" s="410" t="str">
        <f t="shared" si="79"/>
        <v/>
      </c>
      <c r="AA383" s="1297" t="str">
        <f>IF(H383="","",IF(G383/HLOOKUP($H383,RentsUA!$M$8:$T$9,2,FALSE)&gt;1,"&gt; 80%","&lt;= 80%"))</f>
        <v/>
      </c>
      <c r="AB383" s="1106"/>
      <c r="AC383" s="1106"/>
      <c r="AD383" s="622"/>
      <c r="AE383" s="412"/>
      <c r="AF383" s="807" t="str">
        <f>IF(AD383="","",IF(AD383=Lists!$U$3,M383,IF(AD383=Lists!$U$4,V383,IF(AD383=Lists!$U$5,Y383-L383,AE383))))</f>
        <v/>
      </c>
      <c r="AG383" s="410" t="str">
        <f t="shared" si="80"/>
        <v/>
      </c>
      <c r="AH383" s="469" t="str">
        <f t="shared" si="81"/>
        <v/>
      </c>
      <c r="AI383" s="469" t="str">
        <f>IF($AF383=0,0,IFERROR(($L383+$AF383)/(HLOOKUP($D383,RentsUA!$K$12:$Q$35,19,FALSE)),""))</f>
        <v/>
      </c>
      <c r="AJ383" s="469" t="str">
        <f>IF($AF383=0,0,IFERROR(($AF383+K383+L383)/(HLOOKUP($D383,RentsUA!$K$12:$Q$35,19,FALSE)),""))</f>
        <v/>
      </c>
      <c r="AK383" s="469" t="str">
        <f t="shared" si="84"/>
        <v/>
      </c>
      <c r="AL383" s="469" t="str">
        <f t="shared" si="85"/>
        <v/>
      </c>
      <c r="AM383" s="1106" t="str">
        <f t="shared" si="86"/>
        <v/>
      </c>
      <c r="AN383" s="1106" t="str">
        <f>IFERROR(AM383*(1+'7a.20YrDetails'!$F$9),"")</f>
        <v/>
      </c>
      <c r="AO383" s="1106" t="str">
        <f>IFERROR(AN383*(1+'7a.20YrDetails'!$F$9),"")</f>
        <v/>
      </c>
      <c r="AP383" s="1106" t="str">
        <f>IFERROR(AO383*(1+'7a.20YrDetails'!$F$9),"")</f>
        <v/>
      </c>
      <c r="AQ383" s="1106" t="str">
        <f>IFERROR(AP383*(1+'7a.20YrDetails'!$F$9),"")</f>
        <v/>
      </c>
      <c r="AR383" s="674"/>
      <c r="AS383" s="672"/>
      <c r="AT383" s="1732" t="str">
        <f>IF($AF383=0,0,IFERROR(($AF383+L383)/(HLOOKUP($D383,RentsUA!$B$61:$H$62,2,FALSE)),""))</f>
        <v/>
      </c>
      <c r="AU383" s="1733" t="str">
        <f>IFERROR(G383/HLOOKUP(H383,RentsUA!$B$40:$I$41,2),"")</f>
        <v/>
      </c>
      <c r="BR383" s="404" t="str">
        <f t="shared" si="87"/>
        <v/>
      </c>
      <c r="BT383" s="404" t="str">
        <f t="shared" si="82"/>
        <v/>
      </c>
    </row>
    <row r="384" spans="1:72" s="404" customFormat="1" ht="13.2">
      <c r="A384" s="406">
        <f t="shared" si="88"/>
        <v>372</v>
      </c>
      <c r="B384" s="472"/>
      <c r="C384" s="470"/>
      <c r="D384" s="407"/>
      <c r="E384" s="407"/>
      <c r="F384" s="408"/>
      <c r="G384" s="409"/>
      <c r="H384" s="407"/>
      <c r="I384" s="1029" t="str">
        <f>IFERROR(G384/HLOOKUP(H384,RentsUA!$B$8:$J$9,2),"")</f>
        <v/>
      </c>
      <c r="J384" s="407"/>
      <c r="K384" s="412"/>
      <c r="L384" s="673">
        <f t="shared" si="77"/>
        <v>0</v>
      </c>
      <c r="M384" s="671"/>
      <c r="N384" s="410">
        <f t="shared" si="78"/>
        <v>0</v>
      </c>
      <c r="O384" s="469" t="str">
        <f>IF($M384=0,"",IFERROR(($L384+$M384)/(HLOOKUP($D384,RentsUA!$K$12:$Q$35,19,FALSE)),""))</f>
        <v/>
      </c>
      <c r="P384" s="469" t="str">
        <f>IF($M384=0,"",IFERROR(($M384+K384+L384)/(HLOOKUP($D384,RentsUA!$K$12:$Q$35,19,FALSE)),""))</f>
        <v/>
      </c>
      <c r="Q384" s="411"/>
      <c r="R384" s="673" t="str">
        <f>IF($Q384=0,"",VLOOKUP($Q384,RentsUA!$A$12:$H$35,MATCH($D384,RentsUA!$A$12:$H$12,0),FALSE))</f>
        <v/>
      </c>
      <c r="S384" s="409"/>
      <c r="T384" s="674"/>
      <c r="U384" s="672"/>
      <c r="V384" s="673" t="str">
        <f t="shared" si="83"/>
        <v/>
      </c>
      <c r="W384" s="470"/>
      <c r="X384" s="411"/>
      <c r="Y384" s="410" t="str">
        <f>IF(X384=0,"",VLOOKUP($X384,RentsUA!$A$12:$H$35,MATCH($D384,RentsUA!$A$12:$H$12,0),FALSE))</f>
        <v/>
      </c>
      <c r="Z384" s="410" t="str">
        <f t="shared" si="79"/>
        <v/>
      </c>
      <c r="AA384" s="1297" t="str">
        <f>IF(H384="","",IF(G384/HLOOKUP($H384,RentsUA!$M$8:$T$9,2,FALSE)&gt;1,"&gt; 80%","&lt;= 80%"))</f>
        <v/>
      </c>
      <c r="AB384" s="1106"/>
      <c r="AC384" s="1106"/>
      <c r="AD384" s="622"/>
      <c r="AE384" s="412"/>
      <c r="AF384" s="807" t="str">
        <f>IF(AD384="","",IF(AD384=Lists!$U$3,M384,IF(AD384=Lists!$U$4,V384,IF(AD384=Lists!$U$5,Y384-L384,AE384))))</f>
        <v/>
      </c>
      <c r="AG384" s="410" t="str">
        <f t="shared" si="80"/>
        <v/>
      </c>
      <c r="AH384" s="469" t="str">
        <f t="shared" si="81"/>
        <v/>
      </c>
      <c r="AI384" s="469" t="str">
        <f>IF($AF384=0,0,IFERROR(($L384+$AF384)/(HLOOKUP($D384,RentsUA!$K$12:$Q$35,19,FALSE)),""))</f>
        <v/>
      </c>
      <c r="AJ384" s="469" t="str">
        <f>IF($AF384=0,0,IFERROR(($AF384+K384+L384)/(HLOOKUP($D384,RentsUA!$K$12:$Q$35,19,FALSE)),""))</f>
        <v/>
      </c>
      <c r="AK384" s="469" t="str">
        <f t="shared" si="84"/>
        <v/>
      </c>
      <c r="AL384" s="469" t="str">
        <f t="shared" si="85"/>
        <v/>
      </c>
      <c r="AM384" s="1106" t="str">
        <f t="shared" si="86"/>
        <v/>
      </c>
      <c r="AN384" s="1106" t="str">
        <f>IFERROR(AM384*(1+'7a.20YrDetails'!$F$9),"")</f>
        <v/>
      </c>
      <c r="AO384" s="1106" t="str">
        <f>IFERROR(AN384*(1+'7a.20YrDetails'!$F$9),"")</f>
        <v/>
      </c>
      <c r="AP384" s="1106" t="str">
        <f>IFERROR(AO384*(1+'7a.20YrDetails'!$F$9),"")</f>
        <v/>
      </c>
      <c r="AQ384" s="1106" t="str">
        <f>IFERROR(AP384*(1+'7a.20YrDetails'!$F$9),"")</f>
        <v/>
      </c>
      <c r="AR384" s="674"/>
      <c r="AS384" s="672"/>
      <c r="AT384" s="1732" t="str">
        <f>IF($AF384=0,0,IFERROR(($AF384+L384)/(HLOOKUP($D384,RentsUA!$B$61:$H$62,2,FALSE)),""))</f>
        <v/>
      </c>
      <c r="AU384" s="1733" t="str">
        <f>IFERROR(G384/HLOOKUP(H384,RentsUA!$B$40:$I$41,2),"")</f>
        <v/>
      </c>
      <c r="BR384" s="404" t="str">
        <f t="shared" si="87"/>
        <v/>
      </c>
      <c r="BT384" s="404" t="str">
        <f t="shared" si="82"/>
        <v/>
      </c>
    </row>
    <row r="385" spans="1:72" s="404" customFormat="1" ht="13.2">
      <c r="A385" s="406">
        <f t="shared" si="88"/>
        <v>373</v>
      </c>
      <c r="B385" s="472"/>
      <c r="C385" s="470"/>
      <c r="D385" s="407"/>
      <c r="E385" s="407"/>
      <c r="F385" s="408"/>
      <c r="G385" s="409"/>
      <c r="H385" s="407"/>
      <c r="I385" s="1029" t="str">
        <f>IFERROR(G385/HLOOKUP(H385,RentsUA!$B$8:$J$9,2),"")</f>
        <v/>
      </c>
      <c r="J385" s="407"/>
      <c r="K385" s="412"/>
      <c r="L385" s="673">
        <f t="shared" si="77"/>
        <v>0</v>
      </c>
      <c r="M385" s="671"/>
      <c r="N385" s="410">
        <f t="shared" si="78"/>
        <v>0</v>
      </c>
      <c r="O385" s="469" t="str">
        <f>IF($M385=0,"",IFERROR(($L385+$M385)/(HLOOKUP($D385,RentsUA!$K$12:$Q$35,19,FALSE)),""))</f>
        <v/>
      </c>
      <c r="P385" s="469" t="str">
        <f>IF($M385=0,"",IFERROR(($M385+K385+L385)/(HLOOKUP($D385,RentsUA!$K$12:$Q$35,19,FALSE)),""))</f>
        <v/>
      </c>
      <c r="Q385" s="411"/>
      <c r="R385" s="673" t="str">
        <f>IF($Q385=0,"",VLOOKUP($Q385,RentsUA!$A$12:$H$35,MATCH($D385,RentsUA!$A$12:$H$12,0),FALSE))</f>
        <v/>
      </c>
      <c r="S385" s="409"/>
      <c r="T385" s="674"/>
      <c r="U385" s="672"/>
      <c r="V385" s="673" t="str">
        <f t="shared" si="83"/>
        <v/>
      </c>
      <c r="W385" s="470"/>
      <c r="X385" s="411"/>
      <c r="Y385" s="410" t="str">
        <f>IF(X385=0,"",VLOOKUP($X385,RentsUA!$A$12:$H$35,MATCH($D385,RentsUA!$A$12:$H$12,0),FALSE))</f>
        <v/>
      </c>
      <c r="Z385" s="410" t="str">
        <f t="shared" si="79"/>
        <v/>
      </c>
      <c r="AA385" s="1297" t="str">
        <f>IF(H385="","",IF(G385/HLOOKUP($H385,RentsUA!$M$8:$T$9,2,FALSE)&gt;1,"&gt; 80%","&lt;= 80%"))</f>
        <v/>
      </c>
      <c r="AB385" s="1106"/>
      <c r="AC385" s="1106"/>
      <c r="AD385" s="622"/>
      <c r="AE385" s="412"/>
      <c r="AF385" s="807" t="str">
        <f>IF(AD385="","",IF(AD385=Lists!$U$3,M385,IF(AD385=Lists!$U$4,V385,IF(AD385=Lists!$U$5,Y385-L385,AE385))))</f>
        <v/>
      </c>
      <c r="AG385" s="410" t="str">
        <f t="shared" si="80"/>
        <v/>
      </c>
      <c r="AH385" s="469" t="str">
        <f t="shared" si="81"/>
        <v/>
      </c>
      <c r="AI385" s="469" t="str">
        <f>IF($AF385=0,0,IFERROR(($L385+$AF385)/(HLOOKUP($D385,RentsUA!$K$12:$Q$35,19,FALSE)),""))</f>
        <v/>
      </c>
      <c r="AJ385" s="469" t="str">
        <f>IF($AF385=0,0,IFERROR(($AF385+K385+L385)/(HLOOKUP($D385,RentsUA!$K$12:$Q$35,19,FALSE)),""))</f>
        <v/>
      </c>
      <c r="AK385" s="469" t="str">
        <f t="shared" si="84"/>
        <v/>
      </c>
      <c r="AL385" s="469" t="str">
        <f t="shared" si="85"/>
        <v/>
      </c>
      <c r="AM385" s="1106" t="str">
        <f t="shared" si="86"/>
        <v/>
      </c>
      <c r="AN385" s="1106" t="str">
        <f>IFERROR(AM385*(1+'7a.20YrDetails'!$F$9),"")</f>
        <v/>
      </c>
      <c r="AO385" s="1106" t="str">
        <f>IFERROR(AN385*(1+'7a.20YrDetails'!$F$9),"")</f>
        <v/>
      </c>
      <c r="AP385" s="1106" t="str">
        <f>IFERROR(AO385*(1+'7a.20YrDetails'!$F$9),"")</f>
        <v/>
      </c>
      <c r="AQ385" s="1106" t="str">
        <f>IFERROR(AP385*(1+'7a.20YrDetails'!$F$9),"")</f>
        <v/>
      </c>
      <c r="AR385" s="674"/>
      <c r="AS385" s="672"/>
      <c r="AT385" s="1732" t="str">
        <f>IF($AF385=0,0,IFERROR(($AF385+L385)/(HLOOKUP($D385,RentsUA!$B$61:$H$62,2,FALSE)),""))</f>
        <v/>
      </c>
      <c r="AU385" s="1733" t="str">
        <f>IFERROR(G385/HLOOKUP(H385,RentsUA!$B$40:$I$41,2),"")</f>
        <v/>
      </c>
      <c r="BR385" s="404" t="str">
        <f t="shared" si="87"/>
        <v/>
      </c>
      <c r="BT385" s="404" t="str">
        <f t="shared" si="82"/>
        <v/>
      </c>
    </row>
    <row r="386" spans="1:72" s="404" customFormat="1" ht="13.2">
      <c r="A386" s="406">
        <f t="shared" si="88"/>
        <v>374</v>
      </c>
      <c r="B386" s="472"/>
      <c r="C386" s="470"/>
      <c r="D386" s="407"/>
      <c r="E386" s="407"/>
      <c r="F386" s="408"/>
      <c r="G386" s="409"/>
      <c r="H386" s="407"/>
      <c r="I386" s="1029" t="str">
        <f>IFERROR(G386/HLOOKUP(H386,RentsUA!$B$8:$J$9,2),"")</f>
        <v/>
      </c>
      <c r="J386" s="407"/>
      <c r="K386" s="412"/>
      <c r="L386" s="673">
        <f t="shared" si="77"/>
        <v>0</v>
      </c>
      <c r="M386" s="671"/>
      <c r="N386" s="410">
        <f t="shared" si="78"/>
        <v>0</v>
      </c>
      <c r="O386" s="469" t="str">
        <f>IF($M386=0,"",IFERROR(($L386+$M386)/(HLOOKUP($D386,RentsUA!$K$12:$Q$35,19,FALSE)),""))</f>
        <v/>
      </c>
      <c r="P386" s="469" t="str">
        <f>IF($M386=0,"",IFERROR(($M386+K386+L386)/(HLOOKUP($D386,RentsUA!$K$12:$Q$35,19,FALSE)),""))</f>
        <v/>
      </c>
      <c r="Q386" s="411"/>
      <c r="R386" s="673" t="str">
        <f>IF($Q386=0,"",VLOOKUP($Q386,RentsUA!$A$12:$H$35,MATCH($D386,RentsUA!$A$12:$H$12,0),FALSE))</f>
        <v/>
      </c>
      <c r="S386" s="409"/>
      <c r="T386" s="674"/>
      <c r="U386" s="672"/>
      <c r="V386" s="673" t="str">
        <f t="shared" si="83"/>
        <v/>
      </c>
      <c r="W386" s="470"/>
      <c r="X386" s="411"/>
      <c r="Y386" s="410" t="str">
        <f>IF(X386=0,"",VLOOKUP($X386,RentsUA!$A$12:$H$35,MATCH($D386,RentsUA!$A$12:$H$12,0),FALSE))</f>
        <v/>
      </c>
      <c r="Z386" s="410" t="str">
        <f t="shared" si="79"/>
        <v/>
      </c>
      <c r="AA386" s="1297" t="str">
        <f>IF(H386="","",IF(G386/HLOOKUP($H386,RentsUA!$M$8:$T$9,2,FALSE)&gt;1,"&gt; 80%","&lt;= 80%"))</f>
        <v/>
      </c>
      <c r="AB386" s="1106"/>
      <c r="AC386" s="1106"/>
      <c r="AD386" s="622"/>
      <c r="AE386" s="412"/>
      <c r="AF386" s="807" t="str">
        <f>IF(AD386="","",IF(AD386=Lists!$U$3,M386,IF(AD386=Lists!$U$4,V386,IF(AD386=Lists!$U$5,Y386-L386,AE386))))</f>
        <v/>
      </c>
      <c r="AG386" s="410" t="str">
        <f t="shared" si="80"/>
        <v/>
      </c>
      <c r="AH386" s="469" t="str">
        <f t="shared" si="81"/>
        <v/>
      </c>
      <c r="AI386" s="469" t="str">
        <f>IF($AF386=0,0,IFERROR(($L386+$AF386)/(HLOOKUP($D386,RentsUA!$K$12:$Q$35,19,FALSE)),""))</f>
        <v/>
      </c>
      <c r="AJ386" s="469" t="str">
        <f>IF($AF386=0,0,IFERROR(($AF386+K386+L386)/(HLOOKUP($D386,RentsUA!$K$12:$Q$35,19,FALSE)),""))</f>
        <v/>
      </c>
      <c r="AK386" s="469" t="str">
        <f t="shared" si="84"/>
        <v/>
      </c>
      <c r="AL386" s="469" t="str">
        <f t="shared" si="85"/>
        <v/>
      </c>
      <c r="AM386" s="1106" t="str">
        <f t="shared" si="86"/>
        <v/>
      </c>
      <c r="AN386" s="1106" t="str">
        <f>IFERROR(AM386*(1+'7a.20YrDetails'!$F$9),"")</f>
        <v/>
      </c>
      <c r="AO386" s="1106" t="str">
        <f>IFERROR(AN386*(1+'7a.20YrDetails'!$F$9),"")</f>
        <v/>
      </c>
      <c r="AP386" s="1106" t="str">
        <f>IFERROR(AO386*(1+'7a.20YrDetails'!$F$9),"")</f>
        <v/>
      </c>
      <c r="AQ386" s="1106" t="str">
        <f>IFERROR(AP386*(1+'7a.20YrDetails'!$F$9),"")</f>
        <v/>
      </c>
      <c r="AR386" s="674"/>
      <c r="AS386" s="672"/>
      <c r="AT386" s="1732" t="str">
        <f>IF($AF386=0,0,IFERROR(($AF386+L386)/(HLOOKUP($D386,RentsUA!$B$61:$H$62,2,FALSE)),""))</f>
        <v/>
      </c>
      <c r="AU386" s="1733" t="str">
        <f>IFERROR(G386/HLOOKUP(H386,RentsUA!$B$40:$I$41,2),"")</f>
        <v/>
      </c>
      <c r="BR386" s="404" t="str">
        <f t="shared" si="87"/>
        <v/>
      </c>
      <c r="BT386" s="404" t="str">
        <f t="shared" si="82"/>
        <v/>
      </c>
    </row>
    <row r="387" spans="1:72" s="404" customFormat="1" ht="13.2">
      <c r="A387" s="406">
        <f t="shared" si="88"/>
        <v>375</v>
      </c>
      <c r="B387" s="472"/>
      <c r="C387" s="470"/>
      <c r="D387" s="407"/>
      <c r="E387" s="407"/>
      <c r="F387" s="408"/>
      <c r="G387" s="409"/>
      <c r="H387" s="407"/>
      <c r="I387" s="1029" t="str">
        <f>IFERROR(G387/HLOOKUP(H387,RentsUA!$B$8:$J$9,2),"")</f>
        <v/>
      </c>
      <c r="J387" s="407"/>
      <c r="K387" s="412"/>
      <c r="L387" s="673">
        <f t="shared" si="77"/>
        <v>0</v>
      </c>
      <c r="M387" s="671"/>
      <c r="N387" s="410">
        <f t="shared" si="78"/>
        <v>0</v>
      </c>
      <c r="O387" s="469" t="str">
        <f>IF($M387=0,"",IFERROR(($L387+$M387)/(HLOOKUP($D387,RentsUA!$K$12:$Q$35,19,FALSE)),""))</f>
        <v/>
      </c>
      <c r="P387" s="469" t="str">
        <f>IF($M387=0,"",IFERROR(($M387+K387+L387)/(HLOOKUP($D387,RentsUA!$K$12:$Q$35,19,FALSE)),""))</f>
        <v/>
      </c>
      <c r="Q387" s="411"/>
      <c r="R387" s="673" t="str">
        <f>IF($Q387=0,"",VLOOKUP($Q387,RentsUA!$A$12:$H$35,MATCH($D387,RentsUA!$A$12:$H$12,0),FALSE))</f>
        <v/>
      </c>
      <c r="S387" s="409"/>
      <c r="T387" s="674"/>
      <c r="U387" s="672"/>
      <c r="V387" s="673" t="str">
        <f t="shared" si="83"/>
        <v/>
      </c>
      <c r="W387" s="470"/>
      <c r="X387" s="411"/>
      <c r="Y387" s="410" t="str">
        <f>IF(X387=0,"",VLOOKUP($X387,RentsUA!$A$12:$H$35,MATCH($D387,RentsUA!$A$12:$H$12,0),FALSE))</f>
        <v/>
      </c>
      <c r="Z387" s="410" t="str">
        <f t="shared" si="79"/>
        <v/>
      </c>
      <c r="AA387" s="1297" t="str">
        <f>IF(H387="","",IF(G387/HLOOKUP($H387,RentsUA!$M$8:$T$9,2,FALSE)&gt;1,"&gt; 80%","&lt;= 80%"))</f>
        <v/>
      </c>
      <c r="AB387" s="1106"/>
      <c r="AC387" s="1106"/>
      <c r="AD387" s="622"/>
      <c r="AE387" s="412"/>
      <c r="AF387" s="807" t="str">
        <f>IF(AD387="","",IF(AD387=Lists!$U$3,M387,IF(AD387=Lists!$U$4,V387,IF(AD387=Lists!$U$5,Y387-L387,AE387))))</f>
        <v/>
      </c>
      <c r="AG387" s="410" t="str">
        <f t="shared" si="80"/>
        <v/>
      </c>
      <c r="AH387" s="469" t="str">
        <f t="shared" si="81"/>
        <v/>
      </c>
      <c r="AI387" s="469" t="str">
        <f>IF($AF387=0,0,IFERROR(($L387+$AF387)/(HLOOKUP($D387,RentsUA!$K$12:$Q$35,19,FALSE)),""))</f>
        <v/>
      </c>
      <c r="AJ387" s="469" t="str">
        <f>IF($AF387=0,0,IFERROR(($AF387+K387+L387)/(HLOOKUP($D387,RentsUA!$K$12:$Q$35,19,FALSE)),""))</f>
        <v/>
      </c>
      <c r="AK387" s="469" t="str">
        <f t="shared" si="84"/>
        <v/>
      </c>
      <c r="AL387" s="469" t="str">
        <f t="shared" si="85"/>
        <v/>
      </c>
      <c r="AM387" s="1106" t="str">
        <f t="shared" si="86"/>
        <v/>
      </c>
      <c r="AN387" s="1106" t="str">
        <f>IFERROR(AM387*(1+'7a.20YrDetails'!$F$9),"")</f>
        <v/>
      </c>
      <c r="AO387" s="1106" t="str">
        <f>IFERROR(AN387*(1+'7a.20YrDetails'!$F$9),"")</f>
        <v/>
      </c>
      <c r="AP387" s="1106" t="str">
        <f>IFERROR(AO387*(1+'7a.20YrDetails'!$F$9),"")</f>
        <v/>
      </c>
      <c r="AQ387" s="1106" t="str">
        <f>IFERROR(AP387*(1+'7a.20YrDetails'!$F$9),"")</f>
        <v/>
      </c>
      <c r="AR387" s="674"/>
      <c r="AS387" s="672"/>
      <c r="AT387" s="1732" t="str">
        <f>IF($AF387=0,0,IFERROR(($AF387+L387)/(HLOOKUP($D387,RentsUA!$B$61:$H$62,2,FALSE)),""))</f>
        <v/>
      </c>
      <c r="AU387" s="1733" t="str">
        <f>IFERROR(G387/HLOOKUP(H387,RentsUA!$B$40:$I$41,2),"")</f>
        <v/>
      </c>
      <c r="BR387" s="404" t="str">
        <f t="shared" si="87"/>
        <v/>
      </c>
      <c r="BT387" s="404" t="str">
        <f t="shared" si="82"/>
        <v/>
      </c>
    </row>
    <row r="388" spans="1:72" s="404" customFormat="1" ht="13.2">
      <c r="A388" s="406">
        <f t="shared" si="88"/>
        <v>376</v>
      </c>
      <c r="B388" s="472"/>
      <c r="C388" s="470"/>
      <c r="D388" s="407"/>
      <c r="E388" s="407"/>
      <c r="F388" s="408"/>
      <c r="G388" s="409"/>
      <c r="H388" s="407"/>
      <c r="I388" s="1029" t="str">
        <f>IFERROR(G388/HLOOKUP(H388,RentsUA!$B$8:$J$9,2),"")</f>
        <v/>
      </c>
      <c r="J388" s="407"/>
      <c r="K388" s="412"/>
      <c r="L388" s="673">
        <f t="shared" si="77"/>
        <v>0</v>
      </c>
      <c r="M388" s="671"/>
      <c r="N388" s="410">
        <f t="shared" si="78"/>
        <v>0</v>
      </c>
      <c r="O388" s="469" t="str">
        <f>IF($M388=0,"",IFERROR(($L388+$M388)/(HLOOKUP($D388,RentsUA!$K$12:$Q$35,19,FALSE)),""))</f>
        <v/>
      </c>
      <c r="P388" s="469" t="str">
        <f>IF($M388=0,"",IFERROR(($M388+K388+L388)/(HLOOKUP($D388,RentsUA!$K$12:$Q$35,19,FALSE)),""))</f>
        <v/>
      </c>
      <c r="Q388" s="411"/>
      <c r="R388" s="673" t="str">
        <f>IF($Q388=0,"",VLOOKUP($Q388,RentsUA!$A$12:$H$35,MATCH($D388,RentsUA!$A$12:$H$12,0),FALSE))</f>
        <v/>
      </c>
      <c r="S388" s="409"/>
      <c r="T388" s="674"/>
      <c r="U388" s="672"/>
      <c r="V388" s="673" t="str">
        <f t="shared" si="83"/>
        <v/>
      </c>
      <c r="W388" s="470"/>
      <c r="X388" s="411"/>
      <c r="Y388" s="410" t="str">
        <f>IF(X388=0,"",VLOOKUP($X388,RentsUA!$A$12:$H$35,MATCH($D388,RentsUA!$A$12:$H$12,0),FALSE))</f>
        <v/>
      </c>
      <c r="Z388" s="410" t="str">
        <f t="shared" si="79"/>
        <v/>
      </c>
      <c r="AA388" s="1297" t="str">
        <f>IF(H388="","",IF(G388/HLOOKUP($H388,RentsUA!$M$8:$T$9,2,FALSE)&gt;1,"&gt; 80%","&lt;= 80%"))</f>
        <v/>
      </c>
      <c r="AB388" s="1106"/>
      <c r="AC388" s="1106"/>
      <c r="AD388" s="622"/>
      <c r="AE388" s="412"/>
      <c r="AF388" s="807" t="str">
        <f>IF(AD388="","",IF(AD388=Lists!$U$3,M388,IF(AD388=Lists!$U$4,V388,IF(AD388=Lists!$U$5,Y388-L388,AE388))))</f>
        <v/>
      </c>
      <c r="AG388" s="410" t="str">
        <f t="shared" si="80"/>
        <v/>
      </c>
      <c r="AH388" s="469" t="str">
        <f t="shared" si="81"/>
        <v/>
      </c>
      <c r="AI388" s="469" t="str">
        <f>IF($AF388=0,0,IFERROR(($L388+$AF388)/(HLOOKUP($D388,RentsUA!$K$12:$Q$35,19,FALSE)),""))</f>
        <v/>
      </c>
      <c r="AJ388" s="469" t="str">
        <f>IF($AF388=0,0,IFERROR(($AF388+K388+L388)/(HLOOKUP($D388,RentsUA!$K$12:$Q$35,19,FALSE)),""))</f>
        <v/>
      </c>
      <c r="AK388" s="469" t="str">
        <f t="shared" si="84"/>
        <v/>
      </c>
      <c r="AL388" s="469" t="str">
        <f t="shared" si="85"/>
        <v/>
      </c>
      <c r="AM388" s="1106" t="str">
        <f t="shared" si="86"/>
        <v/>
      </c>
      <c r="AN388" s="1106" t="str">
        <f>IFERROR(AM388*(1+'7a.20YrDetails'!$F$9),"")</f>
        <v/>
      </c>
      <c r="AO388" s="1106" t="str">
        <f>IFERROR(AN388*(1+'7a.20YrDetails'!$F$9),"")</f>
        <v/>
      </c>
      <c r="AP388" s="1106" t="str">
        <f>IFERROR(AO388*(1+'7a.20YrDetails'!$F$9),"")</f>
        <v/>
      </c>
      <c r="AQ388" s="1106" t="str">
        <f>IFERROR(AP388*(1+'7a.20YrDetails'!$F$9),"")</f>
        <v/>
      </c>
      <c r="AR388" s="674"/>
      <c r="AS388" s="672"/>
      <c r="AT388" s="1732" t="str">
        <f>IF($AF388=0,0,IFERROR(($AF388+L388)/(HLOOKUP($D388,RentsUA!$B$61:$H$62,2,FALSE)),""))</f>
        <v/>
      </c>
      <c r="AU388" s="1733" t="str">
        <f>IFERROR(G388/HLOOKUP(H388,RentsUA!$B$40:$I$41,2),"")</f>
        <v/>
      </c>
      <c r="BR388" s="404" t="str">
        <f t="shared" si="87"/>
        <v/>
      </c>
      <c r="BT388" s="404" t="str">
        <f t="shared" si="82"/>
        <v/>
      </c>
    </row>
    <row r="389" spans="1:72" s="404" customFormat="1" ht="13.2">
      <c r="A389" s="406">
        <f t="shared" si="88"/>
        <v>377</v>
      </c>
      <c r="B389" s="472"/>
      <c r="C389" s="470"/>
      <c r="D389" s="407"/>
      <c r="E389" s="407"/>
      <c r="F389" s="408"/>
      <c r="G389" s="409"/>
      <c r="H389" s="407"/>
      <c r="I389" s="1029" t="str">
        <f>IFERROR(G389/HLOOKUP(H389,RentsUA!$B$8:$J$9,2),"")</f>
        <v/>
      </c>
      <c r="J389" s="407"/>
      <c r="K389" s="412"/>
      <c r="L389" s="673">
        <f t="shared" si="77"/>
        <v>0</v>
      </c>
      <c r="M389" s="671"/>
      <c r="N389" s="410">
        <f t="shared" si="78"/>
        <v>0</v>
      </c>
      <c r="O389" s="469" t="str">
        <f>IF($M389=0,"",IFERROR(($L389+$M389)/(HLOOKUP($D389,RentsUA!$K$12:$Q$35,19,FALSE)),""))</f>
        <v/>
      </c>
      <c r="P389" s="469" t="str">
        <f>IF($M389=0,"",IFERROR(($M389+K389+L389)/(HLOOKUP($D389,RentsUA!$K$12:$Q$35,19,FALSE)),""))</f>
        <v/>
      </c>
      <c r="Q389" s="411"/>
      <c r="R389" s="673" t="str">
        <f>IF($Q389=0,"",VLOOKUP($Q389,RentsUA!$A$12:$H$35,MATCH($D389,RentsUA!$A$12:$H$12,0),FALSE))</f>
        <v/>
      </c>
      <c r="S389" s="409"/>
      <c r="T389" s="674"/>
      <c r="U389" s="672"/>
      <c r="V389" s="673" t="str">
        <f t="shared" si="83"/>
        <v/>
      </c>
      <c r="W389" s="470"/>
      <c r="X389" s="411"/>
      <c r="Y389" s="410" t="str">
        <f>IF(X389=0,"",VLOOKUP($X389,RentsUA!$A$12:$H$35,MATCH($D389,RentsUA!$A$12:$H$12,0),FALSE))</f>
        <v/>
      </c>
      <c r="Z389" s="410" t="str">
        <f t="shared" si="79"/>
        <v/>
      </c>
      <c r="AA389" s="1297" t="str">
        <f>IF(H389="","",IF(G389/HLOOKUP($H389,RentsUA!$M$8:$T$9,2,FALSE)&gt;1,"&gt; 80%","&lt;= 80%"))</f>
        <v/>
      </c>
      <c r="AB389" s="1106"/>
      <c r="AC389" s="1106"/>
      <c r="AD389" s="622"/>
      <c r="AE389" s="412"/>
      <c r="AF389" s="807" t="str">
        <f>IF(AD389="","",IF(AD389=Lists!$U$3,M389,IF(AD389=Lists!$U$4,V389,IF(AD389=Lists!$U$5,Y389-L389,AE389))))</f>
        <v/>
      </c>
      <c r="AG389" s="410" t="str">
        <f t="shared" si="80"/>
        <v/>
      </c>
      <c r="AH389" s="469" t="str">
        <f t="shared" si="81"/>
        <v/>
      </c>
      <c r="AI389" s="469" t="str">
        <f>IF($AF389=0,0,IFERROR(($L389+$AF389)/(HLOOKUP($D389,RentsUA!$K$12:$Q$35,19,FALSE)),""))</f>
        <v/>
      </c>
      <c r="AJ389" s="469" t="str">
        <f>IF($AF389=0,0,IFERROR(($AF389+K389+L389)/(HLOOKUP($D389,RentsUA!$K$12:$Q$35,19,FALSE)),""))</f>
        <v/>
      </c>
      <c r="AK389" s="469" t="str">
        <f t="shared" si="84"/>
        <v/>
      </c>
      <c r="AL389" s="469" t="str">
        <f t="shared" si="85"/>
        <v/>
      </c>
      <c r="AM389" s="1106" t="str">
        <f t="shared" si="86"/>
        <v/>
      </c>
      <c r="AN389" s="1106" t="str">
        <f>IFERROR(AM389*(1+'7a.20YrDetails'!$F$9),"")</f>
        <v/>
      </c>
      <c r="AO389" s="1106" t="str">
        <f>IFERROR(AN389*(1+'7a.20YrDetails'!$F$9),"")</f>
        <v/>
      </c>
      <c r="AP389" s="1106" t="str">
        <f>IFERROR(AO389*(1+'7a.20YrDetails'!$F$9),"")</f>
        <v/>
      </c>
      <c r="AQ389" s="1106" t="str">
        <f>IFERROR(AP389*(1+'7a.20YrDetails'!$F$9),"")</f>
        <v/>
      </c>
      <c r="AR389" s="674"/>
      <c r="AS389" s="672"/>
      <c r="AT389" s="1732" t="str">
        <f>IF($AF389=0,0,IFERROR(($AF389+L389)/(HLOOKUP($D389,RentsUA!$B$61:$H$62,2,FALSE)),""))</f>
        <v/>
      </c>
      <c r="AU389" s="1733" t="str">
        <f>IFERROR(G389/HLOOKUP(H389,RentsUA!$B$40:$I$41,2),"")</f>
        <v/>
      </c>
      <c r="BR389" s="404" t="str">
        <f t="shared" si="87"/>
        <v/>
      </c>
      <c r="BT389" s="404" t="str">
        <f t="shared" si="82"/>
        <v/>
      </c>
    </row>
    <row r="390" spans="1:72" s="404" customFormat="1" ht="13.2">
      <c r="A390" s="406">
        <f t="shared" si="88"/>
        <v>378</v>
      </c>
      <c r="B390" s="472"/>
      <c r="C390" s="470"/>
      <c r="D390" s="407"/>
      <c r="E390" s="407"/>
      <c r="F390" s="408"/>
      <c r="G390" s="409"/>
      <c r="H390" s="407"/>
      <c r="I390" s="1029" t="str">
        <f>IFERROR(G390/HLOOKUP(H390,RentsUA!$B$8:$J$9,2),"")</f>
        <v/>
      </c>
      <c r="J390" s="407"/>
      <c r="K390" s="412"/>
      <c r="L390" s="673">
        <f t="shared" si="77"/>
        <v>0</v>
      </c>
      <c r="M390" s="671"/>
      <c r="N390" s="410">
        <f t="shared" si="78"/>
        <v>0</v>
      </c>
      <c r="O390" s="469" t="str">
        <f>IF($M390=0,"",IFERROR(($L390+$M390)/(HLOOKUP($D390,RentsUA!$K$12:$Q$35,19,FALSE)),""))</f>
        <v/>
      </c>
      <c r="P390" s="469" t="str">
        <f>IF($M390=0,"",IFERROR(($M390+K390+L390)/(HLOOKUP($D390,RentsUA!$K$12:$Q$35,19,FALSE)),""))</f>
        <v/>
      </c>
      <c r="Q390" s="411"/>
      <c r="R390" s="673" t="str">
        <f>IF($Q390=0,"",VLOOKUP($Q390,RentsUA!$A$12:$H$35,MATCH($D390,RentsUA!$A$12:$H$12,0),FALSE))</f>
        <v/>
      </c>
      <c r="S390" s="409"/>
      <c r="T390" s="674"/>
      <c r="U390" s="672"/>
      <c r="V390" s="673" t="str">
        <f t="shared" si="83"/>
        <v/>
      </c>
      <c r="W390" s="470"/>
      <c r="X390" s="411"/>
      <c r="Y390" s="410" t="str">
        <f>IF(X390=0,"",VLOOKUP($X390,RentsUA!$A$12:$H$35,MATCH($D390,RentsUA!$A$12:$H$12,0),FALSE))</f>
        <v/>
      </c>
      <c r="Z390" s="410" t="str">
        <f t="shared" si="79"/>
        <v/>
      </c>
      <c r="AA390" s="1297" t="str">
        <f>IF(H390="","",IF(G390/HLOOKUP($H390,RentsUA!$M$8:$T$9,2,FALSE)&gt;1,"&gt; 80%","&lt;= 80%"))</f>
        <v/>
      </c>
      <c r="AB390" s="1106"/>
      <c r="AC390" s="1106"/>
      <c r="AD390" s="622"/>
      <c r="AE390" s="412"/>
      <c r="AF390" s="807" t="str">
        <f>IF(AD390="","",IF(AD390=Lists!$U$3,M390,IF(AD390=Lists!$U$4,V390,IF(AD390=Lists!$U$5,Y390-L390,AE390))))</f>
        <v/>
      </c>
      <c r="AG390" s="410" t="str">
        <f t="shared" si="80"/>
        <v/>
      </c>
      <c r="AH390" s="469" t="str">
        <f t="shared" si="81"/>
        <v/>
      </c>
      <c r="AI390" s="469" t="str">
        <f>IF($AF390=0,0,IFERROR(($L390+$AF390)/(HLOOKUP($D390,RentsUA!$K$12:$Q$35,19,FALSE)),""))</f>
        <v/>
      </c>
      <c r="AJ390" s="469" t="str">
        <f>IF($AF390=0,0,IFERROR(($AF390+K390+L390)/(HLOOKUP($D390,RentsUA!$K$12:$Q$35,19,FALSE)),""))</f>
        <v/>
      </c>
      <c r="AK390" s="469" t="str">
        <f t="shared" si="84"/>
        <v/>
      </c>
      <c r="AL390" s="469" t="str">
        <f t="shared" si="85"/>
        <v/>
      </c>
      <c r="AM390" s="1106" t="str">
        <f t="shared" si="86"/>
        <v/>
      </c>
      <c r="AN390" s="1106" t="str">
        <f>IFERROR(AM390*(1+'7a.20YrDetails'!$F$9),"")</f>
        <v/>
      </c>
      <c r="AO390" s="1106" t="str">
        <f>IFERROR(AN390*(1+'7a.20YrDetails'!$F$9),"")</f>
        <v/>
      </c>
      <c r="AP390" s="1106" t="str">
        <f>IFERROR(AO390*(1+'7a.20YrDetails'!$F$9),"")</f>
        <v/>
      </c>
      <c r="AQ390" s="1106" t="str">
        <f>IFERROR(AP390*(1+'7a.20YrDetails'!$F$9),"")</f>
        <v/>
      </c>
      <c r="AR390" s="674"/>
      <c r="AS390" s="672"/>
      <c r="AT390" s="1732" t="str">
        <f>IF($AF390=0,0,IFERROR(($AF390+L390)/(HLOOKUP($D390,RentsUA!$B$61:$H$62,2,FALSE)),""))</f>
        <v/>
      </c>
      <c r="AU390" s="1733" t="str">
        <f>IFERROR(G390/HLOOKUP(H390,RentsUA!$B$40:$I$41,2),"")</f>
        <v/>
      </c>
      <c r="BR390" s="404" t="str">
        <f t="shared" si="87"/>
        <v/>
      </c>
      <c r="BT390" s="404" t="str">
        <f t="shared" si="82"/>
        <v/>
      </c>
    </row>
    <row r="391" spans="1:72" s="404" customFormat="1" ht="13.2">
      <c r="A391" s="406">
        <f t="shared" si="88"/>
        <v>379</v>
      </c>
      <c r="B391" s="472"/>
      <c r="C391" s="470"/>
      <c r="D391" s="407"/>
      <c r="E391" s="407"/>
      <c r="F391" s="408"/>
      <c r="G391" s="409"/>
      <c r="H391" s="407"/>
      <c r="I391" s="1029" t="str">
        <f>IFERROR(G391/HLOOKUP(H391,RentsUA!$B$8:$J$9,2),"")</f>
        <v/>
      </c>
      <c r="J391" s="407"/>
      <c r="K391" s="412"/>
      <c r="L391" s="673">
        <f t="shared" si="77"/>
        <v>0</v>
      </c>
      <c r="M391" s="671"/>
      <c r="N391" s="410">
        <f t="shared" si="78"/>
        <v>0</v>
      </c>
      <c r="O391" s="469" t="str">
        <f>IF($M391=0,"",IFERROR(($L391+$M391)/(HLOOKUP($D391,RentsUA!$K$12:$Q$35,19,FALSE)),""))</f>
        <v/>
      </c>
      <c r="P391" s="469" t="str">
        <f>IF($M391=0,"",IFERROR(($M391+K391+L391)/(HLOOKUP($D391,RentsUA!$K$12:$Q$35,19,FALSE)),""))</f>
        <v/>
      </c>
      <c r="Q391" s="411"/>
      <c r="R391" s="673" t="str">
        <f>IF($Q391=0,"",VLOOKUP($Q391,RentsUA!$A$12:$H$35,MATCH($D391,RentsUA!$A$12:$H$12,0),FALSE))</f>
        <v/>
      </c>
      <c r="S391" s="409"/>
      <c r="T391" s="674"/>
      <c r="U391" s="672"/>
      <c r="V391" s="673" t="str">
        <f t="shared" si="83"/>
        <v/>
      </c>
      <c r="W391" s="470"/>
      <c r="X391" s="411"/>
      <c r="Y391" s="410" t="str">
        <f>IF(X391=0,"",VLOOKUP($X391,RentsUA!$A$12:$H$35,MATCH($D391,RentsUA!$A$12:$H$12,0),FALSE))</f>
        <v/>
      </c>
      <c r="Z391" s="410" t="str">
        <f t="shared" si="79"/>
        <v/>
      </c>
      <c r="AA391" s="1297" t="str">
        <f>IF(H391="","",IF(G391/HLOOKUP($H391,RentsUA!$M$8:$T$9,2,FALSE)&gt;1,"&gt; 80%","&lt;= 80%"))</f>
        <v/>
      </c>
      <c r="AB391" s="1106"/>
      <c r="AC391" s="1106"/>
      <c r="AD391" s="622"/>
      <c r="AE391" s="412"/>
      <c r="AF391" s="807" t="str">
        <f>IF(AD391="","",IF(AD391=Lists!$U$3,M391,IF(AD391=Lists!$U$4,V391,IF(AD391=Lists!$U$5,Y391-L391,AE391))))</f>
        <v/>
      </c>
      <c r="AG391" s="410" t="str">
        <f t="shared" si="80"/>
        <v/>
      </c>
      <c r="AH391" s="469" t="str">
        <f t="shared" si="81"/>
        <v/>
      </c>
      <c r="AI391" s="469" t="str">
        <f>IF($AF391=0,0,IFERROR(($L391+$AF391)/(HLOOKUP($D391,RentsUA!$K$12:$Q$35,19,FALSE)),""))</f>
        <v/>
      </c>
      <c r="AJ391" s="469" t="str">
        <f>IF($AF391=0,0,IFERROR(($AF391+K391+L391)/(HLOOKUP($D391,RentsUA!$K$12:$Q$35,19,FALSE)),""))</f>
        <v/>
      </c>
      <c r="AK391" s="469" t="str">
        <f t="shared" si="84"/>
        <v/>
      </c>
      <c r="AL391" s="469" t="str">
        <f t="shared" si="85"/>
        <v/>
      </c>
      <c r="AM391" s="1106" t="str">
        <f t="shared" si="86"/>
        <v/>
      </c>
      <c r="AN391" s="1106" t="str">
        <f>IFERROR(AM391*(1+'7a.20YrDetails'!$F$9),"")</f>
        <v/>
      </c>
      <c r="AO391" s="1106" t="str">
        <f>IFERROR(AN391*(1+'7a.20YrDetails'!$F$9),"")</f>
        <v/>
      </c>
      <c r="AP391" s="1106" t="str">
        <f>IFERROR(AO391*(1+'7a.20YrDetails'!$F$9),"")</f>
        <v/>
      </c>
      <c r="AQ391" s="1106" t="str">
        <f>IFERROR(AP391*(1+'7a.20YrDetails'!$F$9),"")</f>
        <v/>
      </c>
      <c r="AR391" s="674"/>
      <c r="AS391" s="672"/>
      <c r="AT391" s="1732" t="str">
        <f>IF($AF391=0,0,IFERROR(($AF391+L391)/(HLOOKUP($D391,RentsUA!$B$61:$H$62,2,FALSE)),""))</f>
        <v/>
      </c>
      <c r="AU391" s="1733" t="str">
        <f>IFERROR(G391/HLOOKUP(H391,RentsUA!$B$40:$I$41,2),"")</f>
        <v/>
      </c>
      <c r="BR391" s="404" t="str">
        <f t="shared" si="87"/>
        <v/>
      </c>
      <c r="BT391" s="404" t="str">
        <f t="shared" si="82"/>
        <v/>
      </c>
    </row>
    <row r="392" spans="1:72" s="404" customFormat="1" ht="13.2">
      <c r="A392" s="406">
        <f t="shared" si="88"/>
        <v>380</v>
      </c>
      <c r="B392" s="472"/>
      <c r="C392" s="470"/>
      <c r="D392" s="407"/>
      <c r="E392" s="407"/>
      <c r="F392" s="408"/>
      <c r="G392" s="409"/>
      <c r="H392" s="407"/>
      <c r="I392" s="1029" t="str">
        <f>IFERROR(G392/HLOOKUP(H392,RentsUA!$B$8:$J$9,2),"")</f>
        <v/>
      </c>
      <c r="J392" s="407"/>
      <c r="K392" s="412"/>
      <c r="L392" s="673">
        <f t="shared" si="77"/>
        <v>0</v>
      </c>
      <c r="M392" s="671"/>
      <c r="N392" s="410">
        <f t="shared" si="78"/>
        <v>0</v>
      </c>
      <c r="O392" s="469" t="str">
        <f>IF($M392=0,"",IFERROR(($L392+$M392)/(HLOOKUP($D392,RentsUA!$K$12:$Q$35,19,FALSE)),""))</f>
        <v/>
      </c>
      <c r="P392" s="469" t="str">
        <f>IF($M392=0,"",IFERROR(($M392+K392+L392)/(HLOOKUP($D392,RentsUA!$K$12:$Q$35,19,FALSE)),""))</f>
        <v/>
      </c>
      <c r="Q392" s="411"/>
      <c r="R392" s="673" t="str">
        <f>IF($Q392=0,"",VLOOKUP($Q392,RentsUA!$A$12:$H$35,MATCH($D392,RentsUA!$A$12:$H$12,0),FALSE))</f>
        <v/>
      </c>
      <c r="S392" s="409"/>
      <c r="T392" s="674"/>
      <c r="U392" s="672"/>
      <c r="V392" s="673" t="str">
        <f t="shared" si="83"/>
        <v/>
      </c>
      <c r="W392" s="470"/>
      <c r="X392" s="411"/>
      <c r="Y392" s="410" t="str">
        <f>IF(X392=0,"",VLOOKUP($X392,RentsUA!$A$12:$H$35,MATCH($D392,RentsUA!$A$12:$H$12,0),FALSE))</f>
        <v/>
      </c>
      <c r="Z392" s="410" t="str">
        <f t="shared" si="79"/>
        <v/>
      </c>
      <c r="AA392" s="1297" t="str">
        <f>IF(H392="","",IF(G392/HLOOKUP($H392,RentsUA!$M$8:$T$9,2,FALSE)&gt;1,"&gt; 80%","&lt;= 80%"))</f>
        <v/>
      </c>
      <c r="AB392" s="1106"/>
      <c r="AC392" s="1106"/>
      <c r="AD392" s="622"/>
      <c r="AE392" s="412"/>
      <c r="AF392" s="807" t="str">
        <f>IF(AD392="","",IF(AD392=Lists!$U$3,M392,IF(AD392=Lists!$U$4,V392,IF(AD392=Lists!$U$5,Y392-L392,AE392))))</f>
        <v/>
      </c>
      <c r="AG392" s="410" t="str">
        <f t="shared" si="80"/>
        <v/>
      </c>
      <c r="AH392" s="469" t="str">
        <f t="shared" si="81"/>
        <v/>
      </c>
      <c r="AI392" s="469" t="str">
        <f>IF($AF392=0,0,IFERROR(($L392+$AF392)/(HLOOKUP($D392,RentsUA!$K$12:$Q$35,19,FALSE)),""))</f>
        <v/>
      </c>
      <c r="AJ392" s="469" t="str">
        <f>IF($AF392=0,0,IFERROR(($AF392+K392+L392)/(HLOOKUP($D392,RentsUA!$K$12:$Q$35,19,FALSE)),""))</f>
        <v/>
      </c>
      <c r="AK392" s="469" t="str">
        <f t="shared" si="84"/>
        <v/>
      </c>
      <c r="AL392" s="469" t="str">
        <f t="shared" si="85"/>
        <v/>
      </c>
      <c r="AM392" s="1106" t="str">
        <f t="shared" si="86"/>
        <v/>
      </c>
      <c r="AN392" s="1106" t="str">
        <f>IFERROR(AM392*(1+'7a.20YrDetails'!$F$9),"")</f>
        <v/>
      </c>
      <c r="AO392" s="1106" t="str">
        <f>IFERROR(AN392*(1+'7a.20YrDetails'!$F$9),"")</f>
        <v/>
      </c>
      <c r="AP392" s="1106" t="str">
        <f>IFERROR(AO392*(1+'7a.20YrDetails'!$F$9),"")</f>
        <v/>
      </c>
      <c r="AQ392" s="1106" t="str">
        <f>IFERROR(AP392*(1+'7a.20YrDetails'!$F$9),"")</f>
        <v/>
      </c>
      <c r="AR392" s="674"/>
      <c r="AS392" s="672"/>
      <c r="AT392" s="1732" t="str">
        <f>IF($AF392=0,0,IFERROR(($AF392+L392)/(HLOOKUP($D392,RentsUA!$B$61:$H$62,2,FALSE)),""))</f>
        <v/>
      </c>
      <c r="AU392" s="1733" t="str">
        <f>IFERROR(G392/HLOOKUP(H392,RentsUA!$B$40:$I$41,2),"")</f>
        <v/>
      </c>
      <c r="BR392" s="404" t="str">
        <f t="shared" si="87"/>
        <v/>
      </c>
      <c r="BT392" s="404" t="str">
        <f t="shared" si="82"/>
        <v/>
      </c>
    </row>
    <row r="393" spans="1:72" s="404" customFormat="1" ht="13.2">
      <c r="A393" s="406">
        <f t="shared" si="88"/>
        <v>381</v>
      </c>
      <c r="B393" s="472"/>
      <c r="C393" s="470"/>
      <c r="D393" s="407"/>
      <c r="E393" s="407"/>
      <c r="F393" s="408"/>
      <c r="G393" s="409"/>
      <c r="H393" s="407"/>
      <c r="I393" s="1029" t="str">
        <f>IFERROR(G393/HLOOKUP(H393,RentsUA!$B$8:$J$9,2),"")</f>
        <v/>
      </c>
      <c r="J393" s="407"/>
      <c r="K393" s="412"/>
      <c r="L393" s="673">
        <f t="shared" si="77"/>
        <v>0</v>
      </c>
      <c r="M393" s="671"/>
      <c r="N393" s="410">
        <f t="shared" si="78"/>
        <v>0</v>
      </c>
      <c r="O393" s="469" t="str">
        <f>IF($M393=0,"",IFERROR(($L393+$M393)/(HLOOKUP($D393,RentsUA!$K$12:$Q$35,19,FALSE)),""))</f>
        <v/>
      </c>
      <c r="P393" s="469" t="str">
        <f>IF($M393=0,"",IFERROR(($M393+K393+L393)/(HLOOKUP($D393,RentsUA!$K$12:$Q$35,19,FALSE)),""))</f>
        <v/>
      </c>
      <c r="Q393" s="411"/>
      <c r="R393" s="673" t="str">
        <f>IF($Q393=0,"",VLOOKUP($Q393,RentsUA!$A$12:$H$35,MATCH($D393,RentsUA!$A$12:$H$12,0),FALSE))</f>
        <v/>
      </c>
      <c r="S393" s="409"/>
      <c r="T393" s="674"/>
      <c r="U393" s="672"/>
      <c r="V393" s="673" t="str">
        <f t="shared" si="83"/>
        <v/>
      </c>
      <c r="W393" s="470"/>
      <c r="X393" s="411"/>
      <c r="Y393" s="410" t="str">
        <f>IF(X393=0,"",VLOOKUP($X393,RentsUA!$A$12:$H$35,MATCH($D393,RentsUA!$A$12:$H$12,0),FALSE))</f>
        <v/>
      </c>
      <c r="Z393" s="410" t="str">
        <f t="shared" si="79"/>
        <v/>
      </c>
      <c r="AA393" s="1297" t="str">
        <f>IF(H393="","",IF(G393/HLOOKUP($H393,RentsUA!$M$8:$T$9,2,FALSE)&gt;1,"&gt; 80%","&lt;= 80%"))</f>
        <v/>
      </c>
      <c r="AB393" s="1106"/>
      <c r="AC393" s="1106"/>
      <c r="AD393" s="622"/>
      <c r="AE393" s="412"/>
      <c r="AF393" s="807" t="str">
        <f>IF(AD393="","",IF(AD393=Lists!$U$3,M393,IF(AD393=Lists!$U$4,V393,IF(AD393=Lists!$U$5,Y393-L393,AE393))))</f>
        <v/>
      </c>
      <c r="AG393" s="410" t="str">
        <f t="shared" si="80"/>
        <v/>
      </c>
      <c r="AH393" s="469" t="str">
        <f t="shared" si="81"/>
        <v/>
      </c>
      <c r="AI393" s="469" t="str">
        <f>IF($AF393=0,0,IFERROR(($L393+$AF393)/(HLOOKUP($D393,RentsUA!$K$12:$Q$35,19,FALSE)),""))</f>
        <v/>
      </c>
      <c r="AJ393" s="469" t="str">
        <f>IF($AF393=0,0,IFERROR(($AF393+K393+L393)/(HLOOKUP($D393,RentsUA!$K$12:$Q$35,19,FALSE)),""))</f>
        <v/>
      </c>
      <c r="AK393" s="469" t="str">
        <f t="shared" si="84"/>
        <v/>
      </c>
      <c r="AL393" s="469" t="str">
        <f t="shared" si="85"/>
        <v/>
      </c>
      <c r="AM393" s="1106" t="str">
        <f t="shared" si="86"/>
        <v/>
      </c>
      <c r="AN393" s="1106" t="str">
        <f>IFERROR(AM393*(1+'7a.20YrDetails'!$F$9),"")</f>
        <v/>
      </c>
      <c r="AO393" s="1106" t="str">
        <f>IFERROR(AN393*(1+'7a.20YrDetails'!$F$9),"")</f>
        <v/>
      </c>
      <c r="AP393" s="1106" t="str">
        <f>IFERROR(AO393*(1+'7a.20YrDetails'!$F$9),"")</f>
        <v/>
      </c>
      <c r="AQ393" s="1106" t="str">
        <f>IFERROR(AP393*(1+'7a.20YrDetails'!$F$9),"")</f>
        <v/>
      </c>
      <c r="AR393" s="674"/>
      <c r="AS393" s="672"/>
      <c r="AT393" s="1732" t="str">
        <f>IF($AF393=0,0,IFERROR(($AF393+L393)/(HLOOKUP($D393,RentsUA!$B$61:$H$62,2,FALSE)),""))</f>
        <v/>
      </c>
      <c r="AU393" s="1733" t="str">
        <f>IFERROR(G393/HLOOKUP(H393,RentsUA!$B$40:$I$41,2),"")</f>
        <v/>
      </c>
      <c r="BR393" s="404" t="str">
        <f t="shared" si="87"/>
        <v/>
      </c>
      <c r="BT393" s="404" t="str">
        <f t="shared" si="82"/>
        <v/>
      </c>
    </row>
    <row r="394" spans="1:72" s="404" customFormat="1" ht="13.2">
      <c r="A394" s="406">
        <f t="shared" si="88"/>
        <v>382</v>
      </c>
      <c r="B394" s="472"/>
      <c r="C394" s="470"/>
      <c r="D394" s="407"/>
      <c r="E394" s="407"/>
      <c r="F394" s="408"/>
      <c r="G394" s="409"/>
      <c r="H394" s="407"/>
      <c r="I394" s="1029" t="str">
        <f>IFERROR(G394/HLOOKUP(H394,RentsUA!$B$8:$J$9,2),"")</f>
        <v/>
      </c>
      <c r="J394" s="407"/>
      <c r="K394" s="412"/>
      <c r="L394" s="673">
        <f t="shared" si="77"/>
        <v>0</v>
      </c>
      <c r="M394" s="671"/>
      <c r="N394" s="410">
        <f t="shared" si="78"/>
        <v>0</v>
      </c>
      <c r="O394" s="469" t="str">
        <f>IF($M394=0,"",IFERROR(($L394+$M394)/(HLOOKUP($D394,RentsUA!$K$12:$Q$35,19,FALSE)),""))</f>
        <v/>
      </c>
      <c r="P394" s="469" t="str">
        <f>IF($M394=0,"",IFERROR(($M394+K394+L394)/(HLOOKUP($D394,RentsUA!$K$12:$Q$35,19,FALSE)),""))</f>
        <v/>
      </c>
      <c r="Q394" s="411"/>
      <c r="R394" s="673" t="str">
        <f>IF($Q394=0,"",VLOOKUP($Q394,RentsUA!$A$12:$H$35,MATCH($D394,RentsUA!$A$12:$H$12,0),FALSE))</f>
        <v/>
      </c>
      <c r="S394" s="409"/>
      <c r="T394" s="674"/>
      <c r="U394" s="672"/>
      <c r="V394" s="673" t="str">
        <f t="shared" si="83"/>
        <v/>
      </c>
      <c r="W394" s="470"/>
      <c r="X394" s="411"/>
      <c r="Y394" s="410" t="str">
        <f>IF(X394=0,"",VLOOKUP($X394,RentsUA!$A$12:$H$35,MATCH($D394,RentsUA!$A$12:$H$12,0),FALSE))</f>
        <v/>
      </c>
      <c r="Z394" s="410" t="str">
        <f t="shared" si="79"/>
        <v/>
      </c>
      <c r="AA394" s="1297" t="str">
        <f>IF(H394="","",IF(G394/HLOOKUP($H394,RentsUA!$M$8:$T$9,2,FALSE)&gt;1,"&gt; 80%","&lt;= 80%"))</f>
        <v/>
      </c>
      <c r="AB394" s="1106"/>
      <c r="AC394" s="1106"/>
      <c r="AD394" s="622"/>
      <c r="AE394" s="412"/>
      <c r="AF394" s="807" t="str">
        <f>IF(AD394="","",IF(AD394=Lists!$U$3,M394,IF(AD394=Lists!$U$4,V394,IF(AD394=Lists!$U$5,Y394-L394,AE394))))</f>
        <v/>
      </c>
      <c r="AG394" s="410" t="str">
        <f t="shared" si="80"/>
        <v/>
      </c>
      <c r="AH394" s="469" t="str">
        <f t="shared" si="81"/>
        <v/>
      </c>
      <c r="AI394" s="469" t="str">
        <f>IF($AF394=0,0,IFERROR(($L394+$AF394)/(HLOOKUP($D394,RentsUA!$K$12:$Q$35,19,FALSE)),""))</f>
        <v/>
      </c>
      <c r="AJ394" s="469" t="str">
        <f>IF($AF394=0,0,IFERROR(($AF394+K394+L394)/(HLOOKUP($D394,RentsUA!$K$12:$Q$35,19,FALSE)),""))</f>
        <v/>
      </c>
      <c r="AK394" s="469" t="str">
        <f t="shared" si="84"/>
        <v/>
      </c>
      <c r="AL394" s="469" t="str">
        <f t="shared" si="85"/>
        <v/>
      </c>
      <c r="AM394" s="1106" t="str">
        <f t="shared" si="86"/>
        <v/>
      </c>
      <c r="AN394" s="1106" t="str">
        <f>IFERROR(AM394*(1+'7a.20YrDetails'!$F$9),"")</f>
        <v/>
      </c>
      <c r="AO394" s="1106" t="str">
        <f>IFERROR(AN394*(1+'7a.20YrDetails'!$F$9),"")</f>
        <v/>
      </c>
      <c r="AP394" s="1106" t="str">
        <f>IFERROR(AO394*(1+'7a.20YrDetails'!$F$9),"")</f>
        <v/>
      </c>
      <c r="AQ394" s="1106" t="str">
        <f>IFERROR(AP394*(1+'7a.20YrDetails'!$F$9),"")</f>
        <v/>
      </c>
      <c r="AR394" s="674"/>
      <c r="AS394" s="672"/>
      <c r="AT394" s="1732" t="str">
        <f>IF($AF394=0,0,IFERROR(($AF394+L394)/(HLOOKUP($D394,RentsUA!$B$61:$H$62,2,FALSE)),""))</f>
        <v/>
      </c>
      <c r="AU394" s="1733" t="str">
        <f>IFERROR(G394/HLOOKUP(H394,RentsUA!$B$40:$I$41,2),"")</f>
        <v/>
      </c>
      <c r="BR394" s="404" t="str">
        <f t="shared" si="87"/>
        <v/>
      </c>
      <c r="BT394" s="404" t="str">
        <f t="shared" si="82"/>
        <v/>
      </c>
    </row>
    <row r="395" spans="1:72" s="404" customFormat="1" ht="13.2">
      <c r="A395" s="406">
        <f t="shared" si="88"/>
        <v>383</v>
      </c>
      <c r="B395" s="472"/>
      <c r="C395" s="470"/>
      <c r="D395" s="407"/>
      <c r="E395" s="407"/>
      <c r="F395" s="408"/>
      <c r="G395" s="409"/>
      <c r="H395" s="407"/>
      <c r="I395" s="1029" t="str">
        <f>IFERROR(G395/HLOOKUP(H395,RentsUA!$B$8:$J$9,2),"")</f>
        <v/>
      </c>
      <c r="J395" s="407"/>
      <c r="K395" s="412"/>
      <c r="L395" s="673">
        <f t="shared" si="77"/>
        <v>0</v>
      </c>
      <c r="M395" s="671"/>
      <c r="N395" s="410">
        <f t="shared" si="78"/>
        <v>0</v>
      </c>
      <c r="O395" s="469" t="str">
        <f>IF($M395=0,"",IFERROR(($L395+$M395)/(HLOOKUP($D395,RentsUA!$K$12:$Q$35,19,FALSE)),""))</f>
        <v/>
      </c>
      <c r="P395" s="469" t="str">
        <f>IF($M395=0,"",IFERROR(($M395+K395+L395)/(HLOOKUP($D395,RentsUA!$K$12:$Q$35,19,FALSE)),""))</f>
        <v/>
      </c>
      <c r="Q395" s="411"/>
      <c r="R395" s="673" t="str">
        <f>IF($Q395=0,"",VLOOKUP($Q395,RentsUA!$A$12:$H$35,MATCH($D395,RentsUA!$A$12:$H$12,0),FALSE))</f>
        <v/>
      </c>
      <c r="S395" s="409"/>
      <c r="T395" s="674"/>
      <c r="U395" s="672"/>
      <c r="V395" s="673" t="str">
        <f t="shared" si="83"/>
        <v/>
      </c>
      <c r="W395" s="470"/>
      <c r="X395" s="411"/>
      <c r="Y395" s="410" t="str">
        <f>IF(X395=0,"",VLOOKUP($X395,RentsUA!$A$12:$H$35,MATCH($D395,RentsUA!$A$12:$H$12,0),FALSE))</f>
        <v/>
      </c>
      <c r="Z395" s="410" t="str">
        <f t="shared" si="79"/>
        <v/>
      </c>
      <c r="AA395" s="1297" t="str">
        <f>IF(H395="","",IF(G395/HLOOKUP($H395,RentsUA!$M$8:$T$9,2,FALSE)&gt;1,"&gt; 80%","&lt;= 80%"))</f>
        <v/>
      </c>
      <c r="AB395" s="1106"/>
      <c r="AC395" s="1106"/>
      <c r="AD395" s="622"/>
      <c r="AE395" s="412"/>
      <c r="AF395" s="807" t="str">
        <f>IF(AD395="","",IF(AD395=Lists!$U$3,M395,IF(AD395=Lists!$U$4,V395,IF(AD395=Lists!$U$5,Y395-L395,AE395))))</f>
        <v/>
      </c>
      <c r="AG395" s="410" t="str">
        <f t="shared" si="80"/>
        <v/>
      </c>
      <c r="AH395" s="469" t="str">
        <f t="shared" si="81"/>
        <v/>
      </c>
      <c r="AI395" s="469" t="str">
        <f>IF($AF395=0,0,IFERROR(($L395+$AF395)/(HLOOKUP($D395,RentsUA!$K$12:$Q$35,19,FALSE)),""))</f>
        <v/>
      </c>
      <c r="AJ395" s="469" t="str">
        <f>IF($AF395=0,0,IFERROR(($AF395+K395+L395)/(HLOOKUP($D395,RentsUA!$K$12:$Q$35,19,FALSE)),""))</f>
        <v/>
      </c>
      <c r="AK395" s="469" t="str">
        <f t="shared" si="84"/>
        <v/>
      </c>
      <c r="AL395" s="469" t="str">
        <f t="shared" si="85"/>
        <v/>
      </c>
      <c r="AM395" s="1106" t="str">
        <f t="shared" si="86"/>
        <v/>
      </c>
      <c r="AN395" s="1106" t="str">
        <f>IFERROR(AM395*(1+'7a.20YrDetails'!$F$9),"")</f>
        <v/>
      </c>
      <c r="AO395" s="1106" t="str">
        <f>IFERROR(AN395*(1+'7a.20YrDetails'!$F$9),"")</f>
        <v/>
      </c>
      <c r="AP395" s="1106" t="str">
        <f>IFERROR(AO395*(1+'7a.20YrDetails'!$F$9),"")</f>
        <v/>
      </c>
      <c r="AQ395" s="1106" t="str">
        <f>IFERROR(AP395*(1+'7a.20YrDetails'!$F$9),"")</f>
        <v/>
      </c>
      <c r="AR395" s="674"/>
      <c r="AS395" s="672"/>
      <c r="AT395" s="1732" t="str">
        <f>IF($AF395=0,0,IFERROR(($AF395+L395)/(HLOOKUP($D395,RentsUA!$B$61:$H$62,2,FALSE)),""))</f>
        <v/>
      </c>
      <c r="AU395" s="1733" t="str">
        <f>IFERROR(G395/HLOOKUP(H395,RentsUA!$B$40:$I$41,2),"")</f>
        <v/>
      </c>
      <c r="BR395" s="404" t="str">
        <f t="shared" si="87"/>
        <v/>
      </c>
      <c r="BT395" s="404" t="str">
        <f t="shared" si="82"/>
        <v/>
      </c>
    </row>
    <row r="396" spans="1:72" s="404" customFormat="1" ht="13.2">
      <c r="A396" s="406">
        <f t="shared" si="88"/>
        <v>384</v>
      </c>
      <c r="B396" s="472"/>
      <c r="C396" s="470"/>
      <c r="D396" s="407"/>
      <c r="E396" s="407"/>
      <c r="F396" s="408"/>
      <c r="G396" s="409"/>
      <c r="H396" s="407"/>
      <c r="I396" s="1029" t="str">
        <f>IFERROR(G396/HLOOKUP(H396,RentsUA!$B$8:$J$9,2),"")</f>
        <v/>
      </c>
      <c r="J396" s="407"/>
      <c r="K396" s="412"/>
      <c r="L396" s="673">
        <f t="shared" si="77"/>
        <v>0</v>
      </c>
      <c r="M396" s="671"/>
      <c r="N396" s="410">
        <f t="shared" si="78"/>
        <v>0</v>
      </c>
      <c r="O396" s="469" t="str">
        <f>IF($M396=0,"",IFERROR(($L396+$M396)/(HLOOKUP($D396,RentsUA!$K$12:$Q$35,19,FALSE)),""))</f>
        <v/>
      </c>
      <c r="P396" s="469" t="str">
        <f>IF($M396=0,"",IFERROR(($M396+K396+L396)/(HLOOKUP($D396,RentsUA!$K$12:$Q$35,19,FALSE)),""))</f>
        <v/>
      </c>
      <c r="Q396" s="411"/>
      <c r="R396" s="673" t="str">
        <f>IF($Q396=0,"",VLOOKUP($Q396,RentsUA!$A$12:$H$35,MATCH($D396,RentsUA!$A$12:$H$12,0),FALSE))</f>
        <v/>
      </c>
      <c r="S396" s="409"/>
      <c r="T396" s="674"/>
      <c r="U396" s="672"/>
      <c r="V396" s="673" t="str">
        <f t="shared" si="83"/>
        <v/>
      </c>
      <c r="W396" s="470"/>
      <c r="X396" s="411"/>
      <c r="Y396" s="410" t="str">
        <f>IF(X396=0,"",VLOOKUP($X396,RentsUA!$A$12:$H$35,MATCH($D396,RentsUA!$A$12:$H$12,0),FALSE))</f>
        <v/>
      </c>
      <c r="Z396" s="410" t="str">
        <f t="shared" si="79"/>
        <v/>
      </c>
      <c r="AA396" s="1297" t="str">
        <f>IF(H396="","",IF(G396/HLOOKUP($H396,RentsUA!$M$8:$T$9,2,FALSE)&gt;1,"&gt; 80%","&lt;= 80%"))</f>
        <v/>
      </c>
      <c r="AB396" s="1106"/>
      <c r="AC396" s="1106"/>
      <c r="AD396" s="622"/>
      <c r="AE396" s="412"/>
      <c r="AF396" s="807" t="str">
        <f>IF(AD396="","",IF(AD396=Lists!$U$3,M396,IF(AD396=Lists!$U$4,V396,IF(AD396=Lists!$U$5,Y396-L396,AE396))))</f>
        <v/>
      </c>
      <c r="AG396" s="410" t="str">
        <f t="shared" si="80"/>
        <v/>
      </c>
      <c r="AH396" s="469" t="str">
        <f t="shared" si="81"/>
        <v/>
      </c>
      <c r="AI396" s="469" t="str">
        <f>IF($AF396=0,0,IFERROR(($L396+$AF396)/(HLOOKUP($D396,RentsUA!$K$12:$Q$35,19,FALSE)),""))</f>
        <v/>
      </c>
      <c r="AJ396" s="469" t="str">
        <f>IF($AF396=0,0,IFERROR(($AF396+K396+L396)/(HLOOKUP($D396,RentsUA!$K$12:$Q$35,19,FALSE)),""))</f>
        <v/>
      </c>
      <c r="AK396" s="469" t="str">
        <f t="shared" si="84"/>
        <v/>
      </c>
      <c r="AL396" s="469" t="str">
        <f t="shared" si="85"/>
        <v/>
      </c>
      <c r="AM396" s="1106" t="str">
        <f t="shared" si="86"/>
        <v/>
      </c>
      <c r="AN396" s="1106" t="str">
        <f>IFERROR(AM396*(1+'7a.20YrDetails'!$F$9),"")</f>
        <v/>
      </c>
      <c r="AO396" s="1106" t="str">
        <f>IFERROR(AN396*(1+'7a.20YrDetails'!$F$9),"")</f>
        <v/>
      </c>
      <c r="AP396" s="1106" t="str">
        <f>IFERROR(AO396*(1+'7a.20YrDetails'!$F$9),"")</f>
        <v/>
      </c>
      <c r="AQ396" s="1106" t="str">
        <f>IFERROR(AP396*(1+'7a.20YrDetails'!$F$9),"")</f>
        <v/>
      </c>
      <c r="AR396" s="674"/>
      <c r="AS396" s="672"/>
      <c r="AT396" s="1732" t="str">
        <f>IF($AF396=0,0,IFERROR(($AF396+L396)/(HLOOKUP($D396,RentsUA!$B$61:$H$62,2,FALSE)),""))</f>
        <v/>
      </c>
      <c r="AU396" s="1733" t="str">
        <f>IFERROR(G396/HLOOKUP(H396,RentsUA!$B$40:$I$41,2),"")</f>
        <v/>
      </c>
      <c r="BR396" s="404" t="str">
        <f t="shared" si="87"/>
        <v/>
      </c>
      <c r="BT396" s="404" t="str">
        <f t="shared" si="82"/>
        <v/>
      </c>
    </row>
    <row r="397" spans="1:72" s="404" customFormat="1" ht="13.2">
      <c r="A397" s="406">
        <f t="shared" si="88"/>
        <v>385</v>
      </c>
      <c r="B397" s="472"/>
      <c r="C397" s="470"/>
      <c r="D397" s="407"/>
      <c r="E397" s="407"/>
      <c r="F397" s="408"/>
      <c r="G397" s="409"/>
      <c r="H397" s="407"/>
      <c r="I397" s="1029" t="str">
        <f>IFERROR(G397/HLOOKUP(H397,RentsUA!$B$8:$J$9,2),"")</f>
        <v/>
      </c>
      <c r="J397" s="407"/>
      <c r="K397" s="412"/>
      <c r="L397" s="673">
        <f t="shared" ref="L397:L412" si="89">IF(D397="",0,HLOOKUP($D397,UA,7,FALSE))</f>
        <v>0</v>
      </c>
      <c r="M397" s="671"/>
      <c r="N397" s="410">
        <f t="shared" ref="N397:N412" si="90">M397+L397</f>
        <v>0</v>
      </c>
      <c r="O397" s="469" t="str">
        <f>IF($M397=0,"",IFERROR(($L397+$M397)/(HLOOKUP($D397,RentsUA!$K$12:$Q$35,19,FALSE)),""))</f>
        <v/>
      </c>
      <c r="P397" s="469" t="str">
        <f>IF($M397=0,"",IFERROR(($M397+K397+L397)/(HLOOKUP($D397,RentsUA!$K$12:$Q$35,19,FALSE)),""))</f>
        <v/>
      </c>
      <c r="Q397" s="411"/>
      <c r="R397" s="673" t="str">
        <f>IF($Q397=0,"",VLOOKUP($Q397,RentsUA!$A$12:$H$35,MATCH($D397,RentsUA!$A$12:$H$12,0),FALSE))</f>
        <v/>
      </c>
      <c r="S397" s="409"/>
      <c r="T397" s="674"/>
      <c r="U397" s="672"/>
      <c r="V397" s="673" t="str">
        <f t="shared" si="83"/>
        <v/>
      </c>
      <c r="W397" s="470"/>
      <c r="X397" s="411"/>
      <c r="Y397" s="410" t="str">
        <f>IF(X397=0,"",VLOOKUP($X397,RentsUA!$A$12:$H$35,MATCH($D397,RentsUA!$A$12:$H$12,0),FALSE))</f>
        <v/>
      </c>
      <c r="Z397" s="410" t="str">
        <f t="shared" ref="Z397:Z412" si="91">IF(Y397&lt;&gt;"",Y397-L397,"")</f>
        <v/>
      </c>
      <c r="AA397" s="1297" t="str">
        <f>IF(H397="","",IF(G397/HLOOKUP($H397,RentsUA!$M$8:$T$9,2,FALSE)&gt;1,"&gt; 80%","&lt;= 80%"))</f>
        <v/>
      </c>
      <c r="AB397" s="1106"/>
      <c r="AC397" s="1106"/>
      <c r="AD397" s="622"/>
      <c r="AE397" s="412"/>
      <c r="AF397" s="807" t="str">
        <f>IF(AD397="","",IF(AD397=Lists!$U$3,M397,IF(AD397=Lists!$U$4,V397,IF(AD397=Lists!$U$5,Y397-L397,AE397))))</f>
        <v/>
      </c>
      <c r="AG397" s="410" t="str">
        <f t="shared" ref="AG397:AG412" si="92">IFERROR(AF397+L397,"")</f>
        <v/>
      </c>
      <c r="AH397" s="469" t="str">
        <f t="shared" ref="AH397:AH412" si="93">IFERROR(($AF397-$M397)/$M397,"")</f>
        <v/>
      </c>
      <c r="AI397" s="469" t="str">
        <f>IF($AF397=0,0,IFERROR(($L397+$AF397)/(HLOOKUP($D397,RentsUA!$K$12:$Q$35,19,FALSE)),""))</f>
        <v/>
      </c>
      <c r="AJ397" s="469" t="str">
        <f>IF($AF397=0,0,IFERROR(($AF397+K397+L397)/(HLOOKUP($D397,RentsUA!$K$12:$Q$35,19,FALSE)),""))</f>
        <v/>
      </c>
      <c r="AK397" s="469" t="str">
        <f t="shared" si="84"/>
        <v/>
      </c>
      <c r="AL397" s="469" t="str">
        <f t="shared" si="85"/>
        <v/>
      </c>
      <c r="AM397" s="1106" t="str">
        <f t="shared" si="86"/>
        <v/>
      </c>
      <c r="AN397" s="1106" t="str">
        <f>IFERROR(AM397*(1+'7a.20YrDetails'!$F$9),"")</f>
        <v/>
      </c>
      <c r="AO397" s="1106" t="str">
        <f>IFERROR(AN397*(1+'7a.20YrDetails'!$F$9),"")</f>
        <v/>
      </c>
      <c r="AP397" s="1106" t="str">
        <f>IFERROR(AO397*(1+'7a.20YrDetails'!$F$9),"")</f>
        <v/>
      </c>
      <c r="AQ397" s="1106" t="str">
        <f>IFERROR(AP397*(1+'7a.20YrDetails'!$F$9),"")</f>
        <v/>
      </c>
      <c r="AR397" s="674"/>
      <c r="AS397" s="672"/>
      <c r="AT397" s="1732" t="str">
        <f>IF($AF397=0,0,IFERROR(($AF397+L397)/(HLOOKUP($D397,RentsUA!$B$61:$H$62,2,FALSE)),""))</f>
        <v/>
      </c>
      <c r="AU397" s="1733" t="str">
        <f>IFERROR(G397/HLOOKUP(H397,RentsUA!$B$40:$I$41,2),"")</f>
        <v/>
      </c>
      <c r="BR397" s="404" t="str">
        <f t="shared" si="87"/>
        <v/>
      </c>
      <c r="BT397" s="404" t="str">
        <f t="shared" ref="BT397:BT412" si="94">IF(X397="","",CONCATENATE("MOHCD ",X397*100,"%"))</f>
        <v/>
      </c>
    </row>
    <row r="398" spans="1:72" s="404" customFormat="1" ht="13.2">
      <c r="A398" s="406">
        <f t="shared" si="88"/>
        <v>386</v>
      </c>
      <c r="B398" s="472"/>
      <c r="C398" s="470"/>
      <c r="D398" s="407"/>
      <c r="E398" s="407"/>
      <c r="F398" s="408"/>
      <c r="G398" s="409"/>
      <c r="H398" s="407"/>
      <c r="I398" s="1029" t="str">
        <f>IFERROR(G398/HLOOKUP(H398,RentsUA!$B$8:$J$9,2),"")</f>
        <v/>
      </c>
      <c r="J398" s="407"/>
      <c r="K398" s="412"/>
      <c r="L398" s="673">
        <f t="shared" si="89"/>
        <v>0</v>
      </c>
      <c r="M398" s="671"/>
      <c r="N398" s="410">
        <f t="shared" si="90"/>
        <v>0</v>
      </c>
      <c r="O398" s="469" t="str">
        <f>IF($M398=0,"",IFERROR(($L398+$M398)/(HLOOKUP($D398,RentsUA!$K$12:$Q$35,19,FALSE)),""))</f>
        <v/>
      </c>
      <c r="P398" s="469" t="str">
        <f>IF($M398=0,"",IFERROR(($M398+K398+L398)/(HLOOKUP($D398,RentsUA!$K$12:$Q$35,19,FALSE)),""))</f>
        <v/>
      </c>
      <c r="Q398" s="411"/>
      <c r="R398" s="673" t="str">
        <f>IF($Q398=0,"",VLOOKUP($Q398,RentsUA!$A$12:$H$35,MATCH($D398,RentsUA!$A$12:$H$12,0),FALSE))</f>
        <v/>
      </c>
      <c r="S398" s="409"/>
      <c r="T398" s="674"/>
      <c r="U398" s="672"/>
      <c r="V398" s="673" t="str">
        <f t="shared" ref="V398:V412" si="95">IF(Q398&lt;&gt;"",R398-L398,IF(U398&lt;&gt;0,U398-L398,""))</f>
        <v/>
      </c>
      <c r="W398" s="470"/>
      <c r="X398" s="411"/>
      <c r="Y398" s="410" t="str">
        <f>IF(X398=0,"",VLOOKUP($X398,RentsUA!$A$12:$H$35,MATCH($D398,RentsUA!$A$12:$H$12,0),FALSE))</f>
        <v/>
      </c>
      <c r="Z398" s="410" t="str">
        <f t="shared" si="91"/>
        <v/>
      </c>
      <c r="AA398" s="1297" t="str">
        <f>IF(H398="","",IF(G398/HLOOKUP($H398,RentsUA!$M$8:$T$9,2,FALSE)&gt;1,"&gt; 80%","&lt;= 80%"))</f>
        <v/>
      </c>
      <c r="AB398" s="1106"/>
      <c r="AC398" s="1106"/>
      <c r="AD398" s="622"/>
      <c r="AE398" s="412"/>
      <c r="AF398" s="807" t="str">
        <f>IF(AD398="","",IF(AD398=Lists!$U$3,M398,IF(AD398=Lists!$U$4,V398,IF(AD398=Lists!$U$5,Y398-L398,AE398))))</f>
        <v/>
      </c>
      <c r="AG398" s="410" t="str">
        <f t="shared" si="92"/>
        <v/>
      </c>
      <c r="AH398" s="469" t="str">
        <f t="shared" si="93"/>
        <v/>
      </c>
      <c r="AI398" s="469" t="str">
        <f>IF($AF398=0,0,IFERROR(($L398+$AF398)/(HLOOKUP($D398,RentsUA!$K$12:$Q$35,19,FALSE)),""))</f>
        <v/>
      </c>
      <c r="AJ398" s="469" t="str">
        <f>IF($AF398=0,0,IFERROR(($AF398+K398+L398)/(HLOOKUP($D398,RentsUA!$K$12:$Q$35,19,FALSE)),""))</f>
        <v/>
      </c>
      <c r="AK398" s="469" t="str">
        <f t="shared" ref="AK398:AK412" si="96">IFERROR(AG398*12/G398,"")</f>
        <v/>
      </c>
      <c r="AL398" s="469" t="str">
        <f t="shared" ref="AL398:AL412" si="97">IFERROR(AF398*12/$G398,"")</f>
        <v/>
      </c>
      <c r="AM398" s="1106" t="str">
        <f t="shared" ref="AM398:AM412" si="98">AF398</f>
        <v/>
      </c>
      <c r="AN398" s="1106" t="str">
        <f>IFERROR(AM398*(1+'7a.20YrDetails'!$F$9),"")</f>
        <v/>
      </c>
      <c r="AO398" s="1106" t="str">
        <f>IFERROR(AN398*(1+'7a.20YrDetails'!$F$9),"")</f>
        <v/>
      </c>
      <c r="AP398" s="1106" t="str">
        <f>IFERROR(AO398*(1+'7a.20YrDetails'!$F$9),"")</f>
        <v/>
      </c>
      <c r="AQ398" s="1106" t="str">
        <f>IFERROR(AP398*(1+'7a.20YrDetails'!$F$9),"")</f>
        <v/>
      </c>
      <c r="AR398" s="674"/>
      <c r="AS398" s="672"/>
      <c r="AT398" s="1732" t="str">
        <f>IF($AF398=0,0,IFERROR(($AF398+L398)/(HLOOKUP($D398,RentsUA!$B$61:$H$62,2,FALSE)),""))</f>
        <v/>
      </c>
      <c r="AU398" s="1733" t="str">
        <f>IFERROR(G398/HLOOKUP(H398,RentsUA!$B$40:$I$41,2),"")</f>
        <v/>
      </c>
      <c r="BR398" s="404" t="str">
        <f t="shared" ref="BR398:BR412" si="99">IF(Q398&lt;&gt;"","MOHCD "&amp;Q398*100&amp;"%",IF(AND(Q398="",S398&lt;&gt;""),CONCATENATE(S398, " ",T398*100,"%"),""))</f>
        <v/>
      </c>
      <c r="BT398" s="404" t="str">
        <f t="shared" si="94"/>
        <v/>
      </c>
    </row>
    <row r="399" spans="1:72" s="404" customFormat="1" ht="13.2">
      <c r="A399" s="406">
        <f t="shared" ref="A399:A412" si="100">A398+1</f>
        <v>387</v>
      </c>
      <c r="B399" s="472"/>
      <c r="C399" s="470"/>
      <c r="D399" s="407"/>
      <c r="E399" s="407"/>
      <c r="F399" s="408"/>
      <c r="G399" s="409"/>
      <c r="H399" s="407"/>
      <c r="I399" s="1029" t="str">
        <f>IFERROR(G399/HLOOKUP(H399,RentsUA!$B$8:$J$9,2),"")</f>
        <v/>
      </c>
      <c r="J399" s="407"/>
      <c r="K399" s="412"/>
      <c r="L399" s="673">
        <f t="shared" si="89"/>
        <v>0</v>
      </c>
      <c r="M399" s="671"/>
      <c r="N399" s="410">
        <f t="shared" si="90"/>
        <v>0</v>
      </c>
      <c r="O399" s="469" t="str">
        <f>IF($M399=0,"",IFERROR(($L399+$M399)/(HLOOKUP($D399,RentsUA!$K$12:$Q$35,19,FALSE)),""))</f>
        <v/>
      </c>
      <c r="P399" s="469" t="str">
        <f>IF($M399=0,"",IFERROR(($M399+K399+L399)/(HLOOKUP($D399,RentsUA!$K$12:$Q$35,19,FALSE)),""))</f>
        <v/>
      </c>
      <c r="Q399" s="411"/>
      <c r="R399" s="673" t="str">
        <f>IF($Q399=0,"",VLOOKUP($Q399,RentsUA!$A$12:$H$35,MATCH($D399,RentsUA!$A$12:$H$12,0),FALSE))</f>
        <v/>
      </c>
      <c r="S399" s="409"/>
      <c r="T399" s="674"/>
      <c r="U399" s="672"/>
      <c r="V399" s="673" t="str">
        <f t="shared" si="95"/>
        <v/>
      </c>
      <c r="W399" s="470"/>
      <c r="X399" s="411"/>
      <c r="Y399" s="410" t="str">
        <f>IF(X399=0,"",VLOOKUP($X399,RentsUA!$A$12:$H$35,MATCH($D399,RentsUA!$A$12:$H$12,0),FALSE))</f>
        <v/>
      </c>
      <c r="Z399" s="410" t="str">
        <f t="shared" si="91"/>
        <v/>
      </c>
      <c r="AA399" s="1297" t="str">
        <f>IF(H399="","",IF(G399/HLOOKUP($H399,RentsUA!$M$8:$T$9,2,FALSE)&gt;1,"&gt; 80%","&lt;= 80%"))</f>
        <v/>
      </c>
      <c r="AB399" s="1106"/>
      <c r="AC399" s="1106"/>
      <c r="AD399" s="622"/>
      <c r="AE399" s="412"/>
      <c r="AF399" s="807" t="str">
        <f>IF(AD399="","",IF(AD399=Lists!$U$3,M399,IF(AD399=Lists!$U$4,V399,IF(AD399=Lists!$U$5,Y399-L399,AE399))))</f>
        <v/>
      </c>
      <c r="AG399" s="410" t="str">
        <f t="shared" si="92"/>
        <v/>
      </c>
      <c r="AH399" s="469" t="str">
        <f t="shared" si="93"/>
        <v/>
      </c>
      <c r="AI399" s="469" t="str">
        <f>IF($AF399=0,0,IFERROR(($L399+$AF399)/(HLOOKUP($D399,RentsUA!$K$12:$Q$35,19,FALSE)),""))</f>
        <v/>
      </c>
      <c r="AJ399" s="469" t="str">
        <f>IF($AF399=0,0,IFERROR(($AF399+K399+L399)/(HLOOKUP($D399,RentsUA!$K$12:$Q$35,19,FALSE)),""))</f>
        <v/>
      </c>
      <c r="AK399" s="469" t="str">
        <f t="shared" si="96"/>
        <v/>
      </c>
      <c r="AL399" s="469" t="str">
        <f t="shared" si="97"/>
        <v/>
      </c>
      <c r="AM399" s="1106" t="str">
        <f t="shared" si="98"/>
        <v/>
      </c>
      <c r="AN399" s="1106" t="str">
        <f>IFERROR(AM399*(1+'7a.20YrDetails'!$F$9),"")</f>
        <v/>
      </c>
      <c r="AO399" s="1106" t="str">
        <f>IFERROR(AN399*(1+'7a.20YrDetails'!$F$9),"")</f>
        <v/>
      </c>
      <c r="AP399" s="1106" t="str">
        <f>IFERROR(AO399*(1+'7a.20YrDetails'!$F$9),"")</f>
        <v/>
      </c>
      <c r="AQ399" s="1106" t="str">
        <f>IFERROR(AP399*(1+'7a.20YrDetails'!$F$9),"")</f>
        <v/>
      </c>
      <c r="AR399" s="674"/>
      <c r="AS399" s="672"/>
      <c r="AT399" s="1732" t="str">
        <f>IF($AF399=0,0,IFERROR(($AF399+L399)/(HLOOKUP($D399,RentsUA!$B$61:$H$62,2,FALSE)),""))</f>
        <v/>
      </c>
      <c r="AU399" s="1733" t="str">
        <f>IFERROR(G399/HLOOKUP(H399,RentsUA!$B$40:$I$41,2),"")</f>
        <v/>
      </c>
      <c r="BR399" s="404" t="str">
        <f t="shared" si="99"/>
        <v/>
      </c>
      <c r="BT399" s="404" t="str">
        <f t="shared" si="94"/>
        <v/>
      </c>
    </row>
    <row r="400" spans="1:72" s="404" customFormat="1" ht="13.2">
      <c r="A400" s="406">
        <f t="shared" si="100"/>
        <v>388</v>
      </c>
      <c r="B400" s="472"/>
      <c r="C400" s="470"/>
      <c r="D400" s="407"/>
      <c r="E400" s="407"/>
      <c r="F400" s="408"/>
      <c r="G400" s="409"/>
      <c r="H400" s="407"/>
      <c r="I400" s="1029" t="str">
        <f>IFERROR(G400/HLOOKUP(H400,RentsUA!$B$8:$J$9,2),"")</f>
        <v/>
      </c>
      <c r="J400" s="407"/>
      <c r="K400" s="412"/>
      <c r="L400" s="673">
        <f t="shared" si="89"/>
        <v>0</v>
      </c>
      <c r="M400" s="671"/>
      <c r="N400" s="410">
        <f t="shared" si="90"/>
        <v>0</v>
      </c>
      <c r="O400" s="469" t="str">
        <f>IF($M400=0,"",IFERROR(($L400+$M400)/(HLOOKUP($D400,RentsUA!$K$12:$Q$35,19,FALSE)),""))</f>
        <v/>
      </c>
      <c r="P400" s="469" t="str">
        <f>IF($M400=0,"",IFERROR(($M400+K400+L400)/(HLOOKUP($D400,RentsUA!$K$12:$Q$35,19,FALSE)),""))</f>
        <v/>
      </c>
      <c r="Q400" s="411"/>
      <c r="R400" s="673" t="str">
        <f>IF($Q400=0,"",VLOOKUP($Q400,RentsUA!$A$12:$H$35,MATCH($D400,RentsUA!$A$12:$H$12,0),FALSE))</f>
        <v/>
      </c>
      <c r="S400" s="409"/>
      <c r="T400" s="674"/>
      <c r="U400" s="672"/>
      <c r="V400" s="673" t="str">
        <f t="shared" si="95"/>
        <v/>
      </c>
      <c r="W400" s="470"/>
      <c r="X400" s="411"/>
      <c r="Y400" s="410" t="str">
        <f>IF(X400=0,"",VLOOKUP($X400,RentsUA!$A$12:$H$35,MATCH($D400,RentsUA!$A$12:$H$12,0),FALSE))</f>
        <v/>
      </c>
      <c r="Z400" s="410" t="str">
        <f t="shared" si="91"/>
        <v/>
      </c>
      <c r="AA400" s="1297" t="str">
        <f>IF(H400="","",IF(G400/HLOOKUP($H400,RentsUA!$M$8:$T$9,2,FALSE)&gt;1,"&gt; 80%","&lt;= 80%"))</f>
        <v/>
      </c>
      <c r="AB400" s="1106"/>
      <c r="AC400" s="1106"/>
      <c r="AD400" s="622"/>
      <c r="AE400" s="412"/>
      <c r="AF400" s="807" t="str">
        <f>IF(AD400="","",IF(AD400=Lists!$U$3,M400,IF(AD400=Lists!$U$4,V400,IF(AD400=Lists!$U$5,Y400-L400,AE400))))</f>
        <v/>
      </c>
      <c r="AG400" s="410" t="str">
        <f t="shared" si="92"/>
        <v/>
      </c>
      <c r="AH400" s="469" t="str">
        <f t="shared" si="93"/>
        <v/>
      </c>
      <c r="AI400" s="469" t="str">
        <f>IF($AF400=0,0,IFERROR(($L400+$AF400)/(HLOOKUP($D400,RentsUA!$K$12:$Q$35,19,FALSE)),""))</f>
        <v/>
      </c>
      <c r="AJ400" s="469" t="str">
        <f>IF($AF400=0,0,IFERROR(($AF400+K400+L400)/(HLOOKUP($D400,RentsUA!$K$12:$Q$35,19,FALSE)),""))</f>
        <v/>
      </c>
      <c r="AK400" s="469" t="str">
        <f t="shared" si="96"/>
        <v/>
      </c>
      <c r="AL400" s="469" t="str">
        <f t="shared" si="97"/>
        <v/>
      </c>
      <c r="AM400" s="1106" t="str">
        <f t="shared" si="98"/>
        <v/>
      </c>
      <c r="AN400" s="1106" t="str">
        <f>IFERROR(AM400*(1+'7a.20YrDetails'!$F$9),"")</f>
        <v/>
      </c>
      <c r="AO400" s="1106" t="str">
        <f>IFERROR(AN400*(1+'7a.20YrDetails'!$F$9),"")</f>
        <v/>
      </c>
      <c r="AP400" s="1106" t="str">
        <f>IFERROR(AO400*(1+'7a.20YrDetails'!$F$9),"")</f>
        <v/>
      </c>
      <c r="AQ400" s="1106" t="str">
        <f>IFERROR(AP400*(1+'7a.20YrDetails'!$F$9),"")</f>
        <v/>
      </c>
      <c r="AR400" s="674"/>
      <c r="AS400" s="672"/>
      <c r="AT400" s="1732" t="str">
        <f>IF($AF400=0,0,IFERROR(($AF400+L400)/(HLOOKUP($D400,RentsUA!$B$61:$H$62,2,FALSE)),""))</f>
        <v/>
      </c>
      <c r="AU400" s="1733" t="str">
        <f>IFERROR(G400/HLOOKUP(H400,RentsUA!$B$40:$I$41,2),"")</f>
        <v/>
      </c>
      <c r="BR400" s="404" t="str">
        <f t="shared" si="99"/>
        <v/>
      </c>
      <c r="BT400" s="404" t="str">
        <f t="shared" si="94"/>
        <v/>
      </c>
    </row>
    <row r="401" spans="1:73" s="404" customFormat="1" ht="13.2">
      <c r="A401" s="406">
        <f t="shared" si="100"/>
        <v>389</v>
      </c>
      <c r="B401" s="472"/>
      <c r="C401" s="470"/>
      <c r="D401" s="407"/>
      <c r="E401" s="407"/>
      <c r="F401" s="408"/>
      <c r="G401" s="409"/>
      <c r="H401" s="407"/>
      <c r="I401" s="1029" t="str">
        <f>IFERROR(G401/HLOOKUP(H401,RentsUA!$B$8:$J$9,2),"")</f>
        <v/>
      </c>
      <c r="J401" s="407"/>
      <c r="K401" s="412"/>
      <c r="L401" s="673">
        <f t="shared" si="89"/>
        <v>0</v>
      </c>
      <c r="M401" s="671"/>
      <c r="N401" s="410">
        <f t="shared" si="90"/>
        <v>0</v>
      </c>
      <c r="O401" s="469" t="str">
        <f>IF($M401=0,"",IFERROR(($L401+$M401)/(HLOOKUP($D401,RentsUA!$K$12:$Q$35,19,FALSE)),""))</f>
        <v/>
      </c>
      <c r="P401" s="469" t="str">
        <f>IF($M401=0,"",IFERROR(($M401+K401+L401)/(HLOOKUP($D401,RentsUA!$K$12:$Q$35,19,FALSE)),""))</f>
        <v/>
      </c>
      <c r="Q401" s="411"/>
      <c r="R401" s="673" t="str">
        <f>IF($Q401=0,"",VLOOKUP($Q401,RentsUA!$A$12:$H$35,MATCH($D401,RentsUA!$A$12:$H$12,0),FALSE))</f>
        <v/>
      </c>
      <c r="S401" s="409"/>
      <c r="T401" s="674"/>
      <c r="U401" s="672"/>
      <c r="V401" s="673" t="str">
        <f t="shared" si="95"/>
        <v/>
      </c>
      <c r="W401" s="470"/>
      <c r="X401" s="411"/>
      <c r="Y401" s="410" t="str">
        <f>IF(X401=0,"",VLOOKUP($X401,RentsUA!$A$12:$H$35,MATCH($D401,RentsUA!$A$12:$H$12,0),FALSE))</f>
        <v/>
      </c>
      <c r="Z401" s="410" t="str">
        <f t="shared" si="91"/>
        <v/>
      </c>
      <c r="AA401" s="1297" t="str">
        <f>IF(H401="","",IF(G401/HLOOKUP($H401,RentsUA!$M$8:$T$9,2,FALSE)&gt;1,"&gt; 80%","&lt;= 80%"))</f>
        <v/>
      </c>
      <c r="AB401" s="1106"/>
      <c r="AC401" s="1106"/>
      <c r="AD401" s="622"/>
      <c r="AE401" s="412"/>
      <c r="AF401" s="807" t="str">
        <f>IF(AD401="","",IF(AD401=Lists!$U$3,M401,IF(AD401=Lists!$U$4,V401,IF(AD401=Lists!$U$5,Y401-L401,AE401))))</f>
        <v/>
      </c>
      <c r="AG401" s="410" t="str">
        <f t="shared" si="92"/>
        <v/>
      </c>
      <c r="AH401" s="469" t="str">
        <f t="shared" si="93"/>
        <v/>
      </c>
      <c r="AI401" s="469" t="str">
        <f>IF($AF401=0,0,IFERROR(($L401+$AF401)/(HLOOKUP($D401,RentsUA!$K$12:$Q$35,19,FALSE)),""))</f>
        <v/>
      </c>
      <c r="AJ401" s="469" t="str">
        <f>IF($AF401=0,0,IFERROR(($AF401+K401+L401)/(HLOOKUP($D401,RentsUA!$K$12:$Q$35,19,FALSE)),""))</f>
        <v/>
      </c>
      <c r="AK401" s="469" t="str">
        <f t="shared" si="96"/>
        <v/>
      </c>
      <c r="AL401" s="469" t="str">
        <f t="shared" si="97"/>
        <v/>
      </c>
      <c r="AM401" s="1106" t="str">
        <f t="shared" si="98"/>
        <v/>
      </c>
      <c r="AN401" s="1106" t="str">
        <f>IFERROR(AM401*(1+'7a.20YrDetails'!$F$9),"")</f>
        <v/>
      </c>
      <c r="AO401" s="1106" t="str">
        <f>IFERROR(AN401*(1+'7a.20YrDetails'!$F$9),"")</f>
        <v/>
      </c>
      <c r="AP401" s="1106" t="str">
        <f>IFERROR(AO401*(1+'7a.20YrDetails'!$F$9),"")</f>
        <v/>
      </c>
      <c r="AQ401" s="1106" t="str">
        <f>IFERROR(AP401*(1+'7a.20YrDetails'!$F$9),"")</f>
        <v/>
      </c>
      <c r="AR401" s="674"/>
      <c r="AS401" s="672"/>
      <c r="AT401" s="1732" t="str">
        <f>IF($AF401=0,0,IFERROR(($AF401+L401)/(HLOOKUP($D401,RentsUA!$B$61:$H$62,2,FALSE)),""))</f>
        <v/>
      </c>
      <c r="AU401" s="1733" t="str">
        <f>IFERROR(G401/HLOOKUP(H401,RentsUA!$B$40:$I$41,2),"")</f>
        <v/>
      </c>
      <c r="BR401" s="404" t="str">
        <f t="shared" si="99"/>
        <v/>
      </c>
      <c r="BT401" s="404" t="str">
        <f t="shared" si="94"/>
        <v/>
      </c>
    </row>
    <row r="402" spans="1:73" s="404" customFormat="1" ht="13.2">
      <c r="A402" s="406">
        <f t="shared" si="100"/>
        <v>390</v>
      </c>
      <c r="B402" s="472"/>
      <c r="C402" s="470"/>
      <c r="D402" s="407"/>
      <c r="E402" s="407"/>
      <c r="F402" s="408"/>
      <c r="G402" s="409"/>
      <c r="H402" s="407"/>
      <c r="I402" s="1029" t="str">
        <f>IFERROR(G402/HLOOKUP(H402,RentsUA!$B$8:$J$9,2),"")</f>
        <v/>
      </c>
      <c r="J402" s="407"/>
      <c r="K402" s="412"/>
      <c r="L402" s="673">
        <f t="shared" si="89"/>
        <v>0</v>
      </c>
      <c r="M402" s="671"/>
      <c r="N402" s="410">
        <f t="shared" si="90"/>
        <v>0</v>
      </c>
      <c r="O402" s="469" t="str">
        <f>IF($M402=0,"",IFERROR(($L402+$M402)/(HLOOKUP($D402,RentsUA!$K$12:$Q$35,19,FALSE)),""))</f>
        <v/>
      </c>
      <c r="P402" s="469" t="str">
        <f>IF($M402=0,"",IFERROR(($M402+K402+L402)/(HLOOKUP($D402,RentsUA!$K$12:$Q$35,19,FALSE)),""))</f>
        <v/>
      </c>
      <c r="Q402" s="411"/>
      <c r="R402" s="673" t="str">
        <f>IF($Q402=0,"",VLOOKUP($Q402,RentsUA!$A$12:$H$35,MATCH($D402,RentsUA!$A$12:$H$12,0),FALSE))</f>
        <v/>
      </c>
      <c r="S402" s="409"/>
      <c r="T402" s="674"/>
      <c r="U402" s="672"/>
      <c r="V402" s="673" t="str">
        <f t="shared" si="95"/>
        <v/>
      </c>
      <c r="W402" s="470"/>
      <c r="X402" s="411"/>
      <c r="Y402" s="410" t="str">
        <f>IF(X402=0,"",VLOOKUP($X402,RentsUA!$A$12:$H$35,MATCH($D402,RentsUA!$A$12:$H$12,0),FALSE))</f>
        <v/>
      </c>
      <c r="Z402" s="410" t="str">
        <f t="shared" si="91"/>
        <v/>
      </c>
      <c r="AA402" s="1297" t="str">
        <f>IF(H402="","",IF(G402/HLOOKUP($H402,RentsUA!$M$8:$T$9,2,FALSE)&gt;1,"&gt; 80%","&lt;= 80%"))</f>
        <v/>
      </c>
      <c r="AB402" s="1106"/>
      <c r="AC402" s="1106"/>
      <c r="AD402" s="622"/>
      <c r="AE402" s="412"/>
      <c r="AF402" s="807" t="str">
        <f>IF(AD402="","",IF(AD402=Lists!$U$3,M402,IF(AD402=Lists!$U$4,V402,IF(AD402=Lists!$U$5,Y402-L402,AE402))))</f>
        <v/>
      </c>
      <c r="AG402" s="410" t="str">
        <f t="shared" si="92"/>
        <v/>
      </c>
      <c r="AH402" s="469" t="str">
        <f t="shared" si="93"/>
        <v/>
      </c>
      <c r="AI402" s="469" t="str">
        <f>IF($AF402=0,0,IFERROR(($L402+$AF402)/(HLOOKUP($D402,RentsUA!$K$12:$Q$35,19,FALSE)),""))</f>
        <v/>
      </c>
      <c r="AJ402" s="469" t="str">
        <f>IF($AF402=0,0,IFERROR(($AF402+K402+L402)/(HLOOKUP($D402,RentsUA!$K$12:$Q$35,19,FALSE)),""))</f>
        <v/>
      </c>
      <c r="AK402" s="469" t="str">
        <f t="shared" si="96"/>
        <v/>
      </c>
      <c r="AL402" s="469" t="str">
        <f t="shared" si="97"/>
        <v/>
      </c>
      <c r="AM402" s="1106" t="str">
        <f t="shared" si="98"/>
        <v/>
      </c>
      <c r="AN402" s="1106" t="str">
        <f>IFERROR(AM402*(1+'7a.20YrDetails'!$F$9),"")</f>
        <v/>
      </c>
      <c r="AO402" s="1106" t="str">
        <f>IFERROR(AN402*(1+'7a.20YrDetails'!$F$9),"")</f>
        <v/>
      </c>
      <c r="AP402" s="1106" t="str">
        <f>IFERROR(AO402*(1+'7a.20YrDetails'!$F$9),"")</f>
        <v/>
      </c>
      <c r="AQ402" s="1106" t="str">
        <f>IFERROR(AP402*(1+'7a.20YrDetails'!$F$9),"")</f>
        <v/>
      </c>
      <c r="AR402" s="674"/>
      <c r="AS402" s="672"/>
      <c r="AT402" s="1732" t="str">
        <f>IF($AF402=0,0,IFERROR(($AF402+L402)/(HLOOKUP($D402,RentsUA!$B$61:$H$62,2,FALSE)),""))</f>
        <v/>
      </c>
      <c r="AU402" s="1733" t="str">
        <f>IFERROR(G402/HLOOKUP(H402,RentsUA!$B$40:$I$41,2),"")</f>
        <v/>
      </c>
      <c r="BR402" s="404" t="str">
        <f t="shared" si="99"/>
        <v/>
      </c>
      <c r="BT402" s="404" t="str">
        <f t="shared" si="94"/>
        <v/>
      </c>
    </row>
    <row r="403" spans="1:73" s="404" customFormat="1" ht="13.2">
      <c r="A403" s="406">
        <f t="shared" si="100"/>
        <v>391</v>
      </c>
      <c r="B403" s="472"/>
      <c r="C403" s="470"/>
      <c r="D403" s="407"/>
      <c r="E403" s="407"/>
      <c r="F403" s="408"/>
      <c r="G403" s="409"/>
      <c r="H403" s="407"/>
      <c r="I403" s="1029" t="str">
        <f>IFERROR(G403/HLOOKUP(H403,RentsUA!$B$8:$J$9,2),"")</f>
        <v/>
      </c>
      <c r="J403" s="407"/>
      <c r="K403" s="412"/>
      <c r="L403" s="673">
        <f t="shared" si="89"/>
        <v>0</v>
      </c>
      <c r="M403" s="671"/>
      <c r="N403" s="410">
        <f t="shared" si="90"/>
        <v>0</v>
      </c>
      <c r="O403" s="469" t="str">
        <f>IF($M403=0,"",IFERROR(($L403+$M403)/(HLOOKUP($D403,RentsUA!$K$12:$Q$35,19,FALSE)),""))</f>
        <v/>
      </c>
      <c r="P403" s="469" t="str">
        <f>IF($M403=0,"",IFERROR(($M403+K403+L403)/(HLOOKUP($D403,RentsUA!$K$12:$Q$35,19,FALSE)),""))</f>
        <v/>
      </c>
      <c r="Q403" s="411"/>
      <c r="R403" s="673" t="str">
        <f>IF($Q403=0,"",VLOOKUP($Q403,RentsUA!$A$12:$H$35,MATCH($D403,RentsUA!$A$12:$H$12,0),FALSE))</f>
        <v/>
      </c>
      <c r="S403" s="409"/>
      <c r="T403" s="674"/>
      <c r="U403" s="672"/>
      <c r="V403" s="673" t="str">
        <f t="shared" si="95"/>
        <v/>
      </c>
      <c r="W403" s="470"/>
      <c r="X403" s="411"/>
      <c r="Y403" s="410" t="str">
        <f>IF(X403=0,"",VLOOKUP($X403,RentsUA!$A$12:$H$35,MATCH($D403,RentsUA!$A$12:$H$12,0),FALSE))</f>
        <v/>
      </c>
      <c r="Z403" s="410" t="str">
        <f t="shared" si="91"/>
        <v/>
      </c>
      <c r="AA403" s="1297" t="str">
        <f>IF(H403="","",IF(G403/HLOOKUP($H403,RentsUA!$M$8:$T$9,2,FALSE)&gt;1,"&gt; 80%","&lt;= 80%"))</f>
        <v/>
      </c>
      <c r="AB403" s="1106"/>
      <c r="AC403" s="1106"/>
      <c r="AD403" s="622"/>
      <c r="AE403" s="412"/>
      <c r="AF403" s="807" t="str">
        <f>IF(AD403="","",IF(AD403=Lists!$U$3,M403,IF(AD403=Lists!$U$4,V403,IF(AD403=Lists!$U$5,Y403-L403,AE403))))</f>
        <v/>
      </c>
      <c r="AG403" s="410" t="str">
        <f t="shared" si="92"/>
        <v/>
      </c>
      <c r="AH403" s="469" t="str">
        <f t="shared" si="93"/>
        <v/>
      </c>
      <c r="AI403" s="469" t="str">
        <f>IF($AF403=0,0,IFERROR(($L403+$AF403)/(HLOOKUP($D403,RentsUA!$K$12:$Q$35,19,FALSE)),""))</f>
        <v/>
      </c>
      <c r="AJ403" s="469" t="str">
        <f>IF($AF403=0,0,IFERROR(($AF403+K403+L403)/(HLOOKUP($D403,RentsUA!$K$12:$Q$35,19,FALSE)),""))</f>
        <v/>
      </c>
      <c r="AK403" s="469" t="str">
        <f t="shared" si="96"/>
        <v/>
      </c>
      <c r="AL403" s="469" t="str">
        <f t="shared" si="97"/>
        <v/>
      </c>
      <c r="AM403" s="1106" t="str">
        <f t="shared" si="98"/>
        <v/>
      </c>
      <c r="AN403" s="1106" t="str">
        <f>IFERROR(AM403*(1+'7a.20YrDetails'!$F$9),"")</f>
        <v/>
      </c>
      <c r="AO403" s="1106" t="str">
        <f>IFERROR(AN403*(1+'7a.20YrDetails'!$F$9),"")</f>
        <v/>
      </c>
      <c r="AP403" s="1106" t="str">
        <f>IFERROR(AO403*(1+'7a.20YrDetails'!$F$9),"")</f>
        <v/>
      </c>
      <c r="AQ403" s="1106" t="str">
        <f>IFERROR(AP403*(1+'7a.20YrDetails'!$F$9),"")</f>
        <v/>
      </c>
      <c r="AR403" s="674"/>
      <c r="AS403" s="672"/>
      <c r="AT403" s="1732" t="str">
        <f>IF($AF403=0,0,IFERROR(($AF403+L403)/(HLOOKUP($D403,RentsUA!$B$61:$H$62,2,FALSE)),""))</f>
        <v/>
      </c>
      <c r="AU403" s="1733" t="str">
        <f>IFERROR(G403/HLOOKUP(H403,RentsUA!$B$40:$I$41,2),"")</f>
        <v/>
      </c>
      <c r="BR403" s="404" t="str">
        <f t="shared" si="99"/>
        <v/>
      </c>
      <c r="BT403" s="404" t="str">
        <f t="shared" si="94"/>
        <v/>
      </c>
    </row>
    <row r="404" spans="1:73" s="404" customFormat="1" ht="13.2">
      <c r="A404" s="406">
        <f t="shared" si="100"/>
        <v>392</v>
      </c>
      <c r="B404" s="472"/>
      <c r="C404" s="470"/>
      <c r="D404" s="407"/>
      <c r="E404" s="407"/>
      <c r="F404" s="408"/>
      <c r="G404" s="409"/>
      <c r="H404" s="407"/>
      <c r="I404" s="1029" t="str">
        <f>IFERROR(G404/HLOOKUP(H404,RentsUA!$B$8:$J$9,2),"")</f>
        <v/>
      </c>
      <c r="J404" s="407"/>
      <c r="K404" s="412"/>
      <c r="L404" s="673">
        <f t="shared" si="89"/>
        <v>0</v>
      </c>
      <c r="M404" s="671"/>
      <c r="N404" s="410">
        <f t="shared" si="90"/>
        <v>0</v>
      </c>
      <c r="O404" s="469" t="str">
        <f>IF($M404=0,"",IFERROR(($L404+$M404)/(HLOOKUP($D404,RentsUA!$K$12:$Q$35,19,FALSE)),""))</f>
        <v/>
      </c>
      <c r="P404" s="469" t="str">
        <f>IF($M404=0,"",IFERROR(($M404+K404+L404)/(HLOOKUP($D404,RentsUA!$K$12:$Q$35,19,FALSE)),""))</f>
        <v/>
      </c>
      <c r="Q404" s="411"/>
      <c r="R404" s="673" t="str">
        <f>IF($Q404=0,"",VLOOKUP($Q404,RentsUA!$A$12:$H$35,MATCH($D404,RentsUA!$A$12:$H$12,0),FALSE))</f>
        <v/>
      </c>
      <c r="S404" s="409"/>
      <c r="T404" s="674"/>
      <c r="U404" s="672"/>
      <c r="V404" s="673" t="str">
        <f t="shared" si="95"/>
        <v/>
      </c>
      <c r="W404" s="470"/>
      <c r="X404" s="411"/>
      <c r="Y404" s="410" t="str">
        <f>IF(X404=0,"",VLOOKUP($X404,RentsUA!$A$12:$H$35,MATCH($D404,RentsUA!$A$12:$H$12,0),FALSE))</f>
        <v/>
      </c>
      <c r="Z404" s="410" t="str">
        <f t="shared" si="91"/>
        <v/>
      </c>
      <c r="AA404" s="1297" t="str">
        <f>IF(H404="","",IF(G404/HLOOKUP($H404,RentsUA!$M$8:$T$9,2,FALSE)&gt;1,"&gt; 80%","&lt;= 80%"))</f>
        <v/>
      </c>
      <c r="AB404" s="1106"/>
      <c r="AC404" s="1106"/>
      <c r="AD404" s="622"/>
      <c r="AE404" s="412"/>
      <c r="AF404" s="807" t="str">
        <f>IF(AD404="","",IF(AD404=Lists!$U$3,M404,IF(AD404=Lists!$U$4,V404,IF(AD404=Lists!$U$5,Y404-L404,AE404))))</f>
        <v/>
      </c>
      <c r="AG404" s="410" t="str">
        <f t="shared" si="92"/>
        <v/>
      </c>
      <c r="AH404" s="469" t="str">
        <f t="shared" si="93"/>
        <v/>
      </c>
      <c r="AI404" s="469" t="str">
        <f>IF($AF404=0,0,IFERROR(($L404+$AF404)/(HLOOKUP($D404,RentsUA!$K$12:$Q$35,19,FALSE)),""))</f>
        <v/>
      </c>
      <c r="AJ404" s="469" t="str">
        <f>IF($AF404=0,0,IFERROR(($AF404+K404+L404)/(HLOOKUP($D404,RentsUA!$K$12:$Q$35,19,FALSE)),""))</f>
        <v/>
      </c>
      <c r="AK404" s="469" t="str">
        <f t="shared" si="96"/>
        <v/>
      </c>
      <c r="AL404" s="469" t="str">
        <f t="shared" si="97"/>
        <v/>
      </c>
      <c r="AM404" s="1106" t="str">
        <f t="shared" si="98"/>
        <v/>
      </c>
      <c r="AN404" s="1106" t="str">
        <f>IFERROR(AM404*(1+'7a.20YrDetails'!$F$9),"")</f>
        <v/>
      </c>
      <c r="AO404" s="1106" t="str">
        <f>IFERROR(AN404*(1+'7a.20YrDetails'!$F$9),"")</f>
        <v/>
      </c>
      <c r="AP404" s="1106" t="str">
        <f>IFERROR(AO404*(1+'7a.20YrDetails'!$F$9),"")</f>
        <v/>
      </c>
      <c r="AQ404" s="1106" t="str">
        <f>IFERROR(AP404*(1+'7a.20YrDetails'!$F$9),"")</f>
        <v/>
      </c>
      <c r="AR404" s="674"/>
      <c r="AS404" s="672"/>
      <c r="AT404" s="1732" t="str">
        <f>IF($AF404=0,0,IFERROR(($AF404+L404)/(HLOOKUP($D404,RentsUA!$B$61:$H$62,2,FALSE)),""))</f>
        <v/>
      </c>
      <c r="AU404" s="1733" t="str">
        <f>IFERROR(G404/HLOOKUP(H404,RentsUA!$B$40:$I$41,2),"")</f>
        <v/>
      </c>
      <c r="BR404" s="404" t="str">
        <f t="shared" si="99"/>
        <v/>
      </c>
      <c r="BT404" s="404" t="str">
        <f t="shared" si="94"/>
        <v/>
      </c>
    </row>
    <row r="405" spans="1:73" s="404" customFormat="1" ht="13.2">
      <c r="A405" s="406">
        <f t="shared" si="100"/>
        <v>393</v>
      </c>
      <c r="B405" s="472"/>
      <c r="C405" s="470"/>
      <c r="D405" s="407"/>
      <c r="E405" s="407"/>
      <c r="F405" s="408"/>
      <c r="G405" s="409"/>
      <c r="H405" s="407"/>
      <c r="I405" s="1029" t="str">
        <f>IFERROR(G405/HLOOKUP(H405,RentsUA!$B$8:$J$9,2),"")</f>
        <v/>
      </c>
      <c r="J405" s="407"/>
      <c r="K405" s="412"/>
      <c r="L405" s="673">
        <f t="shared" si="89"/>
        <v>0</v>
      </c>
      <c r="M405" s="671"/>
      <c r="N405" s="410">
        <f t="shared" si="90"/>
        <v>0</v>
      </c>
      <c r="O405" s="469" t="str">
        <f>IF($M405=0,"",IFERROR(($L405+$M405)/(HLOOKUP($D405,RentsUA!$K$12:$Q$35,19,FALSE)),""))</f>
        <v/>
      </c>
      <c r="P405" s="469" t="str">
        <f>IF($M405=0,"",IFERROR(($M405+K405+L405)/(HLOOKUP($D405,RentsUA!$K$12:$Q$35,19,FALSE)),""))</f>
        <v/>
      </c>
      <c r="Q405" s="411"/>
      <c r="R405" s="673" t="str">
        <f>IF($Q405=0,"",VLOOKUP($Q405,RentsUA!$A$12:$H$35,MATCH($D405,RentsUA!$A$12:$H$12,0),FALSE))</f>
        <v/>
      </c>
      <c r="S405" s="409"/>
      <c r="T405" s="674"/>
      <c r="U405" s="672"/>
      <c r="V405" s="673" t="str">
        <f t="shared" si="95"/>
        <v/>
      </c>
      <c r="W405" s="470"/>
      <c r="X405" s="411"/>
      <c r="Y405" s="410" t="str">
        <f>IF(X405=0,"",VLOOKUP($X405,RentsUA!$A$12:$H$35,MATCH($D405,RentsUA!$A$12:$H$12,0),FALSE))</f>
        <v/>
      </c>
      <c r="Z405" s="410" t="str">
        <f t="shared" si="91"/>
        <v/>
      </c>
      <c r="AA405" s="1297" t="str">
        <f>IF(H405="","",IF(G405/HLOOKUP($H405,RentsUA!$M$8:$T$9,2,FALSE)&gt;1,"&gt; 80%","&lt;= 80%"))</f>
        <v/>
      </c>
      <c r="AB405" s="1106"/>
      <c r="AC405" s="1106"/>
      <c r="AD405" s="622"/>
      <c r="AE405" s="412"/>
      <c r="AF405" s="807" t="str">
        <f>IF(AD405="","",IF(AD405=Lists!$U$3,M405,IF(AD405=Lists!$U$4,V405,IF(AD405=Lists!$U$5,Y405-L405,AE405))))</f>
        <v/>
      </c>
      <c r="AG405" s="410" t="str">
        <f t="shared" si="92"/>
        <v/>
      </c>
      <c r="AH405" s="469" t="str">
        <f t="shared" si="93"/>
        <v/>
      </c>
      <c r="AI405" s="469" t="str">
        <f>IF($AF405=0,0,IFERROR(($L405+$AF405)/(HLOOKUP($D405,RentsUA!$K$12:$Q$35,19,FALSE)),""))</f>
        <v/>
      </c>
      <c r="AJ405" s="469" t="str">
        <f>IF($AF405=0,0,IFERROR(($AF405+K405+L405)/(HLOOKUP($D405,RentsUA!$K$12:$Q$35,19,FALSE)),""))</f>
        <v/>
      </c>
      <c r="AK405" s="469" t="str">
        <f t="shared" si="96"/>
        <v/>
      </c>
      <c r="AL405" s="469" t="str">
        <f t="shared" si="97"/>
        <v/>
      </c>
      <c r="AM405" s="1106" t="str">
        <f t="shared" si="98"/>
        <v/>
      </c>
      <c r="AN405" s="1106" t="str">
        <f>IFERROR(AM405*(1+'7a.20YrDetails'!$F$9),"")</f>
        <v/>
      </c>
      <c r="AO405" s="1106" t="str">
        <f>IFERROR(AN405*(1+'7a.20YrDetails'!$F$9),"")</f>
        <v/>
      </c>
      <c r="AP405" s="1106" t="str">
        <f>IFERROR(AO405*(1+'7a.20YrDetails'!$F$9),"")</f>
        <v/>
      </c>
      <c r="AQ405" s="1106" t="str">
        <f>IFERROR(AP405*(1+'7a.20YrDetails'!$F$9),"")</f>
        <v/>
      </c>
      <c r="AR405" s="674"/>
      <c r="AS405" s="672"/>
      <c r="AT405" s="1732" t="str">
        <f>IF($AF405=0,0,IFERROR(($AF405+L405)/(HLOOKUP($D405,RentsUA!$B$61:$H$62,2,FALSE)),""))</f>
        <v/>
      </c>
      <c r="AU405" s="1733" t="str">
        <f>IFERROR(G405/HLOOKUP(H405,RentsUA!$B$40:$I$41,2),"")</f>
        <v/>
      </c>
      <c r="BR405" s="404" t="str">
        <f t="shared" si="99"/>
        <v/>
      </c>
      <c r="BT405" s="404" t="str">
        <f t="shared" si="94"/>
        <v/>
      </c>
    </row>
    <row r="406" spans="1:73" s="404" customFormat="1" ht="13.2">
      <c r="A406" s="406">
        <f t="shared" si="100"/>
        <v>394</v>
      </c>
      <c r="B406" s="472"/>
      <c r="C406" s="470"/>
      <c r="D406" s="407"/>
      <c r="E406" s="407"/>
      <c r="F406" s="408"/>
      <c r="G406" s="409"/>
      <c r="H406" s="407"/>
      <c r="I406" s="1029" t="str">
        <f>IFERROR(G406/HLOOKUP(H406,RentsUA!$B$8:$J$9,2),"")</f>
        <v/>
      </c>
      <c r="J406" s="407"/>
      <c r="K406" s="412"/>
      <c r="L406" s="673">
        <f t="shared" si="89"/>
        <v>0</v>
      </c>
      <c r="M406" s="671"/>
      <c r="N406" s="410">
        <f t="shared" si="90"/>
        <v>0</v>
      </c>
      <c r="O406" s="469" t="str">
        <f>IF($M406=0,"",IFERROR(($L406+$M406)/(HLOOKUP($D406,RentsUA!$K$12:$Q$35,19,FALSE)),""))</f>
        <v/>
      </c>
      <c r="P406" s="469" t="str">
        <f>IF($M406=0,"",IFERROR(($M406+K406+L406)/(HLOOKUP($D406,RentsUA!$K$12:$Q$35,19,FALSE)),""))</f>
        <v/>
      </c>
      <c r="Q406" s="411"/>
      <c r="R406" s="673" t="str">
        <f>IF($Q406=0,"",VLOOKUP($Q406,RentsUA!$A$12:$H$35,MATCH($D406,RentsUA!$A$12:$H$12,0),FALSE))</f>
        <v/>
      </c>
      <c r="S406" s="409"/>
      <c r="T406" s="674"/>
      <c r="U406" s="672"/>
      <c r="V406" s="673" t="str">
        <f t="shared" si="95"/>
        <v/>
      </c>
      <c r="W406" s="470"/>
      <c r="X406" s="411"/>
      <c r="Y406" s="410" t="str">
        <f>IF(X406=0,"",VLOOKUP($X406,RentsUA!$A$12:$H$35,MATCH($D406,RentsUA!$A$12:$H$12,0),FALSE))</f>
        <v/>
      </c>
      <c r="Z406" s="410" t="str">
        <f t="shared" si="91"/>
        <v/>
      </c>
      <c r="AA406" s="1297" t="str">
        <f>IF(H406="","",IF(G406/HLOOKUP($H406,RentsUA!$M$8:$T$9,2,FALSE)&gt;1,"&gt; 80%","&lt;= 80%"))</f>
        <v/>
      </c>
      <c r="AB406" s="1106"/>
      <c r="AC406" s="1106"/>
      <c r="AD406" s="622"/>
      <c r="AE406" s="412"/>
      <c r="AF406" s="807" t="str">
        <f>IF(AD406="","",IF(AD406=Lists!$U$3,M406,IF(AD406=Lists!$U$4,V406,IF(AD406=Lists!$U$5,Y406-L406,AE406))))</f>
        <v/>
      </c>
      <c r="AG406" s="410" t="str">
        <f t="shared" si="92"/>
        <v/>
      </c>
      <c r="AH406" s="469" t="str">
        <f t="shared" si="93"/>
        <v/>
      </c>
      <c r="AI406" s="469" t="str">
        <f>IF($AF406=0,0,IFERROR(($L406+$AF406)/(HLOOKUP($D406,RentsUA!$K$12:$Q$35,19,FALSE)),""))</f>
        <v/>
      </c>
      <c r="AJ406" s="469" t="str">
        <f>IF($AF406=0,0,IFERROR(($AF406+K406+L406)/(HLOOKUP($D406,RentsUA!$K$12:$Q$35,19,FALSE)),""))</f>
        <v/>
      </c>
      <c r="AK406" s="469" t="str">
        <f t="shared" si="96"/>
        <v/>
      </c>
      <c r="AL406" s="469" t="str">
        <f t="shared" si="97"/>
        <v/>
      </c>
      <c r="AM406" s="1106" t="str">
        <f t="shared" si="98"/>
        <v/>
      </c>
      <c r="AN406" s="1106" t="str">
        <f>IFERROR(AM406*(1+'7a.20YrDetails'!$F$9),"")</f>
        <v/>
      </c>
      <c r="AO406" s="1106" t="str">
        <f>IFERROR(AN406*(1+'7a.20YrDetails'!$F$9),"")</f>
        <v/>
      </c>
      <c r="AP406" s="1106" t="str">
        <f>IFERROR(AO406*(1+'7a.20YrDetails'!$F$9),"")</f>
        <v/>
      </c>
      <c r="AQ406" s="1106" t="str">
        <f>IFERROR(AP406*(1+'7a.20YrDetails'!$F$9),"")</f>
        <v/>
      </c>
      <c r="AR406" s="674"/>
      <c r="AS406" s="672"/>
      <c r="AT406" s="1732" t="str">
        <f>IF($AF406=0,0,IFERROR(($AF406+L406)/(HLOOKUP($D406,RentsUA!$B$61:$H$62,2,FALSE)),""))</f>
        <v/>
      </c>
      <c r="AU406" s="1733" t="str">
        <f>IFERROR(G406/HLOOKUP(H406,RentsUA!$B$40:$I$41,2),"")</f>
        <v/>
      </c>
      <c r="BR406" s="404" t="str">
        <f t="shared" si="99"/>
        <v/>
      </c>
      <c r="BT406" s="404" t="str">
        <f t="shared" si="94"/>
        <v/>
      </c>
    </row>
    <row r="407" spans="1:73" s="404" customFormat="1" ht="13.2">
      <c r="A407" s="406">
        <f t="shared" si="100"/>
        <v>395</v>
      </c>
      <c r="B407" s="472"/>
      <c r="C407" s="470"/>
      <c r="D407" s="407"/>
      <c r="E407" s="407"/>
      <c r="F407" s="408"/>
      <c r="G407" s="409"/>
      <c r="H407" s="407"/>
      <c r="I407" s="1029" t="str">
        <f>IFERROR(G407/HLOOKUP(H407,RentsUA!$B$8:$J$9,2),"")</f>
        <v/>
      </c>
      <c r="J407" s="407"/>
      <c r="K407" s="412"/>
      <c r="L407" s="673">
        <f t="shared" si="89"/>
        <v>0</v>
      </c>
      <c r="M407" s="671"/>
      <c r="N407" s="410">
        <f t="shared" si="90"/>
        <v>0</v>
      </c>
      <c r="O407" s="469" t="str">
        <f>IF($M407=0,"",IFERROR(($L407+$M407)/(HLOOKUP($D407,RentsUA!$K$12:$Q$35,19,FALSE)),""))</f>
        <v/>
      </c>
      <c r="P407" s="469" t="str">
        <f>IF($M407=0,"",IFERROR(($M407+K407+L407)/(HLOOKUP($D407,RentsUA!$K$12:$Q$35,19,FALSE)),""))</f>
        <v/>
      </c>
      <c r="Q407" s="411"/>
      <c r="R407" s="673" t="str">
        <f>IF($Q407=0,"",VLOOKUP($Q407,RentsUA!$A$12:$H$35,MATCH($D407,RentsUA!$A$12:$H$12,0),FALSE))</f>
        <v/>
      </c>
      <c r="S407" s="409"/>
      <c r="T407" s="674"/>
      <c r="U407" s="672"/>
      <c r="V407" s="673" t="str">
        <f t="shared" si="95"/>
        <v/>
      </c>
      <c r="W407" s="470"/>
      <c r="X407" s="411"/>
      <c r="Y407" s="410" t="str">
        <f>IF(X407=0,"",VLOOKUP($X407,RentsUA!$A$12:$H$35,MATCH($D407,RentsUA!$A$12:$H$12,0),FALSE))</f>
        <v/>
      </c>
      <c r="Z407" s="410" t="str">
        <f t="shared" si="91"/>
        <v/>
      </c>
      <c r="AA407" s="1297" t="str">
        <f>IF(H407="","",IF(G407/HLOOKUP($H407,RentsUA!$M$8:$T$9,2,FALSE)&gt;1,"&gt; 80%","&lt;= 80%"))</f>
        <v/>
      </c>
      <c r="AB407" s="1106"/>
      <c r="AC407" s="1106"/>
      <c r="AD407" s="622"/>
      <c r="AE407" s="412"/>
      <c r="AF407" s="807" t="str">
        <f>IF(AD407="","",IF(AD407=Lists!$U$3,M407,IF(AD407=Lists!$U$4,V407,IF(AD407=Lists!$U$5,Y407-L407,AE407))))</f>
        <v/>
      </c>
      <c r="AG407" s="410" t="str">
        <f t="shared" si="92"/>
        <v/>
      </c>
      <c r="AH407" s="469" t="str">
        <f t="shared" si="93"/>
        <v/>
      </c>
      <c r="AI407" s="469" t="str">
        <f>IF($AF407=0,0,IFERROR(($L407+$AF407)/(HLOOKUP($D407,RentsUA!$K$12:$Q$35,19,FALSE)),""))</f>
        <v/>
      </c>
      <c r="AJ407" s="469" t="str">
        <f>IF($AF407=0,0,IFERROR(($AF407+K407+L407)/(HLOOKUP($D407,RentsUA!$K$12:$Q$35,19,FALSE)),""))</f>
        <v/>
      </c>
      <c r="AK407" s="469" t="str">
        <f t="shared" si="96"/>
        <v/>
      </c>
      <c r="AL407" s="469" t="str">
        <f t="shared" si="97"/>
        <v/>
      </c>
      <c r="AM407" s="1106" t="str">
        <f t="shared" si="98"/>
        <v/>
      </c>
      <c r="AN407" s="1106" t="str">
        <f>IFERROR(AM407*(1+'7a.20YrDetails'!$F$9),"")</f>
        <v/>
      </c>
      <c r="AO407" s="1106" t="str">
        <f>IFERROR(AN407*(1+'7a.20YrDetails'!$F$9),"")</f>
        <v/>
      </c>
      <c r="AP407" s="1106" t="str">
        <f>IFERROR(AO407*(1+'7a.20YrDetails'!$F$9),"")</f>
        <v/>
      </c>
      <c r="AQ407" s="1106" t="str">
        <f>IFERROR(AP407*(1+'7a.20YrDetails'!$F$9),"")</f>
        <v/>
      </c>
      <c r="AR407" s="674"/>
      <c r="AS407" s="672"/>
      <c r="AT407" s="1732" t="str">
        <f>IF($AF407=0,0,IFERROR(($AF407+L407)/(HLOOKUP($D407,RentsUA!$B$61:$H$62,2,FALSE)),""))</f>
        <v/>
      </c>
      <c r="AU407" s="1733" t="str">
        <f>IFERROR(G407/HLOOKUP(H407,RentsUA!$B$40:$I$41,2),"")</f>
        <v/>
      </c>
      <c r="BR407" s="404" t="str">
        <f t="shared" si="99"/>
        <v/>
      </c>
      <c r="BT407" s="404" t="str">
        <f t="shared" si="94"/>
        <v/>
      </c>
    </row>
    <row r="408" spans="1:73" s="404" customFormat="1" ht="13.2">
      <c r="A408" s="406">
        <f t="shared" si="100"/>
        <v>396</v>
      </c>
      <c r="B408" s="472"/>
      <c r="C408" s="470"/>
      <c r="D408" s="407"/>
      <c r="E408" s="407"/>
      <c r="F408" s="408"/>
      <c r="G408" s="409"/>
      <c r="H408" s="407"/>
      <c r="I408" s="1029" t="str">
        <f>IFERROR(G408/HLOOKUP(H408,RentsUA!$B$8:$J$9,2),"")</f>
        <v/>
      </c>
      <c r="J408" s="407"/>
      <c r="K408" s="412"/>
      <c r="L408" s="673">
        <f t="shared" si="89"/>
        <v>0</v>
      </c>
      <c r="M408" s="671"/>
      <c r="N408" s="410">
        <f t="shared" si="90"/>
        <v>0</v>
      </c>
      <c r="O408" s="469" t="str">
        <f>IF($M408=0,"",IFERROR(($L408+$M408)/(HLOOKUP($D408,RentsUA!$K$12:$Q$35,19,FALSE)),""))</f>
        <v/>
      </c>
      <c r="P408" s="469" t="str">
        <f>IF($M408=0,"",IFERROR(($M408+K408+L408)/(HLOOKUP($D408,RentsUA!$K$12:$Q$35,19,FALSE)),""))</f>
        <v/>
      </c>
      <c r="Q408" s="411"/>
      <c r="R408" s="673" t="str">
        <f>IF($Q408=0,"",VLOOKUP($Q408,RentsUA!$A$12:$H$35,MATCH($D408,RentsUA!$A$12:$H$12,0),FALSE))</f>
        <v/>
      </c>
      <c r="S408" s="409"/>
      <c r="T408" s="674"/>
      <c r="U408" s="672"/>
      <c r="V408" s="673" t="str">
        <f t="shared" si="95"/>
        <v/>
      </c>
      <c r="W408" s="470"/>
      <c r="X408" s="411"/>
      <c r="Y408" s="410" t="str">
        <f>IF(X408=0,"",VLOOKUP($X408,RentsUA!$A$12:$H$35,MATCH($D408,RentsUA!$A$12:$H$12,0),FALSE))</f>
        <v/>
      </c>
      <c r="Z408" s="410" t="str">
        <f t="shared" si="91"/>
        <v/>
      </c>
      <c r="AA408" s="1297" t="str">
        <f>IF(H408="","",IF(G408/HLOOKUP($H408,RentsUA!$M$8:$T$9,2,FALSE)&gt;1,"&gt; 80%","&lt;= 80%"))</f>
        <v/>
      </c>
      <c r="AB408" s="1106"/>
      <c r="AC408" s="1106"/>
      <c r="AD408" s="622"/>
      <c r="AE408" s="412"/>
      <c r="AF408" s="807" t="str">
        <f>IF(AD408="","",IF(AD408=Lists!$U$3,M408,IF(AD408=Lists!$U$4,V408,IF(AD408=Lists!$U$5,Y408-L408,AE408))))</f>
        <v/>
      </c>
      <c r="AG408" s="410" t="str">
        <f t="shared" si="92"/>
        <v/>
      </c>
      <c r="AH408" s="469" t="str">
        <f t="shared" si="93"/>
        <v/>
      </c>
      <c r="AI408" s="469" t="str">
        <f>IF($AF408=0,0,IFERROR(($L408+$AF408)/(HLOOKUP($D408,RentsUA!$K$12:$Q$35,19,FALSE)),""))</f>
        <v/>
      </c>
      <c r="AJ408" s="469" t="str">
        <f>IF($AF408=0,0,IFERROR(($AF408+K408+L408)/(HLOOKUP($D408,RentsUA!$K$12:$Q$35,19,FALSE)),""))</f>
        <v/>
      </c>
      <c r="AK408" s="469" t="str">
        <f t="shared" si="96"/>
        <v/>
      </c>
      <c r="AL408" s="469" t="str">
        <f t="shared" si="97"/>
        <v/>
      </c>
      <c r="AM408" s="1106" t="str">
        <f t="shared" si="98"/>
        <v/>
      </c>
      <c r="AN408" s="1106" t="str">
        <f>IFERROR(AM408*(1+'7a.20YrDetails'!$F$9),"")</f>
        <v/>
      </c>
      <c r="AO408" s="1106" t="str">
        <f>IFERROR(AN408*(1+'7a.20YrDetails'!$F$9),"")</f>
        <v/>
      </c>
      <c r="AP408" s="1106" t="str">
        <f>IFERROR(AO408*(1+'7a.20YrDetails'!$F$9),"")</f>
        <v/>
      </c>
      <c r="AQ408" s="1106" t="str">
        <f>IFERROR(AP408*(1+'7a.20YrDetails'!$F$9),"")</f>
        <v/>
      </c>
      <c r="AR408" s="674"/>
      <c r="AS408" s="672"/>
      <c r="AT408" s="1732" t="str">
        <f>IF($AF408=0,0,IFERROR(($AF408+L408)/(HLOOKUP($D408,RentsUA!$B$61:$H$62,2,FALSE)),""))</f>
        <v/>
      </c>
      <c r="AU408" s="1733" t="str">
        <f>IFERROR(G408/HLOOKUP(H408,RentsUA!$B$40:$I$41,2),"")</f>
        <v/>
      </c>
      <c r="BR408" s="404" t="str">
        <f t="shared" si="99"/>
        <v/>
      </c>
      <c r="BT408" s="404" t="str">
        <f t="shared" si="94"/>
        <v/>
      </c>
    </row>
    <row r="409" spans="1:73" s="404" customFormat="1" ht="13.2">
      <c r="A409" s="406">
        <f t="shared" si="100"/>
        <v>397</v>
      </c>
      <c r="B409" s="472"/>
      <c r="C409" s="470"/>
      <c r="D409" s="407"/>
      <c r="E409" s="407"/>
      <c r="F409" s="408"/>
      <c r="G409" s="409"/>
      <c r="H409" s="407"/>
      <c r="I409" s="1029" t="str">
        <f>IFERROR(G409/HLOOKUP(H409,RentsUA!$B$8:$J$9,2),"")</f>
        <v/>
      </c>
      <c r="J409" s="407"/>
      <c r="K409" s="412"/>
      <c r="L409" s="673">
        <f t="shared" si="89"/>
        <v>0</v>
      </c>
      <c r="M409" s="671"/>
      <c r="N409" s="410">
        <f t="shared" si="90"/>
        <v>0</v>
      </c>
      <c r="O409" s="469" t="str">
        <f>IF($M409=0,"",IFERROR(($L409+$M409)/(HLOOKUP($D409,RentsUA!$K$12:$Q$35,19,FALSE)),""))</f>
        <v/>
      </c>
      <c r="P409" s="469" t="str">
        <f>IF($M409=0,"",IFERROR(($M409+K409+L409)/(HLOOKUP($D409,RentsUA!$K$12:$Q$35,19,FALSE)),""))</f>
        <v/>
      </c>
      <c r="Q409" s="411"/>
      <c r="R409" s="673" t="str">
        <f>IF($Q409=0,"",VLOOKUP($Q409,RentsUA!$A$12:$H$35,MATCH($D409,RentsUA!$A$12:$H$12,0),FALSE))</f>
        <v/>
      </c>
      <c r="S409" s="409"/>
      <c r="T409" s="674"/>
      <c r="U409" s="672"/>
      <c r="V409" s="673" t="str">
        <f t="shared" si="95"/>
        <v/>
      </c>
      <c r="W409" s="470"/>
      <c r="X409" s="411"/>
      <c r="Y409" s="410" t="str">
        <f>IF(X409=0,"",VLOOKUP($X409,RentsUA!$A$12:$H$35,MATCH($D409,RentsUA!$A$12:$H$12,0),FALSE))</f>
        <v/>
      </c>
      <c r="Z409" s="410" t="str">
        <f t="shared" si="91"/>
        <v/>
      </c>
      <c r="AA409" s="1297" t="str">
        <f>IF(H409="","",IF(G409/HLOOKUP($H409,RentsUA!$M$8:$T$9,2,FALSE)&gt;1,"&gt; 80%","&lt;= 80%"))</f>
        <v/>
      </c>
      <c r="AB409" s="1106"/>
      <c r="AC409" s="1106"/>
      <c r="AD409" s="622"/>
      <c r="AE409" s="412"/>
      <c r="AF409" s="807" t="str">
        <f>IF(AD409="","",IF(AD409=Lists!$U$3,M409,IF(AD409=Lists!$U$4,V409,IF(AD409=Lists!$U$5,Y409-L409,AE409))))</f>
        <v/>
      </c>
      <c r="AG409" s="410" t="str">
        <f t="shared" si="92"/>
        <v/>
      </c>
      <c r="AH409" s="469" t="str">
        <f t="shared" si="93"/>
        <v/>
      </c>
      <c r="AI409" s="469" t="str">
        <f>IF($AF409=0,0,IFERROR(($L409+$AF409)/(HLOOKUP($D409,RentsUA!$K$12:$Q$35,19,FALSE)),""))</f>
        <v/>
      </c>
      <c r="AJ409" s="469" t="str">
        <f>IF($AF409=0,0,IFERROR(($AF409+K409+L409)/(HLOOKUP($D409,RentsUA!$K$12:$Q$35,19,FALSE)),""))</f>
        <v/>
      </c>
      <c r="AK409" s="469" t="str">
        <f t="shared" si="96"/>
        <v/>
      </c>
      <c r="AL409" s="469" t="str">
        <f t="shared" si="97"/>
        <v/>
      </c>
      <c r="AM409" s="1106" t="str">
        <f t="shared" si="98"/>
        <v/>
      </c>
      <c r="AN409" s="1106" t="str">
        <f>IFERROR(AM409*(1+'7a.20YrDetails'!$F$9),"")</f>
        <v/>
      </c>
      <c r="AO409" s="1106" t="str">
        <f>IFERROR(AN409*(1+'7a.20YrDetails'!$F$9),"")</f>
        <v/>
      </c>
      <c r="AP409" s="1106" t="str">
        <f>IFERROR(AO409*(1+'7a.20YrDetails'!$F$9),"")</f>
        <v/>
      </c>
      <c r="AQ409" s="1106" t="str">
        <f>IFERROR(AP409*(1+'7a.20YrDetails'!$F$9),"")</f>
        <v/>
      </c>
      <c r="AR409" s="674"/>
      <c r="AS409" s="672"/>
      <c r="AT409" s="1732" t="str">
        <f>IF($AF409=0,0,IFERROR(($AF409+L409)/(HLOOKUP($D409,RentsUA!$B$61:$H$62,2,FALSE)),""))</f>
        <v/>
      </c>
      <c r="AU409" s="1733" t="str">
        <f>IFERROR(G409/HLOOKUP(H409,RentsUA!$B$40:$I$41,2),"")</f>
        <v/>
      </c>
      <c r="BR409" s="404" t="str">
        <f t="shared" si="99"/>
        <v/>
      </c>
      <c r="BT409" s="404" t="str">
        <f t="shared" si="94"/>
        <v/>
      </c>
    </row>
    <row r="410" spans="1:73" s="404" customFormat="1" ht="13.2">
      <c r="A410" s="406">
        <f t="shared" si="100"/>
        <v>398</v>
      </c>
      <c r="B410" s="472"/>
      <c r="C410" s="470"/>
      <c r="D410" s="407"/>
      <c r="E410" s="407"/>
      <c r="F410" s="408"/>
      <c r="G410" s="409"/>
      <c r="H410" s="407"/>
      <c r="I410" s="1029" t="str">
        <f>IFERROR(G410/HLOOKUP(H410,RentsUA!$B$8:$J$9,2),"")</f>
        <v/>
      </c>
      <c r="J410" s="407"/>
      <c r="K410" s="412"/>
      <c r="L410" s="673">
        <f t="shared" si="89"/>
        <v>0</v>
      </c>
      <c r="M410" s="671"/>
      <c r="N410" s="410">
        <f t="shared" si="90"/>
        <v>0</v>
      </c>
      <c r="O410" s="469" t="str">
        <f>IF($M410=0,"",IFERROR(($L410+$M410)/(HLOOKUP($D410,RentsUA!$K$12:$Q$35,19,FALSE)),""))</f>
        <v/>
      </c>
      <c r="P410" s="469" t="str">
        <f>IF($M410=0,"",IFERROR(($M410+K410+L410)/(HLOOKUP($D410,RentsUA!$K$12:$Q$35,19,FALSE)),""))</f>
        <v/>
      </c>
      <c r="Q410" s="411"/>
      <c r="R410" s="673" t="str">
        <f>IF($Q410=0,"",VLOOKUP($Q410,RentsUA!$A$12:$H$35,MATCH($D410,RentsUA!$A$12:$H$12,0),FALSE))</f>
        <v/>
      </c>
      <c r="S410" s="409"/>
      <c r="T410" s="674"/>
      <c r="U410" s="672"/>
      <c r="V410" s="673" t="str">
        <f t="shared" si="95"/>
        <v/>
      </c>
      <c r="W410" s="470"/>
      <c r="X410" s="411"/>
      <c r="Y410" s="410" t="str">
        <f>IF(X410=0,"",VLOOKUP($X410,RentsUA!$A$12:$H$35,MATCH($D410,RentsUA!$A$12:$H$12,0),FALSE))</f>
        <v/>
      </c>
      <c r="Z410" s="410" t="str">
        <f t="shared" si="91"/>
        <v/>
      </c>
      <c r="AA410" s="1297" t="str">
        <f>IF(H410="","",IF(G410/HLOOKUP($H410,RentsUA!$M$8:$T$9,2,FALSE)&gt;1,"&gt; 80%","&lt;= 80%"))</f>
        <v/>
      </c>
      <c r="AB410" s="1106"/>
      <c r="AC410" s="1106"/>
      <c r="AD410" s="622"/>
      <c r="AE410" s="412"/>
      <c r="AF410" s="807" t="str">
        <f>IF(AD410="","",IF(AD410=Lists!$U$3,M410,IF(AD410=Lists!$U$4,V410,IF(AD410=Lists!$U$5,Y410-L410,AE410))))</f>
        <v/>
      </c>
      <c r="AG410" s="410" t="str">
        <f t="shared" si="92"/>
        <v/>
      </c>
      <c r="AH410" s="469" t="str">
        <f t="shared" si="93"/>
        <v/>
      </c>
      <c r="AI410" s="469" t="str">
        <f>IF($AF410=0,0,IFERROR(($L410+$AF410)/(HLOOKUP($D410,RentsUA!$K$12:$Q$35,19,FALSE)),""))</f>
        <v/>
      </c>
      <c r="AJ410" s="469" t="str">
        <f>IF($AF410=0,0,IFERROR(($AF410+K410+L410)/(HLOOKUP($D410,RentsUA!$K$12:$Q$35,19,FALSE)),""))</f>
        <v/>
      </c>
      <c r="AK410" s="469" t="str">
        <f t="shared" si="96"/>
        <v/>
      </c>
      <c r="AL410" s="469" t="str">
        <f t="shared" si="97"/>
        <v/>
      </c>
      <c r="AM410" s="1106" t="str">
        <f t="shared" si="98"/>
        <v/>
      </c>
      <c r="AN410" s="1106" t="str">
        <f>IFERROR(AM410*(1+'7a.20YrDetails'!$F$9),"")</f>
        <v/>
      </c>
      <c r="AO410" s="1106" t="str">
        <f>IFERROR(AN410*(1+'7a.20YrDetails'!$F$9),"")</f>
        <v/>
      </c>
      <c r="AP410" s="1106" t="str">
        <f>IFERROR(AO410*(1+'7a.20YrDetails'!$F$9),"")</f>
        <v/>
      </c>
      <c r="AQ410" s="1106" t="str">
        <f>IFERROR(AP410*(1+'7a.20YrDetails'!$F$9),"")</f>
        <v/>
      </c>
      <c r="AR410" s="674"/>
      <c r="AS410" s="672"/>
      <c r="AT410" s="1732" t="str">
        <f>IF($AF410=0,0,IFERROR(($AF410+L410)/(HLOOKUP($D410,RentsUA!$B$61:$H$62,2,FALSE)),""))</f>
        <v/>
      </c>
      <c r="AU410" s="1733" t="str">
        <f>IFERROR(G410/HLOOKUP(H410,RentsUA!$B$40:$I$41,2),"")</f>
        <v/>
      </c>
      <c r="BR410" s="404" t="str">
        <f t="shared" si="99"/>
        <v/>
      </c>
      <c r="BT410" s="404" t="str">
        <f t="shared" si="94"/>
        <v/>
      </c>
    </row>
    <row r="411" spans="1:73" s="404" customFormat="1" ht="13.2">
      <c r="A411" s="406">
        <f t="shared" si="100"/>
        <v>399</v>
      </c>
      <c r="B411" s="472"/>
      <c r="C411" s="470"/>
      <c r="D411" s="407"/>
      <c r="E411" s="407"/>
      <c r="F411" s="408"/>
      <c r="G411" s="409"/>
      <c r="H411" s="407"/>
      <c r="I411" s="1029" t="str">
        <f>IFERROR(G411/HLOOKUP(H411,RentsUA!$B$8:$J$9,2),"")</f>
        <v/>
      </c>
      <c r="J411" s="407"/>
      <c r="K411" s="412"/>
      <c r="L411" s="673">
        <f t="shared" si="89"/>
        <v>0</v>
      </c>
      <c r="M411" s="671"/>
      <c r="N411" s="410">
        <f t="shared" si="90"/>
        <v>0</v>
      </c>
      <c r="O411" s="469" t="str">
        <f>IF($M411=0,"",IFERROR(($L411+$M411)/(HLOOKUP($D411,RentsUA!$K$12:$Q$35,19,FALSE)),""))</f>
        <v/>
      </c>
      <c r="P411" s="469" t="str">
        <f>IF($M411=0,"",IFERROR(($M411+K411+L411)/(HLOOKUP($D411,RentsUA!$K$12:$Q$35,19,FALSE)),""))</f>
        <v/>
      </c>
      <c r="Q411" s="411"/>
      <c r="R411" s="673" t="str">
        <f>IF($Q411=0,"",VLOOKUP($Q411,RentsUA!$A$12:$H$35,MATCH($D411,RentsUA!$A$12:$H$12,0),FALSE))</f>
        <v/>
      </c>
      <c r="S411" s="409"/>
      <c r="T411" s="674"/>
      <c r="U411" s="672"/>
      <c r="V411" s="673" t="str">
        <f t="shared" si="95"/>
        <v/>
      </c>
      <c r="W411" s="470"/>
      <c r="X411" s="411"/>
      <c r="Y411" s="410" t="str">
        <f>IF(X411=0,"",VLOOKUP($X411,RentsUA!$A$12:$H$35,MATCH($D411,RentsUA!$A$12:$H$12,0),FALSE))</f>
        <v/>
      </c>
      <c r="Z411" s="410" t="str">
        <f t="shared" si="91"/>
        <v/>
      </c>
      <c r="AA411" s="1297" t="str">
        <f>IF(H411="","",IF(G411/HLOOKUP($H411,RentsUA!$M$8:$T$9,2,FALSE)&gt;1,"&gt; 80%","&lt;= 80%"))</f>
        <v/>
      </c>
      <c r="AB411" s="1106"/>
      <c r="AC411" s="1106"/>
      <c r="AD411" s="622"/>
      <c r="AE411" s="412"/>
      <c r="AF411" s="807" t="str">
        <f>IF(AD411="","",IF(AD411=Lists!$U$3,M411,IF(AD411=Lists!$U$4,V411,IF(AD411=Lists!$U$5,Y411-L411,AE411))))</f>
        <v/>
      </c>
      <c r="AG411" s="410" t="str">
        <f t="shared" si="92"/>
        <v/>
      </c>
      <c r="AH411" s="469" t="str">
        <f t="shared" si="93"/>
        <v/>
      </c>
      <c r="AI411" s="469" t="str">
        <f>IF($AF411=0,0,IFERROR(($L411+$AF411)/(HLOOKUP($D411,RentsUA!$K$12:$Q$35,19,FALSE)),""))</f>
        <v/>
      </c>
      <c r="AJ411" s="469" t="str">
        <f>IF($AF411=0,0,IFERROR(($AF411+K411+L411)/(HLOOKUP($D411,RentsUA!$K$12:$Q$35,19,FALSE)),""))</f>
        <v/>
      </c>
      <c r="AK411" s="469" t="str">
        <f t="shared" si="96"/>
        <v/>
      </c>
      <c r="AL411" s="469" t="str">
        <f t="shared" si="97"/>
        <v/>
      </c>
      <c r="AM411" s="1106" t="str">
        <f t="shared" si="98"/>
        <v/>
      </c>
      <c r="AN411" s="1106" t="str">
        <f>IFERROR(AM411*(1+'7a.20YrDetails'!$F$9),"")</f>
        <v/>
      </c>
      <c r="AO411" s="1106" t="str">
        <f>IFERROR(AN411*(1+'7a.20YrDetails'!$F$9),"")</f>
        <v/>
      </c>
      <c r="AP411" s="1106" t="str">
        <f>IFERROR(AO411*(1+'7a.20YrDetails'!$F$9),"")</f>
        <v/>
      </c>
      <c r="AQ411" s="1106" t="str">
        <f>IFERROR(AP411*(1+'7a.20YrDetails'!$F$9),"")</f>
        <v/>
      </c>
      <c r="AR411" s="674"/>
      <c r="AS411" s="672"/>
      <c r="AT411" s="1732" t="str">
        <f>IF($AF411=0,0,IFERROR(($AF411+L411)/(HLOOKUP($D411,RentsUA!$B$61:$H$62,2,FALSE)),""))</f>
        <v/>
      </c>
      <c r="AU411" s="1733" t="str">
        <f>IFERROR(G411/HLOOKUP(H411,RentsUA!$B$40:$I$41,2),"")</f>
        <v/>
      </c>
      <c r="BR411" s="404" t="str">
        <f t="shared" si="99"/>
        <v/>
      </c>
      <c r="BS411" s="5" t="str">
        <f t="array" ref="BS411">IFERROR(INDEX($BR$13:$BR$412, MATCH(0, COUNTIF($BS$12:$BS410, $BR$13:$BR$412), 0)),"")</f>
        <v/>
      </c>
      <c r="BT411" s="404" t="str">
        <f t="shared" si="94"/>
        <v/>
      </c>
      <c r="BU411" s="404" t="str">
        <f t="array" ref="BU411">IFERROR(INDEX($BT$13:$BT$412, MATCH(0, COUNTIF($BU$12:$BU410, $BT$13:$BT$412), 0)),"")</f>
        <v/>
      </c>
    </row>
    <row r="412" spans="1:73" s="404" customFormat="1" ht="13.2">
      <c r="A412" s="406">
        <f t="shared" si="100"/>
        <v>400</v>
      </c>
      <c r="B412" s="472"/>
      <c r="C412" s="470"/>
      <c r="D412" s="407"/>
      <c r="E412" s="407"/>
      <c r="F412" s="408"/>
      <c r="G412" s="409"/>
      <c r="H412" s="407"/>
      <c r="I412" s="1029" t="str">
        <f>IFERROR(G412/HLOOKUP(H412,RentsUA!$B$8:$J$9,2),"")</f>
        <v/>
      </c>
      <c r="J412" s="407"/>
      <c r="K412" s="412"/>
      <c r="L412" s="673">
        <f t="shared" si="89"/>
        <v>0</v>
      </c>
      <c r="M412" s="671"/>
      <c r="N412" s="410">
        <f t="shared" si="90"/>
        <v>0</v>
      </c>
      <c r="O412" s="469" t="str">
        <f>IF($M412=0,"",IFERROR(($L412+$M412)/(HLOOKUP($D412,RentsUA!$K$12:$Q$35,19,FALSE)),""))</f>
        <v/>
      </c>
      <c r="P412" s="469" t="str">
        <f>IF($M412=0,"",IFERROR(($M412+K412+L412)/(HLOOKUP($D412,RentsUA!$K$12:$Q$35,19,FALSE)),""))</f>
        <v/>
      </c>
      <c r="Q412" s="411"/>
      <c r="R412" s="673" t="str">
        <f>IF($Q412=0,"",VLOOKUP($Q412,RentsUA!$A$12:$H$35,MATCH($D412,RentsUA!$A$12:$H$12,0),FALSE))</f>
        <v/>
      </c>
      <c r="S412" s="409"/>
      <c r="T412" s="674"/>
      <c r="U412" s="672"/>
      <c r="V412" s="673" t="str">
        <f t="shared" si="95"/>
        <v/>
      </c>
      <c r="W412" s="470"/>
      <c r="X412" s="411"/>
      <c r="Y412" s="410" t="str">
        <f>IF(X412=0,"",VLOOKUP($X412,RentsUA!$A$12:$H$35,MATCH($D412,RentsUA!$A$12:$H$12,0),FALSE))</f>
        <v/>
      </c>
      <c r="Z412" s="410" t="str">
        <f t="shared" si="91"/>
        <v/>
      </c>
      <c r="AA412" s="1297" t="str">
        <f>IF(H412="","",IF(G412/HLOOKUP($H412,RentsUA!$M$8:$T$9,2,FALSE)&gt;1,"&gt; 80%","&lt;= 80%"))</f>
        <v/>
      </c>
      <c r="AB412" s="1106"/>
      <c r="AC412" s="1106"/>
      <c r="AD412" s="622"/>
      <c r="AE412" s="412"/>
      <c r="AF412" s="807" t="str">
        <f>IF(AD412="","",IF(AD412=Lists!$U$3,M412,IF(AD412=Lists!$U$4,V412,IF(AD412=Lists!$U$5,Y412-L412,AE412))))</f>
        <v/>
      </c>
      <c r="AG412" s="410" t="str">
        <f t="shared" si="92"/>
        <v/>
      </c>
      <c r="AH412" s="469" t="str">
        <f t="shared" si="93"/>
        <v/>
      </c>
      <c r="AI412" s="469" t="str">
        <f>IF($AF412=0,0,IFERROR(($L412+$AF412)/(HLOOKUP($D412,RentsUA!$K$12:$Q$35,19,FALSE)),""))</f>
        <v/>
      </c>
      <c r="AJ412" s="469" t="str">
        <f>IF($AF412=0,0,IFERROR(($AF412+K412+L412)/(HLOOKUP($D412,RentsUA!$K$12:$Q$35,19,FALSE)),""))</f>
        <v/>
      </c>
      <c r="AK412" s="469" t="str">
        <f t="shared" si="96"/>
        <v/>
      </c>
      <c r="AL412" s="469" t="str">
        <f t="shared" si="97"/>
        <v/>
      </c>
      <c r="AM412" s="1106" t="str">
        <f t="shared" si="98"/>
        <v/>
      </c>
      <c r="AN412" s="1106" t="str">
        <f>IFERROR(AM412*(1+'7a.20YrDetails'!$F$9),"")</f>
        <v/>
      </c>
      <c r="AO412" s="1106" t="str">
        <f>IFERROR(AN412*(1+'7a.20YrDetails'!$F$9),"")</f>
        <v/>
      </c>
      <c r="AP412" s="1106" t="str">
        <f>IFERROR(AO412*(1+'7a.20YrDetails'!$F$9),"")</f>
        <v/>
      </c>
      <c r="AQ412" s="1106" t="str">
        <f>IFERROR(AP412*(1+'7a.20YrDetails'!$F$9),"")</f>
        <v/>
      </c>
      <c r="AR412" s="674"/>
      <c r="AS412" s="672"/>
      <c r="AT412" s="1732" t="str">
        <f>IF($AF412=0,0,IFERROR(($AF412+L412)/(HLOOKUP($D412,RentsUA!$B$61:$H$62,2,FALSE)),""))</f>
        <v/>
      </c>
      <c r="AU412" s="1733" t="str">
        <f>IFERROR(G412/HLOOKUP(H412,RentsUA!$B$40:$I$41,2),"")</f>
        <v/>
      </c>
      <c r="BR412" s="404" t="str">
        <f t="shared" si="99"/>
        <v/>
      </c>
      <c r="BS412" s="5" t="str">
        <f t="array" ref="BS412">IFERROR(INDEX($BR$13:$BR$412, MATCH(0, COUNTIF($BS$12:$BS411, $BR$13:$BR$412), 0)),"")</f>
        <v/>
      </c>
      <c r="BT412" s="404" t="str">
        <f t="shared" si="94"/>
        <v/>
      </c>
      <c r="BU412" s="404" t="str">
        <f t="array" ref="BU412">IFERROR(INDEX($BT$13:$BT$412, MATCH(0, COUNTIF($BU$12:$BU411, $BT$13:$BT$412), 0)),"")</f>
        <v/>
      </c>
    </row>
    <row r="414" spans="1:73">
      <c r="J414" s="1142"/>
      <c r="K414" s="1138"/>
      <c r="AD414" s="1136"/>
      <c r="AF414" s="1138"/>
      <c r="AG414" s="1138"/>
      <c r="AH414" s="1138"/>
    </row>
    <row r="415" spans="1:73">
      <c r="J415" s="1142"/>
      <c r="K415" s="1138"/>
      <c r="AD415" s="1136"/>
      <c r="AF415" s="1138"/>
      <c r="AG415" s="1138"/>
      <c r="AH415" s="1138"/>
    </row>
  </sheetData>
  <sheetProtection algorithmName="SHA-512" hashValue="twE1G4Exma2Q+OgC9EyE98RJOK3uoxC2dWUzrm/G38icbhaQzTGwQfT29Uuk9i7RsPHOXuTGnA3pbdvVBD0Oxw==" saltValue="v1rpZkoQq9ltsz+WZc3ByA==" spinCount="100000" sheet="1" objects="1" scenarios="1" selectLockedCells="1"/>
  <autoFilter ref="B10:AK412" xr:uid="{00000000-0009-0000-0000-000004000000}">
    <filterColumn colId="21">
      <filters blank="1"/>
    </filterColumn>
  </autoFilter>
  <customSheetViews>
    <customSheetView guid="{332023D0-60C3-4A29-9DCC-CDA10E0C090D}" scale="115" showGridLines="0" hiddenRows="1" hiddenColumns="1" topLeftCell="N1">
      <selection activeCell="W9" sqref="W9"/>
      <colBreaks count="1" manualBreakCount="1">
        <brk id="12" max="410" man="1"/>
      </colBreaks>
      <pageMargins left="0.7" right="0.7" top="0.75" bottom="0.75" header="0.3" footer="0.3"/>
      <pageSetup scale="80" orientation="landscape" r:id="rId1"/>
    </customSheetView>
    <customSheetView guid="{B92ED4D4-4566-4043-8B76-FD708F820076}" showGridLines="0" hiddenRows="1">
      <selection activeCell="C6" sqref="C6"/>
      <colBreaks count="2" manualBreakCount="2">
        <brk id="10" max="410" man="1"/>
        <brk id="19" max="410" man="1"/>
      </colBreaks>
      <pageMargins left="0.7" right="0.7" top="0.75" bottom="0.75" header="0.3" footer="0.3"/>
      <pageSetup scale="80" orientation="landscape" r:id="rId2"/>
    </customSheetView>
  </customSheetViews>
  <mergeCells count="38">
    <mergeCell ref="AR10:AS10"/>
    <mergeCell ref="AT10:AU10"/>
    <mergeCell ref="X11:X12"/>
    <mergeCell ref="Y11:Y12"/>
    <mergeCell ref="W11:W12"/>
    <mergeCell ref="AB11:AB12"/>
    <mergeCell ref="AA11:AA12"/>
    <mergeCell ref="AM11:AM12"/>
    <mergeCell ref="AP11:AP12"/>
    <mergeCell ref="AQ11:AQ12"/>
    <mergeCell ref="AJ11:AJ12"/>
    <mergeCell ref="AL11:AL12"/>
    <mergeCell ref="AN11:AN12"/>
    <mergeCell ref="AO11:AO12"/>
    <mergeCell ref="AK11:AK12"/>
    <mergeCell ref="AI11:AI12"/>
    <mergeCell ref="G10:G12"/>
    <mergeCell ref="H10:H12"/>
    <mergeCell ref="J10:J12"/>
    <mergeCell ref="K10:K12"/>
    <mergeCell ref="L10:L12"/>
    <mergeCell ref="M11:M12"/>
    <mergeCell ref="I10:I12"/>
    <mergeCell ref="N11:N12"/>
    <mergeCell ref="O11:O12"/>
    <mergeCell ref="V11:V12"/>
    <mergeCell ref="P11:P12"/>
    <mergeCell ref="A10:A12"/>
    <mergeCell ref="B10:B12"/>
    <mergeCell ref="C10:C12"/>
    <mergeCell ref="D10:D12"/>
    <mergeCell ref="F10:F12"/>
    <mergeCell ref="AH11:AH12"/>
    <mergeCell ref="Z11:Z12"/>
    <mergeCell ref="AD11:AD12"/>
    <mergeCell ref="AE11:AE12"/>
    <mergeCell ref="AF11:AF12"/>
    <mergeCell ref="AG11:AG12"/>
  </mergeCells>
  <conditionalFormatting sqref="AE13:AE412">
    <cfRule type="expression" dxfId="78" priority="18">
      <formula>$AD13:$AD412="Other Tenant Rent Amount"</formula>
    </cfRule>
  </conditionalFormatting>
  <conditionalFormatting sqref="T13:U412">
    <cfRule type="expression" dxfId="77" priority="10">
      <formula>$S13&lt;&gt;""</formula>
    </cfRule>
  </conditionalFormatting>
  <conditionalFormatting sqref="K13:K412">
    <cfRule type="expression" dxfId="76" priority="7">
      <formula>$J13=0</formula>
    </cfRule>
    <cfRule type="expression" dxfId="75" priority="9">
      <formula>$J13&lt;&gt;"none"</formula>
    </cfRule>
  </conditionalFormatting>
  <conditionalFormatting sqref="I8:I9">
    <cfRule type="expression" dxfId="74" priority="5">
      <formula>$H$8&lt;&gt;""</formula>
    </cfRule>
  </conditionalFormatting>
  <conditionalFormatting sqref="AR13">
    <cfRule type="expression" dxfId="73" priority="4">
      <formula>$S13&lt;&gt;""</formula>
    </cfRule>
  </conditionalFormatting>
  <conditionalFormatting sqref="AR53:AR412">
    <cfRule type="expression" dxfId="72" priority="3">
      <formula>$S53&lt;&gt;""</formula>
    </cfRule>
  </conditionalFormatting>
  <conditionalFormatting sqref="AR14:AR52">
    <cfRule type="expression" dxfId="71" priority="2">
      <formula>$S14&lt;&gt;""</formula>
    </cfRule>
  </conditionalFormatting>
  <conditionalFormatting sqref="AA13:AA412">
    <cfRule type="containsText" dxfId="70" priority="1" operator="containsText" text="&gt;">
      <formula>NOT(ISERROR(SEARCH("&gt;",AA13)))</formula>
    </cfRule>
  </conditionalFormatting>
  <dataValidations count="12">
    <dataValidation type="list" allowBlank="1" showInputMessage="1" showErrorMessage="1" promptTitle="Rental Assistance Type" prompt="choose from the list" sqref="J13:J412" xr:uid="{00000000-0002-0000-0400-000000000000}">
      <formula1>Subsidy</formula1>
    </dataValidation>
    <dataValidation type="whole" operator="greaterThanOrEqual" allowBlank="1" showInputMessage="1" showErrorMessage="1" error="numbers only in this field!" sqref="K13:M412 G13:G412" xr:uid="{00000000-0002-0000-0400-000001000000}">
      <formula1>0</formula1>
    </dataValidation>
    <dataValidation type="list" allowBlank="1" showInputMessage="1" showErrorMessage="1" sqref="AD13:AD412" xr:uid="{00000000-0002-0000-0400-000002000000}">
      <formula1>ProposedRentTypes</formula1>
    </dataValidation>
    <dataValidation type="list" operator="greaterThanOrEqual" allowBlank="1" showInputMessage="1" showErrorMessage="1" error="numbers only in this field!" sqref="H13:H412" xr:uid="{00000000-0002-0000-0400-000003000000}">
      <formula1>HHSize</formula1>
    </dataValidation>
    <dataValidation allowBlank="1" showInputMessage="1" showErrorMessage="1" errorTitle="Date required" error="Enter date &quot;m/d/yyyy&quot; like &quot;1/1/2000&quot;." prompt="Enter date &quot;m/d/yyyy&quot; like &quot;1/1/2000&quot;. _x000a_" sqref="AN5:AO5 C8 V7 AI6 F13:F412 AR5:AS5" xr:uid="{00000000-0002-0000-0400-000004000000}"/>
    <dataValidation type="list" allowBlank="1" showInputMessage="1" showErrorMessage="1" promptTitle="Unit Size" prompt="choose from the list" sqref="D13:D412" xr:uid="{00000000-0002-0000-0400-000005000000}">
      <formula1>UnitType</formula1>
    </dataValidation>
    <dataValidation type="list" allowBlank="1" showInputMessage="1" showErrorMessage="1" sqref="W13:W412 C13:C412" xr:uid="{00000000-0002-0000-0400-000006000000}">
      <formula1>Restriction</formula1>
    </dataValidation>
    <dataValidation type="list" operator="greaterThanOrEqual" allowBlank="1" showInputMessage="1" showErrorMessage="1" error="numbers only in this field!" sqref="T13:T412 Q13:Q412 AR13:AR412 X13:X412" xr:uid="{00000000-0002-0000-0400-000007000000}">
      <formula1>IncomeLevel</formula1>
    </dataValidation>
    <dataValidation operator="greaterThanOrEqual" allowBlank="1" showInputMessage="1" error="numbers only in this field!" sqref="R13:R412 U13:U412 AS13:AS412" xr:uid="{00000000-0002-0000-0400-000008000000}"/>
    <dataValidation type="list" operator="greaterThanOrEqual" allowBlank="1" showInputMessage="1" error="numbers only in this field!" sqref="S13:S412" xr:uid="{00000000-0002-0000-0400-000009000000}">
      <formula1>ExDevtAMI</formula1>
    </dataValidation>
    <dataValidation operator="greaterThanOrEqual" allowBlank="1" showInputMessage="1" showErrorMessage="1" error="numbers only in this field!" sqref="I13:I412" xr:uid="{00000000-0002-0000-0400-00000A000000}"/>
    <dataValidation allowBlank="1" promptTitle="Unit Size" prompt="choose from the list" sqref="E13:E412" xr:uid="{00000000-0002-0000-0400-00000B000000}"/>
  </dataValidations>
  <pageMargins left="0.5" right="0.5" top="0.75" bottom="0.75" header="0.3" footer="0.3"/>
  <pageSetup scale="44" pageOrder="overThenDown" orientation="landscape" r:id="rId3"/>
  <headerFooter>
    <oddHeader>&amp;CMOHCD Proforma - Exisitng Project Rent Roll</oddHeader>
    <oddFooter>&amp;R&amp;P of &amp;N</oddFooter>
  </headerFooter>
  <colBreaks count="1" manualBreakCount="1">
    <brk id="12" min="1" max="411" man="1"/>
  </colBreaks>
  <drawing r:id="rId4"/>
  <legacyDrawing r:id="rId5"/>
  <mc:AlternateContent xmlns:mc="http://schemas.openxmlformats.org/markup-compatibility/2006">
    <mc:Choice Requires="x14">
      <controls>
        <mc:AlternateContent xmlns:mc="http://schemas.openxmlformats.org/markup-compatibility/2006">
          <mc:Choice Requires="x14">
            <control shapeId="98314" r:id="rId6" name="Button 10">
              <controlPr defaultSize="0" print="0" autoFill="0" autoPict="0" macro="[0]!NoChangeRestriction">
                <anchor moveWithCells="1" sizeWithCells="1">
                  <from>
                    <xdr:col>22</xdr:col>
                    <xdr:colOff>68580</xdr:colOff>
                    <xdr:row>11</xdr:row>
                    <xdr:rowOff>868680</xdr:rowOff>
                  </from>
                  <to>
                    <xdr:col>22</xdr:col>
                    <xdr:colOff>883920</xdr:colOff>
                    <xdr:row>11</xdr:row>
                    <xdr:rowOff>1097280</xdr:rowOff>
                  </to>
                </anchor>
              </controlPr>
            </control>
          </mc:Choice>
        </mc:AlternateContent>
        <mc:AlternateContent xmlns:mc="http://schemas.openxmlformats.org/markup-compatibility/2006">
          <mc:Choice Requires="x14">
            <control shapeId="98316" r:id="rId7" name="Button 12">
              <controlPr defaultSize="0" print="0" autoFill="0" autoPict="0" macro="[0]!NoChangeRent">
                <anchor moveWithCells="1" sizeWithCells="1">
                  <from>
                    <xdr:col>23</xdr:col>
                    <xdr:colOff>68580</xdr:colOff>
                    <xdr:row>11</xdr:row>
                    <xdr:rowOff>868680</xdr:rowOff>
                  </from>
                  <to>
                    <xdr:col>23</xdr:col>
                    <xdr:colOff>883920</xdr:colOff>
                    <xdr:row>11</xdr:row>
                    <xdr:rowOff>1097280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tabColor theme="5" tint="0.59999389629810485"/>
    <pageSetUpPr fitToPage="1"/>
  </sheetPr>
  <dimension ref="A1:O474"/>
  <sheetViews>
    <sheetView workbookViewId="0">
      <pane xSplit="3" ySplit="8" topLeftCell="D106" activePane="bottomRight" state="frozen"/>
      <selection pane="topRight" activeCell="D1" sqref="D1"/>
      <selection pane="bottomLeft" activeCell="A9" sqref="A9"/>
      <selection pane="bottomRight" activeCell="K126" sqref="K126"/>
    </sheetView>
  </sheetViews>
  <sheetFormatPr defaultColWidth="0" defaultRowHeight="13.8"/>
  <cols>
    <col min="1" max="1" width="2.88671875" style="709" customWidth="1"/>
    <col min="2" max="2" width="2.88671875" style="128" customWidth="1"/>
    <col min="3" max="3" width="51.5546875" style="128" customWidth="1"/>
    <col min="4" max="4" width="14.6640625" style="693" customWidth="1"/>
    <col min="5" max="9" width="14.6640625" style="128" customWidth="1"/>
    <col min="10" max="10" width="14.6640625" style="319" customWidth="1"/>
    <col min="11" max="11" width="48" style="128" customWidth="1"/>
    <col min="12" max="12" width="11.44140625" style="182" customWidth="1"/>
    <col min="13" max="13" width="2.6640625" style="128" customWidth="1"/>
    <col min="14" max="16384" width="9.109375" style="128" hidden="1"/>
  </cols>
  <sheetData>
    <row r="1" spans="1:13">
      <c r="A1" s="139" t="s">
        <v>2</v>
      </c>
      <c r="C1" s="129"/>
      <c r="D1" s="701" t="str">
        <f>IF('1.GeneralProjectInfo'!$D$3&lt;&gt;"",'1.GeneralProjectInfo'!$D$3,"")</f>
        <v/>
      </c>
      <c r="E1" s="695"/>
      <c r="F1" s="695"/>
      <c r="G1" s="319" t="s">
        <v>493</v>
      </c>
      <c r="H1" s="139" t="str">
        <f>IF('1.GeneralProjectInfo'!$A$17&lt;&gt;"",'1.GeneralProjectInfo'!$A$17,"")</f>
        <v/>
      </c>
      <c r="I1" s="319"/>
      <c r="K1" s="27" t="str">
        <f>IF(SmallSites=TRUE,"Small Sites Project","")</f>
        <v/>
      </c>
      <c r="M1" s="696"/>
    </row>
    <row r="2" spans="1:13" ht="15" customHeight="1">
      <c r="A2" s="139" t="s">
        <v>65</v>
      </c>
      <c r="C2" s="129"/>
      <c r="D2" s="695" t="str">
        <f>IF('1.GeneralProjectInfo'!$A$13&lt;&gt;"",'1.GeneralProjectInfo'!$A$13,"")</f>
        <v/>
      </c>
      <c r="E2" s="697"/>
      <c r="F2" s="697"/>
      <c r="G2" s="710" t="s">
        <v>694</v>
      </c>
      <c r="H2" s="720"/>
      <c r="I2" s="2269"/>
      <c r="K2" s="27" t="str">
        <f>IF(LOSP=TRUE,"LOSP Project","")</f>
        <v/>
      </c>
      <c r="M2" s="696"/>
    </row>
    <row r="3" spans="1:13" ht="15" customHeight="1">
      <c r="A3" s="139" t="s">
        <v>66</v>
      </c>
      <c r="C3" s="129"/>
      <c r="D3" s="128" t="str">
        <f>IF('1.GeneralProjectInfo'!$E$13&lt;&gt;"",CONCATENATE('1.GeneralProjectInfo'!$E$13," ",'1.GeneralProjectInfo'!$G$13," ",'1.GeneralProjectInfo'!$I$13),"")</f>
        <v/>
      </c>
      <c r="G3" s="319" t="s">
        <v>692</v>
      </c>
      <c r="H3" s="319"/>
      <c r="I3" s="2269"/>
      <c r="J3" s="702" t="str">
        <f>IF('1.GeneralProjectInfo'!$K$17&lt;&gt;"",'1.GeneralProjectInfo'!$K$17,"")</f>
        <v/>
      </c>
      <c r="M3" s="696"/>
    </row>
    <row r="4" spans="1:13" ht="15" customHeight="1">
      <c r="A4" s="139" t="s">
        <v>59</v>
      </c>
      <c r="C4" s="129"/>
      <c r="D4" s="808" t="str">
        <f>IF('1.GeneralProjectInfo'!$D$19&lt;&gt;"",'1.GeneralProjectInfo'!$D$19,"")</f>
        <v/>
      </c>
      <c r="E4" s="697"/>
      <c r="F4" s="697"/>
      <c r="G4" s="129"/>
      <c r="H4" s="129"/>
      <c r="I4" s="2269"/>
      <c r="J4" s="139"/>
      <c r="M4" s="696"/>
    </row>
    <row r="5" spans="1:13">
      <c r="A5" s="138"/>
      <c r="D5" s="697"/>
      <c r="E5" s="1285" t="str">
        <f>IF(OR(D138="",D139="",D140="",D141=""),"Don't forget to fill in D135:D138!","")</f>
        <v>Don't forget to fill in D135:D138!</v>
      </c>
      <c r="F5" s="129"/>
      <c r="G5" s="139"/>
      <c r="H5" s="139"/>
      <c r="I5" s="2269"/>
      <c r="J5" s="128"/>
      <c r="M5" s="696"/>
    </row>
    <row r="6" spans="1:13" ht="14.4">
      <c r="A6" s="128"/>
      <c r="D6" s="703"/>
      <c r="E6" s="319"/>
      <c r="F6" s="704"/>
      <c r="I6" s="2270"/>
      <c r="J6" s="319" t="s">
        <v>691</v>
      </c>
      <c r="K6" s="120" t="s">
        <v>0</v>
      </c>
      <c r="M6" s="696"/>
    </row>
    <row r="7" spans="1:13">
      <c r="A7" s="705" t="s">
        <v>690</v>
      </c>
      <c r="C7" s="705"/>
      <c r="D7" s="706">
        <f t="shared" ref="D7:I7" si="0">D126</f>
        <v>0</v>
      </c>
      <c r="E7" s="706">
        <f t="shared" si="0"/>
        <v>0</v>
      </c>
      <c r="F7" s="706">
        <f t="shared" si="0"/>
        <v>0</v>
      </c>
      <c r="G7" s="706">
        <f t="shared" si="0"/>
        <v>0</v>
      </c>
      <c r="H7" s="706">
        <f t="shared" si="0"/>
        <v>0</v>
      </c>
      <c r="I7" s="932">
        <f t="shared" si="0"/>
        <v>0</v>
      </c>
      <c r="J7" s="932">
        <f>SUM(D7:I7)</f>
        <v>0</v>
      </c>
      <c r="K7" s="1118"/>
    </row>
    <row r="8" spans="1:13">
      <c r="A8" s="319"/>
      <c r="C8" s="707" t="s">
        <v>1110</v>
      </c>
      <c r="D8" s="694" t="s">
        <v>1051</v>
      </c>
      <c r="E8" s="719"/>
      <c r="F8" s="719"/>
      <c r="G8" s="719"/>
      <c r="H8" s="719"/>
      <c r="I8" s="719"/>
      <c r="J8" s="692"/>
      <c r="K8" s="1110"/>
    </row>
    <row r="9" spans="1:13">
      <c r="A9" s="705" t="s">
        <v>689</v>
      </c>
      <c r="C9" s="759" t="str">
        <f>IF(SmallSites=TRUE,"Is source a bridge loan? (select Yes/No)","")</f>
        <v/>
      </c>
      <c r="D9" s="1356"/>
      <c r="E9" s="1356"/>
      <c r="F9" s="1356"/>
      <c r="G9" s="1356"/>
      <c r="H9" s="1356"/>
      <c r="I9" s="1356"/>
      <c r="J9" s="692"/>
      <c r="K9" s="1110"/>
    </row>
    <row r="10" spans="1:13">
      <c r="A10" s="705"/>
      <c r="C10" s="759" t="str">
        <f>IF(SmallSites=TRUE,"Bridge loans total:","")</f>
        <v/>
      </c>
      <c r="D10" s="693" t="str">
        <f>IF(SmallSites=FALSE,"",SUMIF(D9:I9,"Yes",D7:I7))</f>
        <v/>
      </c>
      <c r="E10" s="693"/>
      <c r="F10" s="693"/>
      <c r="G10" s="693"/>
      <c r="H10" s="693"/>
      <c r="I10" s="933"/>
      <c r="J10" s="692"/>
      <c r="K10" s="1110"/>
    </row>
    <row r="11" spans="1:13">
      <c r="A11" s="319" t="s">
        <v>688</v>
      </c>
      <c r="C11" s="708"/>
      <c r="D11" s="691"/>
      <c r="E11" s="691"/>
      <c r="F11" s="691"/>
      <c r="G11" s="691"/>
      <c r="H11" s="691"/>
      <c r="I11" s="934"/>
      <c r="J11" s="690"/>
      <c r="K11" s="1111"/>
    </row>
    <row r="12" spans="1:13">
      <c r="A12" s="128"/>
      <c r="B12" s="709"/>
      <c r="C12" s="127" t="s">
        <v>687</v>
      </c>
      <c r="D12" s="715"/>
      <c r="E12" s="715"/>
      <c r="F12" s="715"/>
      <c r="G12" s="715"/>
      <c r="H12" s="715"/>
      <c r="I12" s="715"/>
      <c r="J12" s="931">
        <f>SUM(D12:I12)</f>
        <v>0</v>
      </c>
      <c r="K12" s="1112"/>
    </row>
    <row r="13" spans="1:13">
      <c r="A13" s="128"/>
      <c r="B13" s="709"/>
      <c r="C13" s="127" t="s">
        <v>1162</v>
      </c>
      <c r="D13" s="715"/>
      <c r="E13" s="715"/>
      <c r="F13" s="715"/>
      <c r="G13" s="715"/>
      <c r="H13" s="715"/>
      <c r="I13" s="715"/>
      <c r="J13" s="931">
        <f>SUM(D13:I13)</f>
        <v>0</v>
      </c>
      <c r="K13" s="1112"/>
    </row>
    <row r="14" spans="1:13">
      <c r="A14" s="128"/>
      <c r="B14" s="709"/>
      <c r="C14" s="127" t="s">
        <v>1121</v>
      </c>
      <c r="D14" s="715"/>
      <c r="E14" s="715"/>
      <c r="F14" s="715"/>
      <c r="G14" s="715"/>
      <c r="H14" s="715"/>
      <c r="I14" s="715"/>
      <c r="J14" s="931">
        <f>SUM(D14:I14)</f>
        <v>0</v>
      </c>
      <c r="K14" s="1112"/>
    </row>
    <row r="15" spans="1:13" s="699" customFormat="1" ht="14.4">
      <c r="A15" s="128"/>
      <c r="B15" s="698"/>
      <c r="C15" s="127" t="s">
        <v>1122</v>
      </c>
      <c r="D15" s="715"/>
      <c r="E15" s="715"/>
      <c r="F15" s="715"/>
      <c r="G15" s="715"/>
      <c r="H15" s="715"/>
      <c r="I15" s="715"/>
      <c r="J15" s="931">
        <f>SUM(D15:I15)</f>
        <v>0</v>
      </c>
      <c r="K15" s="1113"/>
      <c r="L15" s="637"/>
    </row>
    <row r="16" spans="1:13" s="710" customFormat="1" ht="14.4">
      <c r="A16" s="319"/>
      <c r="B16" s="319"/>
      <c r="C16" s="1276" t="s">
        <v>685</v>
      </c>
      <c r="D16" s="1277">
        <f t="shared" ref="D16:I16" si="1">SUM(D12:D15)</f>
        <v>0</v>
      </c>
      <c r="E16" s="1277">
        <f t="shared" si="1"/>
        <v>0</v>
      </c>
      <c r="F16" s="1277">
        <f t="shared" si="1"/>
        <v>0</v>
      </c>
      <c r="G16" s="1277">
        <f t="shared" si="1"/>
        <v>0</v>
      </c>
      <c r="H16" s="1277">
        <f t="shared" si="1"/>
        <v>0</v>
      </c>
      <c r="I16" s="1278">
        <f t="shared" si="1"/>
        <v>0</v>
      </c>
      <c r="J16" s="1278">
        <f>SUM(D16:I16)</f>
        <v>0</v>
      </c>
      <c r="K16" s="1279"/>
      <c r="L16" s="637"/>
    </row>
    <row r="17" spans="1:14" s="710" customFormat="1">
      <c r="A17" s="319"/>
      <c r="B17" s="319"/>
      <c r="C17" s="129"/>
      <c r="D17" s="681"/>
      <c r="E17" s="681"/>
      <c r="F17" s="681"/>
      <c r="G17" s="681"/>
      <c r="H17" s="681"/>
      <c r="I17" s="936"/>
      <c r="J17" s="936"/>
      <c r="K17" s="1124"/>
      <c r="L17" s="681"/>
      <c r="M17" s="138"/>
      <c r="N17" s="637"/>
    </row>
    <row r="18" spans="1:14" s="699" customFormat="1" ht="14.4">
      <c r="A18" s="700" t="s">
        <v>684</v>
      </c>
      <c r="D18" s="917"/>
      <c r="E18" s="917"/>
      <c r="F18" s="917"/>
      <c r="G18" s="917"/>
      <c r="H18" s="917"/>
      <c r="I18" s="937"/>
      <c r="J18" s="1391"/>
      <c r="K18" s="1114"/>
      <c r="L18" s="637"/>
    </row>
    <row r="19" spans="1:14">
      <c r="A19" s="319"/>
      <c r="B19" s="319"/>
      <c r="C19" s="711"/>
      <c r="D19" s="683"/>
      <c r="E19" s="683"/>
      <c r="F19" s="683"/>
      <c r="G19" s="683"/>
      <c r="H19" s="691"/>
      <c r="I19" s="934"/>
      <c r="J19" s="1392"/>
      <c r="K19" s="1111"/>
    </row>
    <row r="20" spans="1:14">
      <c r="A20" s="128"/>
      <c r="B20" s="709"/>
      <c r="C20" s="127" t="s">
        <v>682</v>
      </c>
      <c r="D20" s="715"/>
      <c r="E20" s="715"/>
      <c r="F20" s="715"/>
      <c r="G20" s="715"/>
      <c r="H20" s="715"/>
      <c r="I20" s="715"/>
      <c r="J20" s="931">
        <f>SUM(D20:I20)</f>
        <v>0</v>
      </c>
      <c r="K20" s="1112" t="s">
        <v>1214</v>
      </c>
    </row>
    <row r="21" spans="1:14">
      <c r="A21" s="128"/>
      <c r="B21" s="709"/>
      <c r="C21" s="127" t="s">
        <v>1123</v>
      </c>
      <c r="D21" s="715"/>
      <c r="E21" s="715"/>
      <c r="F21" s="715"/>
      <c r="G21" s="715"/>
      <c r="H21" s="715"/>
      <c r="I21" s="715"/>
      <c r="J21" s="931">
        <f t="shared" ref="J21:J35" si="2">SUM(D21:I21)</f>
        <v>0</v>
      </c>
      <c r="K21" s="1112"/>
    </row>
    <row r="22" spans="1:14">
      <c r="A22" s="128"/>
      <c r="B22" s="709"/>
      <c r="C22" s="127" t="s">
        <v>686</v>
      </c>
      <c r="D22" s="715"/>
      <c r="E22" s="715"/>
      <c r="F22" s="715"/>
      <c r="G22" s="715"/>
      <c r="H22" s="715"/>
      <c r="I22" s="715"/>
      <c r="J22" s="931">
        <f t="shared" si="2"/>
        <v>0</v>
      </c>
      <c r="K22" s="1112"/>
    </row>
    <row r="23" spans="1:14">
      <c r="A23" s="128"/>
      <c r="B23" s="709"/>
      <c r="C23" s="127" t="s">
        <v>683</v>
      </c>
      <c r="D23" s="715"/>
      <c r="E23" s="715"/>
      <c r="F23" s="715"/>
      <c r="G23" s="715"/>
      <c r="H23" s="715"/>
      <c r="I23" s="715"/>
      <c r="J23" s="931">
        <f t="shared" si="2"/>
        <v>0</v>
      </c>
      <c r="K23" s="1112"/>
    </row>
    <row r="24" spans="1:14">
      <c r="A24" s="128"/>
      <c r="B24" s="709"/>
      <c r="C24" s="127" t="s">
        <v>1124</v>
      </c>
      <c r="D24" s="715"/>
      <c r="E24" s="715"/>
      <c r="F24" s="715"/>
      <c r="G24" s="715"/>
      <c r="H24" s="715"/>
      <c r="I24" s="715"/>
      <c r="J24" s="931">
        <f t="shared" si="2"/>
        <v>0</v>
      </c>
      <c r="K24" s="1112"/>
      <c r="L24" s="2271" t="s">
        <v>1190</v>
      </c>
    </row>
    <row r="25" spans="1:14">
      <c r="A25" s="128"/>
      <c r="B25" s="709"/>
      <c r="C25" s="127" t="s">
        <v>1211</v>
      </c>
      <c r="D25" s="715"/>
      <c r="E25" s="715"/>
      <c r="F25" s="715"/>
      <c r="G25" s="715"/>
      <c r="H25" s="715"/>
      <c r="I25" s="715"/>
      <c r="J25" s="931">
        <f t="shared" si="2"/>
        <v>0</v>
      </c>
      <c r="K25" s="1112"/>
      <c r="L25" s="2272"/>
    </row>
    <row r="26" spans="1:14">
      <c r="A26" s="128"/>
      <c r="B26" s="709"/>
      <c r="C26" s="127" t="s">
        <v>1125</v>
      </c>
      <c r="D26" s="715"/>
      <c r="E26" s="715"/>
      <c r="F26" s="715"/>
      <c r="G26" s="715"/>
      <c r="H26" s="715"/>
      <c r="I26" s="715"/>
      <c r="J26" s="931">
        <f t="shared" si="2"/>
        <v>0</v>
      </c>
      <c r="K26" s="1112" t="s">
        <v>1133</v>
      </c>
      <c r="L26" s="2272"/>
    </row>
    <row r="27" spans="1:14">
      <c r="A27" s="128"/>
      <c r="B27" s="709"/>
      <c r="C27" s="127" t="s">
        <v>681</v>
      </c>
      <c r="D27" s="715"/>
      <c r="E27" s="715"/>
      <c r="F27" s="715"/>
      <c r="G27" s="715"/>
      <c r="H27" s="715"/>
      <c r="I27" s="715"/>
      <c r="J27" s="931">
        <f t="shared" si="2"/>
        <v>0</v>
      </c>
      <c r="K27" s="1112"/>
      <c r="L27" s="2272"/>
    </row>
    <row r="28" spans="1:14">
      <c r="A28" s="128"/>
      <c r="B28" s="709"/>
      <c r="C28" s="127" t="s">
        <v>1212</v>
      </c>
      <c r="D28" s="715"/>
      <c r="E28" s="715"/>
      <c r="F28" s="715"/>
      <c r="G28" s="715"/>
      <c r="H28" s="715"/>
      <c r="I28" s="715"/>
      <c r="J28" s="931">
        <f t="shared" si="2"/>
        <v>0</v>
      </c>
      <c r="K28" s="1112"/>
      <c r="L28" s="1287" t="str">
        <f>IFERROR(J28/SUM($J$20:$J$30),"")</f>
        <v/>
      </c>
    </row>
    <row r="29" spans="1:14">
      <c r="A29" s="128"/>
      <c r="B29" s="709"/>
      <c r="C29" s="127" t="s">
        <v>1126</v>
      </c>
      <c r="D29" s="715"/>
      <c r="E29" s="715"/>
      <c r="F29" s="715"/>
      <c r="G29" s="715"/>
      <c r="H29" s="715"/>
      <c r="I29" s="715"/>
      <c r="J29" s="931">
        <f t="shared" si="2"/>
        <v>0</v>
      </c>
      <c r="K29" s="1112"/>
      <c r="L29" s="1287" t="str">
        <f t="shared" ref="L29:L30" si="3">IFERROR(J29/SUM($J$20:$J$30),"")</f>
        <v/>
      </c>
    </row>
    <row r="30" spans="1:14" s="319" customFormat="1">
      <c r="A30" s="128"/>
      <c r="B30" s="709"/>
      <c r="C30" s="127" t="s">
        <v>1127</v>
      </c>
      <c r="D30" s="715"/>
      <c r="E30" s="715"/>
      <c r="F30" s="715"/>
      <c r="G30" s="715"/>
      <c r="H30" s="715"/>
      <c r="I30" s="715"/>
      <c r="J30" s="931">
        <f t="shared" si="2"/>
        <v>0</v>
      </c>
      <c r="K30" s="1112"/>
      <c r="L30" s="1287" t="str">
        <f t="shared" si="3"/>
        <v/>
      </c>
    </row>
    <row r="31" spans="1:14" ht="14.4">
      <c r="A31" s="319"/>
      <c r="B31" s="319"/>
      <c r="C31" s="1268" t="s">
        <v>1128</v>
      </c>
      <c r="D31" s="1269">
        <f t="shared" ref="D31:I31" si="4">SUM(D20:D30)</f>
        <v>0</v>
      </c>
      <c r="E31" s="1269">
        <f t="shared" si="4"/>
        <v>0</v>
      </c>
      <c r="F31" s="1269">
        <f t="shared" si="4"/>
        <v>0</v>
      </c>
      <c r="G31" s="1269">
        <f t="shared" si="4"/>
        <v>0</v>
      </c>
      <c r="H31" s="1269">
        <f t="shared" si="4"/>
        <v>0</v>
      </c>
      <c r="I31" s="1270">
        <f t="shared" si="4"/>
        <v>0</v>
      </c>
      <c r="J31" s="1270">
        <f t="shared" si="2"/>
        <v>0</v>
      </c>
      <c r="K31" s="419"/>
      <c r="L31" s="1288"/>
    </row>
    <row r="32" spans="1:14" ht="15" customHeight="1">
      <c r="A32" s="128"/>
      <c r="B32" s="709"/>
      <c r="C32" s="127" t="s">
        <v>1129</v>
      </c>
      <c r="D32" s="715"/>
      <c r="E32" s="715"/>
      <c r="F32" s="715"/>
      <c r="G32" s="715"/>
      <c r="H32" s="715"/>
      <c r="I32" s="715"/>
      <c r="J32" s="931">
        <f t="shared" si="2"/>
        <v>0</v>
      </c>
      <c r="K32" s="1112" t="s">
        <v>1134</v>
      </c>
      <c r="L32" s="1287" t="str">
        <f t="shared" ref="L32:L35" si="5">IFERROR(J32/SUM($J$20:$J$30),"")</f>
        <v/>
      </c>
    </row>
    <row r="33" spans="1:12" ht="15" customHeight="1">
      <c r="A33" s="128"/>
      <c r="B33" s="709"/>
      <c r="C33" s="127" t="s">
        <v>1130</v>
      </c>
      <c r="D33" s="715"/>
      <c r="E33" s="715"/>
      <c r="F33" s="715"/>
      <c r="G33" s="715"/>
      <c r="H33" s="715"/>
      <c r="I33" s="715"/>
      <c r="J33" s="931">
        <f t="shared" si="2"/>
        <v>0</v>
      </c>
      <c r="K33" s="1112" t="s">
        <v>1134</v>
      </c>
      <c r="L33" s="1287" t="str">
        <f t="shared" si="5"/>
        <v/>
      </c>
    </row>
    <row r="34" spans="1:12" ht="15" customHeight="1">
      <c r="A34" s="128"/>
      <c r="B34" s="709"/>
      <c r="C34" s="127" t="s">
        <v>1131</v>
      </c>
      <c r="D34" s="715"/>
      <c r="E34" s="715"/>
      <c r="F34" s="715"/>
      <c r="G34" s="715"/>
      <c r="H34" s="715"/>
      <c r="I34" s="715"/>
      <c r="J34" s="931">
        <f t="shared" si="2"/>
        <v>0</v>
      </c>
      <c r="K34" s="1112" t="s">
        <v>1135</v>
      </c>
      <c r="L34" s="1287" t="str">
        <f t="shared" si="5"/>
        <v/>
      </c>
    </row>
    <row r="35" spans="1:12" s="710" customFormat="1">
      <c r="A35" s="128"/>
      <c r="B35" s="709"/>
      <c r="C35" s="127" t="s">
        <v>1132</v>
      </c>
      <c r="D35" s="715"/>
      <c r="E35" s="715"/>
      <c r="F35" s="715"/>
      <c r="G35" s="715"/>
      <c r="H35" s="715"/>
      <c r="I35" s="715"/>
      <c r="J35" s="931">
        <f t="shared" si="2"/>
        <v>0</v>
      </c>
      <c r="K35" s="1112" t="s">
        <v>1136</v>
      </c>
      <c r="L35" s="1289" t="str">
        <f t="shared" si="5"/>
        <v/>
      </c>
    </row>
    <row r="36" spans="1:12" s="710" customFormat="1" ht="14.4">
      <c r="A36" s="128"/>
      <c r="B36" s="128"/>
      <c r="C36" s="1268" t="s">
        <v>1208</v>
      </c>
      <c r="D36" s="1269">
        <f>SUM(D32:D35)</f>
        <v>0</v>
      </c>
      <c r="E36" s="1269">
        <f t="shared" ref="E36:J36" si="6">SUM(E32:E35)</f>
        <v>0</v>
      </c>
      <c r="F36" s="1269">
        <f t="shared" si="6"/>
        <v>0</v>
      </c>
      <c r="G36" s="1269">
        <f t="shared" si="6"/>
        <v>0</v>
      </c>
      <c r="H36" s="1269">
        <f t="shared" si="6"/>
        <v>0</v>
      </c>
      <c r="I36" s="1269">
        <f t="shared" si="6"/>
        <v>0</v>
      </c>
      <c r="J36" s="1270">
        <f t="shared" si="6"/>
        <v>0</v>
      </c>
      <c r="K36" s="1121"/>
      <c r="L36" s="637"/>
    </row>
    <row r="37" spans="1:12" s="319" customFormat="1">
      <c r="A37" s="710"/>
      <c r="C37" s="1276" t="s">
        <v>680</v>
      </c>
      <c r="D37" s="1277">
        <f>D31+D36</f>
        <v>0</v>
      </c>
      <c r="E37" s="1277">
        <f t="shared" ref="E37:J37" si="7">E31+E36</f>
        <v>0</v>
      </c>
      <c r="F37" s="1277">
        <f t="shared" si="7"/>
        <v>0</v>
      </c>
      <c r="G37" s="1277">
        <f t="shared" si="7"/>
        <v>0</v>
      </c>
      <c r="H37" s="1277">
        <f t="shared" si="7"/>
        <v>0</v>
      </c>
      <c r="I37" s="1277">
        <f t="shared" si="7"/>
        <v>0</v>
      </c>
      <c r="J37" s="1278">
        <f t="shared" si="7"/>
        <v>0</v>
      </c>
      <c r="K37" s="1280"/>
    </row>
    <row r="38" spans="1:12" s="319" customFormat="1">
      <c r="A38" s="128"/>
      <c r="B38" s="128"/>
      <c r="C38" s="128"/>
      <c r="D38" s="925"/>
      <c r="E38" s="128"/>
      <c r="F38" s="128"/>
      <c r="G38" s="128"/>
      <c r="H38" s="926"/>
      <c r="I38" s="938"/>
      <c r="J38" s="1393"/>
      <c r="K38" s="1121"/>
      <c r="L38" s="684"/>
    </row>
    <row r="39" spans="1:12" s="319" customFormat="1" ht="14.4">
      <c r="A39" s="319" t="s">
        <v>679</v>
      </c>
      <c r="B39" s="128"/>
      <c r="C39" s="704"/>
      <c r="D39" s="689"/>
      <c r="E39" s="689"/>
      <c r="F39" s="689"/>
      <c r="G39" s="689"/>
      <c r="H39" s="689"/>
      <c r="I39" s="939"/>
      <c r="J39" s="936"/>
      <c r="K39" s="1121"/>
      <c r="L39" s="182"/>
    </row>
    <row r="40" spans="1:12" s="319" customFormat="1">
      <c r="B40" s="700" t="s">
        <v>1175</v>
      </c>
      <c r="C40" s="711"/>
      <c r="D40" s="683"/>
      <c r="E40" s="683"/>
      <c r="F40" s="683"/>
      <c r="G40" s="683"/>
      <c r="H40" s="683"/>
      <c r="I40" s="940"/>
      <c r="J40" s="1274"/>
      <c r="K40" s="1117"/>
      <c r="L40" s="182"/>
    </row>
    <row r="41" spans="1:12" s="319" customFormat="1" ht="27.6">
      <c r="B41" s="700"/>
      <c r="C41" s="127" t="s">
        <v>1137</v>
      </c>
      <c r="D41" s="715"/>
      <c r="E41" s="715"/>
      <c r="F41" s="715"/>
      <c r="G41" s="715"/>
      <c r="H41" s="715"/>
      <c r="I41" s="715"/>
      <c r="J41" s="931">
        <f t="shared" ref="J41:J47" si="8">SUM(D41:I41)</f>
        <v>0</v>
      </c>
      <c r="K41" s="1112" t="s">
        <v>1182</v>
      </c>
      <c r="L41" s="182"/>
    </row>
    <row r="42" spans="1:12" s="319" customFormat="1">
      <c r="B42" s="700"/>
      <c r="C42" s="127" t="s">
        <v>1138</v>
      </c>
      <c r="D42" s="715"/>
      <c r="E42" s="715"/>
      <c r="F42" s="715"/>
      <c r="G42" s="715"/>
      <c r="H42" s="715"/>
      <c r="I42" s="715"/>
      <c r="J42" s="931">
        <f t="shared" si="8"/>
        <v>0</v>
      </c>
      <c r="K42" s="1112"/>
      <c r="L42" s="182"/>
    </row>
    <row r="43" spans="1:12" s="319" customFormat="1">
      <c r="B43" s="700"/>
      <c r="C43" s="127" t="s">
        <v>1139</v>
      </c>
      <c r="D43" s="715"/>
      <c r="E43" s="715"/>
      <c r="F43" s="715"/>
      <c r="G43" s="715"/>
      <c r="H43" s="715"/>
      <c r="I43" s="715"/>
      <c r="J43" s="931">
        <f t="shared" si="8"/>
        <v>0</v>
      </c>
      <c r="K43" s="1112"/>
      <c r="L43" s="182"/>
    </row>
    <row r="44" spans="1:12" s="319" customFormat="1">
      <c r="B44" s="700"/>
      <c r="C44" s="127" t="s">
        <v>1140</v>
      </c>
      <c r="D44" s="715"/>
      <c r="E44" s="715"/>
      <c r="F44" s="715"/>
      <c r="G44" s="715"/>
      <c r="H44" s="715"/>
      <c r="I44" s="715"/>
      <c r="J44" s="931">
        <f t="shared" si="8"/>
        <v>0</v>
      </c>
      <c r="K44" s="1112"/>
    </row>
    <row r="45" spans="1:12">
      <c r="A45" s="319"/>
      <c r="B45" s="700"/>
      <c r="C45" s="144" t="s">
        <v>1141</v>
      </c>
      <c r="D45" s="715"/>
      <c r="E45" s="715"/>
      <c r="F45" s="715"/>
      <c r="G45" s="715"/>
      <c r="H45" s="715"/>
      <c r="I45" s="715"/>
      <c r="J45" s="931">
        <f t="shared" si="8"/>
        <v>0</v>
      </c>
      <c r="K45" s="1112"/>
    </row>
    <row r="46" spans="1:12" ht="14.4">
      <c r="A46" s="319"/>
      <c r="B46" s="319"/>
      <c r="C46" s="704" t="s">
        <v>1142</v>
      </c>
      <c r="D46" s="1390">
        <f t="shared" ref="D46:I46" si="9">SUM(D41:D45)</f>
        <v>0</v>
      </c>
      <c r="E46" s="1390">
        <f t="shared" si="9"/>
        <v>0</v>
      </c>
      <c r="F46" s="1390">
        <f t="shared" si="9"/>
        <v>0</v>
      </c>
      <c r="G46" s="1390">
        <f t="shared" si="9"/>
        <v>0</v>
      </c>
      <c r="H46" s="1390">
        <f t="shared" si="9"/>
        <v>0</v>
      </c>
      <c r="I46" s="1390">
        <f t="shared" si="9"/>
        <v>0</v>
      </c>
      <c r="J46" s="1270">
        <f t="shared" si="8"/>
        <v>0</v>
      </c>
      <c r="K46" s="1112"/>
    </row>
    <row r="47" spans="1:12" ht="27.6">
      <c r="A47" s="319"/>
      <c r="B47" s="319"/>
      <c r="C47" s="1281" t="s">
        <v>1143</v>
      </c>
      <c r="D47" s="1271"/>
      <c r="E47" s="1271"/>
      <c r="F47" s="1271"/>
      <c r="G47" s="1271"/>
      <c r="H47" s="1271"/>
      <c r="I47" s="1271"/>
      <c r="J47" s="1394">
        <f t="shared" si="8"/>
        <v>0</v>
      </c>
      <c r="K47" s="1272" t="s">
        <v>1144</v>
      </c>
    </row>
    <row r="48" spans="1:12">
      <c r="A48" s="319"/>
      <c r="B48" s="319"/>
      <c r="C48" s="924" t="s">
        <v>1177</v>
      </c>
      <c r="D48" s="687">
        <f>D46+D47</f>
        <v>0</v>
      </c>
      <c r="E48" s="687">
        <f t="shared" ref="E48:J48" si="10">E46+E47</f>
        <v>0</v>
      </c>
      <c r="F48" s="687">
        <f t="shared" si="10"/>
        <v>0</v>
      </c>
      <c r="G48" s="687">
        <f t="shared" si="10"/>
        <v>0</v>
      </c>
      <c r="H48" s="687">
        <f t="shared" si="10"/>
        <v>0</v>
      </c>
      <c r="I48" s="687">
        <f t="shared" si="10"/>
        <v>0</v>
      </c>
      <c r="J48" s="941">
        <f t="shared" si="10"/>
        <v>0</v>
      </c>
      <c r="K48" s="1120"/>
      <c r="L48" s="684"/>
    </row>
    <row r="49" spans="1:12">
      <c r="A49" s="128"/>
      <c r="B49" s="700" t="s">
        <v>1176</v>
      </c>
      <c r="C49" s="712"/>
      <c r="D49" s="688"/>
      <c r="E49" s="688"/>
      <c r="F49" s="688"/>
      <c r="G49" s="688"/>
      <c r="H49" s="688"/>
      <c r="I49" s="930"/>
      <c r="J49" s="930"/>
      <c r="K49" s="1117"/>
    </row>
    <row r="50" spans="1:12">
      <c r="A50" s="128"/>
      <c r="B50" s="709"/>
      <c r="C50" s="127" t="s">
        <v>678</v>
      </c>
      <c r="D50" s="715"/>
      <c r="E50" s="715"/>
      <c r="F50" s="715"/>
      <c r="G50" s="715"/>
      <c r="H50" s="715"/>
      <c r="I50" s="715"/>
      <c r="J50" s="931">
        <f t="shared" ref="J50:J57" si="11">SUM(D50:I50)</f>
        <v>0</v>
      </c>
      <c r="K50" s="1112"/>
    </row>
    <row r="51" spans="1:12" s="319" customFormat="1">
      <c r="A51" s="128"/>
      <c r="B51" s="709"/>
      <c r="C51" s="127" t="s">
        <v>677</v>
      </c>
      <c r="D51" s="715"/>
      <c r="E51" s="715"/>
      <c r="F51" s="715"/>
      <c r="G51" s="715"/>
      <c r="H51" s="715"/>
      <c r="I51" s="715"/>
      <c r="J51" s="931">
        <f t="shared" si="11"/>
        <v>0</v>
      </c>
      <c r="K51" s="1112"/>
      <c r="L51" s="182"/>
    </row>
    <row r="52" spans="1:12" s="319" customFormat="1">
      <c r="A52" s="128"/>
      <c r="B52" s="709"/>
      <c r="C52" s="127" t="s">
        <v>676</v>
      </c>
      <c r="D52" s="715"/>
      <c r="E52" s="715"/>
      <c r="F52" s="715"/>
      <c r="G52" s="715"/>
      <c r="H52" s="715"/>
      <c r="I52" s="715"/>
      <c r="J52" s="931">
        <f t="shared" si="11"/>
        <v>0</v>
      </c>
      <c r="K52" s="1112"/>
      <c r="L52" s="182"/>
    </row>
    <row r="53" spans="1:12" s="319" customFormat="1">
      <c r="A53" s="128"/>
      <c r="B53" s="709"/>
      <c r="C53" s="127" t="s">
        <v>1160</v>
      </c>
      <c r="D53" s="715"/>
      <c r="E53" s="715"/>
      <c r="F53" s="715"/>
      <c r="G53" s="715"/>
      <c r="H53" s="715"/>
      <c r="I53" s="715"/>
      <c r="J53" s="931">
        <f t="shared" si="11"/>
        <v>0</v>
      </c>
      <c r="K53" s="1112"/>
      <c r="L53" s="182"/>
    </row>
    <row r="54" spans="1:12" s="319" customFormat="1">
      <c r="A54" s="128"/>
      <c r="B54" s="709"/>
      <c r="C54" s="127" t="s">
        <v>1161</v>
      </c>
      <c r="D54" s="715"/>
      <c r="E54" s="715"/>
      <c r="F54" s="715"/>
      <c r="G54" s="715"/>
      <c r="H54" s="715"/>
      <c r="I54" s="715"/>
      <c r="J54" s="931">
        <f t="shared" si="11"/>
        <v>0</v>
      </c>
      <c r="K54" s="1112"/>
      <c r="L54" s="182"/>
    </row>
    <row r="55" spans="1:12" s="319" customFormat="1">
      <c r="A55" s="128"/>
      <c r="B55" s="709"/>
      <c r="C55" s="127" t="s">
        <v>1145</v>
      </c>
      <c r="D55" s="715"/>
      <c r="E55" s="715"/>
      <c r="F55" s="715"/>
      <c r="G55" s="715"/>
      <c r="H55" s="715"/>
      <c r="I55" s="715"/>
      <c r="J55" s="931">
        <f t="shared" si="11"/>
        <v>0</v>
      </c>
      <c r="K55" s="1112"/>
      <c r="L55" s="182"/>
    </row>
    <row r="56" spans="1:12">
      <c r="A56" s="128"/>
      <c r="B56" s="709"/>
      <c r="C56" s="127" t="s">
        <v>1146</v>
      </c>
      <c r="D56" s="715"/>
      <c r="E56" s="715"/>
      <c r="F56" s="715"/>
      <c r="G56" s="715"/>
      <c r="H56" s="715"/>
      <c r="I56" s="715"/>
      <c r="J56" s="931">
        <f t="shared" si="11"/>
        <v>0</v>
      </c>
      <c r="K56" s="1272" t="s">
        <v>1213</v>
      </c>
    </row>
    <row r="57" spans="1:12">
      <c r="A57" s="319"/>
      <c r="B57" s="319"/>
      <c r="C57" s="714" t="s">
        <v>1178</v>
      </c>
      <c r="D57" s="687">
        <f t="shared" ref="D57:I57" si="12">SUM(D50:D56)</f>
        <v>0</v>
      </c>
      <c r="E57" s="687">
        <f t="shared" si="12"/>
        <v>0</v>
      </c>
      <c r="F57" s="687">
        <f t="shared" si="12"/>
        <v>0</v>
      </c>
      <c r="G57" s="687">
        <f t="shared" si="12"/>
        <v>0</v>
      </c>
      <c r="H57" s="687">
        <f t="shared" si="12"/>
        <v>0</v>
      </c>
      <c r="I57" s="941">
        <f t="shared" si="12"/>
        <v>0</v>
      </c>
      <c r="J57" s="941">
        <f t="shared" si="11"/>
        <v>0</v>
      </c>
      <c r="K57" s="1120"/>
    </row>
    <row r="58" spans="1:12" ht="14.4">
      <c r="A58" s="128"/>
      <c r="B58" s="700" t="s">
        <v>675</v>
      </c>
      <c r="C58" s="918"/>
      <c r="D58" s="920"/>
      <c r="E58" s="920"/>
      <c r="F58" s="920"/>
      <c r="G58" s="920"/>
      <c r="H58" s="920"/>
      <c r="I58" s="942"/>
      <c r="J58" s="942"/>
      <c r="K58" s="1121"/>
    </row>
    <row r="59" spans="1:12" s="319" customFormat="1">
      <c r="C59" s="919" t="s">
        <v>882</v>
      </c>
      <c r="D59" s="677"/>
      <c r="E59" s="677"/>
      <c r="F59" s="677"/>
      <c r="G59" s="677"/>
      <c r="H59" s="677"/>
      <c r="I59" s="928"/>
      <c r="J59" s="930"/>
      <c r="K59" s="1117"/>
      <c r="L59" s="182"/>
    </row>
    <row r="60" spans="1:12">
      <c r="A60" s="128"/>
      <c r="B60" s="709"/>
      <c r="C60" s="127" t="s">
        <v>674</v>
      </c>
      <c r="D60" s="715"/>
      <c r="E60" s="715"/>
      <c r="F60" s="715"/>
      <c r="G60" s="715"/>
      <c r="H60" s="715"/>
      <c r="I60" s="715"/>
      <c r="J60" s="931">
        <f t="shared" ref="J60:J67" si="13">SUM(D60:I60)</f>
        <v>0</v>
      </c>
      <c r="K60" s="1112"/>
    </row>
    <row r="61" spans="1:12">
      <c r="A61" s="128"/>
      <c r="B61" s="709"/>
      <c r="C61" s="127" t="s">
        <v>673</v>
      </c>
      <c r="D61" s="715"/>
      <c r="E61" s="715"/>
      <c r="F61" s="715"/>
      <c r="G61" s="715"/>
      <c r="H61" s="715"/>
      <c r="I61" s="715"/>
      <c r="J61" s="931">
        <f t="shared" si="13"/>
        <v>0</v>
      </c>
      <c r="K61" s="1112"/>
    </row>
    <row r="62" spans="1:12">
      <c r="A62" s="128"/>
      <c r="B62" s="709"/>
      <c r="C62" s="127" t="s">
        <v>669</v>
      </c>
      <c r="D62" s="715"/>
      <c r="E62" s="715"/>
      <c r="F62" s="715"/>
      <c r="G62" s="715"/>
      <c r="H62" s="715"/>
      <c r="I62" s="715"/>
      <c r="J62" s="931">
        <f t="shared" si="13"/>
        <v>0</v>
      </c>
      <c r="K62" s="1112"/>
    </row>
    <row r="63" spans="1:12">
      <c r="A63" s="128"/>
      <c r="B63" s="709"/>
      <c r="C63" s="127" t="s">
        <v>1147</v>
      </c>
      <c r="D63" s="715"/>
      <c r="E63" s="715"/>
      <c r="F63" s="715"/>
      <c r="G63" s="715"/>
      <c r="H63" s="715"/>
      <c r="I63" s="715"/>
      <c r="J63" s="931">
        <f t="shared" si="13"/>
        <v>0</v>
      </c>
      <c r="K63" s="1112"/>
    </row>
    <row r="64" spans="1:12">
      <c r="A64" s="128"/>
      <c r="B64" s="709"/>
      <c r="C64" s="127" t="s">
        <v>1148</v>
      </c>
      <c r="D64" s="715"/>
      <c r="E64" s="715"/>
      <c r="F64" s="715"/>
      <c r="G64" s="715"/>
      <c r="H64" s="715"/>
      <c r="I64" s="715"/>
      <c r="J64" s="931">
        <f t="shared" si="13"/>
        <v>0</v>
      </c>
      <c r="K64" s="1112"/>
    </row>
    <row r="65" spans="1:12" s="699" customFormat="1" ht="14.4">
      <c r="A65" s="128"/>
      <c r="B65" s="709"/>
      <c r="C65" s="127" t="s">
        <v>1149</v>
      </c>
      <c r="D65" s="715"/>
      <c r="E65" s="715"/>
      <c r="F65" s="715"/>
      <c r="G65" s="715"/>
      <c r="H65" s="715"/>
      <c r="I65" s="715"/>
      <c r="J65" s="931">
        <f t="shared" si="13"/>
        <v>0</v>
      </c>
      <c r="K65" s="1113"/>
      <c r="L65" s="637"/>
    </row>
    <row r="66" spans="1:12">
      <c r="A66" s="128"/>
      <c r="B66" s="709"/>
      <c r="C66" s="623" t="s">
        <v>1150</v>
      </c>
      <c r="D66" s="716"/>
      <c r="E66" s="716"/>
      <c r="F66" s="715"/>
      <c r="G66" s="715"/>
      <c r="H66" s="715"/>
      <c r="I66" s="715"/>
      <c r="J66" s="931">
        <f t="shared" si="13"/>
        <v>0</v>
      </c>
      <c r="K66" s="1112"/>
    </row>
    <row r="67" spans="1:12" s="319" customFormat="1" ht="14.4">
      <c r="C67" s="922" t="s">
        <v>672</v>
      </c>
      <c r="D67" s="923">
        <f t="shared" ref="D67:I67" si="14">SUM(D60:D66)</f>
        <v>0</v>
      </c>
      <c r="E67" s="923">
        <f t="shared" si="14"/>
        <v>0</v>
      </c>
      <c r="F67" s="923">
        <f t="shared" si="14"/>
        <v>0</v>
      </c>
      <c r="G67" s="923">
        <f t="shared" si="14"/>
        <v>0</v>
      </c>
      <c r="H67" s="923">
        <f t="shared" si="14"/>
        <v>0</v>
      </c>
      <c r="I67" s="943">
        <f t="shared" si="14"/>
        <v>0</v>
      </c>
      <c r="J67" s="943">
        <f t="shared" si="13"/>
        <v>0</v>
      </c>
      <c r="K67" s="1120"/>
      <c r="L67" s="182"/>
    </row>
    <row r="68" spans="1:12" s="319" customFormat="1">
      <c r="C68" s="919" t="s">
        <v>1209</v>
      </c>
      <c r="D68" s="677"/>
      <c r="E68" s="677"/>
      <c r="F68" s="677"/>
      <c r="G68" s="677"/>
      <c r="H68" s="677"/>
      <c r="I68" s="928"/>
      <c r="J68" s="930"/>
      <c r="K68" s="1117"/>
      <c r="L68" s="182"/>
    </row>
    <row r="69" spans="1:12">
      <c r="A69" s="128"/>
      <c r="B69" s="709"/>
      <c r="C69" s="127" t="s">
        <v>671</v>
      </c>
      <c r="D69" s="715"/>
      <c r="E69" s="716"/>
      <c r="F69" s="716"/>
      <c r="G69" s="715"/>
      <c r="H69" s="715"/>
      <c r="I69" s="715"/>
      <c r="J69" s="931">
        <f>SUM(D69:I69)</f>
        <v>0</v>
      </c>
      <c r="K69" s="1112"/>
    </row>
    <row r="70" spans="1:12" ht="14.4">
      <c r="A70" s="128"/>
      <c r="B70" s="698"/>
      <c r="C70" s="127" t="s">
        <v>670</v>
      </c>
      <c r="D70" s="717"/>
      <c r="E70" s="718"/>
      <c r="F70" s="718"/>
      <c r="G70" s="717"/>
      <c r="H70" s="717"/>
      <c r="I70" s="717"/>
      <c r="J70" s="931">
        <f>SUM(D70:I70)</f>
        <v>0</v>
      </c>
      <c r="K70" s="1112"/>
    </row>
    <row r="71" spans="1:12">
      <c r="A71" s="128"/>
      <c r="B71" s="709"/>
      <c r="C71" s="127" t="s">
        <v>669</v>
      </c>
      <c r="D71" s="715"/>
      <c r="E71" s="715"/>
      <c r="F71" s="715"/>
      <c r="G71" s="715"/>
      <c r="H71" s="715"/>
      <c r="I71" s="715"/>
      <c r="J71" s="931">
        <f>SUM(D71:I71)</f>
        <v>0</v>
      </c>
      <c r="K71" s="1112"/>
    </row>
    <row r="72" spans="1:12" ht="14.4">
      <c r="A72" s="319"/>
      <c r="B72" s="319"/>
      <c r="C72" s="922" t="s">
        <v>668</v>
      </c>
      <c r="D72" s="923">
        <f t="shared" ref="D72:I72" si="15">SUM(D69:D71)</f>
        <v>0</v>
      </c>
      <c r="E72" s="923">
        <f t="shared" si="15"/>
        <v>0</v>
      </c>
      <c r="F72" s="923">
        <f t="shared" si="15"/>
        <v>0</v>
      </c>
      <c r="G72" s="923">
        <f t="shared" si="15"/>
        <v>0</v>
      </c>
      <c r="H72" s="923">
        <f t="shared" si="15"/>
        <v>0</v>
      </c>
      <c r="I72" s="943">
        <f t="shared" si="15"/>
        <v>0</v>
      </c>
      <c r="J72" s="943">
        <f>SUM(D72:I72)</f>
        <v>0</v>
      </c>
      <c r="K72" s="1122"/>
    </row>
    <row r="73" spans="1:12" s="319" customFormat="1">
      <c r="C73" s="714" t="s">
        <v>667</v>
      </c>
      <c r="D73" s="921">
        <f>D67+D72</f>
        <v>0</v>
      </c>
      <c r="E73" s="921">
        <f t="shared" ref="E73:J73" si="16">E67+E72</f>
        <v>0</v>
      </c>
      <c r="F73" s="921">
        <f t="shared" si="16"/>
        <v>0</v>
      </c>
      <c r="G73" s="921">
        <f t="shared" si="16"/>
        <v>0</v>
      </c>
      <c r="H73" s="921">
        <f t="shared" si="16"/>
        <v>0</v>
      </c>
      <c r="I73" s="921">
        <f t="shared" si="16"/>
        <v>0</v>
      </c>
      <c r="J73" s="1395">
        <f t="shared" si="16"/>
        <v>0</v>
      </c>
      <c r="K73" s="1116"/>
      <c r="L73" s="182"/>
    </row>
    <row r="74" spans="1:12">
      <c r="A74" s="128"/>
      <c r="B74" s="700" t="s">
        <v>666</v>
      </c>
      <c r="C74" s="712"/>
      <c r="D74" s="686"/>
      <c r="E74" s="686"/>
      <c r="F74" s="686"/>
      <c r="G74" s="686"/>
      <c r="H74" s="686"/>
      <c r="I74" s="944"/>
      <c r="J74" s="930"/>
      <c r="K74" s="1115"/>
    </row>
    <row r="75" spans="1:12">
      <c r="A75" s="128"/>
      <c r="B75" s="709"/>
      <c r="C75" s="127" t="s">
        <v>1151</v>
      </c>
      <c r="D75" s="715"/>
      <c r="E75" s="716"/>
      <c r="F75" s="716"/>
      <c r="G75" s="716"/>
      <c r="H75" s="716"/>
      <c r="I75" s="716"/>
      <c r="J75" s="931">
        <f t="shared" ref="J75:J104" si="17">SUM(D75:I75)</f>
        <v>0</v>
      </c>
      <c r="K75" s="1112"/>
    </row>
    <row r="76" spans="1:12">
      <c r="A76" s="128"/>
      <c r="B76" s="709"/>
      <c r="C76" s="127" t="s">
        <v>1152</v>
      </c>
      <c r="D76" s="715"/>
      <c r="E76" s="716"/>
      <c r="F76" s="716"/>
      <c r="G76" s="716"/>
      <c r="H76" s="716"/>
      <c r="I76" s="716"/>
      <c r="J76" s="931">
        <f t="shared" si="17"/>
        <v>0</v>
      </c>
      <c r="K76" s="1112"/>
    </row>
    <row r="77" spans="1:12">
      <c r="A77" s="128"/>
      <c r="B77" s="709"/>
      <c r="C77" s="127" t="s">
        <v>1153</v>
      </c>
      <c r="D77" s="715"/>
      <c r="E77" s="716"/>
      <c r="F77" s="716"/>
      <c r="G77" s="716"/>
      <c r="H77" s="716"/>
      <c r="I77" s="716"/>
      <c r="J77" s="931">
        <f t="shared" si="17"/>
        <v>0</v>
      </c>
      <c r="K77" s="1112"/>
    </row>
    <row r="78" spans="1:12">
      <c r="A78" s="128"/>
      <c r="B78" s="709"/>
      <c r="C78" s="127" t="s">
        <v>1154</v>
      </c>
      <c r="D78" s="715"/>
      <c r="E78" s="716"/>
      <c r="F78" s="716"/>
      <c r="G78" s="716"/>
      <c r="H78" s="716"/>
      <c r="I78" s="716"/>
      <c r="J78" s="931">
        <f t="shared" si="17"/>
        <v>0</v>
      </c>
      <c r="K78" s="1112"/>
    </row>
    <row r="79" spans="1:12">
      <c r="A79" s="128"/>
      <c r="B79" s="709"/>
      <c r="C79" s="127" t="s">
        <v>1155</v>
      </c>
      <c r="D79" s="715"/>
      <c r="E79" s="716"/>
      <c r="F79" s="716"/>
      <c r="G79" s="716"/>
      <c r="H79" s="716"/>
      <c r="I79" s="716"/>
      <c r="J79" s="931">
        <f t="shared" si="17"/>
        <v>0</v>
      </c>
      <c r="K79" s="1112"/>
    </row>
    <row r="80" spans="1:12">
      <c r="A80" s="128"/>
      <c r="B80" s="709"/>
      <c r="C80" s="127" t="s">
        <v>1156</v>
      </c>
      <c r="D80" s="715"/>
      <c r="E80" s="716"/>
      <c r="F80" s="716"/>
      <c r="G80" s="716"/>
      <c r="H80" s="716"/>
      <c r="I80" s="716"/>
      <c r="J80" s="931">
        <f t="shared" si="17"/>
        <v>0</v>
      </c>
      <c r="K80" s="1112"/>
    </row>
    <row r="81" spans="1:12">
      <c r="A81" s="128"/>
      <c r="B81" s="709"/>
      <c r="C81" s="623" t="s">
        <v>1157</v>
      </c>
      <c r="D81" s="715"/>
      <c r="E81" s="716"/>
      <c r="F81" s="716"/>
      <c r="G81" s="716"/>
      <c r="H81" s="716"/>
      <c r="I81" s="716"/>
      <c r="J81" s="931">
        <f t="shared" si="17"/>
        <v>0</v>
      </c>
      <c r="K81" s="1112"/>
    </row>
    <row r="82" spans="1:12">
      <c r="A82" s="319"/>
      <c r="B82" s="319"/>
      <c r="C82" s="924" t="s">
        <v>665</v>
      </c>
      <c r="D82" s="682">
        <f t="shared" ref="D82:I82" si="18">SUM(D75:D81)</f>
        <v>0</v>
      </c>
      <c r="E82" s="682">
        <f t="shared" si="18"/>
        <v>0</v>
      </c>
      <c r="F82" s="682">
        <f t="shared" si="18"/>
        <v>0</v>
      </c>
      <c r="G82" s="682">
        <f t="shared" si="18"/>
        <v>0</v>
      </c>
      <c r="H82" s="682">
        <f t="shared" si="18"/>
        <v>0</v>
      </c>
      <c r="I82" s="935">
        <f t="shared" si="18"/>
        <v>0</v>
      </c>
      <c r="J82" s="935">
        <f t="shared" si="17"/>
        <v>0</v>
      </c>
      <c r="K82" s="1120"/>
    </row>
    <row r="83" spans="1:12">
      <c r="A83" s="319"/>
      <c r="B83" s="319" t="s">
        <v>1158</v>
      </c>
      <c r="C83" s="1273"/>
      <c r="D83" s="678"/>
      <c r="E83" s="678"/>
      <c r="F83" s="678"/>
      <c r="G83" s="678"/>
      <c r="H83" s="678"/>
      <c r="I83" s="1274"/>
      <c r="J83" s="1274"/>
      <c r="K83" s="1117"/>
    </row>
    <row r="84" spans="1:12">
      <c r="A84" s="128"/>
      <c r="B84" s="709"/>
      <c r="C84" s="144" t="s">
        <v>664</v>
      </c>
      <c r="D84" s="715"/>
      <c r="E84" s="716"/>
      <c r="F84" s="716"/>
      <c r="G84" s="716"/>
      <c r="H84" s="716"/>
      <c r="I84" s="716"/>
      <c r="J84" s="931">
        <f t="shared" si="17"/>
        <v>0</v>
      </c>
      <c r="K84" s="1112"/>
    </row>
    <row r="85" spans="1:12">
      <c r="A85" s="128"/>
      <c r="B85" s="709"/>
      <c r="C85" s="127" t="s">
        <v>660</v>
      </c>
      <c r="D85" s="715"/>
      <c r="E85" s="716"/>
      <c r="F85" s="716"/>
      <c r="G85" s="716"/>
      <c r="H85" s="716"/>
      <c r="I85" s="716"/>
      <c r="J85" s="931">
        <f t="shared" si="17"/>
        <v>0</v>
      </c>
      <c r="K85" s="1112"/>
    </row>
    <row r="86" spans="1:12">
      <c r="A86" s="128"/>
      <c r="B86" s="1389" t="s">
        <v>1263</v>
      </c>
      <c r="C86" s="127" t="s">
        <v>1</v>
      </c>
      <c r="D86" s="715"/>
      <c r="E86" s="716"/>
      <c r="F86" s="716"/>
      <c r="G86" s="716"/>
      <c r="H86" s="716"/>
      <c r="I86" s="716"/>
      <c r="J86" s="931">
        <f t="shared" si="17"/>
        <v>0</v>
      </c>
      <c r="K86" s="1112"/>
    </row>
    <row r="87" spans="1:12">
      <c r="A87" s="128"/>
      <c r="B87" s="1389" t="s">
        <v>1263</v>
      </c>
      <c r="C87" s="127" t="s">
        <v>663</v>
      </c>
      <c r="D87" s="715"/>
      <c r="E87" s="716"/>
      <c r="F87" s="716"/>
      <c r="G87" s="716"/>
      <c r="H87" s="716"/>
      <c r="I87" s="716"/>
      <c r="J87" s="931">
        <f t="shared" si="17"/>
        <v>0</v>
      </c>
      <c r="K87" s="1112"/>
    </row>
    <row r="88" spans="1:12">
      <c r="A88" s="128"/>
      <c r="B88" s="709"/>
      <c r="C88" s="127" t="s">
        <v>1159</v>
      </c>
      <c r="D88" s="715"/>
      <c r="E88" s="716"/>
      <c r="F88" s="716"/>
      <c r="G88" s="716"/>
      <c r="H88" s="716"/>
      <c r="I88" s="716"/>
      <c r="J88" s="931">
        <f t="shared" si="17"/>
        <v>0</v>
      </c>
      <c r="K88" s="1112"/>
    </row>
    <row r="89" spans="1:12">
      <c r="A89" s="128"/>
      <c r="B89" s="1389" t="s">
        <v>1263</v>
      </c>
      <c r="C89" s="127" t="s">
        <v>1163</v>
      </c>
      <c r="D89" s="715"/>
      <c r="E89" s="716"/>
      <c r="F89" s="716"/>
      <c r="G89" s="716"/>
      <c r="H89" s="716"/>
      <c r="I89" s="716"/>
      <c r="J89" s="931">
        <f t="shared" si="17"/>
        <v>0</v>
      </c>
      <c r="K89" s="1112"/>
    </row>
    <row r="90" spans="1:12">
      <c r="A90" s="128"/>
      <c r="B90" s="709"/>
      <c r="C90" s="127" t="s">
        <v>1164</v>
      </c>
      <c r="D90" s="715"/>
      <c r="E90" s="716"/>
      <c r="F90" s="716"/>
      <c r="G90" s="716"/>
      <c r="H90" s="716"/>
      <c r="I90" s="716"/>
      <c r="J90" s="931">
        <f t="shared" si="17"/>
        <v>0</v>
      </c>
      <c r="K90" s="1112"/>
    </row>
    <row r="91" spans="1:12">
      <c r="A91" s="128"/>
      <c r="B91" s="1389" t="s">
        <v>1263</v>
      </c>
      <c r="C91" s="127" t="s">
        <v>1165</v>
      </c>
      <c r="D91" s="715"/>
      <c r="E91" s="716"/>
      <c r="F91" s="716"/>
      <c r="G91" s="716"/>
      <c r="H91" s="716"/>
      <c r="I91" s="716"/>
      <c r="J91" s="931">
        <f t="shared" si="17"/>
        <v>0</v>
      </c>
      <c r="K91" s="1112"/>
    </row>
    <row r="92" spans="1:12" ht="26.4">
      <c r="A92" s="128"/>
      <c r="B92" s="1389" t="s">
        <v>1263</v>
      </c>
      <c r="C92" s="127" t="s">
        <v>661</v>
      </c>
      <c r="D92" s="715"/>
      <c r="E92" s="716"/>
      <c r="F92" s="716"/>
      <c r="G92" s="716"/>
      <c r="H92" s="716"/>
      <c r="I92" s="716"/>
      <c r="J92" s="931">
        <f t="shared" si="17"/>
        <v>0</v>
      </c>
      <c r="K92" s="1286" t="s">
        <v>1191</v>
      </c>
    </row>
    <row r="93" spans="1:12" s="319" customFormat="1">
      <c r="A93" s="128"/>
      <c r="B93" s="709"/>
      <c r="C93" s="127" t="s">
        <v>1166</v>
      </c>
      <c r="D93" s="715"/>
      <c r="E93" s="716"/>
      <c r="F93" s="716"/>
      <c r="G93" s="716"/>
      <c r="H93" s="716"/>
      <c r="I93" s="716"/>
      <c r="J93" s="931">
        <f t="shared" si="17"/>
        <v>0</v>
      </c>
      <c r="K93" s="1112"/>
      <c r="L93" s="182"/>
    </row>
    <row r="94" spans="1:12" s="319" customFormat="1">
      <c r="A94" s="128"/>
      <c r="B94" s="709"/>
      <c r="C94" s="127" t="s">
        <v>1167</v>
      </c>
      <c r="D94" s="715"/>
      <c r="E94" s="716"/>
      <c r="F94" s="716"/>
      <c r="G94" s="716"/>
      <c r="H94" s="716"/>
      <c r="I94" s="716"/>
      <c r="J94" s="931">
        <f t="shared" si="17"/>
        <v>0</v>
      </c>
      <c r="K94" s="1112"/>
      <c r="L94" s="685"/>
    </row>
    <row r="95" spans="1:12" s="319" customFormat="1">
      <c r="A95" s="128"/>
      <c r="B95" s="1389" t="s">
        <v>1263</v>
      </c>
      <c r="C95" s="127" t="s">
        <v>1168</v>
      </c>
      <c r="D95" s="715"/>
      <c r="E95" s="716"/>
      <c r="F95" s="716"/>
      <c r="G95" s="716"/>
      <c r="H95" s="716"/>
      <c r="I95" s="716"/>
      <c r="J95" s="931">
        <f t="shared" si="17"/>
        <v>0</v>
      </c>
      <c r="K95" s="1112"/>
      <c r="L95" s="684"/>
    </row>
    <row r="96" spans="1:12" s="319" customFormat="1">
      <c r="A96" s="128"/>
      <c r="B96" s="709"/>
      <c r="C96" s="127" t="s">
        <v>1169</v>
      </c>
      <c r="D96" s="715"/>
      <c r="E96" s="716"/>
      <c r="F96" s="716"/>
      <c r="G96" s="716"/>
      <c r="H96" s="716"/>
      <c r="I96" s="716"/>
      <c r="J96" s="931">
        <f t="shared" si="17"/>
        <v>0</v>
      </c>
      <c r="K96" s="1112"/>
      <c r="L96" s="684"/>
    </row>
    <row r="97" spans="1:12" s="319" customFormat="1">
      <c r="A97" s="128"/>
      <c r="B97" s="709"/>
      <c r="C97" s="127" t="s">
        <v>1170</v>
      </c>
      <c r="D97" s="715"/>
      <c r="E97" s="716"/>
      <c r="F97" s="716"/>
      <c r="G97" s="716"/>
      <c r="H97" s="716"/>
      <c r="I97" s="716"/>
      <c r="J97" s="931">
        <f t="shared" si="17"/>
        <v>0</v>
      </c>
      <c r="K97" s="1112"/>
      <c r="L97" s="684"/>
    </row>
    <row r="98" spans="1:12" s="319" customFormat="1">
      <c r="A98" s="128"/>
      <c r="B98" s="1389" t="s">
        <v>1263</v>
      </c>
      <c r="C98" s="127" t="s">
        <v>662</v>
      </c>
      <c r="D98" s="715"/>
      <c r="E98" s="716"/>
      <c r="F98" s="716"/>
      <c r="G98" s="716"/>
      <c r="H98" s="716"/>
      <c r="I98" s="716"/>
      <c r="J98" s="931">
        <f t="shared" si="17"/>
        <v>0</v>
      </c>
      <c r="K98" s="1112"/>
      <c r="L98" s="684"/>
    </row>
    <row r="99" spans="1:12">
      <c r="A99" s="128"/>
      <c r="B99" s="709"/>
      <c r="C99" s="815" t="s">
        <v>651</v>
      </c>
      <c r="D99" s="715"/>
      <c r="E99" s="716"/>
      <c r="F99" s="716"/>
      <c r="G99" s="716"/>
      <c r="H99" s="716"/>
      <c r="I99" s="716"/>
      <c r="J99" s="931">
        <f t="shared" si="17"/>
        <v>0</v>
      </c>
      <c r="K99" s="1112"/>
    </row>
    <row r="100" spans="1:12">
      <c r="A100" s="128"/>
      <c r="B100" s="709"/>
      <c r="C100" s="623" t="s">
        <v>651</v>
      </c>
      <c r="D100" s="716"/>
      <c r="E100" s="716"/>
      <c r="F100" s="716"/>
      <c r="G100" s="716"/>
      <c r="H100" s="716"/>
      <c r="I100" s="716"/>
      <c r="J100" s="931">
        <f t="shared" si="17"/>
        <v>0</v>
      </c>
      <c r="K100" s="1275"/>
      <c r="L100" s="2271" t="s">
        <v>1180</v>
      </c>
    </row>
    <row r="101" spans="1:12">
      <c r="A101" s="128"/>
      <c r="B101" s="709"/>
      <c r="C101" s="623" t="s">
        <v>651</v>
      </c>
      <c r="D101" s="716"/>
      <c r="E101" s="716"/>
      <c r="F101" s="716"/>
      <c r="G101" s="716"/>
      <c r="H101" s="716"/>
      <c r="I101" s="716"/>
      <c r="J101" s="931">
        <f t="shared" si="17"/>
        <v>0</v>
      </c>
      <c r="K101" s="1275"/>
      <c r="L101" s="2272"/>
    </row>
    <row r="102" spans="1:12">
      <c r="A102" s="319"/>
      <c r="B102" s="319"/>
      <c r="C102" s="924" t="s">
        <v>1171</v>
      </c>
      <c r="D102" s="682">
        <f>SUM(D84:D101)</f>
        <v>0</v>
      </c>
      <c r="E102" s="682">
        <f t="shared" ref="E102:J102" si="19">SUM(E84:E101)</f>
        <v>0</v>
      </c>
      <c r="F102" s="682">
        <f t="shared" si="19"/>
        <v>0</v>
      </c>
      <c r="G102" s="682">
        <f t="shared" si="19"/>
        <v>0</v>
      </c>
      <c r="H102" s="682">
        <f t="shared" si="19"/>
        <v>0</v>
      </c>
      <c r="I102" s="682">
        <f t="shared" si="19"/>
        <v>0</v>
      </c>
      <c r="J102" s="935">
        <f t="shared" si="19"/>
        <v>0</v>
      </c>
      <c r="K102" s="1120"/>
      <c r="L102" s="2272"/>
    </row>
    <row r="103" spans="1:12">
      <c r="A103" s="319"/>
      <c r="B103" s="319" t="s">
        <v>658</v>
      </c>
      <c r="C103" s="1082"/>
      <c r="D103" s="681"/>
      <c r="E103" s="681"/>
      <c r="F103" s="681"/>
      <c r="G103" s="681"/>
      <c r="H103" s="681"/>
      <c r="I103" s="681"/>
      <c r="J103" s="936"/>
      <c r="K103" s="1121"/>
      <c r="L103" s="2272"/>
    </row>
    <row r="104" spans="1:12">
      <c r="A104" s="319"/>
      <c r="B104" s="700"/>
      <c r="C104" s="1119" t="s">
        <v>1205</v>
      </c>
      <c r="D104" s="715">
        <f t="shared" ref="D104:I104" si="20">10%*(D48+D57+D73+D82+D102)</f>
        <v>0</v>
      </c>
      <c r="E104" s="715">
        <f t="shared" si="20"/>
        <v>0</v>
      </c>
      <c r="F104" s="715">
        <f t="shared" si="20"/>
        <v>0</v>
      </c>
      <c r="G104" s="715">
        <f t="shared" si="20"/>
        <v>0</v>
      </c>
      <c r="H104" s="715">
        <f t="shared" si="20"/>
        <v>0</v>
      </c>
      <c r="I104" s="715">
        <f t="shared" si="20"/>
        <v>0</v>
      </c>
      <c r="J104" s="931">
        <f t="shared" si="17"/>
        <v>0</v>
      </c>
      <c r="K104" s="1275" t="s">
        <v>1206</v>
      </c>
      <c r="L104" s="1290" t="str">
        <f>IFERROR(J104/(J48+J57+J73+J82+J102),"")</f>
        <v/>
      </c>
    </row>
    <row r="105" spans="1:12">
      <c r="A105" s="319"/>
      <c r="B105" s="319"/>
      <c r="C105" s="1276" t="s">
        <v>659</v>
      </c>
      <c r="D105" s="1277">
        <f t="shared" ref="D105:J105" si="21">D48+D57+D73+D82+D102+D104</f>
        <v>0</v>
      </c>
      <c r="E105" s="1277">
        <f t="shared" si="21"/>
        <v>0</v>
      </c>
      <c r="F105" s="1277">
        <f t="shared" si="21"/>
        <v>0</v>
      </c>
      <c r="G105" s="1277">
        <f t="shared" si="21"/>
        <v>0</v>
      </c>
      <c r="H105" s="1277">
        <f t="shared" si="21"/>
        <v>0</v>
      </c>
      <c r="I105" s="1277">
        <f t="shared" si="21"/>
        <v>0</v>
      </c>
      <c r="J105" s="1278">
        <f t="shared" si="21"/>
        <v>0</v>
      </c>
      <c r="K105" s="1280"/>
    </row>
    <row r="106" spans="1:12">
      <c r="A106" s="319"/>
      <c r="B106" s="319"/>
      <c r="C106" s="1082"/>
      <c r="D106" s="927"/>
      <c r="E106" s="927"/>
      <c r="F106" s="927"/>
      <c r="G106" s="927"/>
      <c r="H106" s="927"/>
      <c r="I106" s="927"/>
      <c r="J106" s="1393"/>
      <c r="K106" s="1121"/>
    </row>
    <row r="107" spans="1:12" ht="14.4">
      <c r="A107" s="700" t="s">
        <v>657</v>
      </c>
      <c r="C107" s="713"/>
      <c r="D107" s="683"/>
      <c r="E107" s="679"/>
      <c r="F107" s="679"/>
      <c r="G107" s="679"/>
      <c r="H107" s="679"/>
      <c r="I107" s="679"/>
      <c r="J107" s="940"/>
      <c r="K107" s="1117"/>
    </row>
    <row r="108" spans="1:12">
      <c r="A108" s="128"/>
      <c r="B108" s="1389" t="s">
        <v>1263</v>
      </c>
      <c r="C108" s="127" t="s">
        <v>656</v>
      </c>
      <c r="D108" s="715"/>
      <c r="E108" s="716"/>
      <c r="F108" s="716"/>
      <c r="G108" s="716"/>
      <c r="H108" s="716"/>
      <c r="I108" s="716"/>
      <c r="J108" s="931">
        <f t="shared" ref="J108:J114" si="22">SUM(D108:I108)</f>
        <v>0</v>
      </c>
      <c r="K108" s="1112"/>
    </row>
    <row r="109" spans="1:12" s="319" customFormat="1">
      <c r="A109" s="128"/>
      <c r="B109" s="709"/>
      <c r="C109" s="127" t="s">
        <v>655</v>
      </c>
      <c r="D109" s="715"/>
      <c r="E109" s="716"/>
      <c r="F109" s="716"/>
      <c r="G109" s="716"/>
      <c r="H109" s="716"/>
      <c r="I109" s="716"/>
      <c r="J109" s="931">
        <f t="shared" si="22"/>
        <v>0</v>
      </c>
      <c r="K109" s="1112"/>
      <c r="L109" s="182"/>
    </row>
    <row r="110" spans="1:12" s="319" customFormat="1">
      <c r="A110" s="128"/>
      <c r="B110" s="1389" t="s">
        <v>1263</v>
      </c>
      <c r="C110" s="127" t="s">
        <v>1172</v>
      </c>
      <c r="D110" s="715"/>
      <c r="E110" s="716"/>
      <c r="F110" s="716"/>
      <c r="G110" s="716"/>
      <c r="H110" s="716"/>
      <c r="I110" s="716"/>
      <c r="J110" s="931">
        <f t="shared" si="22"/>
        <v>0</v>
      </c>
      <c r="K110" s="1112"/>
      <c r="L110" s="182"/>
    </row>
    <row r="111" spans="1:12">
      <c r="A111" s="128"/>
      <c r="B111" s="709"/>
      <c r="C111" s="815" t="s">
        <v>651</v>
      </c>
      <c r="D111" s="715"/>
      <c r="E111" s="716"/>
      <c r="F111" s="716"/>
      <c r="G111" s="716"/>
      <c r="H111" s="716"/>
      <c r="I111" s="716"/>
      <c r="J111" s="931">
        <f t="shared" si="22"/>
        <v>0</v>
      </c>
      <c r="K111" s="1112"/>
    </row>
    <row r="112" spans="1:12">
      <c r="A112" s="128"/>
      <c r="B112" s="709"/>
      <c r="C112" s="815" t="s">
        <v>651</v>
      </c>
      <c r="D112" s="715"/>
      <c r="E112" s="716"/>
      <c r="F112" s="716"/>
      <c r="G112" s="716"/>
      <c r="H112" s="716"/>
      <c r="I112" s="716"/>
      <c r="J112" s="931">
        <f t="shared" si="22"/>
        <v>0</v>
      </c>
      <c r="K112" s="1112"/>
    </row>
    <row r="113" spans="1:12">
      <c r="A113" s="128"/>
      <c r="B113" s="709"/>
      <c r="C113" s="815" t="s">
        <v>651</v>
      </c>
      <c r="D113" s="715"/>
      <c r="E113" s="716"/>
      <c r="F113" s="716"/>
      <c r="G113" s="716"/>
      <c r="H113" s="716"/>
      <c r="I113" s="716"/>
      <c r="J113" s="931">
        <f t="shared" si="22"/>
        <v>0</v>
      </c>
      <c r="K113" s="1112"/>
    </row>
    <row r="114" spans="1:12">
      <c r="A114" s="319"/>
      <c r="B114" s="319"/>
      <c r="C114" s="1276" t="s">
        <v>654</v>
      </c>
      <c r="D114" s="1277">
        <f t="shared" ref="D114:I114" si="23">SUM(D108:D113)</f>
        <v>0</v>
      </c>
      <c r="E114" s="1277">
        <f t="shared" si="23"/>
        <v>0</v>
      </c>
      <c r="F114" s="1277">
        <f t="shared" si="23"/>
        <v>0</v>
      </c>
      <c r="G114" s="1277">
        <f t="shared" si="23"/>
        <v>0</v>
      </c>
      <c r="H114" s="1277">
        <f t="shared" si="23"/>
        <v>0</v>
      </c>
      <c r="I114" s="1278">
        <f t="shared" si="23"/>
        <v>0</v>
      </c>
      <c r="J114" s="1278">
        <f t="shared" si="22"/>
        <v>0</v>
      </c>
      <c r="K114" s="1280"/>
    </row>
    <row r="115" spans="1:12">
      <c r="A115" s="319"/>
      <c r="B115" s="319"/>
      <c r="C115" s="129"/>
      <c r="D115" s="681"/>
      <c r="E115" s="681"/>
      <c r="F115" s="681"/>
      <c r="G115" s="681"/>
      <c r="H115" s="681"/>
      <c r="I115" s="936"/>
      <c r="J115" s="939"/>
      <c r="K115" s="1121"/>
    </row>
    <row r="116" spans="1:12" ht="14.4">
      <c r="A116" s="700" t="s">
        <v>653</v>
      </c>
      <c r="C116" s="713"/>
      <c r="D116" s="680"/>
      <c r="E116" s="679"/>
      <c r="F116" s="679"/>
      <c r="G116" s="679"/>
      <c r="H116" s="679"/>
      <c r="I116" s="679"/>
      <c r="J116" s="940"/>
      <c r="K116" s="1117"/>
    </row>
    <row r="117" spans="1:12">
      <c r="A117" s="128"/>
      <c r="B117" s="709"/>
      <c r="C117" s="127" t="s">
        <v>1238</v>
      </c>
      <c r="D117" s="715"/>
      <c r="E117" s="716"/>
      <c r="F117" s="716"/>
      <c r="G117" s="716"/>
      <c r="H117" s="716"/>
      <c r="I117" s="716"/>
      <c r="J117" s="931">
        <f t="shared" ref="J117:J124" si="24">SUM(D117:I117)</f>
        <v>0</v>
      </c>
      <c r="K117" s="1112"/>
    </row>
    <row r="118" spans="1:12" s="319" customFormat="1">
      <c r="A118" s="128"/>
      <c r="B118" s="709"/>
      <c r="C118" s="127" t="s">
        <v>1239</v>
      </c>
      <c r="D118" s="715"/>
      <c r="E118" s="716"/>
      <c r="F118" s="716"/>
      <c r="G118" s="716"/>
      <c r="H118" s="716"/>
      <c r="I118" s="716"/>
      <c r="J118" s="931">
        <f t="shared" si="24"/>
        <v>0</v>
      </c>
      <c r="K118" s="1112"/>
      <c r="L118" s="182"/>
    </row>
    <row r="119" spans="1:12" s="319" customFormat="1">
      <c r="A119" s="128"/>
      <c r="B119" s="709"/>
      <c r="C119" s="127" t="s">
        <v>1261</v>
      </c>
      <c r="D119" s="715"/>
      <c r="E119" s="716"/>
      <c r="F119" s="716"/>
      <c r="G119" s="716"/>
      <c r="H119" s="716"/>
      <c r="I119" s="716"/>
      <c r="J119" s="931"/>
      <c r="K119" s="1112"/>
      <c r="L119" s="182"/>
    </row>
    <row r="120" spans="1:12" s="319" customFormat="1">
      <c r="A120" s="128"/>
      <c r="B120" s="709"/>
      <c r="C120" s="127" t="s">
        <v>1240</v>
      </c>
      <c r="D120" s="715"/>
      <c r="E120" s="716"/>
      <c r="F120" s="716"/>
      <c r="G120" s="716"/>
      <c r="H120" s="716"/>
      <c r="I120" s="716"/>
      <c r="J120" s="931"/>
      <c r="K120" s="1112"/>
      <c r="L120" s="182"/>
    </row>
    <row r="121" spans="1:12" s="319" customFormat="1">
      <c r="A121" s="128"/>
      <c r="B121" s="709"/>
      <c r="C121" s="127" t="s">
        <v>1241</v>
      </c>
      <c r="D121" s="715"/>
      <c r="E121" s="716"/>
      <c r="F121" s="716"/>
      <c r="G121" s="716"/>
      <c r="H121" s="716"/>
      <c r="I121" s="716"/>
      <c r="J121" s="931">
        <f t="shared" si="24"/>
        <v>0</v>
      </c>
      <c r="K121" s="1112"/>
      <c r="L121" s="182"/>
    </row>
    <row r="122" spans="1:12" s="319" customFormat="1" ht="27.6">
      <c r="A122" s="128"/>
      <c r="B122" s="709"/>
      <c r="C122" s="127" t="s">
        <v>652</v>
      </c>
      <c r="D122" s="715"/>
      <c r="E122" s="716"/>
      <c r="F122" s="716"/>
      <c r="G122" s="716"/>
      <c r="H122" s="716"/>
      <c r="I122" s="716"/>
      <c r="J122" s="931">
        <f t="shared" si="24"/>
        <v>0</v>
      </c>
      <c r="K122" s="1112" t="s">
        <v>1173</v>
      </c>
      <c r="L122" s="182"/>
    </row>
    <row r="123" spans="1:12" s="319" customFormat="1">
      <c r="A123" s="128"/>
      <c r="B123" s="709"/>
      <c r="C123" s="815" t="s">
        <v>651</v>
      </c>
      <c r="D123" s="715"/>
      <c r="E123" s="716"/>
      <c r="F123" s="716"/>
      <c r="G123" s="716"/>
      <c r="H123" s="716"/>
      <c r="I123" s="716"/>
      <c r="J123" s="931">
        <f t="shared" si="24"/>
        <v>0</v>
      </c>
      <c r="K123" s="1112"/>
      <c r="L123" s="182"/>
    </row>
    <row r="124" spans="1:12" ht="15" customHeight="1">
      <c r="A124" s="319"/>
      <c r="B124" s="319"/>
      <c r="C124" s="1276" t="s">
        <v>650</v>
      </c>
      <c r="D124" s="1277">
        <f t="shared" ref="D124:I124" si="25">SUM(D117:D123)</f>
        <v>0</v>
      </c>
      <c r="E124" s="1277">
        <f t="shared" si="25"/>
        <v>0</v>
      </c>
      <c r="F124" s="1277">
        <f t="shared" si="25"/>
        <v>0</v>
      </c>
      <c r="G124" s="1277">
        <f t="shared" si="25"/>
        <v>0</v>
      </c>
      <c r="H124" s="1277">
        <f t="shared" si="25"/>
        <v>0</v>
      </c>
      <c r="I124" s="1278">
        <f t="shared" si="25"/>
        <v>0</v>
      </c>
      <c r="J124" s="1278">
        <f t="shared" si="24"/>
        <v>0</v>
      </c>
      <c r="K124" s="1280"/>
    </row>
    <row r="125" spans="1:12" ht="15" customHeight="1">
      <c r="A125" s="319"/>
      <c r="B125" s="319"/>
      <c r="D125" s="680"/>
      <c r="E125" s="679"/>
      <c r="F125" s="679"/>
      <c r="G125" s="679"/>
      <c r="H125" s="679"/>
      <c r="I125" s="679"/>
      <c r="K125" s="1110"/>
    </row>
    <row r="126" spans="1:12" ht="15" customHeight="1">
      <c r="A126" s="700" t="s">
        <v>649</v>
      </c>
      <c r="B126" s="319"/>
      <c r="C126" s="714"/>
      <c r="D126" s="928">
        <f>D16+D37+D105+D114+D124</f>
        <v>0</v>
      </c>
      <c r="E126" s="928">
        <f t="shared" ref="E126:J126" si="26">E16+E37+E105+E114+E124</f>
        <v>0</v>
      </c>
      <c r="F126" s="928">
        <f t="shared" si="26"/>
        <v>0</v>
      </c>
      <c r="G126" s="928">
        <f t="shared" si="26"/>
        <v>0</v>
      </c>
      <c r="H126" s="928">
        <f t="shared" si="26"/>
        <v>0</v>
      </c>
      <c r="I126" s="928">
        <f t="shared" si="26"/>
        <v>0</v>
      </c>
      <c r="J126" s="929">
        <f t="shared" si="26"/>
        <v>0</v>
      </c>
      <c r="K126" s="1112"/>
    </row>
    <row r="127" spans="1:12" ht="15" customHeight="1">
      <c r="A127" s="128"/>
      <c r="C127" s="128" t="s">
        <v>1027</v>
      </c>
      <c r="D127" s="930" t="str">
        <f>IFERROR(D126/$H$1,"")</f>
        <v/>
      </c>
      <c r="E127" s="930" t="str">
        <f t="shared" ref="E127:J127" si="27">IFERROR(E126/$H$1,"")</f>
        <v/>
      </c>
      <c r="F127" s="930" t="str">
        <f t="shared" si="27"/>
        <v/>
      </c>
      <c r="G127" s="930" t="str">
        <f t="shared" si="27"/>
        <v/>
      </c>
      <c r="H127" s="930" t="str">
        <f t="shared" si="27"/>
        <v/>
      </c>
      <c r="I127" s="930" t="str">
        <f t="shared" si="27"/>
        <v/>
      </c>
      <c r="J127" s="930" t="str">
        <f t="shared" si="27"/>
        <v/>
      </c>
      <c r="K127" s="1112"/>
    </row>
    <row r="128" spans="1:12" ht="15" customHeight="1">
      <c r="A128" s="128"/>
      <c r="C128" s="128" t="s">
        <v>1028</v>
      </c>
      <c r="D128" s="1025" t="str">
        <f>IFERROR(D127/$J$127,"")</f>
        <v/>
      </c>
      <c r="E128" s="1025" t="str">
        <f t="shared" ref="E128:J128" si="28">IFERROR(E127/$J$127,"")</f>
        <v/>
      </c>
      <c r="F128" s="1025" t="str">
        <f t="shared" si="28"/>
        <v/>
      </c>
      <c r="G128" s="1025" t="str">
        <f t="shared" si="28"/>
        <v/>
      </c>
      <c r="H128" s="1025" t="str">
        <f t="shared" si="28"/>
        <v/>
      </c>
      <c r="I128" s="1025" t="str">
        <f t="shared" si="28"/>
        <v/>
      </c>
      <c r="J128" s="1025" t="str">
        <f t="shared" si="28"/>
        <v/>
      </c>
      <c r="K128" s="1112"/>
    </row>
    <row r="129" spans="1:15" ht="15" customHeight="1">
      <c r="A129" s="128"/>
      <c r="D129" s="1024"/>
      <c r="E129" s="1024"/>
      <c r="F129" s="1024"/>
      <c r="G129" s="1024"/>
      <c r="H129" s="1024"/>
      <c r="I129" s="1024"/>
      <c r="J129" s="1024"/>
      <c r="K129" s="1123"/>
    </row>
    <row r="130" spans="1:15" ht="15" customHeight="1">
      <c r="A130" s="128" t="s">
        <v>1031</v>
      </c>
      <c r="D130" s="931" t="str">
        <f>IFERROR(D$12/$H$1,"")</f>
        <v/>
      </c>
      <c r="E130" s="931" t="str">
        <f t="shared" ref="E130:J130" si="29">IFERROR(E$12/$H$1,"")</f>
        <v/>
      </c>
      <c r="F130" s="931" t="str">
        <f t="shared" si="29"/>
        <v/>
      </c>
      <c r="G130" s="931" t="str">
        <f t="shared" si="29"/>
        <v/>
      </c>
      <c r="H130" s="931" t="str">
        <f t="shared" si="29"/>
        <v/>
      </c>
      <c r="I130" s="931" t="str">
        <f t="shared" si="29"/>
        <v/>
      </c>
      <c r="J130" s="931" t="str">
        <f t="shared" si="29"/>
        <v/>
      </c>
      <c r="K130" s="1112"/>
    </row>
    <row r="131" spans="1:15" s="182" customFormat="1" ht="15" customHeight="1">
      <c r="A131" s="128"/>
      <c r="B131" s="128"/>
      <c r="C131" s="128"/>
      <c r="D131" s="689"/>
      <c r="E131" s="689"/>
      <c r="F131" s="689"/>
      <c r="G131" s="689"/>
      <c r="H131" s="689"/>
      <c r="I131" s="939"/>
      <c r="J131" s="319"/>
      <c r="K131" s="1110"/>
      <c r="M131" s="128"/>
      <c r="N131" s="128"/>
      <c r="O131" s="128"/>
    </row>
    <row r="132" spans="1:15" s="182" customFormat="1" ht="15" customHeight="1">
      <c r="A132" s="128" t="s">
        <v>1029</v>
      </c>
      <c r="B132" s="128"/>
      <c r="C132" s="128"/>
      <c r="D132" s="931" t="str">
        <f>IFERROR((D$37)/$H$1,"")</f>
        <v/>
      </c>
      <c r="E132" s="931" t="str">
        <f t="shared" ref="E132:J132" si="30">IFERROR((E$37)/$H$1,"")</f>
        <v/>
      </c>
      <c r="F132" s="931" t="str">
        <f t="shared" si="30"/>
        <v/>
      </c>
      <c r="G132" s="931" t="str">
        <f t="shared" si="30"/>
        <v/>
      </c>
      <c r="H132" s="931" t="str">
        <f t="shared" si="30"/>
        <v/>
      </c>
      <c r="I132" s="931" t="str">
        <f t="shared" si="30"/>
        <v/>
      </c>
      <c r="J132" s="931" t="str">
        <f t="shared" si="30"/>
        <v/>
      </c>
      <c r="K132" s="1112"/>
      <c r="M132" s="128"/>
      <c r="N132" s="128"/>
      <c r="O132" s="128"/>
    </row>
    <row r="133" spans="1:15" s="182" customFormat="1" ht="15" customHeight="1">
      <c r="A133" s="128" t="s">
        <v>1030</v>
      </c>
      <c r="B133" s="128"/>
      <c r="C133" s="128"/>
      <c r="D133" s="1050" t="str">
        <f>IFERROR((D$37)/'1.GeneralProjectInfo'!$J$15,"")</f>
        <v/>
      </c>
      <c r="E133" s="1050" t="str">
        <f>IFERROR((E$37)/'1.GeneralProjectInfo'!$J$15,"")</f>
        <v/>
      </c>
      <c r="F133" s="1050" t="str">
        <f>IFERROR((F$37)/'1.GeneralProjectInfo'!$J$15,"")</f>
        <v/>
      </c>
      <c r="G133" s="1050" t="str">
        <f>IFERROR((G$37)/'1.GeneralProjectInfo'!$J$15,"")</f>
        <v/>
      </c>
      <c r="H133" s="1050" t="str">
        <f>IFERROR((H$37)/'1.GeneralProjectInfo'!$J$15,"")</f>
        <v/>
      </c>
      <c r="I133" s="1050" t="str">
        <f>IFERROR((I$37)/'1.GeneralProjectInfo'!$J$15,"")</f>
        <v/>
      </c>
      <c r="J133" s="1050" t="str">
        <f>IFERROR((J$37)/'1.GeneralProjectInfo'!$J$15,"")</f>
        <v/>
      </c>
      <c r="K133" s="1112"/>
      <c r="M133" s="128"/>
      <c r="N133" s="128"/>
      <c r="O133" s="128"/>
    </row>
    <row r="134" spans="1:15" s="182" customFormat="1" ht="15" customHeight="1">
      <c r="A134" s="128"/>
      <c r="B134" s="128"/>
      <c r="C134" s="128"/>
      <c r="D134" s="693"/>
      <c r="E134" s="128"/>
      <c r="F134" s="128"/>
      <c r="G134" s="128"/>
      <c r="H134" s="128"/>
      <c r="I134" s="128"/>
      <c r="J134" s="319"/>
      <c r="K134" s="1110"/>
      <c r="M134" s="128"/>
      <c r="N134" s="128"/>
      <c r="O134" s="128"/>
    </row>
    <row r="135" spans="1:15" s="182" customFormat="1" ht="15" customHeight="1">
      <c r="A135" s="699" t="s">
        <v>1262</v>
      </c>
      <c r="B135" s="128"/>
      <c r="C135" s="128"/>
      <c r="D135" s="1270">
        <f>D20+D21+D22+D24+D86+D87+D89+D91+D92+D95+D98+D108+D110</f>
        <v>0</v>
      </c>
      <c r="E135" s="128"/>
      <c r="F135" s="128"/>
      <c r="G135" s="128"/>
      <c r="H135" s="128"/>
      <c r="I135" s="128"/>
      <c r="J135" s="319"/>
      <c r="K135" s="1110"/>
      <c r="M135" s="128"/>
      <c r="N135" s="128"/>
      <c r="O135" s="128"/>
    </row>
    <row r="136" spans="1:15" s="182" customFormat="1" ht="15" customHeight="1">
      <c r="A136" s="128" t="s">
        <v>1099</v>
      </c>
      <c r="B136" s="128"/>
      <c r="C136" s="128"/>
      <c r="D136" s="693" t="str">
        <f>IFERROR(D126/H1,"")</f>
        <v/>
      </c>
      <c r="E136" s="128"/>
      <c r="F136" s="128"/>
      <c r="G136" s="128"/>
      <c r="H136" s="128"/>
      <c r="I136" s="128"/>
      <c r="J136" s="319"/>
      <c r="K136" s="1110"/>
      <c r="M136" s="128"/>
      <c r="N136" s="128"/>
      <c r="O136" s="128"/>
    </row>
    <row r="137" spans="1:15" s="182" customFormat="1" ht="15" customHeight="1">
      <c r="A137" s="128"/>
      <c r="B137" s="128"/>
      <c r="C137" s="128"/>
      <c r="D137" s="693"/>
      <c r="E137" s="128"/>
      <c r="F137" s="128"/>
      <c r="G137" s="128"/>
      <c r="H137" s="128"/>
      <c r="I137" s="128"/>
      <c r="J137" s="319"/>
      <c r="K137" s="1110"/>
      <c r="M137" s="128"/>
      <c r="N137" s="128"/>
      <c r="O137" s="128"/>
    </row>
    <row r="138" spans="1:15" s="182" customFormat="1" ht="15" customHeight="1">
      <c r="A138" s="128" t="s">
        <v>881</v>
      </c>
      <c r="B138" s="128"/>
      <c r="C138" s="128"/>
      <c r="D138" s="1282"/>
      <c r="E138" s="1285" t="str">
        <f>IF(D138="","Fill in with value or 'N/A' if not applicable.","")</f>
        <v>Fill in with value or 'N/A' if not applicable.</v>
      </c>
      <c r="F138" s="128"/>
      <c r="G138" s="128"/>
      <c r="H138" s="128"/>
      <c r="I138" s="128"/>
      <c r="J138" s="319"/>
      <c r="K138" s="1110"/>
      <c r="M138" s="128"/>
      <c r="N138" s="128"/>
      <c r="O138" s="128"/>
    </row>
    <row r="139" spans="1:15" s="182" customFormat="1" ht="15" customHeight="1">
      <c r="A139" s="128" t="s">
        <v>1174</v>
      </c>
      <c r="B139" s="128"/>
      <c r="C139" s="128"/>
      <c r="D139" s="1283"/>
      <c r="E139" s="1285" t="str">
        <f>IF(D139="","Fill in with value or 'N/A' if not applicable.","")</f>
        <v>Fill in with value or 'N/A' if not applicable.</v>
      </c>
      <c r="F139" s="128"/>
      <c r="G139" s="128"/>
      <c r="H139" s="128"/>
      <c r="I139" s="128"/>
      <c r="J139" s="319"/>
      <c r="K139" s="1110"/>
      <c r="M139" s="128"/>
      <c r="N139" s="128"/>
      <c r="O139" s="128"/>
    </row>
    <row r="140" spans="1:15" s="182" customFormat="1" ht="15" customHeight="1">
      <c r="A140" s="128" t="s">
        <v>1210</v>
      </c>
      <c r="B140" s="128"/>
      <c r="C140" s="128"/>
      <c r="D140" s="1308"/>
      <c r="E140" s="1285" t="str">
        <f>IF(D140="","Fill in with value or 'N/A' if not applicable.","")</f>
        <v>Fill in with value or 'N/A' if not applicable.</v>
      </c>
      <c r="F140" s="128"/>
      <c r="G140" s="128"/>
      <c r="H140" s="128"/>
      <c r="I140" s="128"/>
      <c r="J140" s="319"/>
      <c r="K140" s="1110"/>
      <c r="M140" s="128"/>
      <c r="N140" s="128"/>
      <c r="O140" s="128"/>
    </row>
    <row r="141" spans="1:15" s="182" customFormat="1" ht="15" customHeight="1">
      <c r="A141" s="128" t="s">
        <v>1179</v>
      </c>
      <c r="B141" s="128"/>
      <c r="C141" s="128"/>
      <c r="D141" s="1284"/>
      <c r="E141" s="1285" t="str">
        <f>IF(D141="","Fill in with value or 'N/A' if not applicable.","")</f>
        <v>Fill in with value or 'N/A' if not applicable.</v>
      </c>
      <c r="F141" s="128"/>
      <c r="G141" s="128"/>
      <c r="H141" s="128"/>
      <c r="I141" s="128"/>
      <c r="J141" s="319"/>
      <c r="K141" s="1110"/>
      <c r="M141" s="128"/>
      <c r="N141" s="128"/>
      <c r="O141" s="128"/>
    </row>
    <row r="142" spans="1:15" s="182" customFormat="1" ht="15" customHeight="1">
      <c r="A142" s="128"/>
      <c r="B142" s="128"/>
      <c r="C142" s="128"/>
      <c r="D142" s="693"/>
      <c r="E142" s="128"/>
      <c r="F142" s="128"/>
      <c r="G142" s="128"/>
      <c r="H142" s="128"/>
      <c r="I142" s="128"/>
      <c r="J142" s="319"/>
      <c r="K142" s="128"/>
      <c r="M142" s="128"/>
      <c r="N142" s="128"/>
      <c r="O142" s="128"/>
    </row>
    <row r="143" spans="1:15" s="182" customFormat="1" ht="15" customHeight="1">
      <c r="A143" s="319" t="str">
        <f>IF(SmallSites=TRUE,"Small Sites","")</f>
        <v/>
      </c>
      <c r="B143" s="128"/>
      <c r="C143" s="128"/>
      <c r="D143" s="693"/>
      <c r="E143" s="128"/>
      <c r="F143" s="128"/>
      <c r="G143" s="128"/>
      <c r="H143" s="128"/>
      <c r="I143" s="128"/>
      <c r="J143" s="319"/>
      <c r="K143" s="128"/>
      <c r="M143" s="128"/>
      <c r="N143" s="128"/>
      <c r="O143" s="128"/>
    </row>
    <row r="144" spans="1:15" s="182" customFormat="1" ht="15" customHeight="1">
      <c r="A144" s="128" t="str">
        <f>IF($A$143&lt;&gt;"","Combined Loan to Value Ratio:","")</f>
        <v/>
      </c>
      <c r="B144" s="128"/>
      <c r="C144" s="128"/>
      <c r="D144" s="128"/>
      <c r="E144" s="128"/>
      <c r="F144" s="128"/>
      <c r="G144" s="128"/>
      <c r="H144" s="128"/>
      <c r="I144" s="128"/>
      <c r="J144" s="1219" t="str">
        <f>IF($A$143&lt;&gt;"",IFERROR(J7/$J$12,""),"")</f>
        <v/>
      </c>
      <c r="K144" s="128"/>
      <c r="M144" s="128"/>
      <c r="N144" s="128"/>
      <c r="O144" s="128"/>
    </row>
    <row r="145" spans="1:15" s="182" customFormat="1" ht="15" customHeight="1">
      <c r="A145" s="128" t="str">
        <f>IF($A$143&lt;&gt;"","% of Acquisition Cost by Source","")</f>
        <v/>
      </c>
      <c r="B145" s="128"/>
      <c r="C145" s="128"/>
      <c r="D145" s="1026" t="str">
        <f t="shared" ref="D145:J145" si="31">IF($A$143&lt;&gt;"",IFERROR(D$12/$J$12,""),"")</f>
        <v/>
      </c>
      <c r="E145" s="1026" t="str">
        <f t="shared" si="31"/>
        <v/>
      </c>
      <c r="F145" s="1026" t="str">
        <f t="shared" si="31"/>
        <v/>
      </c>
      <c r="G145" s="1026" t="str">
        <f t="shared" si="31"/>
        <v/>
      </c>
      <c r="H145" s="1026" t="str">
        <f t="shared" si="31"/>
        <v/>
      </c>
      <c r="I145" s="1026" t="str">
        <f t="shared" si="31"/>
        <v/>
      </c>
      <c r="J145" s="1026" t="str">
        <f t="shared" si="31"/>
        <v/>
      </c>
      <c r="K145" s="128"/>
      <c r="M145" s="128"/>
      <c r="N145" s="128"/>
      <c r="O145" s="128"/>
    </row>
    <row r="146" spans="1:15" s="182" customFormat="1" ht="15" customHeight="1">
      <c r="A146" s="128"/>
      <c r="B146" s="128"/>
      <c r="C146" s="128"/>
      <c r="D146" s="693"/>
      <c r="E146" s="128"/>
      <c r="F146" s="128"/>
      <c r="G146" s="128"/>
      <c r="H146" s="128"/>
      <c r="I146" s="128"/>
      <c r="J146" s="319"/>
      <c r="K146" s="128"/>
      <c r="M146" s="128"/>
      <c r="N146" s="128"/>
      <c r="O146" s="128"/>
    </row>
    <row r="147" spans="1:15" s="182" customFormat="1" ht="15" customHeight="1">
      <c r="A147" s="128" t="str">
        <f>IF($A$143&lt;&gt;"","Small Sites Maximum Developer Fee","")</f>
        <v/>
      </c>
      <c r="B147" s="128"/>
      <c r="C147" s="128"/>
      <c r="D147" s="693" t="str">
        <f>IF(SmallSites=FALSE,"",IFERROR(MIN(80000+10000*$H$1,0.05*SUM(J16,J37,J105,J114,J122:J123)),""))</f>
        <v/>
      </c>
      <c r="E147" s="1030" t="str">
        <f>IF($D$147="","",IF(ROUND($J$117,0)&gt;ROUND(D147,0),"Deverlop Fee exceeds the Maximum Developer Fee",""))</f>
        <v/>
      </c>
      <c r="F147" s="128"/>
      <c r="G147" s="128"/>
      <c r="H147" s="128"/>
      <c r="I147" s="128"/>
      <c r="J147" s="128"/>
      <c r="K147" s="128"/>
      <c r="M147" s="128"/>
      <c r="N147" s="128"/>
      <c r="O147" s="128"/>
    </row>
    <row r="148" spans="1:15" ht="15" customHeight="1">
      <c r="A148" s="128"/>
    </row>
    <row r="149" spans="1:15" ht="15" customHeight="1">
      <c r="A149" s="128"/>
    </row>
    <row r="150" spans="1:15" ht="15" customHeight="1">
      <c r="A150" s="128"/>
    </row>
    <row r="151" spans="1:15" ht="15" customHeight="1">
      <c r="A151" s="128"/>
    </row>
    <row r="152" spans="1:15" ht="15" customHeight="1">
      <c r="A152" s="128"/>
    </row>
    <row r="153" spans="1:15" ht="15" customHeight="1">
      <c r="A153" s="128"/>
    </row>
    <row r="154" spans="1:15" ht="15" customHeight="1">
      <c r="A154" s="128"/>
    </row>
    <row r="155" spans="1:15" ht="15" customHeight="1">
      <c r="A155" s="128"/>
    </row>
    <row r="156" spans="1:15" ht="15" customHeight="1">
      <c r="A156" s="128"/>
    </row>
    <row r="157" spans="1:15" ht="15" customHeight="1">
      <c r="A157" s="128"/>
    </row>
    <row r="158" spans="1:15" ht="15" customHeight="1">
      <c r="A158" s="128"/>
    </row>
    <row r="159" spans="1:15" ht="15" customHeight="1">
      <c r="A159" s="128"/>
    </row>
    <row r="160" spans="1:15" ht="15" customHeight="1">
      <c r="A160" s="128"/>
    </row>
    <row r="161" spans="1:1" ht="15" customHeight="1">
      <c r="A161" s="128"/>
    </row>
    <row r="162" spans="1:1" ht="15" customHeight="1">
      <c r="A162" s="128"/>
    </row>
    <row r="163" spans="1:1" ht="15" customHeight="1">
      <c r="A163" s="128"/>
    </row>
    <row r="164" spans="1:1" ht="15" customHeight="1">
      <c r="A164" s="128"/>
    </row>
    <row r="165" spans="1:1" ht="15" customHeight="1">
      <c r="A165" s="128"/>
    </row>
    <row r="166" spans="1:1" ht="15" customHeight="1">
      <c r="A166" s="128"/>
    </row>
    <row r="167" spans="1:1" ht="15" customHeight="1">
      <c r="A167" s="128"/>
    </row>
    <row r="168" spans="1:1" ht="15" customHeight="1">
      <c r="A168" s="128"/>
    </row>
    <row r="169" spans="1:1" ht="15" customHeight="1">
      <c r="A169" s="128"/>
    </row>
    <row r="170" spans="1:1" ht="15" customHeight="1">
      <c r="A170" s="128"/>
    </row>
    <row r="171" spans="1:1" ht="15" customHeight="1">
      <c r="A171" s="128"/>
    </row>
    <row r="172" spans="1:1" ht="15" customHeight="1">
      <c r="A172" s="128"/>
    </row>
    <row r="173" spans="1:1" ht="15" customHeight="1">
      <c r="A173" s="128"/>
    </row>
    <row r="174" spans="1:1" ht="15" customHeight="1">
      <c r="A174" s="128"/>
    </row>
    <row r="175" spans="1:1" ht="15" customHeight="1">
      <c r="A175" s="128"/>
    </row>
    <row r="176" spans="1:1" ht="15" customHeight="1">
      <c r="A176" s="128"/>
    </row>
    <row r="177" spans="1:1" ht="15" customHeight="1">
      <c r="A177" s="128"/>
    </row>
    <row r="178" spans="1:1" ht="15" customHeight="1">
      <c r="A178" s="128"/>
    </row>
    <row r="179" spans="1:1" ht="15" customHeight="1">
      <c r="A179" s="128"/>
    </row>
    <row r="180" spans="1:1" ht="15" customHeight="1">
      <c r="A180" s="128"/>
    </row>
    <row r="181" spans="1:1" ht="15" customHeight="1">
      <c r="A181" s="128"/>
    </row>
    <row r="182" spans="1:1" ht="15" customHeight="1">
      <c r="A182" s="128"/>
    </row>
    <row r="183" spans="1:1" ht="15" customHeight="1">
      <c r="A183" s="128"/>
    </row>
    <row r="184" spans="1:1" ht="15" customHeight="1">
      <c r="A184" s="128"/>
    </row>
    <row r="185" spans="1:1" ht="15" customHeight="1">
      <c r="A185" s="128"/>
    </row>
    <row r="186" spans="1:1" ht="15" customHeight="1">
      <c r="A186" s="128"/>
    </row>
    <row r="187" spans="1:1" ht="15" customHeight="1">
      <c r="A187" s="128"/>
    </row>
    <row r="188" spans="1:1" ht="15" customHeight="1">
      <c r="A188" s="128"/>
    </row>
    <row r="189" spans="1:1" ht="15" customHeight="1">
      <c r="A189" s="128"/>
    </row>
    <row r="190" spans="1:1" ht="15" customHeight="1">
      <c r="A190" s="128"/>
    </row>
    <row r="191" spans="1:1" ht="15" customHeight="1">
      <c r="A191" s="128"/>
    </row>
    <row r="192" spans="1:1" ht="15" customHeight="1">
      <c r="A192" s="128"/>
    </row>
    <row r="193" spans="1:1" ht="15" customHeight="1">
      <c r="A193" s="128"/>
    </row>
    <row r="194" spans="1:1" ht="15" customHeight="1">
      <c r="A194" s="128"/>
    </row>
    <row r="195" spans="1:1" ht="15" customHeight="1">
      <c r="A195" s="128"/>
    </row>
    <row r="196" spans="1:1" ht="15" customHeight="1">
      <c r="A196" s="128"/>
    </row>
    <row r="197" spans="1:1" ht="15" customHeight="1">
      <c r="A197" s="128"/>
    </row>
    <row r="198" spans="1:1" ht="15" customHeight="1">
      <c r="A198" s="128"/>
    </row>
    <row r="199" spans="1:1" ht="15" customHeight="1">
      <c r="A199" s="128"/>
    </row>
    <row r="200" spans="1:1" ht="15" customHeight="1">
      <c r="A200" s="128"/>
    </row>
    <row r="201" spans="1:1" ht="15" customHeight="1">
      <c r="A201" s="128"/>
    </row>
    <row r="202" spans="1:1" ht="15" customHeight="1">
      <c r="A202" s="128"/>
    </row>
    <row r="203" spans="1:1" ht="15" customHeight="1">
      <c r="A203" s="128"/>
    </row>
    <row r="204" spans="1:1" ht="15" customHeight="1">
      <c r="A204" s="128"/>
    </row>
    <row r="205" spans="1:1" ht="15" customHeight="1">
      <c r="A205" s="128"/>
    </row>
    <row r="206" spans="1:1" ht="15" customHeight="1">
      <c r="A206" s="128"/>
    </row>
    <row r="207" spans="1:1" ht="15" customHeight="1">
      <c r="A207" s="128"/>
    </row>
    <row r="208" spans="1:1" ht="15" customHeight="1">
      <c r="A208" s="128"/>
    </row>
    <row r="209" spans="1:1" ht="15" customHeight="1">
      <c r="A209" s="128"/>
    </row>
    <row r="210" spans="1:1" ht="15" customHeight="1">
      <c r="A210" s="128"/>
    </row>
    <row r="211" spans="1:1" ht="15" customHeight="1">
      <c r="A211" s="128"/>
    </row>
    <row r="212" spans="1:1" ht="15" customHeight="1">
      <c r="A212" s="128"/>
    </row>
    <row r="213" spans="1:1" ht="15" customHeight="1">
      <c r="A213" s="128"/>
    </row>
    <row r="214" spans="1:1" ht="15" customHeight="1">
      <c r="A214" s="128"/>
    </row>
    <row r="215" spans="1:1" ht="15" customHeight="1">
      <c r="A215" s="128"/>
    </row>
    <row r="216" spans="1:1" ht="15" customHeight="1">
      <c r="A216" s="128"/>
    </row>
    <row r="217" spans="1:1" ht="15" customHeight="1">
      <c r="A217" s="128"/>
    </row>
    <row r="218" spans="1:1" ht="15" customHeight="1">
      <c r="A218" s="128"/>
    </row>
    <row r="219" spans="1:1" ht="15" customHeight="1">
      <c r="A219" s="128"/>
    </row>
    <row r="220" spans="1:1" ht="15" customHeight="1">
      <c r="A220" s="128"/>
    </row>
    <row r="221" spans="1:1" ht="15" customHeight="1">
      <c r="A221" s="128"/>
    </row>
    <row r="222" spans="1:1" ht="15" customHeight="1">
      <c r="A222" s="128"/>
    </row>
    <row r="223" spans="1:1" ht="15" customHeight="1">
      <c r="A223" s="128"/>
    </row>
    <row r="224" spans="1:1" ht="15" customHeight="1">
      <c r="A224" s="128"/>
    </row>
    <row r="225" spans="1:1" ht="15" customHeight="1">
      <c r="A225" s="128"/>
    </row>
    <row r="226" spans="1:1" ht="15" customHeight="1">
      <c r="A226" s="128"/>
    </row>
    <row r="227" spans="1:1" ht="15" customHeight="1">
      <c r="A227" s="128"/>
    </row>
    <row r="228" spans="1:1" ht="15" customHeight="1">
      <c r="A228" s="128"/>
    </row>
    <row r="229" spans="1:1" ht="15" customHeight="1">
      <c r="A229" s="128"/>
    </row>
    <row r="230" spans="1:1" ht="15" customHeight="1">
      <c r="A230" s="128"/>
    </row>
    <row r="231" spans="1:1" ht="15" customHeight="1">
      <c r="A231" s="128"/>
    </row>
    <row r="232" spans="1:1" ht="15" customHeight="1">
      <c r="A232" s="128"/>
    </row>
    <row r="233" spans="1:1" ht="15" customHeight="1">
      <c r="A233" s="128"/>
    </row>
    <row r="234" spans="1:1" ht="15" customHeight="1">
      <c r="A234" s="128"/>
    </row>
    <row r="235" spans="1:1" ht="15" customHeight="1">
      <c r="A235" s="128"/>
    </row>
    <row r="236" spans="1:1" ht="15" customHeight="1">
      <c r="A236" s="128"/>
    </row>
    <row r="237" spans="1:1" ht="15" customHeight="1">
      <c r="A237" s="128"/>
    </row>
    <row r="238" spans="1:1" ht="15" customHeight="1">
      <c r="A238" s="128"/>
    </row>
    <row r="239" spans="1:1" ht="15" customHeight="1">
      <c r="A239" s="128"/>
    </row>
    <row r="240" spans="1:1" ht="15" customHeight="1">
      <c r="A240" s="128"/>
    </row>
    <row r="241" spans="1:1" ht="15" customHeight="1">
      <c r="A241" s="128"/>
    </row>
    <row r="242" spans="1:1" ht="15" customHeight="1">
      <c r="A242" s="128"/>
    </row>
    <row r="243" spans="1:1" ht="15" customHeight="1">
      <c r="A243" s="128"/>
    </row>
    <row r="244" spans="1:1" ht="15" customHeight="1">
      <c r="A244" s="128"/>
    </row>
    <row r="245" spans="1:1" ht="15" customHeight="1">
      <c r="A245" s="128"/>
    </row>
    <row r="246" spans="1:1" ht="15" customHeight="1">
      <c r="A246" s="128"/>
    </row>
    <row r="247" spans="1:1" ht="15" customHeight="1">
      <c r="A247" s="128"/>
    </row>
    <row r="248" spans="1:1" ht="15" customHeight="1">
      <c r="A248" s="128"/>
    </row>
    <row r="249" spans="1:1" ht="15" customHeight="1">
      <c r="A249" s="128"/>
    </row>
    <row r="250" spans="1:1" ht="15" customHeight="1">
      <c r="A250" s="128"/>
    </row>
    <row r="251" spans="1:1" ht="15" customHeight="1">
      <c r="A251" s="128"/>
    </row>
    <row r="252" spans="1:1" ht="15" customHeight="1">
      <c r="A252" s="128"/>
    </row>
    <row r="253" spans="1:1" ht="15" customHeight="1">
      <c r="A253" s="128"/>
    </row>
    <row r="254" spans="1:1" ht="15" customHeight="1">
      <c r="A254" s="128"/>
    </row>
    <row r="255" spans="1:1" ht="15" customHeight="1">
      <c r="A255" s="128"/>
    </row>
    <row r="256" spans="1:1" ht="15" customHeight="1">
      <c r="A256" s="128"/>
    </row>
    <row r="257" spans="1:1" ht="15" customHeight="1">
      <c r="A257" s="128"/>
    </row>
    <row r="258" spans="1:1" ht="15" customHeight="1">
      <c r="A258" s="128"/>
    </row>
    <row r="259" spans="1:1" ht="15" customHeight="1">
      <c r="A259" s="128"/>
    </row>
    <row r="260" spans="1:1" ht="15" customHeight="1">
      <c r="A260" s="128"/>
    </row>
    <row r="261" spans="1:1" ht="15" customHeight="1">
      <c r="A261" s="128"/>
    </row>
    <row r="262" spans="1:1" ht="15" customHeight="1">
      <c r="A262" s="128"/>
    </row>
    <row r="263" spans="1:1" ht="15" customHeight="1">
      <c r="A263" s="128"/>
    </row>
    <row r="264" spans="1:1" ht="15" customHeight="1">
      <c r="A264" s="128"/>
    </row>
    <row r="265" spans="1:1" ht="15" customHeight="1">
      <c r="A265" s="128"/>
    </row>
    <row r="266" spans="1:1" ht="15" customHeight="1">
      <c r="A266" s="128"/>
    </row>
    <row r="267" spans="1:1" ht="15" customHeight="1">
      <c r="A267" s="128"/>
    </row>
    <row r="268" spans="1:1" ht="15" customHeight="1">
      <c r="A268" s="128"/>
    </row>
    <row r="269" spans="1:1" ht="15" customHeight="1">
      <c r="A269" s="128"/>
    </row>
    <row r="270" spans="1:1" ht="15" customHeight="1">
      <c r="A270" s="128"/>
    </row>
    <row r="271" spans="1:1" ht="15" customHeight="1">
      <c r="A271" s="128"/>
    </row>
    <row r="272" spans="1:1" ht="15" customHeight="1">
      <c r="A272" s="128"/>
    </row>
    <row r="273" spans="1:1" ht="15" customHeight="1">
      <c r="A273" s="128"/>
    </row>
    <row r="274" spans="1:1" ht="15" customHeight="1">
      <c r="A274" s="128"/>
    </row>
    <row r="275" spans="1:1" ht="15" customHeight="1">
      <c r="A275" s="128"/>
    </row>
    <row r="276" spans="1:1" ht="15" customHeight="1">
      <c r="A276" s="128"/>
    </row>
    <row r="277" spans="1:1" ht="15" customHeight="1">
      <c r="A277" s="128"/>
    </row>
    <row r="278" spans="1:1" ht="15" customHeight="1">
      <c r="A278" s="128"/>
    </row>
    <row r="279" spans="1:1" ht="15" customHeight="1">
      <c r="A279" s="128"/>
    </row>
    <row r="280" spans="1:1" ht="15" customHeight="1">
      <c r="A280" s="128"/>
    </row>
    <row r="281" spans="1:1" ht="15" customHeight="1">
      <c r="A281" s="128"/>
    </row>
    <row r="282" spans="1:1" ht="15" customHeight="1">
      <c r="A282" s="128"/>
    </row>
    <row r="283" spans="1:1" ht="15" customHeight="1">
      <c r="A283" s="128"/>
    </row>
    <row r="284" spans="1:1" ht="15" customHeight="1">
      <c r="A284" s="128"/>
    </row>
    <row r="285" spans="1:1" ht="15" customHeight="1">
      <c r="A285" s="128"/>
    </row>
    <row r="286" spans="1:1" ht="15" customHeight="1">
      <c r="A286" s="128"/>
    </row>
    <row r="287" spans="1:1" ht="15" customHeight="1">
      <c r="A287" s="128"/>
    </row>
    <row r="288" spans="1:1" ht="15" customHeight="1">
      <c r="A288" s="128"/>
    </row>
    <row r="289" spans="1:1" ht="15" customHeight="1">
      <c r="A289" s="128"/>
    </row>
    <row r="290" spans="1:1" ht="15" customHeight="1">
      <c r="A290" s="128"/>
    </row>
    <row r="291" spans="1:1" ht="15" customHeight="1">
      <c r="A291" s="128"/>
    </row>
    <row r="292" spans="1:1" ht="15" customHeight="1">
      <c r="A292" s="128"/>
    </row>
    <row r="293" spans="1:1" ht="15" customHeight="1">
      <c r="A293" s="128"/>
    </row>
    <row r="294" spans="1:1" ht="15" customHeight="1">
      <c r="A294" s="128"/>
    </row>
    <row r="295" spans="1:1" ht="15" customHeight="1">
      <c r="A295" s="128"/>
    </row>
    <row r="296" spans="1:1" ht="15" customHeight="1">
      <c r="A296" s="128"/>
    </row>
    <row r="297" spans="1:1" ht="15" customHeight="1">
      <c r="A297" s="128"/>
    </row>
    <row r="298" spans="1:1" ht="15" customHeight="1">
      <c r="A298" s="128"/>
    </row>
    <row r="299" spans="1:1" ht="15" customHeight="1">
      <c r="A299" s="128"/>
    </row>
    <row r="300" spans="1:1" ht="15" customHeight="1">
      <c r="A300" s="128"/>
    </row>
    <row r="301" spans="1:1" ht="15" customHeight="1">
      <c r="A301" s="128"/>
    </row>
    <row r="302" spans="1:1" ht="15" customHeight="1">
      <c r="A302" s="128"/>
    </row>
    <row r="303" spans="1:1" ht="15" customHeight="1">
      <c r="A303" s="128"/>
    </row>
    <row r="304" spans="1:1" ht="15" customHeight="1">
      <c r="A304" s="128"/>
    </row>
    <row r="305" spans="1:1" ht="15" customHeight="1">
      <c r="A305" s="128"/>
    </row>
    <row r="306" spans="1:1" ht="15" customHeight="1">
      <c r="A306" s="128"/>
    </row>
    <row r="307" spans="1:1" ht="15" customHeight="1">
      <c r="A307" s="128"/>
    </row>
    <row r="308" spans="1:1" ht="15" customHeight="1">
      <c r="A308" s="128"/>
    </row>
    <row r="309" spans="1:1" ht="15" customHeight="1">
      <c r="A309" s="128"/>
    </row>
    <row r="310" spans="1:1" ht="15" customHeight="1">
      <c r="A310" s="128"/>
    </row>
    <row r="311" spans="1:1" ht="15" customHeight="1">
      <c r="A311" s="128"/>
    </row>
    <row r="312" spans="1:1" ht="15" customHeight="1">
      <c r="A312" s="128"/>
    </row>
    <row r="313" spans="1:1" ht="15" customHeight="1">
      <c r="A313" s="128"/>
    </row>
    <row r="314" spans="1:1" ht="15" customHeight="1">
      <c r="A314" s="128"/>
    </row>
    <row r="315" spans="1:1" ht="15" customHeight="1">
      <c r="A315" s="128"/>
    </row>
    <row r="316" spans="1:1" ht="15" customHeight="1">
      <c r="A316" s="128"/>
    </row>
    <row r="317" spans="1:1" ht="15" customHeight="1">
      <c r="A317" s="128"/>
    </row>
    <row r="318" spans="1:1" ht="15" customHeight="1">
      <c r="A318" s="128"/>
    </row>
    <row r="319" spans="1:1" ht="15" customHeight="1">
      <c r="A319" s="128"/>
    </row>
    <row r="320" spans="1:1" ht="15" customHeight="1">
      <c r="A320" s="128"/>
    </row>
    <row r="321" spans="1:1" ht="15" customHeight="1">
      <c r="A321" s="128"/>
    </row>
    <row r="322" spans="1:1" ht="15" customHeight="1">
      <c r="A322" s="128"/>
    </row>
    <row r="323" spans="1:1" ht="15" customHeight="1">
      <c r="A323" s="128"/>
    </row>
    <row r="324" spans="1:1" ht="15" customHeight="1">
      <c r="A324" s="128"/>
    </row>
    <row r="325" spans="1:1" ht="15" customHeight="1">
      <c r="A325" s="128"/>
    </row>
    <row r="326" spans="1:1" ht="15" customHeight="1">
      <c r="A326" s="128"/>
    </row>
    <row r="327" spans="1:1" ht="15" customHeight="1">
      <c r="A327" s="128"/>
    </row>
    <row r="328" spans="1:1" ht="15" customHeight="1">
      <c r="A328" s="128"/>
    </row>
    <row r="329" spans="1:1" ht="15" customHeight="1">
      <c r="A329" s="128"/>
    </row>
    <row r="330" spans="1:1" ht="15" customHeight="1">
      <c r="A330" s="128"/>
    </row>
    <row r="331" spans="1:1" ht="15" customHeight="1">
      <c r="A331" s="128"/>
    </row>
    <row r="332" spans="1:1" ht="15" customHeight="1">
      <c r="A332" s="128"/>
    </row>
    <row r="333" spans="1:1" ht="15" customHeight="1">
      <c r="A333" s="128"/>
    </row>
    <row r="334" spans="1:1" ht="15" customHeight="1">
      <c r="A334" s="128"/>
    </row>
    <row r="335" spans="1:1" ht="15" customHeight="1">
      <c r="A335" s="128"/>
    </row>
    <row r="336" spans="1:1" ht="15" customHeight="1">
      <c r="A336" s="128"/>
    </row>
    <row r="337" spans="1:1" ht="15" customHeight="1">
      <c r="A337" s="128"/>
    </row>
    <row r="338" spans="1:1" ht="15" customHeight="1">
      <c r="A338" s="128"/>
    </row>
    <row r="339" spans="1:1" ht="15" customHeight="1">
      <c r="A339" s="128"/>
    </row>
    <row r="340" spans="1:1" ht="15" customHeight="1">
      <c r="A340" s="128"/>
    </row>
    <row r="341" spans="1:1" ht="15" customHeight="1">
      <c r="A341" s="128"/>
    </row>
    <row r="342" spans="1:1" ht="15" customHeight="1">
      <c r="A342" s="128"/>
    </row>
    <row r="343" spans="1:1" ht="15" customHeight="1">
      <c r="A343" s="128"/>
    </row>
    <row r="344" spans="1:1" ht="15" customHeight="1">
      <c r="A344" s="128"/>
    </row>
    <row r="345" spans="1:1" ht="15" customHeight="1">
      <c r="A345" s="128"/>
    </row>
    <row r="346" spans="1:1" ht="15" customHeight="1">
      <c r="A346" s="128"/>
    </row>
    <row r="347" spans="1:1" ht="15" customHeight="1">
      <c r="A347" s="128"/>
    </row>
    <row r="348" spans="1:1" ht="15" customHeight="1">
      <c r="A348" s="128"/>
    </row>
    <row r="349" spans="1:1" ht="15" customHeight="1">
      <c r="A349" s="128"/>
    </row>
    <row r="350" spans="1:1" ht="15" customHeight="1">
      <c r="A350" s="128"/>
    </row>
    <row r="351" spans="1:1" ht="15" customHeight="1">
      <c r="A351" s="128"/>
    </row>
    <row r="352" spans="1:1" ht="15" customHeight="1">
      <c r="A352" s="128"/>
    </row>
    <row r="353" spans="1:1" ht="15" customHeight="1">
      <c r="A353" s="128"/>
    </row>
    <row r="354" spans="1:1" ht="15" customHeight="1">
      <c r="A354" s="128"/>
    </row>
    <row r="355" spans="1:1" ht="15" customHeight="1">
      <c r="A355" s="128"/>
    </row>
    <row r="356" spans="1:1" ht="15" customHeight="1">
      <c r="A356" s="128"/>
    </row>
    <row r="357" spans="1:1" ht="15" customHeight="1">
      <c r="A357" s="128"/>
    </row>
    <row r="358" spans="1:1" ht="15" customHeight="1">
      <c r="A358" s="128"/>
    </row>
    <row r="359" spans="1:1" ht="15" customHeight="1">
      <c r="A359" s="128"/>
    </row>
    <row r="360" spans="1:1" ht="15" customHeight="1">
      <c r="A360" s="128"/>
    </row>
    <row r="361" spans="1:1" ht="15" customHeight="1">
      <c r="A361" s="128"/>
    </row>
    <row r="362" spans="1:1" ht="15" customHeight="1">
      <c r="A362" s="128"/>
    </row>
    <row r="363" spans="1:1" ht="15" customHeight="1">
      <c r="A363" s="128"/>
    </row>
    <row r="364" spans="1:1" ht="15" customHeight="1">
      <c r="A364" s="128"/>
    </row>
    <row r="365" spans="1:1" ht="15" customHeight="1">
      <c r="A365" s="128"/>
    </row>
    <row r="366" spans="1:1" ht="15" customHeight="1">
      <c r="A366" s="128"/>
    </row>
    <row r="367" spans="1:1" ht="15" customHeight="1">
      <c r="A367" s="128"/>
    </row>
    <row r="368" spans="1:1" ht="15" customHeight="1">
      <c r="A368" s="128"/>
    </row>
    <row r="369" spans="1:1" ht="15" customHeight="1">
      <c r="A369" s="128"/>
    </row>
    <row r="370" spans="1:1" ht="15" customHeight="1">
      <c r="A370" s="128"/>
    </row>
    <row r="371" spans="1:1" ht="15" customHeight="1">
      <c r="A371" s="128"/>
    </row>
    <row r="372" spans="1:1" ht="15" customHeight="1">
      <c r="A372" s="128"/>
    </row>
    <row r="373" spans="1:1" ht="15" customHeight="1">
      <c r="A373" s="128"/>
    </row>
    <row r="374" spans="1:1" ht="15" customHeight="1">
      <c r="A374" s="128"/>
    </row>
    <row r="375" spans="1:1" ht="15" customHeight="1">
      <c r="A375" s="128"/>
    </row>
    <row r="376" spans="1:1" ht="15" customHeight="1">
      <c r="A376" s="128"/>
    </row>
    <row r="377" spans="1:1" ht="15" customHeight="1">
      <c r="A377" s="128"/>
    </row>
    <row r="378" spans="1:1" ht="15" customHeight="1">
      <c r="A378" s="128"/>
    </row>
    <row r="379" spans="1:1" ht="15" customHeight="1">
      <c r="A379" s="128"/>
    </row>
    <row r="380" spans="1:1" ht="15" customHeight="1">
      <c r="A380" s="128"/>
    </row>
    <row r="381" spans="1:1" ht="15" customHeight="1">
      <c r="A381" s="128"/>
    </row>
    <row r="382" spans="1:1" ht="15" customHeight="1">
      <c r="A382" s="128"/>
    </row>
    <row r="383" spans="1:1" ht="15" customHeight="1">
      <c r="A383" s="128"/>
    </row>
    <row r="384" spans="1:1" ht="15" customHeight="1">
      <c r="A384" s="128"/>
    </row>
    <row r="385" spans="1:1" ht="15" customHeight="1">
      <c r="A385" s="128"/>
    </row>
    <row r="386" spans="1:1" ht="15" customHeight="1">
      <c r="A386" s="128"/>
    </row>
    <row r="387" spans="1:1" ht="15" customHeight="1">
      <c r="A387" s="128"/>
    </row>
    <row r="388" spans="1:1" ht="15" customHeight="1">
      <c r="A388" s="128"/>
    </row>
    <row r="389" spans="1:1" ht="15" customHeight="1">
      <c r="A389" s="128"/>
    </row>
    <row r="390" spans="1:1" ht="15" customHeight="1">
      <c r="A390" s="128"/>
    </row>
    <row r="391" spans="1:1" ht="15" customHeight="1">
      <c r="A391" s="128"/>
    </row>
    <row r="392" spans="1:1" ht="15" customHeight="1">
      <c r="A392" s="128"/>
    </row>
    <row r="393" spans="1:1" ht="15" customHeight="1">
      <c r="A393" s="128"/>
    </row>
    <row r="394" spans="1:1" ht="15" customHeight="1">
      <c r="A394" s="128"/>
    </row>
    <row r="395" spans="1:1" ht="15" customHeight="1">
      <c r="A395" s="128"/>
    </row>
    <row r="396" spans="1:1" ht="15" customHeight="1">
      <c r="A396" s="128"/>
    </row>
    <row r="397" spans="1:1" ht="15" customHeight="1">
      <c r="A397" s="128"/>
    </row>
    <row r="398" spans="1:1" ht="15" customHeight="1">
      <c r="A398" s="128"/>
    </row>
    <row r="399" spans="1:1" ht="15" customHeight="1">
      <c r="A399" s="128"/>
    </row>
    <row r="400" spans="1:1" ht="15" customHeight="1">
      <c r="A400" s="128"/>
    </row>
    <row r="401" spans="1:1" ht="15" customHeight="1">
      <c r="A401" s="128"/>
    </row>
    <row r="402" spans="1:1" ht="15" customHeight="1">
      <c r="A402" s="128"/>
    </row>
    <row r="403" spans="1:1" ht="15" customHeight="1">
      <c r="A403" s="128"/>
    </row>
    <row r="404" spans="1:1" ht="15" customHeight="1">
      <c r="A404" s="128"/>
    </row>
    <row r="405" spans="1:1" ht="15" customHeight="1">
      <c r="A405" s="128"/>
    </row>
    <row r="406" spans="1:1" ht="15" customHeight="1">
      <c r="A406" s="128"/>
    </row>
    <row r="407" spans="1:1" ht="15" customHeight="1">
      <c r="A407" s="128"/>
    </row>
    <row r="408" spans="1:1" ht="15" customHeight="1">
      <c r="A408" s="128"/>
    </row>
    <row r="409" spans="1:1" ht="15" customHeight="1">
      <c r="A409" s="128"/>
    </row>
    <row r="410" spans="1:1" ht="15" customHeight="1">
      <c r="A410" s="128"/>
    </row>
    <row r="411" spans="1:1" ht="15" customHeight="1">
      <c r="A411" s="128"/>
    </row>
    <row r="412" spans="1:1" ht="15" customHeight="1">
      <c r="A412" s="128"/>
    </row>
    <row r="413" spans="1:1" ht="15" customHeight="1">
      <c r="A413" s="128"/>
    </row>
    <row r="414" spans="1:1" ht="15" customHeight="1">
      <c r="A414" s="128"/>
    </row>
    <row r="415" spans="1:1" ht="15" customHeight="1">
      <c r="A415" s="128"/>
    </row>
    <row r="416" spans="1:1" ht="15" customHeight="1">
      <c r="A416" s="128"/>
    </row>
    <row r="417" spans="1:1" ht="15" customHeight="1">
      <c r="A417" s="128"/>
    </row>
    <row r="418" spans="1:1" ht="15" customHeight="1">
      <c r="A418" s="128"/>
    </row>
    <row r="419" spans="1:1" ht="15" customHeight="1">
      <c r="A419" s="128"/>
    </row>
    <row r="420" spans="1:1" ht="15" customHeight="1">
      <c r="A420" s="128"/>
    </row>
    <row r="421" spans="1:1" ht="15" customHeight="1">
      <c r="A421" s="128"/>
    </row>
    <row r="422" spans="1:1" ht="15" customHeight="1">
      <c r="A422" s="128"/>
    </row>
    <row r="423" spans="1:1" ht="15" customHeight="1">
      <c r="A423" s="128"/>
    </row>
    <row r="424" spans="1:1" ht="15" customHeight="1">
      <c r="A424" s="128"/>
    </row>
    <row r="425" spans="1:1" ht="15" customHeight="1">
      <c r="A425" s="128"/>
    </row>
    <row r="426" spans="1:1" ht="15" customHeight="1">
      <c r="A426" s="128"/>
    </row>
    <row r="427" spans="1:1" ht="15" customHeight="1">
      <c r="A427" s="128"/>
    </row>
    <row r="428" spans="1:1" ht="15" customHeight="1">
      <c r="A428" s="128"/>
    </row>
    <row r="429" spans="1:1" ht="15" customHeight="1">
      <c r="A429" s="128"/>
    </row>
    <row r="430" spans="1:1" ht="15" customHeight="1">
      <c r="A430" s="128"/>
    </row>
    <row r="431" spans="1:1" ht="15" customHeight="1">
      <c r="A431" s="128"/>
    </row>
    <row r="432" spans="1:1" ht="15" customHeight="1">
      <c r="A432" s="128"/>
    </row>
    <row r="433" spans="1:1" ht="15" customHeight="1">
      <c r="A433" s="128"/>
    </row>
    <row r="434" spans="1:1" ht="15" customHeight="1">
      <c r="A434" s="128"/>
    </row>
    <row r="435" spans="1:1" ht="15" customHeight="1">
      <c r="A435" s="128"/>
    </row>
    <row r="436" spans="1:1" ht="15" customHeight="1">
      <c r="A436" s="128"/>
    </row>
    <row r="437" spans="1:1" ht="15" customHeight="1">
      <c r="A437" s="128"/>
    </row>
    <row r="438" spans="1:1" ht="15" customHeight="1">
      <c r="A438" s="128"/>
    </row>
    <row r="439" spans="1:1" ht="15" customHeight="1">
      <c r="A439" s="128"/>
    </row>
    <row r="440" spans="1:1" ht="15" customHeight="1">
      <c r="A440" s="128"/>
    </row>
    <row r="441" spans="1:1" ht="15" customHeight="1">
      <c r="A441" s="128"/>
    </row>
    <row r="442" spans="1:1" ht="15" customHeight="1">
      <c r="A442" s="128"/>
    </row>
    <row r="443" spans="1:1" ht="15" customHeight="1">
      <c r="A443" s="128"/>
    </row>
    <row r="444" spans="1:1" ht="15" customHeight="1">
      <c r="A444" s="128"/>
    </row>
    <row r="445" spans="1:1" ht="15" customHeight="1">
      <c r="A445" s="128"/>
    </row>
    <row r="446" spans="1:1" ht="15" customHeight="1">
      <c r="A446" s="128"/>
    </row>
    <row r="447" spans="1:1" ht="15" customHeight="1">
      <c r="A447" s="128"/>
    </row>
    <row r="448" spans="1:1" ht="15" customHeight="1">
      <c r="A448" s="128"/>
    </row>
    <row r="449" spans="1:1" ht="15" customHeight="1">
      <c r="A449" s="128"/>
    </row>
    <row r="450" spans="1:1" ht="15" customHeight="1">
      <c r="A450" s="128"/>
    </row>
    <row r="451" spans="1:1" ht="15" customHeight="1">
      <c r="A451" s="128"/>
    </row>
    <row r="452" spans="1:1" ht="15" customHeight="1">
      <c r="A452" s="128"/>
    </row>
    <row r="453" spans="1:1" ht="15" customHeight="1">
      <c r="A453" s="128"/>
    </row>
    <row r="454" spans="1:1" ht="15" customHeight="1">
      <c r="A454" s="128"/>
    </row>
    <row r="455" spans="1:1" ht="15" customHeight="1">
      <c r="A455" s="128"/>
    </row>
    <row r="456" spans="1:1" ht="15" customHeight="1">
      <c r="A456" s="128"/>
    </row>
    <row r="457" spans="1:1" ht="15" customHeight="1">
      <c r="A457" s="128"/>
    </row>
    <row r="458" spans="1:1" ht="15" customHeight="1">
      <c r="A458" s="128"/>
    </row>
    <row r="459" spans="1:1" ht="15" customHeight="1">
      <c r="A459" s="128"/>
    </row>
    <row r="460" spans="1:1" ht="15" customHeight="1">
      <c r="A460" s="128"/>
    </row>
    <row r="461" spans="1:1" ht="15" customHeight="1">
      <c r="A461" s="128"/>
    </row>
    <row r="462" spans="1:1" ht="15" customHeight="1">
      <c r="A462" s="128"/>
    </row>
    <row r="463" spans="1:1" ht="15" customHeight="1">
      <c r="A463" s="128"/>
    </row>
    <row r="464" spans="1:1" ht="15" customHeight="1">
      <c r="A464" s="128"/>
    </row>
    <row r="465" spans="1:1" ht="15" customHeight="1">
      <c r="A465" s="128"/>
    </row>
    <row r="466" spans="1:1" ht="15" customHeight="1">
      <c r="A466" s="128"/>
    </row>
    <row r="467" spans="1:1" ht="15" customHeight="1">
      <c r="A467" s="128"/>
    </row>
    <row r="468" spans="1:1" ht="15" customHeight="1">
      <c r="A468" s="128"/>
    </row>
    <row r="469" spans="1:1" ht="15" customHeight="1">
      <c r="A469" s="128"/>
    </row>
    <row r="470" spans="1:1" ht="15" customHeight="1">
      <c r="A470" s="128"/>
    </row>
    <row r="471" spans="1:1" ht="15" customHeight="1">
      <c r="A471" s="128"/>
    </row>
    <row r="472" spans="1:1" ht="15" customHeight="1">
      <c r="A472" s="128"/>
    </row>
    <row r="473" spans="1:1" ht="15" customHeight="1">
      <c r="A473" s="128"/>
    </row>
    <row r="474" spans="1:1" ht="15" customHeight="1">
      <c r="A474" s="128"/>
    </row>
  </sheetData>
  <sheetProtection algorithmName="SHA-512" hashValue="nGzJEEsbBAlXG4A30HJj4or3jvnO1xWowSa4DPlLDMbkVVnnhixL0dc/RB3DYXRzcfnwv+9QFUacV0nqYpUt+g==" saltValue="RXnTFtQK6X8cDmbRA+hDbA==" spinCount="100000" sheet="1" objects="1" scenarios="1" selectLockedCells="1"/>
  <mergeCells count="3">
    <mergeCell ref="I2:I6"/>
    <mergeCell ref="L24:L27"/>
    <mergeCell ref="L100:L103"/>
  </mergeCells>
  <dataValidations count="1">
    <dataValidation type="list" allowBlank="1" showInputMessage="1" showErrorMessage="1" sqref="D9:I9" xr:uid="{00000000-0002-0000-0600-000000000000}">
      <formula1>YesNo</formula1>
    </dataValidation>
  </dataValidations>
  <pageMargins left="0.75" right="0.75" top="1" bottom="1" header="0.5" footer="0.5"/>
  <pageSetup paperSize="5" scale="40" orientation="portrait" r:id="rId1"/>
  <headerFooter alignWithMargins="0">
    <oddHeader>&amp;CMOHCD Proforma - Predevelopment Financing Sources &amp; Uses of Funds</oddHead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2337" r:id="rId4" name="Button 1">
              <controlPr defaultSize="0" print="0" autoFill="0" autoPict="0" macro="[0]!AddColumn">
                <anchor moveWithCells="1" sizeWithCells="1">
                  <from>
                    <xdr:col>9</xdr:col>
                    <xdr:colOff>228600</xdr:colOff>
                    <xdr:row>1</xdr:row>
                    <xdr:rowOff>68580</xdr:rowOff>
                  </from>
                  <to>
                    <xdr:col>10</xdr:col>
                    <xdr:colOff>327660</xdr:colOff>
                    <xdr:row>3</xdr:row>
                    <xdr:rowOff>45720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theme="5" tint="0.59999389629810485"/>
    <pageSetUpPr fitToPage="1"/>
  </sheetPr>
  <dimension ref="A1:N474"/>
  <sheetViews>
    <sheetView workbookViewId="0">
      <pane xSplit="3" ySplit="8" topLeftCell="D99" activePane="bottomRight" state="frozen"/>
      <selection pane="topRight" activeCell="D1" sqref="D1"/>
      <selection pane="bottomLeft" activeCell="A9" sqref="A9"/>
      <selection pane="bottomRight" activeCell="G110" sqref="G110"/>
    </sheetView>
  </sheetViews>
  <sheetFormatPr defaultColWidth="0" defaultRowHeight="13.8"/>
  <cols>
    <col min="1" max="1" width="2.88671875" style="709" customWidth="1"/>
    <col min="2" max="2" width="2.88671875" style="128" customWidth="1"/>
    <col min="3" max="3" width="51.5546875" style="128" customWidth="1"/>
    <col min="4" max="4" width="14.6640625" style="693" customWidth="1"/>
    <col min="5" max="9" width="14.6640625" style="128" customWidth="1"/>
    <col min="10" max="10" width="14.6640625" style="319" customWidth="1"/>
    <col min="11" max="11" width="48" style="128" customWidth="1"/>
    <col min="12" max="12" width="11.44140625" style="182" customWidth="1"/>
    <col min="13" max="13" width="2.6640625" style="128" customWidth="1"/>
    <col min="14" max="16384" width="9.109375" style="128" hidden="1"/>
  </cols>
  <sheetData>
    <row r="1" spans="1:13">
      <c r="A1" s="139" t="s">
        <v>2</v>
      </c>
      <c r="C1" s="129"/>
      <c r="D1" s="701" t="str">
        <f>IF('1.GeneralProjectInfo'!$D$3&lt;&gt;"",'1.GeneralProjectInfo'!$D$3,"")</f>
        <v/>
      </c>
      <c r="E1" s="695"/>
      <c r="F1" s="695"/>
      <c r="G1" s="319" t="s">
        <v>493</v>
      </c>
      <c r="H1" s="139" t="str">
        <f>IF('1.GeneralProjectInfo'!$A$17&lt;&gt;"",'1.GeneralProjectInfo'!$A$17,"")</f>
        <v/>
      </c>
      <c r="I1" s="319"/>
      <c r="K1" s="27" t="str">
        <f>IF(SmallSites=TRUE,"Small Sites Project","")</f>
        <v/>
      </c>
      <c r="M1" s="696"/>
    </row>
    <row r="2" spans="1:13" ht="15" customHeight="1">
      <c r="A2" s="139" t="s">
        <v>65</v>
      </c>
      <c r="C2" s="129"/>
      <c r="D2" s="695" t="str">
        <f>IF('1.GeneralProjectInfo'!$A$13&lt;&gt;"",'1.GeneralProjectInfo'!$A$13,"")</f>
        <v/>
      </c>
      <c r="E2" s="697"/>
      <c r="F2" s="697"/>
      <c r="G2" s="710" t="s">
        <v>694</v>
      </c>
      <c r="H2" s="720"/>
      <c r="I2" s="2269"/>
      <c r="K2" s="27" t="str">
        <f>IF(LOSP=TRUE,"LOSP Project","")</f>
        <v/>
      </c>
      <c r="M2" s="696"/>
    </row>
    <row r="3" spans="1:13" ht="15" customHeight="1">
      <c r="A3" s="139" t="s">
        <v>66</v>
      </c>
      <c r="C3" s="129"/>
      <c r="D3" s="128" t="str">
        <f>IF('1.GeneralProjectInfo'!$E$13&lt;&gt;"",CONCATENATE('1.GeneralProjectInfo'!$E$13," ",'1.GeneralProjectInfo'!$G$13," ",'1.GeneralProjectInfo'!$I$13),"")</f>
        <v/>
      </c>
      <c r="G3" s="319" t="s">
        <v>692</v>
      </c>
      <c r="H3" s="319"/>
      <c r="I3" s="2269"/>
      <c r="J3" s="702" t="str">
        <f>IF('1.GeneralProjectInfo'!$K$17&lt;&gt;"",'1.GeneralProjectInfo'!$K$17,"")</f>
        <v/>
      </c>
      <c r="M3" s="696"/>
    </row>
    <row r="4" spans="1:13" ht="15" customHeight="1">
      <c r="A4" s="139" t="s">
        <v>59</v>
      </c>
      <c r="C4" s="129"/>
      <c r="D4" s="808" t="str">
        <f>IF('1.GeneralProjectInfo'!$D$19&lt;&gt;"",'1.GeneralProjectInfo'!$D$19,"")</f>
        <v/>
      </c>
      <c r="E4" s="697"/>
      <c r="F4" s="697"/>
      <c r="G4" s="129"/>
      <c r="H4" s="129"/>
      <c r="I4" s="2269"/>
      <c r="J4" s="139"/>
      <c r="M4" s="696"/>
    </row>
    <row r="5" spans="1:13">
      <c r="A5" s="138"/>
      <c r="D5" s="697"/>
      <c r="E5" s="1285" t="str">
        <f>IF(OR(D138="",D139="",D140="",D141=""),"Don't forget to fill in D135:D138!","")</f>
        <v>Don't forget to fill in D135:D138!</v>
      </c>
      <c r="F5" s="129"/>
      <c r="G5" s="139"/>
      <c r="H5" s="139"/>
      <c r="I5" s="2269"/>
      <c r="J5" s="128"/>
      <c r="M5" s="696"/>
    </row>
    <row r="6" spans="1:13" ht="14.4">
      <c r="A6" s="128"/>
      <c r="D6" s="703"/>
      <c r="E6" s="319"/>
      <c r="F6" s="704"/>
      <c r="I6" s="2270"/>
      <c r="J6" s="319" t="s">
        <v>691</v>
      </c>
      <c r="K6" s="120" t="s">
        <v>0</v>
      </c>
      <c r="M6" s="696"/>
    </row>
    <row r="7" spans="1:13">
      <c r="A7" s="705" t="s">
        <v>690</v>
      </c>
      <c r="C7" s="705"/>
      <c r="D7" s="706">
        <f t="shared" ref="D7:I7" si="0">D126</f>
        <v>0</v>
      </c>
      <c r="E7" s="706">
        <f t="shared" si="0"/>
        <v>0</v>
      </c>
      <c r="F7" s="706">
        <f t="shared" si="0"/>
        <v>0</v>
      </c>
      <c r="G7" s="706">
        <f t="shared" si="0"/>
        <v>0</v>
      </c>
      <c r="H7" s="706">
        <f t="shared" si="0"/>
        <v>0</v>
      </c>
      <c r="I7" s="932">
        <f t="shared" si="0"/>
        <v>0</v>
      </c>
      <c r="J7" s="932">
        <f>SUM(D7:I7)</f>
        <v>0</v>
      </c>
      <c r="K7" s="1118"/>
    </row>
    <row r="8" spans="1:13">
      <c r="A8" s="319"/>
      <c r="C8" s="707" t="s">
        <v>1110</v>
      </c>
      <c r="D8" s="694" t="s">
        <v>1051</v>
      </c>
      <c r="E8" s="719"/>
      <c r="F8" s="719"/>
      <c r="G8" s="719"/>
      <c r="H8" s="719"/>
      <c r="I8" s="719"/>
      <c r="J8" s="692"/>
      <c r="K8" s="1110"/>
    </row>
    <row r="9" spans="1:13">
      <c r="A9" s="705" t="s">
        <v>689</v>
      </c>
      <c r="C9" s="759" t="str">
        <f>IF(SmallSites=TRUE,"Perm loans total:","")</f>
        <v/>
      </c>
      <c r="D9" s="693" t="str">
        <f>IF(SmallSites=TRUE,D7+E12,"")</f>
        <v/>
      </c>
      <c r="E9" s="693"/>
      <c r="F9" s="693"/>
      <c r="G9" s="693"/>
      <c r="H9" s="693"/>
      <c r="I9" s="933"/>
      <c r="J9" s="692"/>
      <c r="K9" s="1110"/>
    </row>
    <row r="10" spans="1:13">
      <c r="A10" s="705"/>
      <c r="C10" s="705"/>
      <c r="E10" s="693"/>
      <c r="F10" s="693"/>
      <c r="G10" s="693"/>
      <c r="H10" s="693"/>
      <c r="I10" s="933"/>
      <c r="J10" s="692"/>
      <c r="K10" s="1110" t="str">
        <f>IF(SmallSites=FALSE,"",IF('4a.PredevS&amp;U'!D10-D9=0,"",IF('4a.PredevS&amp;U'!D10-D9&gt;0,"Perm loan amount is less than bridge loan(s) by:","Perm loan amount is more than bridge loan(s) by:")))</f>
        <v/>
      </c>
    </row>
    <row r="11" spans="1:13">
      <c r="A11" s="319" t="s">
        <v>688</v>
      </c>
      <c r="C11" s="708"/>
      <c r="D11" s="691"/>
      <c r="E11" s="691"/>
      <c r="F11" s="691"/>
      <c r="G11" s="691"/>
      <c r="H11" s="691"/>
      <c r="I11" s="934"/>
      <c r="J11" s="690"/>
      <c r="K11" s="1111" t="str">
        <f>IF(SmallSites=FALSE,"",ABS('4a.PredevS&amp;U'!D10-D7-E12))</f>
        <v/>
      </c>
    </row>
    <row r="12" spans="1:13">
      <c r="A12" s="128"/>
      <c r="B12" s="709"/>
      <c r="C12" s="127" t="s">
        <v>687</v>
      </c>
      <c r="D12" s="715"/>
      <c r="E12" s="715"/>
      <c r="F12" s="715"/>
      <c r="G12" s="715"/>
      <c r="H12" s="715"/>
      <c r="I12" s="715"/>
      <c r="J12" s="931">
        <f>SUM(D12:I12)</f>
        <v>0</v>
      </c>
      <c r="K12" s="1112"/>
    </row>
    <row r="13" spans="1:13">
      <c r="A13" s="128"/>
      <c r="B13" s="709"/>
      <c r="C13" s="127" t="s">
        <v>1162</v>
      </c>
      <c r="D13" s="715"/>
      <c r="E13" s="715"/>
      <c r="F13" s="715"/>
      <c r="G13" s="715"/>
      <c r="H13" s="715"/>
      <c r="I13" s="715"/>
      <c r="J13" s="931">
        <f>SUM(D13:I13)</f>
        <v>0</v>
      </c>
      <c r="K13" s="1112"/>
    </row>
    <row r="14" spans="1:13">
      <c r="A14" s="128"/>
      <c r="B14" s="709"/>
      <c r="C14" s="127" t="s">
        <v>1121</v>
      </c>
      <c r="D14" s="715"/>
      <c r="E14" s="715"/>
      <c r="F14" s="715"/>
      <c r="G14" s="715"/>
      <c r="H14" s="715"/>
      <c r="I14" s="715"/>
      <c r="J14" s="931">
        <f>SUM(D14:I14)</f>
        <v>0</v>
      </c>
      <c r="K14" s="1112"/>
    </row>
    <row r="15" spans="1:13" s="699" customFormat="1" ht="14.4">
      <c r="A15" s="128"/>
      <c r="B15" s="698"/>
      <c r="C15" s="127" t="s">
        <v>1122</v>
      </c>
      <c r="D15" s="715"/>
      <c r="E15" s="715"/>
      <c r="F15" s="715"/>
      <c r="G15" s="715"/>
      <c r="H15" s="715"/>
      <c r="I15" s="715"/>
      <c r="J15" s="931">
        <f>SUM(D15:I15)</f>
        <v>0</v>
      </c>
      <c r="K15" s="1113"/>
      <c r="L15" s="637"/>
    </row>
    <row r="16" spans="1:13" s="710" customFormat="1" ht="14.4">
      <c r="A16" s="319"/>
      <c r="B16" s="319"/>
      <c r="C16" s="1276" t="s">
        <v>685</v>
      </c>
      <c r="D16" s="1277">
        <f t="shared" ref="D16:I16" si="1">SUM(D12:D15)</f>
        <v>0</v>
      </c>
      <c r="E16" s="1277">
        <f t="shared" si="1"/>
        <v>0</v>
      </c>
      <c r="F16" s="1277">
        <f t="shared" si="1"/>
        <v>0</v>
      </c>
      <c r="G16" s="1277">
        <f t="shared" si="1"/>
        <v>0</v>
      </c>
      <c r="H16" s="1277">
        <f t="shared" si="1"/>
        <v>0</v>
      </c>
      <c r="I16" s="1278">
        <f t="shared" si="1"/>
        <v>0</v>
      </c>
      <c r="J16" s="1278">
        <f>SUM(D16:I16)</f>
        <v>0</v>
      </c>
      <c r="K16" s="1279"/>
      <c r="L16" s="637"/>
    </row>
    <row r="17" spans="1:14" s="710" customFormat="1">
      <c r="A17" s="319"/>
      <c r="B17" s="319"/>
      <c r="C17" s="129"/>
      <c r="D17" s="681"/>
      <c r="E17" s="681"/>
      <c r="F17" s="681"/>
      <c r="G17" s="681"/>
      <c r="H17" s="681"/>
      <c r="I17" s="936"/>
      <c r="J17" s="936"/>
      <c r="K17" s="1124"/>
      <c r="L17" s="681"/>
      <c r="M17" s="138"/>
      <c r="N17" s="637"/>
    </row>
    <row r="18" spans="1:14" s="699" customFormat="1" ht="14.4">
      <c r="A18" s="700" t="s">
        <v>684</v>
      </c>
      <c r="D18" s="917"/>
      <c r="E18" s="917"/>
      <c r="F18" s="917"/>
      <c r="G18" s="917"/>
      <c r="H18" s="917"/>
      <c r="I18" s="937"/>
      <c r="J18" s="1391"/>
      <c r="K18" s="1114"/>
      <c r="L18" s="637"/>
    </row>
    <row r="19" spans="1:14">
      <c r="A19" s="319"/>
      <c r="B19" s="319"/>
      <c r="C19" s="711"/>
      <c r="D19" s="683"/>
      <c r="E19" s="683"/>
      <c r="F19" s="683"/>
      <c r="G19" s="683"/>
      <c r="H19" s="691"/>
      <c r="I19" s="934"/>
      <c r="J19" s="1392"/>
      <c r="K19" s="1111"/>
    </row>
    <row r="20" spans="1:14">
      <c r="A20" s="128"/>
      <c r="B20" s="1389" t="s">
        <v>1263</v>
      </c>
      <c r="C20" s="127" t="s">
        <v>682</v>
      </c>
      <c r="D20" s="715"/>
      <c r="E20" s="715"/>
      <c r="F20" s="715"/>
      <c r="G20" s="715"/>
      <c r="H20" s="715"/>
      <c r="I20" s="715"/>
      <c r="J20" s="931">
        <f>SUM(D20:I20)</f>
        <v>0</v>
      </c>
      <c r="K20" s="1112" t="s">
        <v>1214</v>
      </c>
    </row>
    <row r="21" spans="1:14">
      <c r="A21" s="128"/>
      <c r="B21" s="1389" t="s">
        <v>1263</v>
      </c>
      <c r="C21" s="127" t="s">
        <v>1123</v>
      </c>
      <c r="D21" s="715"/>
      <c r="E21" s="715"/>
      <c r="F21" s="715"/>
      <c r="G21" s="715"/>
      <c r="H21" s="715"/>
      <c r="I21" s="715"/>
      <c r="J21" s="931">
        <f>SUM(D21:I21)</f>
        <v>0</v>
      </c>
      <c r="K21" s="1112"/>
    </row>
    <row r="22" spans="1:14">
      <c r="A22" s="128"/>
      <c r="B22" s="1389" t="s">
        <v>1263</v>
      </c>
      <c r="C22" s="127" t="s">
        <v>686</v>
      </c>
      <c r="D22" s="715"/>
      <c r="E22" s="715"/>
      <c r="F22" s="715"/>
      <c r="G22" s="715"/>
      <c r="H22" s="715"/>
      <c r="I22" s="715"/>
      <c r="J22" s="931">
        <f>SUM(D22:I22)</f>
        <v>0</v>
      </c>
      <c r="K22" s="1112"/>
    </row>
    <row r="23" spans="1:14">
      <c r="A23" s="128"/>
      <c r="B23" s="709"/>
      <c r="C23" s="127" t="s">
        <v>683</v>
      </c>
      <c r="D23" s="715"/>
      <c r="E23" s="715"/>
      <c r="F23" s="715"/>
      <c r="G23" s="715"/>
      <c r="H23" s="715"/>
      <c r="I23" s="715"/>
      <c r="J23" s="931">
        <f>SUM(D23:I23)</f>
        <v>0</v>
      </c>
      <c r="K23" s="1112"/>
    </row>
    <row r="24" spans="1:14">
      <c r="A24" s="128"/>
      <c r="B24" s="1389" t="s">
        <v>1263</v>
      </c>
      <c r="C24" s="127" t="s">
        <v>1124</v>
      </c>
      <c r="D24" s="715"/>
      <c r="E24" s="715"/>
      <c r="F24" s="715"/>
      <c r="G24" s="715"/>
      <c r="H24" s="715"/>
      <c r="I24" s="715"/>
      <c r="J24" s="931">
        <f t="shared" ref="J24:J35" si="2">SUM(D24:I24)</f>
        <v>0</v>
      </c>
      <c r="K24" s="1112"/>
      <c r="L24" s="2271" t="s">
        <v>1190</v>
      </c>
    </row>
    <row r="25" spans="1:14">
      <c r="A25" s="128"/>
      <c r="B25" s="1389" t="s">
        <v>1263</v>
      </c>
      <c r="C25" s="127" t="s">
        <v>1211</v>
      </c>
      <c r="D25" s="715"/>
      <c r="E25" s="715"/>
      <c r="F25" s="715"/>
      <c r="G25" s="715"/>
      <c r="H25" s="715"/>
      <c r="I25" s="715"/>
      <c r="J25" s="931">
        <f t="shared" si="2"/>
        <v>0</v>
      </c>
      <c r="K25" s="1112"/>
      <c r="L25" s="2272"/>
    </row>
    <row r="26" spans="1:14">
      <c r="A26" s="128"/>
      <c r="B26" s="1389" t="s">
        <v>1263</v>
      </c>
      <c r="C26" s="127" t="s">
        <v>1125</v>
      </c>
      <c r="D26" s="715"/>
      <c r="E26" s="715"/>
      <c r="F26" s="715"/>
      <c r="G26" s="715"/>
      <c r="H26" s="715"/>
      <c r="I26" s="715"/>
      <c r="J26" s="931">
        <f t="shared" si="2"/>
        <v>0</v>
      </c>
      <c r="K26" s="1112" t="s">
        <v>1133</v>
      </c>
      <c r="L26" s="2272"/>
    </row>
    <row r="27" spans="1:14">
      <c r="A27" s="128"/>
      <c r="B27" s="709"/>
      <c r="C27" s="127" t="s">
        <v>681</v>
      </c>
      <c r="D27" s="715"/>
      <c r="E27" s="715"/>
      <c r="F27" s="715"/>
      <c r="G27" s="715"/>
      <c r="H27" s="715"/>
      <c r="I27" s="715"/>
      <c r="J27" s="931">
        <f t="shared" si="2"/>
        <v>0</v>
      </c>
      <c r="K27" s="1112"/>
      <c r="L27" s="2272"/>
    </row>
    <row r="28" spans="1:14">
      <c r="A28" s="128"/>
      <c r="B28" s="709"/>
      <c r="C28" s="127" t="s">
        <v>1212</v>
      </c>
      <c r="D28" s="715"/>
      <c r="E28" s="715"/>
      <c r="F28" s="715"/>
      <c r="G28" s="715"/>
      <c r="H28" s="715"/>
      <c r="I28" s="715"/>
      <c r="J28" s="931">
        <f t="shared" si="2"/>
        <v>0</v>
      </c>
      <c r="K28" s="1112"/>
      <c r="L28" s="1287" t="str">
        <f>IFERROR(J28/SUM($J$20:$J$30),"")</f>
        <v/>
      </c>
    </row>
    <row r="29" spans="1:14">
      <c r="A29" s="128"/>
      <c r="B29" s="709"/>
      <c r="C29" s="127" t="s">
        <v>1126</v>
      </c>
      <c r="D29" s="715"/>
      <c r="E29" s="715"/>
      <c r="F29" s="715"/>
      <c r="G29" s="715"/>
      <c r="H29" s="715"/>
      <c r="I29" s="715"/>
      <c r="J29" s="931">
        <f t="shared" si="2"/>
        <v>0</v>
      </c>
      <c r="K29" s="1112"/>
      <c r="L29" s="1287" t="str">
        <f t="shared" ref="L29:L30" si="3">IFERROR(J29/SUM($J$20:$J$30),"")</f>
        <v/>
      </c>
    </row>
    <row r="30" spans="1:14" s="319" customFormat="1">
      <c r="A30" s="128"/>
      <c r="B30" s="709"/>
      <c r="C30" s="127" t="s">
        <v>1127</v>
      </c>
      <c r="D30" s="715"/>
      <c r="E30" s="715"/>
      <c r="F30" s="715"/>
      <c r="G30" s="715"/>
      <c r="H30" s="715"/>
      <c r="I30" s="715"/>
      <c r="J30" s="931">
        <f t="shared" si="2"/>
        <v>0</v>
      </c>
      <c r="K30" s="1112"/>
      <c r="L30" s="1287" t="str">
        <f t="shared" si="3"/>
        <v/>
      </c>
    </row>
    <row r="31" spans="1:14" ht="14.4">
      <c r="A31" s="319"/>
      <c r="B31" s="319"/>
      <c r="C31" s="1268" t="s">
        <v>1128</v>
      </c>
      <c r="D31" s="1269">
        <f t="shared" ref="D31:I31" si="4">SUM(D20:D30)</f>
        <v>0</v>
      </c>
      <c r="E31" s="1269">
        <f t="shared" si="4"/>
        <v>0</v>
      </c>
      <c r="F31" s="1269">
        <f t="shared" si="4"/>
        <v>0</v>
      </c>
      <c r="G31" s="1269">
        <f t="shared" si="4"/>
        <v>0</v>
      </c>
      <c r="H31" s="1269">
        <f t="shared" si="4"/>
        <v>0</v>
      </c>
      <c r="I31" s="1270">
        <f t="shared" si="4"/>
        <v>0</v>
      </c>
      <c r="J31" s="1270">
        <f t="shared" si="2"/>
        <v>0</v>
      </c>
      <c r="K31" s="419"/>
      <c r="L31" s="1288"/>
    </row>
    <row r="32" spans="1:14" ht="15" customHeight="1">
      <c r="A32" s="128"/>
      <c r="B32" s="709"/>
      <c r="C32" s="127" t="s">
        <v>1129</v>
      </c>
      <c r="D32" s="715"/>
      <c r="E32" s="715"/>
      <c r="F32" s="715"/>
      <c r="G32" s="715"/>
      <c r="H32" s="715"/>
      <c r="I32" s="715"/>
      <c r="J32" s="931">
        <f t="shared" si="2"/>
        <v>0</v>
      </c>
      <c r="K32" s="1112" t="s">
        <v>1134</v>
      </c>
      <c r="L32" s="1287" t="str">
        <f t="shared" ref="L32:L35" si="5">IFERROR(J32/SUM($J$20:$J$30),"")</f>
        <v/>
      </c>
    </row>
    <row r="33" spans="1:12" ht="15" customHeight="1">
      <c r="A33" s="128"/>
      <c r="B33" s="709"/>
      <c r="C33" s="127" t="s">
        <v>1130</v>
      </c>
      <c r="D33" s="715"/>
      <c r="E33" s="715"/>
      <c r="F33" s="715"/>
      <c r="G33" s="715"/>
      <c r="H33" s="715"/>
      <c r="I33" s="715"/>
      <c r="J33" s="931">
        <f t="shared" si="2"/>
        <v>0</v>
      </c>
      <c r="K33" s="1112" t="s">
        <v>1134</v>
      </c>
      <c r="L33" s="1287" t="str">
        <f t="shared" si="5"/>
        <v/>
      </c>
    </row>
    <row r="34" spans="1:12" ht="15" customHeight="1">
      <c r="A34" s="128"/>
      <c r="B34" s="709"/>
      <c r="C34" s="127" t="s">
        <v>1131</v>
      </c>
      <c r="D34" s="715"/>
      <c r="E34" s="715"/>
      <c r="F34" s="715"/>
      <c r="G34" s="715"/>
      <c r="H34" s="715"/>
      <c r="I34" s="715"/>
      <c r="J34" s="931">
        <f t="shared" si="2"/>
        <v>0</v>
      </c>
      <c r="K34" s="1112" t="s">
        <v>1135</v>
      </c>
      <c r="L34" s="1287" t="str">
        <f t="shared" si="5"/>
        <v/>
      </c>
    </row>
    <row r="35" spans="1:12" s="710" customFormat="1">
      <c r="A35" s="128"/>
      <c r="B35" s="709"/>
      <c r="C35" s="127" t="s">
        <v>1132</v>
      </c>
      <c r="D35" s="715"/>
      <c r="E35" s="715"/>
      <c r="F35" s="715"/>
      <c r="G35" s="715"/>
      <c r="H35" s="715"/>
      <c r="I35" s="715"/>
      <c r="J35" s="931">
        <f t="shared" si="2"/>
        <v>0</v>
      </c>
      <c r="K35" s="1112" t="s">
        <v>1136</v>
      </c>
      <c r="L35" s="1289" t="str">
        <f t="shared" si="5"/>
        <v/>
      </c>
    </row>
    <row r="36" spans="1:12" s="710" customFormat="1" ht="14.4">
      <c r="A36" s="128"/>
      <c r="B36" s="128"/>
      <c r="C36" s="1268" t="s">
        <v>1208</v>
      </c>
      <c r="D36" s="1269">
        <f>SUM(D32:D35)</f>
        <v>0</v>
      </c>
      <c r="E36" s="1269">
        <f t="shared" ref="E36:J36" si="6">SUM(E32:E35)</f>
        <v>0</v>
      </c>
      <c r="F36" s="1269">
        <f t="shared" si="6"/>
        <v>0</v>
      </c>
      <c r="G36" s="1269">
        <f t="shared" si="6"/>
        <v>0</v>
      </c>
      <c r="H36" s="1269">
        <f t="shared" si="6"/>
        <v>0</v>
      </c>
      <c r="I36" s="1269">
        <f t="shared" si="6"/>
        <v>0</v>
      </c>
      <c r="J36" s="1270">
        <f t="shared" si="6"/>
        <v>0</v>
      </c>
      <c r="K36" s="1121"/>
      <c r="L36" s="637"/>
    </row>
    <row r="37" spans="1:12" s="319" customFormat="1">
      <c r="A37" s="710"/>
      <c r="C37" s="1276" t="s">
        <v>680</v>
      </c>
      <c r="D37" s="1277">
        <f>D31+D36</f>
        <v>0</v>
      </c>
      <c r="E37" s="1277">
        <f t="shared" ref="E37:J37" si="7">E31+E36</f>
        <v>0</v>
      </c>
      <c r="F37" s="1277">
        <f t="shared" si="7"/>
        <v>0</v>
      </c>
      <c r="G37" s="1277">
        <f t="shared" si="7"/>
        <v>0</v>
      </c>
      <c r="H37" s="1277">
        <f t="shared" si="7"/>
        <v>0</v>
      </c>
      <c r="I37" s="1277">
        <f t="shared" si="7"/>
        <v>0</v>
      </c>
      <c r="J37" s="1278">
        <f t="shared" si="7"/>
        <v>0</v>
      </c>
      <c r="K37" s="1280"/>
    </row>
    <row r="38" spans="1:12" s="319" customFormat="1">
      <c r="A38" s="128"/>
      <c r="B38" s="128"/>
      <c r="C38" s="128"/>
      <c r="D38" s="925"/>
      <c r="E38" s="128"/>
      <c r="F38" s="128"/>
      <c r="G38" s="128"/>
      <c r="H38" s="926"/>
      <c r="I38" s="938"/>
      <c r="J38" s="1393"/>
      <c r="K38" s="1121"/>
      <c r="L38" s="684"/>
    </row>
    <row r="39" spans="1:12" s="319" customFormat="1" ht="14.4">
      <c r="A39" s="319" t="s">
        <v>679</v>
      </c>
      <c r="B39" s="128"/>
      <c r="C39" s="704"/>
      <c r="D39" s="689"/>
      <c r="E39" s="689"/>
      <c r="F39" s="689"/>
      <c r="G39" s="689"/>
      <c r="H39" s="689"/>
      <c r="I39" s="939"/>
      <c r="J39" s="936"/>
      <c r="K39" s="1121"/>
      <c r="L39" s="182"/>
    </row>
    <row r="40" spans="1:12" s="319" customFormat="1">
      <c r="B40" s="700" t="s">
        <v>1175</v>
      </c>
      <c r="C40" s="711"/>
      <c r="D40" s="683"/>
      <c r="E40" s="683"/>
      <c r="F40" s="683"/>
      <c r="G40" s="683"/>
      <c r="H40" s="683"/>
      <c r="I40" s="940"/>
      <c r="J40" s="1274"/>
      <c r="K40" s="1117"/>
      <c r="L40" s="182"/>
    </row>
    <row r="41" spans="1:12" s="319" customFormat="1" ht="27.6">
      <c r="B41" s="700"/>
      <c r="C41" s="127" t="s">
        <v>1137</v>
      </c>
      <c r="D41" s="715"/>
      <c r="E41" s="715"/>
      <c r="F41" s="715"/>
      <c r="G41" s="715"/>
      <c r="H41" s="715"/>
      <c r="I41" s="715"/>
      <c r="J41" s="931">
        <f t="shared" ref="J41:J47" si="8">SUM(D41:I41)</f>
        <v>0</v>
      </c>
      <c r="K41" s="1112" t="s">
        <v>1182</v>
      </c>
      <c r="L41" s="182"/>
    </row>
    <row r="42" spans="1:12" s="319" customFormat="1">
      <c r="B42" s="700"/>
      <c r="C42" s="127" t="s">
        <v>1138</v>
      </c>
      <c r="D42" s="715"/>
      <c r="E42" s="715"/>
      <c r="F42" s="715"/>
      <c r="G42" s="715"/>
      <c r="H42" s="715"/>
      <c r="I42" s="715"/>
      <c r="J42" s="931">
        <f t="shared" si="8"/>
        <v>0</v>
      </c>
      <c r="K42" s="1112"/>
      <c r="L42" s="182"/>
    </row>
    <row r="43" spans="1:12" s="319" customFormat="1">
      <c r="B43" s="700"/>
      <c r="C43" s="127" t="s">
        <v>1139</v>
      </c>
      <c r="D43" s="715"/>
      <c r="E43" s="715"/>
      <c r="F43" s="715"/>
      <c r="G43" s="715"/>
      <c r="H43" s="715"/>
      <c r="I43" s="715"/>
      <c r="J43" s="931">
        <f t="shared" si="8"/>
        <v>0</v>
      </c>
      <c r="K43" s="1112"/>
      <c r="L43" s="182"/>
    </row>
    <row r="44" spans="1:12" s="319" customFormat="1">
      <c r="B44" s="700"/>
      <c r="C44" s="127" t="s">
        <v>1140</v>
      </c>
      <c r="D44" s="715"/>
      <c r="E44" s="715"/>
      <c r="F44" s="715"/>
      <c r="G44" s="715"/>
      <c r="H44" s="715"/>
      <c r="I44" s="715"/>
      <c r="J44" s="931">
        <f t="shared" si="8"/>
        <v>0</v>
      </c>
      <c r="K44" s="1112"/>
    </row>
    <row r="45" spans="1:12">
      <c r="A45" s="319"/>
      <c r="B45" s="700"/>
      <c r="C45" s="144" t="s">
        <v>1141</v>
      </c>
      <c r="D45" s="715"/>
      <c r="E45" s="715"/>
      <c r="F45" s="715"/>
      <c r="G45" s="715"/>
      <c r="H45" s="715"/>
      <c r="I45" s="715"/>
      <c r="J45" s="931">
        <f t="shared" si="8"/>
        <v>0</v>
      </c>
      <c r="K45" s="1112"/>
    </row>
    <row r="46" spans="1:12" ht="14.4">
      <c r="A46" s="319"/>
      <c r="B46" s="319"/>
      <c r="C46" s="704" t="s">
        <v>1142</v>
      </c>
      <c r="D46" s="1390">
        <f t="shared" ref="D46:I46" si="9">SUM(D41:D45)</f>
        <v>0</v>
      </c>
      <c r="E46" s="1390">
        <f t="shared" si="9"/>
        <v>0</v>
      </c>
      <c r="F46" s="1390">
        <f t="shared" si="9"/>
        <v>0</v>
      </c>
      <c r="G46" s="1390">
        <f t="shared" si="9"/>
        <v>0</v>
      </c>
      <c r="H46" s="1390">
        <f t="shared" si="9"/>
        <v>0</v>
      </c>
      <c r="I46" s="1390">
        <f t="shared" si="9"/>
        <v>0</v>
      </c>
      <c r="J46" s="1270">
        <f t="shared" si="8"/>
        <v>0</v>
      </c>
      <c r="K46" s="1112"/>
    </row>
    <row r="47" spans="1:12" ht="27.6">
      <c r="A47" s="319"/>
      <c r="B47" s="319"/>
      <c r="C47" s="1281" t="s">
        <v>1143</v>
      </c>
      <c r="D47" s="1271"/>
      <c r="E47" s="1271"/>
      <c r="F47" s="1271"/>
      <c r="G47" s="1271"/>
      <c r="H47" s="1271"/>
      <c r="I47" s="1271"/>
      <c r="J47" s="1394">
        <f t="shared" si="8"/>
        <v>0</v>
      </c>
      <c r="K47" s="1272" t="s">
        <v>1144</v>
      </c>
    </row>
    <row r="48" spans="1:12">
      <c r="A48" s="319"/>
      <c r="B48" s="319"/>
      <c r="C48" s="924" t="s">
        <v>1177</v>
      </c>
      <c r="D48" s="687">
        <f>D46+D47</f>
        <v>0</v>
      </c>
      <c r="E48" s="687">
        <f t="shared" ref="E48:J48" si="10">E46+E47</f>
        <v>0</v>
      </c>
      <c r="F48" s="687">
        <f t="shared" si="10"/>
        <v>0</v>
      </c>
      <c r="G48" s="687">
        <f t="shared" si="10"/>
        <v>0</v>
      </c>
      <c r="H48" s="687">
        <f t="shared" si="10"/>
        <v>0</v>
      </c>
      <c r="I48" s="687">
        <f t="shared" si="10"/>
        <v>0</v>
      </c>
      <c r="J48" s="941">
        <f t="shared" si="10"/>
        <v>0</v>
      </c>
      <c r="K48" s="1120"/>
      <c r="L48" s="684"/>
    </row>
    <row r="49" spans="1:12">
      <c r="A49" s="128"/>
      <c r="B49" s="700" t="s">
        <v>1176</v>
      </c>
      <c r="C49" s="712"/>
      <c r="D49" s="688"/>
      <c r="E49" s="688"/>
      <c r="F49" s="688"/>
      <c r="G49" s="688"/>
      <c r="H49" s="688"/>
      <c r="I49" s="930"/>
      <c r="J49" s="930"/>
      <c r="K49" s="1117"/>
    </row>
    <row r="50" spans="1:12">
      <c r="A50" s="128"/>
      <c r="B50" s="709"/>
      <c r="C50" s="127" t="s">
        <v>678</v>
      </c>
      <c r="D50" s="715"/>
      <c r="E50" s="715"/>
      <c r="F50" s="715"/>
      <c r="G50" s="715"/>
      <c r="H50" s="715"/>
      <c r="I50" s="715"/>
      <c r="J50" s="931">
        <f t="shared" ref="J50:J57" si="11">SUM(D50:I50)</f>
        <v>0</v>
      </c>
      <c r="K50" s="1112"/>
    </row>
    <row r="51" spans="1:12" s="319" customFormat="1">
      <c r="A51" s="128"/>
      <c r="B51" s="709"/>
      <c r="C51" s="127" t="s">
        <v>677</v>
      </c>
      <c r="D51" s="715"/>
      <c r="E51" s="715"/>
      <c r="F51" s="715"/>
      <c r="G51" s="715"/>
      <c r="H51" s="715"/>
      <c r="I51" s="715"/>
      <c r="J51" s="931">
        <f t="shared" si="11"/>
        <v>0</v>
      </c>
      <c r="K51" s="1112"/>
      <c r="L51" s="182"/>
    </row>
    <row r="52" spans="1:12" s="319" customFormat="1">
      <c r="A52" s="128"/>
      <c r="B52" s="709"/>
      <c r="C52" s="127" t="s">
        <v>676</v>
      </c>
      <c r="D52" s="715"/>
      <c r="E52" s="715"/>
      <c r="F52" s="715"/>
      <c r="G52" s="715"/>
      <c r="H52" s="715"/>
      <c r="I52" s="715"/>
      <c r="J52" s="931">
        <f t="shared" si="11"/>
        <v>0</v>
      </c>
      <c r="K52" s="1112"/>
      <c r="L52" s="182"/>
    </row>
    <row r="53" spans="1:12" s="319" customFormat="1">
      <c r="A53" s="128"/>
      <c r="B53" s="709"/>
      <c r="C53" s="127" t="s">
        <v>1160</v>
      </c>
      <c r="D53" s="715"/>
      <c r="E53" s="715"/>
      <c r="F53" s="715"/>
      <c r="G53" s="715"/>
      <c r="H53" s="715"/>
      <c r="I53" s="715"/>
      <c r="J53" s="931">
        <f t="shared" si="11"/>
        <v>0</v>
      </c>
      <c r="K53" s="1112"/>
      <c r="L53" s="182"/>
    </row>
    <row r="54" spans="1:12" s="319" customFormat="1">
      <c r="A54" s="128"/>
      <c r="B54" s="709"/>
      <c r="C54" s="127" t="s">
        <v>1161</v>
      </c>
      <c r="D54" s="715"/>
      <c r="E54" s="715"/>
      <c r="F54" s="715"/>
      <c r="G54" s="715"/>
      <c r="H54" s="715"/>
      <c r="I54" s="715"/>
      <c r="J54" s="931">
        <f t="shared" si="11"/>
        <v>0</v>
      </c>
      <c r="K54" s="1112"/>
      <c r="L54" s="182"/>
    </row>
    <row r="55" spans="1:12" s="319" customFormat="1">
      <c r="A55" s="128"/>
      <c r="B55" s="709"/>
      <c r="C55" s="127" t="s">
        <v>1145</v>
      </c>
      <c r="D55" s="715"/>
      <c r="E55" s="715"/>
      <c r="F55" s="715"/>
      <c r="G55" s="715"/>
      <c r="H55" s="715"/>
      <c r="I55" s="715"/>
      <c r="J55" s="931">
        <f t="shared" si="11"/>
        <v>0</v>
      </c>
      <c r="K55" s="1112"/>
      <c r="L55" s="182"/>
    </row>
    <row r="56" spans="1:12">
      <c r="A56" s="128"/>
      <c r="B56" s="709"/>
      <c r="C56" s="127" t="s">
        <v>1146</v>
      </c>
      <c r="D56" s="715"/>
      <c r="E56" s="715"/>
      <c r="F56" s="715"/>
      <c r="G56" s="715"/>
      <c r="H56" s="715"/>
      <c r="I56" s="715"/>
      <c r="J56" s="931">
        <f t="shared" si="11"/>
        <v>0</v>
      </c>
      <c r="K56" s="1272" t="s">
        <v>1213</v>
      </c>
    </row>
    <row r="57" spans="1:12">
      <c r="A57" s="319"/>
      <c r="B57" s="319"/>
      <c r="C57" s="714" t="s">
        <v>1178</v>
      </c>
      <c r="D57" s="687">
        <f t="shared" ref="D57:I57" si="12">SUM(D50:D56)</f>
        <v>0</v>
      </c>
      <c r="E57" s="687">
        <f t="shared" si="12"/>
        <v>0</v>
      </c>
      <c r="F57" s="687">
        <f t="shared" si="12"/>
        <v>0</v>
      </c>
      <c r="G57" s="687">
        <f t="shared" si="12"/>
        <v>0</v>
      </c>
      <c r="H57" s="687">
        <f t="shared" si="12"/>
        <v>0</v>
      </c>
      <c r="I57" s="941">
        <f t="shared" si="12"/>
        <v>0</v>
      </c>
      <c r="J57" s="941">
        <f t="shared" si="11"/>
        <v>0</v>
      </c>
      <c r="K57" s="1120"/>
    </row>
    <row r="58" spans="1:12" ht="14.4">
      <c r="A58" s="128"/>
      <c r="B58" s="700" t="s">
        <v>675</v>
      </c>
      <c r="C58" s="918"/>
      <c r="D58" s="920"/>
      <c r="E58" s="920"/>
      <c r="F58" s="920"/>
      <c r="G58" s="920"/>
      <c r="H58" s="920"/>
      <c r="I58" s="942"/>
      <c r="J58" s="942"/>
      <c r="K58" s="1121"/>
    </row>
    <row r="59" spans="1:12" s="319" customFormat="1">
      <c r="C59" s="919" t="s">
        <v>882</v>
      </c>
      <c r="D59" s="677"/>
      <c r="E59" s="677"/>
      <c r="F59" s="677"/>
      <c r="G59" s="677"/>
      <c r="H59" s="677"/>
      <c r="I59" s="928"/>
      <c r="J59" s="930"/>
      <c r="K59" s="1117"/>
      <c r="L59" s="182"/>
    </row>
    <row r="60" spans="1:12">
      <c r="A60" s="128"/>
      <c r="B60" s="709"/>
      <c r="C60" s="127" t="s">
        <v>674</v>
      </c>
      <c r="D60" s="715"/>
      <c r="E60" s="715"/>
      <c r="F60" s="715"/>
      <c r="G60" s="715"/>
      <c r="H60" s="715"/>
      <c r="I60" s="715"/>
      <c r="J60" s="931">
        <f t="shared" ref="J60:J67" si="13">SUM(D60:I60)</f>
        <v>0</v>
      </c>
      <c r="K60" s="1112"/>
    </row>
    <row r="61" spans="1:12">
      <c r="A61" s="128"/>
      <c r="B61" s="709"/>
      <c r="C61" s="127" t="s">
        <v>673</v>
      </c>
      <c r="D61" s="715"/>
      <c r="E61" s="715"/>
      <c r="F61" s="715"/>
      <c r="G61" s="715"/>
      <c r="H61" s="715"/>
      <c r="I61" s="715"/>
      <c r="J61" s="931">
        <f t="shared" si="13"/>
        <v>0</v>
      </c>
      <c r="K61" s="1112"/>
    </row>
    <row r="62" spans="1:12">
      <c r="A62" s="128"/>
      <c r="B62" s="709"/>
      <c r="C62" s="127" t="s">
        <v>669</v>
      </c>
      <c r="D62" s="715"/>
      <c r="E62" s="715"/>
      <c r="F62" s="715"/>
      <c r="G62" s="715"/>
      <c r="H62" s="715"/>
      <c r="I62" s="715"/>
      <c r="J62" s="931">
        <f t="shared" si="13"/>
        <v>0</v>
      </c>
      <c r="K62" s="1112"/>
    </row>
    <row r="63" spans="1:12">
      <c r="A63" s="128"/>
      <c r="B63" s="709"/>
      <c r="C63" s="127" t="s">
        <v>1147</v>
      </c>
      <c r="D63" s="715"/>
      <c r="E63" s="715"/>
      <c r="F63" s="715"/>
      <c r="G63" s="715"/>
      <c r="H63" s="715"/>
      <c r="I63" s="715"/>
      <c r="J63" s="931">
        <f t="shared" si="13"/>
        <v>0</v>
      </c>
      <c r="K63" s="1112"/>
    </row>
    <row r="64" spans="1:12">
      <c r="A64" s="128"/>
      <c r="B64" s="709"/>
      <c r="C64" s="127" t="s">
        <v>1148</v>
      </c>
      <c r="D64" s="715"/>
      <c r="E64" s="715"/>
      <c r="F64" s="715"/>
      <c r="G64" s="715"/>
      <c r="H64" s="715"/>
      <c r="I64" s="715"/>
      <c r="J64" s="931">
        <f t="shared" si="13"/>
        <v>0</v>
      </c>
      <c r="K64" s="1112"/>
    </row>
    <row r="65" spans="1:12" s="699" customFormat="1" ht="14.4">
      <c r="A65" s="128"/>
      <c r="B65" s="709"/>
      <c r="C65" s="127" t="s">
        <v>1149</v>
      </c>
      <c r="D65" s="715"/>
      <c r="E65" s="715"/>
      <c r="F65" s="715"/>
      <c r="G65" s="715"/>
      <c r="H65" s="715"/>
      <c r="I65" s="715"/>
      <c r="J65" s="931">
        <f t="shared" si="13"/>
        <v>0</v>
      </c>
      <c r="K65" s="1113"/>
      <c r="L65" s="637"/>
    </row>
    <row r="66" spans="1:12">
      <c r="A66" s="128"/>
      <c r="B66" s="709"/>
      <c r="C66" s="623" t="s">
        <v>1150</v>
      </c>
      <c r="D66" s="716"/>
      <c r="E66" s="716"/>
      <c r="F66" s="715"/>
      <c r="G66" s="715"/>
      <c r="H66" s="715"/>
      <c r="I66" s="715"/>
      <c r="J66" s="931">
        <f t="shared" si="13"/>
        <v>0</v>
      </c>
      <c r="K66" s="1112"/>
    </row>
    <row r="67" spans="1:12" s="319" customFormat="1" ht="14.4">
      <c r="C67" s="922" t="s">
        <v>672</v>
      </c>
      <c r="D67" s="923">
        <f t="shared" ref="D67:I67" si="14">SUM(D60:D66)</f>
        <v>0</v>
      </c>
      <c r="E67" s="923">
        <f t="shared" si="14"/>
        <v>0</v>
      </c>
      <c r="F67" s="923">
        <f t="shared" si="14"/>
        <v>0</v>
      </c>
      <c r="G67" s="923">
        <f t="shared" si="14"/>
        <v>0</v>
      </c>
      <c r="H67" s="923">
        <f t="shared" si="14"/>
        <v>0</v>
      </c>
      <c r="I67" s="943">
        <f t="shared" si="14"/>
        <v>0</v>
      </c>
      <c r="J67" s="943">
        <f t="shared" si="13"/>
        <v>0</v>
      </c>
      <c r="K67" s="1120"/>
      <c r="L67" s="182"/>
    </row>
    <row r="68" spans="1:12" s="319" customFormat="1">
      <c r="C68" s="919" t="s">
        <v>1209</v>
      </c>
      <c r="D68" s="677"/>
      <c r="E68" s="677"/>
      <c r="F68" s="677"/>
      <c r="G68" s="677"/>
      <c r="H68" s="677"/>
      <c r="I68" s="928"/>
      <c r="J68" s="930"/>
      <c r="K68" s="1117"/>
      <c r="L68" s="182"/>
    </row>
    <row r="69" spans="1:12">
      <c r="A69" s="128"/>
      <c r="B69" s="709"/>
      <c r="C69" s="127" t="s">
        <v>671</v>
      </c>
      <c r="D69" s="715"/>
      <c r="E69" s="716"/>
      <c r="F69" s="716"/>
      <c r="G69" s="715"/>
      <c r="H69" s="715"/>
      <c r="I69" s="715"/>
      <c r="J69" s="931">
        <f>SUM(D69:I69)</f>
        <v>0</v>
      </c>
      <c r="K69" s="1112"/>
    </row>
    <row r="70" spans="1:12" ht="14.4">
      <c r="A70" s="128"/>
      <c r="B70" s="698"/>
      <c r="C70" s="127" t="s">
        <v>670</v>
      </c>
      <c r="D70" s="717"/>
      <c r="E70" s="718"/>
      <c r="F70" s="718"/>
      <c r="G70" s="717"/>
      <c r="H70" s="717"/>
      <c r="I70" s="717"/>
      <c r="J70" s="931">
        <f>SUM(D70:I70)</f>
        <v>0</v>
      </c>
      <c r="K70" s="1112"/>
    </row>
    <row r="71" spans="1:12">
      <c r="A71" s="128"/>
      <c r="B71" s="709"/>
      <c r="C71" s="127" t="s">
        <v>669</v>
      </c>
      <c r="D71" s="715"/>
      <c r="E71" s="715"/>
      <c r="F71" s="715"/>
      <c r="G71" s="715"/>
      <c r="H71" s="715"/>
      <c r="I71" s="715"/>
      <c r="J71" s="931">
        <f>SUM(D71:I71)</f>
        <v>0</v>
      </c>
      <c r="K71" s="1112"/>
    </row>
    <row r="72" spans="1:12" ht="14.4">
      <c r="A72" s="319"/>
      <c r="B72" s="319"/>
      <c r="C72" s="922" t="s">
        <v>668</v>
      </c>
      <c r="D72" s="923">
        <f t="shared" ref="D72:I72" si="15">SUM(D69:D71)</f>
        <v>0</v>
      </c>
      <c r="E72" s="923">
        <f t="shared" si="15"/>
        <v>0</v>
      </c>
      <c r="F72" s="923">
        <f t="shared" si="15"/>
        <v>0</v>
      </c>
      <c r="G72" s="923">
        <f t="shared" si="15"/>
        <v>0</v>
      </c>
      <c r="H72" s="923">
        <f t="shared" si="15"/>
        <v>0</v>
      </c>
      <c r="I72" s="943">
        <f t="shared" si="15"/>
        <v>0</v>
      </c>
      <c r="J72" s="943">
        <f>SUM(D72:I72)</f>
        <v>0</v>
      </c>
      <c r="K72" s="1122"/>
    </row>
    <row r="73" spans="1:12" s="319" customFormat="1">
      <c r="C73" s="714" t="s">
        <v>667</v>
      </c>
      <c r="D73" s="921">
        <f>D67+D72</f>
        <v>0</v>
      </c>
      <c r="E73" s="921">
        <f t="shared" ref="E73:J73" si="16">E67+E72</f>
        <v>0</v>
      </c>
      <c r="F73" s="921">
        <f t="shared" si="16"/>
        <v>0</v>
      </c>
      <c r="G73" s="921">
        <f t="shared" si="16"/>
        <v>0</v>
      </c>
      <c r="H73" s="921">
        <f t="shared" si="16"/>
        <v>0</v>
      </c>
      <c r="I73" s="921">
        <f t="shared" si="16"/>
        <v>0</v>
      </c>
      <c r="J73" s="1395">
        <f t="shared" si="16"/>
        <v>0</v>
      </c>
      <c r="K73" s="1116"/>
      <c r="L73" s="182"/>
    </row>
    <row r="74" spans="1:12">
      <c r="A74" s="128"/>
      <c r="B74" s="700" t="s">
        <v>666</v>
      </c>
      <c r="C74" s="712"/>
      <c r="D74" s="686"/>
      <c r="E74" s="686"/>
      <c r="F74" s="686"/>
      <c r="G74" s="686"/>
      <c r="H74" s="686"/>
      <c r="I74" s="944"/>
      <c r="J74" s="930"/>
      <c r="K74" s="1115"/>
    </row>
    <row r="75" spans="1:12">
      <c r="A75" s="128"/>
      <c r="B75" s="709"/>
      <c r="C75" s="127" t="s">
        <v>1151</v>
      </c>
      <c r="D75" s="715"/>
      <c r="E75" s="716"/>
      <c r="F75" s="716"/>
      <c r="G75" s="716"/>
      <c r="H75" s="716"/>
      <c r="I75" s="716"/>
      <c r="J75" s="931">
        <f t="shared" ref="J75:J104" si="17">SUM(D75:I75)</f>
        <v>0</v>
      </c>
      <c r="K75" s="1112"/>
    </row>
    <row r="76" spans="1:12">
      <c r="A76" s="128"/>
      <c r="B76" s="709"/>
      <c r="C76" s="127" t="s">
        <v>1152</v>
      </c>
      <c r="D76" s="715"/>
      <c r="E76" s="716"/>
      <c r="F76" s="716"/>
      <c r="G76" s="716"/>
      <c r="H76" s="716"/>
      <c r="I76" s="716"/>
      <c r="J76" s="931">
        <f t="shared" si="17"/>
        <v>0</v>
      </c>
      <c r="K76" s="1112"/>
    </row>
    <row r="77" spans="1:12">
      <c r="A77" s="128"/>
      <c r="B77" s="709"/>
      <c r="C77" s="127" t="s">
        <v>1153</v>
      </c>
      <c r="D77" s="715"/>
      <c r="E77" s="716"/>
      <c r="F77" s="716"/>
      <c r="G77" s="716"/>
      <c r="H77" s="716"/>
      <c r="I77" s="716"/>
      <c r="J77" s="931">
        <f t="shared" si="17"/>
        <v>0</v>
      </c>
      <c r="K77" s="1112"/>
    </row>
    <row r="78" spans="1:12">
      <c r="A78" s="128"/>
      <c r="B78" s="709"/>
      <c r="C78" s="127" t="s">
        <v>1154</v>
      </c>
      <c r="D78" s="715"/>
      <c r="E78" s="716"/>
      <c r="F78" s="716"/>
      <c r="G78" s="716"/>
      <c r="H78" s="716"/>
      <c r="I78" s="716"/>
      <c r="J78" s="931">
        <f t="shared" si="17"/>
        <v>0</v>
      </c>
      <c r="K78" s="1112"/>
    </row>
    <row r="79" spans="1:12">
      <c r="A79" s="128"/>
      <c r="B79" s="709"/>
      <c r="C79" s="127" t="s">
        <v>1155</v>
      </c>
      <c r="D79" s="715"/>
      <c r="E79" s="716"/>
      <c r="F79" s="716"/>
      <c r="G79" s="716"/>
      <c r="H79" s="716"/>
      <c r="I79" s="716"/>
      <c r="J79" s="931">
        <f t="shared" si="17"/>
        <v>0</v>
      </c>
      <c r="K79" s="1112"/>
    </row>
    <row r="80" spans="1:12">
      <c r="A80" s="128"/>
      <c r="B80" s="709"/>
      <c r="C80" s="127" t="s">
        <v>1156</v>
      </c>
      <c r="D80" s="715"/>
      <c r="E80" s="716"/>
      <c r="F80" s="716"/>
      <c r="G80" s="716"/>
      <c r="H80" s="716"/>
      <c r="I80" s="716"/>
      <c r="J80" s="931">
        <f t="shared" si="17"/>
        <v>0</v>
      </c>
      <c r="K80" s="1112"/>
    </row>
    <row r="81" spans="1:12">
      <c r="A81" s="128"/>
      <c r="B81" s="1389" t="s">
        <v>1263</v>
      </c>
      <c r="C81" s="623" t="s">
        <v>1157</v>
      </c>
      <c r="D81" s="715"/>
      <c r="E81" s="716"/>
      <c r="F81" s="716"/>
      <c r="G81" s="716"/>
      <c r="H81" s="716"/>
      <c r="I81" s="716"/>
      <c r="J81" s="931">
        <f t="shared" si="17"/>
        <v>0</v>
      </c>
      <c r="K81" s="1112"/>
    </row>
    <row r="82" spans="1:12">
      <c r="A82" s="319"/>
      <c r="B82" s="319"/>
      <c r="C82" s="924" t="s">
        <v>665</v>
      </c>
      <c r="D82" s="682">
        <f t="shared" ref="D82:I82" si="18">SUM(D75:D81)</f>
        <v>0</v>
      </c>
      <c r="E82" s="682">
        <f t="shared" si="18"/>
        <v>0</v>
      </c>
      <c r="F82" s="682">
        <f t="shared" si="18"/>
        <v>0</v>
      </c>
      <c r="G82" s="682">
        <f t="shared" si="18"/>
        <v>0</v>
      </c>
      <c r="H82" s="682">
        <f t="shared" si="18"/>
        <v>0</v>
      </c>
      <c r="I82" s="935">
        <f t="shared" si="18"/>
        <v>0</v>
      </c>
      <c r="J82" s="935">
        <f t="shared" si="17"/>
        <v>0</v>
      </c>
      <c r="K82" s="1120"/>
    </row>
    <row r="83" spans="1:12">
      <c r="A83" s="319"/>
      <c r="B83" s="319" t="s">
        <v>1158</v>
      </c>
      <c r="C83" s="1273"/>
      <c r="D83" s="678"/>
      <c r="E83" s="678"/>
      <c r="F83" s="678"/>
      <c r="G83" s="678"/>
      <c r="H83" s="678"/>
      <c r="I83" s="1274"/>
      <c r="J83" s="1274"/>
      <c r="K83" s="1117"/>
    </row>
    <row r="84" spans="1:12">
      <c r="A84" s="128"/>
      <c r="B84" s="709"/>
      <c r="C84" s="144" t="s">
        <v>664</v>
      </c>
      <c r="D84" s="715"/>
      <c r="E84" s="716"/>
      <c r="F84" s="716"/>
      <c r="G84" s="716"/>
      <c r="H84" s="716"/>
      <c r="I84" s="716"/>
      <c r="J84" s="931">
        <f t="shared" si="17"/>
        <v>0</v>
      </c>
      <c r="K84" s="1112"/>
    </row>
    <row r="85" spans="1:12">
      <c r="A85" s="128"/>
      <c r="B85" s="709"/>
      <c r="C85" s="127" t="s">
        <v>660</v>
      </c>
      <c r="D85" s="715"/>
      <c r="E85" s="716"/>
      <c r="F85" s="716"/>
      <c r="G85" s="716"/>
      <c r="H85" s="716"/>
      <c r="I85" s="716"/>
      <c r="J85" s="931">
        <f t="shared" si="17"/>
        <v>0</v>
      </c>
      <c r="K85" s="1112"/>
    </row>
    <row r="86" spans="1:12">
      <c r="A86" s="128"/>
      <c r="B86" s="1389" t="s">
        <v>1263</v>
      </c>
      <c r="C86" s="127" t="s">
        <v>1</v>
      </c>
      <c r="D86" s="715"/>
      <c r="E86" s="716"/>
      <c r="F86" s="716"/>
      <c r="G86" s="716"/>
      <c r="H86" s="716"/>
      <c r="I86" s="716"/>
      <c r="J86" s="931">
        <f t="shared" si="17"/>
        <v>0</v>
      </c>
      <c r="K86" s="1112"/>
    </row>
    <row r="87" spans="1:12">
      <c r="A87" s="128"/>
      <c r="B87" s="1389" t="s">
        <v>1263</v>
      </c>
      <c r="C87" s="127" t="s">
        <v>663</v>
      </c>
      <c r="D87" s="715"/>
      <c r="E87" s="716"/>
      <c r="F87" s="716"/>
      <c r="G87" s="716"/>
      <c r="H87" s="716"/>
      <c r="I87" s="716"/>
      <c r="J87" s="931">
        <f t="shared" si="17"/>
        <v>0</v>
      </c>
      <c r="K87" s="1112"/>
    </row>
    <row r="88" spans="1:12">
      <c r="A88" s="128"/>
      <c r="B88" s="709"/>
      <c r="C88" s="127" t="s">
        <v>1159</v>
      </c>
      <c r="D88" s="715"/>
      <c r="E88" s="716"/>
      <c r="F88" s="716"/>
      <c r="G88" s="716"/>
      <c r="H88" s="716"/>
      <c r="I88" s="716"/>
      <c r="J88" s="931">
        <f t="shared" si="17"/>
        <v>0</v>
      </c>
      <c r="K88" s="1112"/>
    </row>
    <row r="89" spans="1:12">
      <c r="A89" s="128"/>
      <c r="B89" s="1389" t="s">
        <v>1263</v>
      </c>
      <c r="C89" s="127" t="s">
        <v>1163</v>
      </c>
      <c r="D89" s="715"/>
      <c r="E89" s="716"/>
      <c r="F89" s="716"/>
      <c r="G89" s="716"/>
      <c r="H89" s="716"/>
      <c r="I89" s="716"/>
      <c r="J89" s="931">
        <f t="shared" si="17"/>
        <v>0</v>
      </c>
      <c r="K89" s="1112"/>
    </row>
    <row r="90" spans="1:12">
      <c r="A90" s="128"/>
      <c r="B90" s="709"/>
      <c r="C90" s="127" t="s">
        <v>1164</v>
      </c>
      <c r="D90" s="715"/>
      <c r="E90" s="716"/>
      <c r="F90" s="716"/>
      <c r="G90" s="716"/>
      <c r="H90" s="716"/>
      <c r="I90" s="716"/>
      <c r="J90" s="931">
        <f t="shared" si="17"/>
        <v>0</v>
      </c>
      <c r="K90" s="1112"/>
    </row>
    <row r="91" spans="1:12">
      <c r="A91" s="128"/>
      <c r="B91" s="1389" t="s">
        <v>1263</v>
      </c>
      <c r="C91" s="127" t="s">
        <v>1165</v>
      </c>
      <c r="D91" s="715"/>
      <c r="E91" s="716"/>
      <c r="F91" s="716"/>
      <c r="G91" s="716"/>
      <c r="H91" s="716"/>
      <c r="I91" s="716"/>
      <c r="J91" s="931">
        <f t="shared" si="17"/>
        <v>0</v>
      </c>
      <c r="K91" s="1112"/>
    </row>
    <row r="92" spans="1:12" ht="26.4">
      <c r="A92" s="128"/>
      <c r="B92" s="1389" t="s">
        <v>1263</v>
      </c>
      <c r="C92" s="127" t="s">
        <v>661</v>
      </c>
      <c r="D92" s="715"/>
      <c r="E92" s="716"/>
      <c r="F92" s="716"/>
      <c r="G92" s="716"/>
      <c r="H92" s="716"/>
      <c r="I92" s="716"/>
      <c r="J92" s="931">
        <f t="shared" si="17"/>
        <v>0</v>
      </c>
      <c r="K92" s="1286" t="s">
        <v>1181</v>
      </c>
    </row>
    <row r="93" spans="1:12" s="319" customFormat="1">
      <c r="A93" s="128"/>
      <c r="B93" s="709"/>
      <c r="C93" s="127" t="s">
        <v>1166</v>
      </c>
      <c r="D93" s="715"/>
      <c r="E93" s="716"/>
      <c r="F93" s="716"/>
      <c r="G93" s="716"/>
      <c r="H93" s="716"/>
      <c r="I93" s="716"/>
      <c r="J93" s="931">
        <f t="shared" si="17"/>
        <v>0</v>
      </c>
      <c r="K93" s="1112"/>
      <c r="L93" s="182"/>
    </row>
    <row r="94" spans="1:12" s="319" customFormat="1">
      <c r="A94" s="128"/>
      <c r="B94" s="709"/>
      <c r="C94" s="127" t="s">
        <v>1167</v>
      </c>
      <c r="D94" s="715"/>
      <c r="E94" s="716"/>
      <c r="F94" s="716"/>
      <c r="G94" s="716"/>
      <c r="H94" s="716"/>
      <c r="I94" s="716"/>
      <c r="J94" s="931">
        <f t="shared" si="17"/>
        <v>0</v>
      </c>
      <c r="K94" s="1112"/>
      <c r="L94" s="685"/>
    </row>
    <row r="95" spans="1:12" s="319" customFormat="1">
      <c r="A95" s="128"/>
      <c r="B95" s="1389" t="s">
        <v>1263</v>
      </c>
      <c r="C95" s="127" t="s">
        <v>1168</v>
      </c>
      <c r="D95" s="715"/>
      <c r="E95" s="716"/>
      <c r="F95" s="716"/>
      <c r="G95" s="716"/>
      <c r="H95" s="716"/>
      <c r="I95" s="716"/>
      <c r="J95" s="931">
        <f t="shared" si="17"/>
        <v>0</v>
      </c>
      <c r="K95" s="1112"/>
      <c r="L95" s="684"/>
    </row>
    <row r="96" spans="1:12" s="319" customFormat="1">
      <c r="A96" s="128"/>
      <c r="B96" s="709"/>
      <c r="C96" s="127" t="s">
        <v>1169</v>
      </c>
      <c r="D96" s="715"/>
      <c r="E96" s="716"/>
      <c r="F96" s="716"/>
      <c r="G96" s="716"/>
      <c r="H96" s="716"/>
      <c r="I96" s="716"/>
      <c r="J96" s="931">
        <f t="shared" si="17"/>
        <v>0</v>
      </c>
      <c r="K96" s="1112"/>
      <c r="L96" s="684"/>
    </row>
    <row r="97" spans="1:12" s="319" customFormat="1">
      <c r="A97" s="128"/>
      <c r="B97" s="709"/>
      <c r="C97" s="127" t="s">
        <v>1170</v>
      </c>
      <c r="D97" s="715"/>
      <c r="E97" s="716"/>
      <c r="F97" s="716"/>
      <c r="G97" s="716"/>
      <c r="H97" s="716"/>
      <c r="I97" s="716"/>
      <c r="J97" s="931">
        <f t="shared" si="17"/>
        <v>0</v>
      </c>
      <c r="K97" s="1112"/>
      <c r="L97" s="684"/>
    </row>
    <row r="98" spans="1:12" s="319" customFormat="1">
      <c r="A98" s="128"/>
      <c r="B98" s="1389" t="s">
        <v>1263</v>
      </c>
      <c r="C98" s="127" t="s">
        <v>662</v>
      </c>
      <c r="D98" s="715"/>
      <c r="E98" s="716"/>
      <c r="F98" s="716"/>
      <c r="G98" s="716"/>
      <c r="H98" s="716"/>
      <c r="I98" s="716"/>
      <c r="J98" s="931">
        <f t="shared" si="17"/>
        <v>0</v>
      </c>
      <c r="K98" s="1112"/>
      <c r="L98" s="684"/>
    </row>
    <row r="99" spans="1:12">
      <c r="A99" s="128"/>
      <c r="B99" s="709"/>
      <c r="C99" s="815" t="s">
        <v>651</v>
      </c>
      <c r="D99" s="715"/>
      <c r="E99" s="716"/>
      <c r="F99" s="716"/>
      <c r="G99" s="716"/>
      <c r="H99" s="716"/>
      <c r="I99" s="716"/>
      <c r="J99" s="931">
        <f t="shared" si="17"/>
        <v>0</v>
      </c>
      <c r="K99" s="1112"/>
    </row>
    <row r="100" spans="1:12">
      <c r="A100" s="128"/>
      <c r="B100" s="709"/>
      <c r="C100" s="623" t="s">
        <v>651</v>
      </c>
      <c r="D100" s="716"/>
      <c r="E100" s="716"/>
      <c r="F100" s="716"/>
      <c r="G100" s="716"/>
      <c r="H100" s="716"/>
      <c r="I100" s="716"/>
      <c r="J100" s="931">
        <f>SUM(D100:I100)</f>
        <v>0</v>
      </c>
      <c r="K100" s="1275"/>
      <c r="L100" s="2271" t="s">
        <v>1180</v>
      </c>
    </row>
    <row r="101" spans="1:12">
      <c r="A101" s="128"/>
      <c r="B101" s="709"/>
      <c r="C101" s="623" t="s">
        <v>651</v>
      </c>
      <c r="D101" s="716"/>
      <c r="E101" s="716"/>
      <c r="F101" s="716"/>
      <c r="G101" s="716"/>
      <c r="H101" s="716"/>
      <c r="I101" s="716"/>
      <c r="J101" s="931">
        <f t="shared" si="17"/>
        <v>0</v>
      </c>
      <c r="K101" s="1275"/>
      <c r="L101" s="2272"/>
    </row>
    <row r="102" spans="1:12">
      <c r="A102" s="319"/>
      <c r="B102" s="319"/>
      <c r="C102" s="924" t="s">
        <v>1171</v>
      </c>
      <c r="D102" s="682">
        <f>SUM(D84:D101)</f>
        <v>0</v>
      </c>
      <c r="E102" s="682">
        <f t="shared" ref="E102:J102" si="19">SUM(E84:E101)</f>
        <v>0</v>
      </c>
      <c r="F102" s="682">
        <f t="shared" si="19"/>
        <v>0</v>
      </c>
      <c r="G102" s="682">
        <f t="shared" si="19"/>
        <v>0</v>
      </c>
      <c r="H102" s="682">
        <f t="shared" si="19"/>
        <v>0</v>
      </c>
      <c r="I102" s="682">
        <f t="shared" si="19"/>
        <v>0</v>
      </c>
      <c r="J102" s="935">
        <f t="shared" si="19"/>
        <v>0</v>
      </c>
      <c r="K102" s="1120"/>
      <c r="L102" s="2272"/>
    </row>
    <row r="103" spans="1:12">
      <c r="A103" s="319"/>
      <c r="B103" s="319" t="s">
        <v>658</v>
      </c>
      <c r="C103" s="1082"/>
      <c r="D103" s="681"/>
      <c r="E103" s="681"/>
      <c r="F103" s="681"/>
      <c r="G103" s="681"/>
      <c r="H103" s="681"/>
      <c r="I103" s="681"/>
      <c r="J103" s="936"/>
      <c r="K103" s="1121"/>
      <c r="L103" s="2272"/>
    </row>
    <row r="104" spans="1:12">
      <c r="A104" s="319"/>
      <c r="B104" s="700"/>
      <c r="C104" s="1119" t="s">
        <v>1205</v>
      </c>
      <c r="D104" s="715">
        <f t="shared" ref="D104:I104" si="20">10%*(D48+D57+D73+D82+D102)</f>
        <v>0</v>
      </c>
      <c r="E104" s="715">
        <f t="shared" si="20"/>
        <v>0</v>
      </c>
      <c r="F104" s="715">
        <f t="shared" si="20"/>
        <v>0</v>
      </c>
      <c r="G104" s="715">
        <f t="shared" si="20"/>
        <v>0</v>
      </c>
      <c r="H104" s="715">
        <f t="shared" si="20"/>
        <v>0</v>
      </c>
      <c r="I104" s="715">
        <f t="shared" si="20"/>
        <v>0</v>
      </c>
      <c r="J104" s="931">
        <f t="shared" si="17"/>
        <v>0</v>
      </c>
      <c r="K104" s="1275" t="s">
        <v>1206</v>
      </c>
      <c r="L104" s="1290" t="str">
        <f>IFERROR(J104/(J48+J57+J73+J82+J102),"")</f>
        <v/>
      </c>
    </row>
    <row r="105" spans="1:12">
      <c r="A105" s="319"/>
      <c r="B105" s="319"/>
      <c r="C105" s="1276" t="s">
        <v>659</v>
      </c>
      <c r="D105" s="1277">
        <f t="shared" ref="D105:J105" si="21">D48+D57+D73+D82+D102+D104</f>
        <v>0</v>
      </c>
      <c r="E105" s="1277">
        <f t="shared" si="21"/>
        <v>0</v>
      </c>
      <c r="F105" s="1277">
        <f t="shared" si="21"/>
        <v>0</v>
      </c>
      <c r="G105" s="1277">
        <f t="shared" si="21"/>
        <v>0</v>
      </c>
      <c r="H105" s="1277">
        <f t="shared" si="21"/>
        <v>0</v>
      </c>
      <c r="I105" s="1277">
        <f t="shared" si="21"/>
        <v>0</v>
      </c>
      <c r="J105" s="1278">
        <f t="shared" si="21"/>
        <v>0</v>
      </c>
      <c r="K105" s="1280"/>
    </row>
    <row r="106" spans="1:12">
      <c r="A106" s="319"/>
      <c r="B106" s="319"/>
      <c r="C106" s="1082"/>
      <c r="D106" s="927"/>
      <c r="E106" s="927"/>
      <c r="F106" s="927"/>
      <c r="G106" s="927"/>
      <c r="H106" s="927"/>
      <c r="I106" s="927"/>
      <c r="J106" s="1393"/>
      <c r="K106" s="1121"/>
    </row>
    <row r="107" spans="1:12" ht="14.4">
      <c r="A107" s="700" t="s">
        <v>657</v>
      </c>
      <c r="C107" s="713"/>
      <c r="D107" s="683"/>
      <c r="E107" s="679"/>
      <c r="F107" s="679"/>
      <c r="G107" s="679"/>
      <c r="H107" s="679"/>
      <c r="I107" s="679"/>
      <c r="J107" s="940"/>
      <c r="K107" s="1117"/>
    </row>
    <row r="108" spans="1:12">
      <c r="A108" s="128"/>
      <c r="B108" s="1389" t="s">
        <v>1263</v>
      </c>
      <c r="C108" s="127" t="s">
        <v>656</v>
      </c>
      <c r="D108" s="715"/>
      <c r="E108" s="716"/>
      <c r="F108" s="716"/>
      <c r="G108" s="716"/>
      <c r="H108" s="716"/>
      <c r="I108" s="716"/>
      <c r="J108" s="931">
        <f t="shared" ref="J108:J114" si="22">SUM(D108:I108)</f>
        <v>0</v>
      </c>
      <c r="K108" s="1112"/>
    </row>
    <row r="109" spans="1:12" s="319" customFormat="1">
      <c r="A109" s="128"/>
      <c r="B109" s="709"/>
      <c r="C109" s="127" t="s">
        <v>655</v>
      </c>
      <c r="D109" s="715"/>
      <c r="E109" s="716"/>
      <c r="F109" s="716"/>
      <c r="G109" s="716"/>
      <c r="H109" s="716"/>
      <c r="I109" s="716"/>
      <c r="J109" s="931">
        <f t="shared" si="22"/>
        <v>0</v>
      </c>
      <c r="K109" s="1112"/>
      <c r="L109" s="182"/>
    </row>
    <row r="110" spans="1:12" s="319" customFormat="1">
      <c r="A110" s="128"/>
      <c r="B110" s="1389" t="s">
        <v>1263</v>
      </c>
      <c r="C110" s="127" t="s">
        <v>1172</v>
      </c>
      <c r="D110" s="715"/>
      <c r="E110" s="716"/>
      <c r="F110" s="716"/>
      <c r="G110" s="716"/>
      <c r="H110" s="716"/>
      <c r="I110" s="716"/>
      <c r="J110" s="931">
        <f t="shared" si="22"/>
        <v>0</v>
      </c>
      <c r="K110" s="1112"/>
      <c r="L110" s="182"/>
    </row>
    <row r="111" spans="1:12">
      <c r="A111" s="128"/>
      <c r="B111" s="1389" t="s">
        <v>1263</v>
      </c>
      <c r="C111" s="815" t="s">
        <v>651</v>
      </c>
      <c r="D111" s="715"/>
      <c r="E111" s="716"/>
      <c r="F111" s="716"/>
      <c r="G111" s="716"/>
      <c r="H111" s="716"/>
      <c r="I111" s="716"/>
      <c r="J111" s="931">
        <f t="shared" si="22"/>
        <v>0</v>
      </c>
      <c r="K111" s="1112"/>
    </row>
    <row r="112" spans="1:12">
      <c r="A112" s="128"/>
      <c r="B112" s="1389" t="s">
        <v>1263</v>
      </c>
      <c r="C112" s="815" t="s">
        <v>651</v>
      </c>
      <c r="D112" s="715"/>
      <c r="E112" s="716"/>
      <c r="F112" s="716"/>
      <c r="G112" s="716"/>
      <c r="H112" s="716"/>
      <c r="I112" s="716"/>
      <c r="J112" s="931">
        <f t="shared" si="22"/>
        <v>0</v>
      </c>
      <c r="K112" s="1112"/>
    </row>
    <row r="113" spans="1:12">
      <c r="A113" s="128"/>
      <c r="B113" s="1389" t="s">
        <v>1263</v>
      </c>
      <c r="C113" s="815" t="s">
        <v>651</v>
      </c>
      <c r="D113" s="715"/>
      <c r="E113" s="716"/>
      <c r="F113" s="716"/>
      <c r="G113" s="716"/>
      <c r="H113" s="716"/>
      <c r="I113" s="716"/>
      <c r="J113" s="931">
        <f t="shared" si="22"/>
        <v>0</v>
      </c>
      <c r="K113" s="1112"/>
    </row>
    <row r="114" spans="1:12">
      <c r="A114" s="319"/>
      <c r="B114" s="319"/>
      <c r="C114" s="1276" t="s">
        <v>654</v>
      </c>
      <c r="D114" s="1277">
        <f t="shared" ref="D114:I114" si="23">SUM(D108:D113)</f>
        <v>0</v>
      </c>
      <c r="E114" s="1277">
        <f t="shared" si="23"/>
        <v>0</v>
      </c>
      <c r="F114" s="1277">
        <f t="shared" si="23"/>
        <v>0</v>
      </c>
      <c r="G114" s="1277">
        <f t="shared" si="23"/>
        <v>0</v>
      </c>
      <c r="H114" s="1277">
        <f t="shared" si="23"/>
        <v>0</v>
      </c>
      <c r="I114" s="1278">
        <f t="shared" si="23"/>
        <v>0</v>
      </c>
      <c r="J114" s="1278">
        <f t="shared" si="22"/>
        <v>0</v>
      </c>
      <c r="K114" s="1280"/>
    </row>
    <row r="115" spans="1:12">
      <c r="A115" s="319"/>
      <c r="B115" s="319"/>
      <c r="C115" s="129"/>
      <c r="D115" s="681"/>
      <c r="E115" s="681"/>
      <c r="F115" s="681"/>
      <c r="G115" s="681"/>
      <c r="H115" s="681"/>
      <c r="I115" s="936"/>
      <c r="J115" s="939"/>
      <c r="K115" s="1121"/>
    </row>
    <row r="116" spans="1:12" ht="14.4">
      <c r="A116" s="700" t="s">
        <v>653</v>
      </c>
      <c r="C116" s="713"/>
      <c r="D116" s="680"/>
      <c r="E116" s="679"/>
      <c r="F116" s="679"/>
      <c r="G116" s="679"/>
      <c r="H116" s="679"/>
      <c r="I116" s="679"/>
      <c r="J116" s="940"/>
      <c r="K116" s="1117"/>
    </row>
    <row r="117" spans="1:12">
      <c r="A117" s="128"/>
      <c r="B117" s="709"/>
      <c r="C117" s="127" t="s">
        <v>1238</v>
      </c>
      <c r="D117" s="715"/>
      <c r="E117" s="716"/>
      <c r="F117" s="716"/>
      <c r="G117" s="716"/>
      <c r="H117" s="716"/>
      <c r="I117" s="716"/>
      <c r="J117" s="931">
        <f t="shared" ref="J117:J124" si="24">SUM(D117:I117)</f>
        <v>0</v>
      </c>
      <c r="K117" s="1112"/>
    </row>
    <row r="118" spans="1:12" s="319" customFormat="1">
      <c r="A118" s="128"/>
      <c r="B118" s="709"/>
      <c r="C118" s="127" t="s">
        <v>1239</v>
      </c>
      <c r="D118" s="715"/>
      <c r="E118" s="716"/>
      <c r="F118" s="716"/>
      <c r="G118" s="716"/>
      <c r="H118" s="716"/>
      <c r="I118" s="716"/>
      <c r="J118" s="931">
        <f t="shared" si="24"/>
        <v>0</v>
      </c>
      <c r="K118" s="1112"/>
      <c r="L118" s="182"/>
    </row>
    <row r="119" spans="1:12" s="319" customFormat="1">
      <c r="A119" s="128"/>
      <c r="B119" s="709"/>
      <c r="C119" s="127" t="s">
        <v>1261</v>
      </c>
      <c r="D119" s="715"/>
      <c r="E119" s="716"/>
      <c r="F119" s="716"/>
      <c r="G119" s="716"/>
      <c r="H119" s="716"/>
      <c r="I119" s="716"/>
      <c r="J119" s="931">
        <f t="shared" si="24"/>
        <v>0</v>
      </c>
      <c r="K119" s="1112"/>
      <c r="L119" s="182"/>
    </row>
    <row r="120" spans="1:12" s="319" customFormat="1">
      <c r="A120" s="128"/>
      <c r="B120" s="709"/>
      <c r="C120" s="127" t="s">
        <v>1240</v>
      </c>
      <c r="D120" s="715"/>
      <c r="E120" s="716"/>
      <c r="F120" s="716"/>
      <c r="G120" s="716"/>
      <c r="H120" s="716"/>
      <c r="I120" s="716"/>
      <c r="J120" s="931">
        <f>SUM(D120:I120)</f>
        <v>0</v>
      </c>
      <c r="K120" s="1112"/>
      <c r="L120" s="182"/>
    </row>
    <row r="121" spans="1:12" s="319" customFormat="1">
      <c r="A121" s="128"/>
      <c r="B121" s="709"/>
      <c r="C121" s="127" t="s">
        <v>1241</v>
      </c>
      <c r="D121" s="715"/>
      <c r="E121" s="716"/>
      <c r="F121" s="716"/>
      <c r="G121" s="716"/>
      <c r="H121" s="716"/>
      <c r="I121" s="716"/>
      <c r="J121" s="931">
        <f>SUM(D121:I121)</f>
        <v>0</v>
      </c>
      <c r="K121" s="1112"/>
      <c r="L121" s="182"/>
    </row>
    <row r="122" spans="1:12" s="319" customFormat="1" ht="27.6">
      <c r="A122" s="128"/>
      <c r="B122" s="709"/>
      <c r="C122" s="127" t="s">
        <v>652</v>
      </c>
      <c r="D122" s="715"/>
      <c r="E122" s="716"/>
      <c r="F122" s="716"/>
      <c r="G122" s="716"/>
      <c r="H122" s="716"/>
      <c r="I122" s="716"/>
      <c r="J122" s="931">
        <f t="shared" si="24"/>
        <v>0</v>
      </c>
      <c r="K122" s="1112" t="s">
        <v>1173</v>
      </c>
      <c r="L122" s="182"/>
    </row>
    <row r="123" spans="1:12" s="319" customFormat="1">
      <c r="A123" s="128"/>
      <c r="B123" s="709"/>
      <c r="C123" s="815" t="s">
        <v>651</v>
      </c>
      <c r="D123" s="715"/>
      <c r="E123" s="716"/>
      <c r="F123" s="716"/>
      <c r="G123" s="716"/>
      <c r="H123" s="716"/>
      <c r="I123" s="716"/>
      <c r="J123" s="931">
        <f t="shared" si="24"/>
        <v>0</v>
      </c>
      <c r="K123" s="1112"/>
      <c r="L123" s="182"/>
    </row>
    <row r="124" spans="1:12" ht="15" customHeight="1">
      <c r="A124" s="319"/>
      <c r="B124" s="319"/>
      <c r="C124" s="1276" t="s">
        <v>650</v>
      </c>
      <c r="D124" s="1277">
        <f t="shared" ref="D124:I124" si="25">SUM(D117:D123)</f>
        <v>0</v>
      </c>
      <c r="E124" s="1277">
        <f t="shared" si="25"/>
        <v>0</v>
      </c>
      <c r="F124" s="1277">
        <f t="shared" si="25"/>
        <v>0</v>
      </c>
      <c r="G124" s="1277">
        <f t="shared" si="25"/>
        <v>0</v>
      </c>
      <c r="H124" s="1277">
        <f t="shared" si="25"/>
        <v>0</v>
      </c>
      <c r="I124" s="1278">
        <f t="shared" si="25"/>
        <v>0</v>
      </c>
      <c r="J124" s="1278">
        <f t="shared" si="24"/>
        <v>0</v>
      </c>
      <c r="K124" s="1280"/>
    </row>
    <row r="125" spans="1:12" ht="15" customHeight="1">
      <c r="A125" s="319"/>
      <c r="B125" s="319"/>
      <c r="D125" s="680"/>
      <c r="E125" s="679"/>
      <c r="F125" s="679"/>
      <c r="G125" s="679"/>
      <c r="H125" s="679"/>
      <c r="I125" s="679"/>
      <c r="K125" s="1110"/>
    </row>
    <row r="126" spans="1:12" ht="15" customHeight="1">
      <c r="A126" s="700" t="s">
        <v>649</v>
      </c>
      <c r="B126" s="319"/>
      <c r="C126" s="714"/>
      <c r="D126" s="928">
        <f t="shared" ref="D126:J126" si="26">D16+D37+D105+D114+D124</f>
        <v>0</v>
      </c>
      <c r="E126" s="928">
        <f t="shared" si="26"/>
        <v>0</v>
      </c>
      <c r="F126" s="928">
        <f t="shared" si="26"/>
        <v>0</v>
      </c>
      <c r="G126" s="928">
        <f t="shared" si="26"/>
        <v>0</v>
      </c>
      <c r="H126" s="928">
        <f t="shared" si="26"/>
        <v>0</v>
      </c>
      <c r="I126" s="928">
        <f t="shared" si="26"/>
        <v>0</v>
      </c>
      <c r="J126" s="929">
        <f t="shared" si="26"/>
        <v>0</v>
      </c>
      <c r="K126" s="1112"/>
    </row>
    <row r="127" spans="1:12" ht="15" customHeight="1">
      <c r="A127" s="128"/>
      <c r="C127" s="128" t="s">
        <v>1027</v>
      </c>
      <c r="D127" s="930" t="str">
        <f>IFERROR(D126/$H$1,"")</f>
        <v/>
      </c>
      <c r="E127" s="930" t="str">
        <f t="shared" ref="E127:J127" si="27">IFERROR(E126/$H$1,"")</f>
        <v/>
      </c>
      <c r="F127" s="930" t="str">
        <f t="shared" si="27"/>
        <v/>
      </c>
      <c r="G127" s="930" t="str">
        <f t="shared" si="27"/>
        <v/>
      </c>
      <c r="H127" s="930" t="str">
        <f t="shared" si="27"/>
        <v/>
      </c>
      <c r="I127" s="930" t="str">
        <f t="shared" si="27"/>
        <v/>
      </c>
      <c r="J127" s="930" t="str">
        <f t="shared" si="27"/>
        <v/>
      </c>
      <c r="K127" s="1112"/>
    </row>
    <row r="128" spans="1:12" ht="15" customHeight="1">
      <c r="A128" s="128"/>
      <c r="C128" s="128" t="s">
        <v>1028</v>
      </c>
      <c r="D128" s="1025" t="str">
        <f>IFERROR(D127/$J$127,"")</f>
        <v/>
      </c>
      <c r="E128" s="1025" t="str">
        <f t="shared" ref="E128:J128" si="28">IFERROR(E127/$J$127,"")</f>
        <v/>
      </c>
      <c r="F128" s="1025" t="str">
        <f t="shared" si="28"/>
        <v/>
      </c>
      <c r="G128" s="1025" t="str">
        <f t="shared" si="28"/>
        <v/>
      </c>
      <c r="H128" s="1025" t="str">
        <f t="shared" si="28"/>
        <v/>
      </c>
      <c r="I128" s="1025" t="str">
        <f t="shared" si="28"/>
        <v/>
      </c>
      <c r="J128" s="1025" t="str">
        <f t="shared" si="28"/>
        <v/>
      </c>
      <c r="K128" s="1112"/>
    </row>
    <row r="129" spans="1:11" ht="15" customHeight="1">
      <c r="A129" s="128"/>
      <c r="D129" s="1024"/>
      <c r="E129" s="1024"/>
      <c r="F129" s="1024"/>
      <c r="G129" s="1024"/>
      <c r="H129" s="1024"/>
      <c r="I129" s="1024"/>
      <c r="J129" s="1024"/>
      <c r="K129" s="1123"/>
    </row>
    <row r="130" spans="1:11" ht="15" customHeight="1">
      <c r="A130" s="128" t="s">
        <v>1031</v>
      </c>
      <c r="D130" s="931" t="str">
        <f>IFERROR(D$12/$H$1,"")</f>
        <v/>
      </c>
      <c r="E130" s="931" t="str">
        <f t="shared" ref="E130:J130" si="29">IFERROR(E$12/$H$1,"")</f>
        <v/>
      </c>
      <c r="F130" s="931" t="str">
        <f t="shared" si="29"/>
        <v/>
      </c>
      <c r="G130" s="931" t="str">
        <f t="shared" si="29"/>
        <v/>
      </c>
      <c r="H130" s="931" t="str">
        <f t="shared" si="29"/>
        <v/>
      </c>
      <c r="I130" s="931" t="str">
        <f t="shared" si="29"/>
        <v/>
      </c>
      <c r="J130" s="931" t="str">
        <f t="shared" si="29"/>
        <v/>
      </c>
      <c r="K130" s="1112"/>
    </row>
    <row r="131" spans="1:11" ht="15" customHeight="1">
      <c r="A131" s="128"/>
      <c r="D131" s="689"/>
      <c r="E131" s="689"/>
      <c r="F131" s="689"/>
      <c r="G131" s="689"/>
      <c r="H131" s="689"/>
      <c r="I131" s="939"/>
      <c r="K131" s="1110"/>
    </row>
    <row r="132" spans="1:11" ht="15" customHeight="1">
      <c r="A132" s="128" t="s">
        <v>1029</v>
      </c>
      <c r="D132" s="931" t="str">
        <f>IFERROR((D$37)/$H$1,"")</f>
        <v/>
      </c>
      <c r="E132" s="931" t="str">
        <f t="shared" ref="E132:J132" si="30">IFERROR((E$37)/$H$1,"")</f>
        <v/>
      </c>
      <c r="F132" s="931" t="str">
        <f t="shared" si="30"/>
        <v/>
      </c>
      <c r="G132" s="931" t="str">
        <f t="shared" si="30"/>
        <v/>
      </c>
      <c r="H132" s="931" t="str">
        <f t="shared" si="30"/>
        <v/>
      </c>
      <c r="I132" s="931" t="str">
        <f t="shared" si="30"/>
        <v/>
      </c>
      <c r="J132" s="931" t="str">
        <f t="shared" si="30"/>
        <v/>
      </c>
      <c r="K132" s="1112"/>
    </row>
    <row r="133" spans="1:11" ht="15" customHeight="1">
      <c r="A133" s="128" t="s">
        <v>1030</v>
      </c>
      <c r="D133" s="1050" t="str">
        <f>IFERROR((D$37)/'1.GeneralProjectInfo'!$J$15,"")</f>
        <v/>
      </c>
      <c r="E133" s="1050" t="str">
        <f>IFERROR((E$37)/'1.GeneralProjectInfo'!$J$15,"")</f>
        <v/>
      </c>
      <c r="F133" s="1050" t="str">
        <f>IFERROR((F$37)/'1.GeneralProjectInfo'!$J$15,"")</f>
        <v/>
      </c>
      <c r="G133" s="1050" t="str">
        <f>IFERROR((G$37)/'1.GeneralProjectInfo'!$J$15,"")</f>
        <v/>
      </c>
      <c r="H133" s="1050" t="str">
        <f>IFERROR((H$37)/'1.GeneralProjectInfo'!$J$15,"")</f>
        <v/>
      </c>
      <c r="I133" s="1050" t="str">
        <f>IFERROR((I$37)/'1.GeneralProjectInfo'!$J$15,"")</f>
        <v/>
      </c>
      <c r="J133" s="1050" t="str">
        <f>IFERROR((J$37)/'1.GeneralProjectInfo'!$J$15,"")</f>
        <v/>
      </c>
      <c r="K133" s="1112"/>
    </row>
    <row r="134" spans="1:11" ht="15" customHeight="1">
      <c r="A134" s="128"/>
      <c r="K134" s="1110"/>
    </row>
    <row r="135" spans="1:11" ht="15" customHeight="1">
      <c r="A135" s="699" t="s">
        <v>1262</v>
      </c>
      <c r="D135" s="717">
        <f>SUM(D20,D21,D22,D24,D25,D26,D81,D86,D87,D89,D91,D92,D95,D98,D108,D110,D111,D112,D113)</f>
        <v>0</v>
      </c>
      <c r="K135" s="1110"/>
    </row>
    <row r="136" spans="1:11" ht="15" customHeight="1">
      <c r="A136" s="128" t="s">
        <v>1099</v>
      </c>
      <c r="D136" s="693" t="str">
        <f>IFERROR(D126/H1,"")</f>
        <v/>
      </c>
      <c r="K136" s="1110"/>
    </row>
    <row r="137" spans="1:11" ht="15" customHeight="1">
      <c r="A137" s="128"/>
      <c r="K137" s="1110"/>
    </row>
    <row r="138" spans="1:11" ht="15" customHeight="1">
      <c r="A138" s="128" t="s">
        <v>881</v>
      </c>
      <c r="D138" s="1655"/>
      <c r="E138" s="1285" t="str">
        <f>IF(D138="","Fill in with value or 'N/A' if not applicable.","")</f>
        <v>Fill in with value or 'N/A' if not applicable.</v>
      </c>
      <c r="K138" s="1110"/>
    </row>
    <row r="139" spans="1:11" ht="15" customHeight="1">
      <c r="A139" s="128" t="s">
        <v>1174</v>
      </c>
      <c r="D139" s="1283"/>
      <c r="E139" s="1285" t="str">
        <f>IF(D139="","Fill in with value or 'N/A' if not applicable.","")</f>
        <v>Fill in with value or 'N/A' if not applicable.</v>
      </c>
      <c r="K139" s="1110"/>
    </row>
    <row r="140" spans="1:11" ht="15" customHeight="1">
      <c r="A140" s="128" t="s">
        <v>1210</v>
      </c>
      <c r="D140" s="1308"/>
      <c r="E140" s="1285" t="str">
        <f>IF(D140="","Fill in with value or 'N/A' if not applicable.","")</f>
        <v>Fill in with value or 'N/A' if not applicable.</v>
      </c>
      <c r="K140" s="1110"/>
    </row>
    <row r="141" spans="1:11" ht="15" customHeight="1">
      <c r="A141" s="128" t="s">
        <v>1179</v>
      </c>
      <c r="D141" s="1284"/>
      <c r="E141" s="1285" t="str">
        <f>IF(D141="","Fill in with value or 'N/A' if not applicable.","")</f>
        <v>Fill in with value or 'N/A' if not applicable.</v>
      </c>
      <c r="K141" s="1110"/>
    </row>
    <row r="142" spans="1:11" ht="15" customHeight="1">
      <c r="A142" s="128"/>
    </row>
    <row r="143" spans="1:11" ht="15" customHeight="1">
      <c r="A143" s="319" t="str">
        <f>IF(SmallSites=TRUE,"Small Sites","")</f>
        <v/>
      </c>
    </row>
    <row r="144" spans="1:11" ht="15" customHeight="1">
      <c r="A144" s="128" t="str">
        <f>IF($A$143&lt;&gt;"","Combined Loan to Value Ratio:","")</f>
        <v/>
      </c>
      <c r="D144" s="128"/>
      <c r="J144" s="1219" t="str">
        <f>IF($A$143&lt;&gt;"",IFERROR(J7/$J$12,""),"")</f>
        <v/>
      </c>
    </row>
    <row r="145" spans="1:10" ht="15" customHeight="1">
      <c r="A145" s="128" t="str">
        <f>IF($A$143&lt;&gt;"","% of Acquisition Cost by Source","")</f>
        <v/>
      </c>
      <c r="D145" s="1026" t="str">
        <f t="shared" ref="D145:J145" si="31">IF($A$143&lt;&gt;"",IFERROR(D$12/$J$12,""),"")</f>
        <v/>
      </c>
      <c r="E145" s="1026" t="str">
        <f t="shared" si="31"/>
        <v/>
      </c>
      <c r="F145" s="1026" t="str">
        <f t="shared" si="31"/>
        <v/>
      </c>
      <c r="G145" s="1026" t="str">
        <f t="shared" si="31"/>
        <v/>
      </c>
      <c r="H145" s="1026" t="str">
        <f t="shared" si="31"/>
        <v/>
      </c>
      <c r="I145" s="1026" t="str">
        <f t="shared" si="31"/>
        <v/>
      </c>
      <c r="J145" s="1026" t="str">
        <f t="shared" si="31"/>
        <v/>
      </c>
    </row>
    <row r="146" spans="1:10" ht="15" customHeight="1">
      <c r="A146" s="128"/>
    </row>
    <row r="147" spans="1:10" ht="15" customHeight="1">
      <c r="A147" s="128" t="str">
        <f>IF($A$143&lt;&gt;"","Small Sites Maximum Developer Fee","")</f>
        <v/>
      </c>
      <c r="D147" s="693" t="str">
        <f>IF(SmallSites=FALSE,"",IFERROR(MIN(80000+10000*$H$1,0.05*SUM(J16,J37,J105,J114,J122:J123)),""))</f>
        <v/>
      </c>
      <c r="E147" s="1030" t="str">
        <f>IF($D$147="","",IF(ROUND($J$117,0)&gt;ROUND(D147,0),"Deverlop Fee exceeds the Maximum Developer Fee",""))</f>
        <v/>
      </c>
      <c r="J147" s="128"/>
    </row>
    <row r="148" spans="1:10" ht="15" customHeight="1">
      <c r="A148" s="128"/>
    </row>
    <row r="149" spans="1:10" ht="15" customHeight="1">
      <c r="A149" s="128"/>
    </row>
    <row r="150" spans="1:10" ht="15" customHeight="1">
      <c r="A150" s="128"/>
    </row>
    <row r="151" spans="1:10" ht="15" customHeight="1">
      <c r="A151" s="128"/>
    </row>
    <row r="152" spans="1:10" ht="15" customHeight="1">
      <c r="A152" s="128"/>
    </row>
    <row r="153" spans="1:10" ht="15" customHeight="1">
      <c r="A153" s="128"/>
    </row>
    <row r="154" spans="1:10" ht="15" customHeight="1">
      <c r="A154" s="128"/>
    </row>
    <row r="155" spans="1:10" ht="15" customHeight="1">
      <c r="A155" s="128"/>
    </row>
    <row r="156" spans="1:10" ht="15" customHeight="1">
      <c r="A156" s="128"/>
    </row>
    <row r="157" spans="1:10" ht="15" customHeight="1">
      <c r="A157" s="128"/>
    </row>
    <row r="158" spans="1:10" ht="15" customHeight="1">
      <c r="A158" s="128"/>
    </row>
    <row r="159" spans="1:10" ht="15" customHeight="1">
      <c r="A159" s="128"/>
    </row>
    <row r="160" spans="1:10" ht="15" customHeight="1">
      <c r="A160" s="128"/>
    </row>
    <row r="161" spans="1:1" ht="15" customHeight="1">
      <c r="A161" s="128"/>
    </row>
    <row r="162" spans="1:1" ht="15" customHeight="1">
      <c r="A162" s="128"/>
    </row>
    <row r="163" spans="1:1" ht="15" customHeight="1">
      <c r="A163" s="128"/>
    </row>
    <row r="164" spans="1:1" ht="15" customHeight="1">
      <c r="A164" s="128"/>
    </row>
    <row r="165" spans="1:1" ht="15" customHeight="1">
      <c r="A165" s="128"/>
    </row>
    <row r="166" spans="1:1" ht="15" customHeight="1">
      <c r="A166" s="128"/>
    </row>
    <row r="167" spans="1:1" ht="15" customHeight="1">
      <c r="A167" s="128"/>
    </row>
    <row r="168" spans="1:1" ht="15" customHeight="1">
      <c r="A168" s="128"/>
    </row>
    <row r="169" spans="1:1" ht="15" customHeight="1">
      <c r="A169" s="128"/>
    </row>
    <row r="170" spans="1:1" ht="15" customHeight="1">
      <c r="A170" s="128"/>
    </row>
    <row r="171" spans="1:1" ht="15" customHeight="1">
      <c r="A171" s="128"/>
    </row>
    <row r="172" spans="1:1" ht="15" customHeight="1">
      <c r="A172" s="128"/>
    </row>
    <row r="173" spans="1:1" ht="15" customHeight="1">
      <c r="A173" s="128"/>
    </row>
    <row r="174" spans="1:1" ht="15" customHeight="1">
      <c r="A174" s="128"/>
    </row>
    <row r="175" spans="1:1" ht="15" customHeight="1">
      <c r="A175" s="128"/>
    </row>
    <row r="176" spans="1:1" ht="15" customHeight="1">
      <c r="A176" s="128"/>
    </row>
    <row r="177" spans="1:1" ht="15" customHeight="1">
      <c r="A177" s="128"/>
    </row>
    <row r="178" spans="1:1" ht="15" customHeight="1">
      <c r="A178" s="128"/>
    </row>
    <row r="179" spans="1:1" ht="15" customHeight="1">
      <c r="A179" s="128"/>
    </row>
    <row r="180" spans="1:1" ht="15" customHeight="1">
      <c r="A180" s="128"/>
    </row>
    <row r="181" spans="1:1" ht="15" customHeight="1">
      <c r="A181" s="128"/>
    </row>
    <row r="182" spans="1:1" ht="15" customHeight="1">
      <c r="A182" s="128"/>
    </row>
    <row r="183" spans="1:1" ht="15" customHeight="1">
      <c r="A183" s="128"/>
    </row>
    <row r="184" spans="1:1" ht="15" customHeight="1">
      <c r="A184" s="128"/>
    </row>
    <row r="185" spans="1:1" ht="15" customHeight="1">
      <c r="A185" s="128"/>
    </row>
    <row r="186" spans="1:1" ht="15" customHeight="1">
      <c r="A186" s="128"/>
    </row>
    <row r="187" spans="1:1" ht="15" customHeight="1">
      <c r="A187" s="128"/>
    </row>
    <row r="188" spans="1:1" ht="15" customHeight="1">
      <c r="A188" s="128"/>
    </row>
    <row r="189" spans="1:1" ht="15" customHeight="1">
      <c r="A189" s="128"/>
    </row>
    <row r="190" spans="1:1" ht="15" customHeight="1">
      <c r="A190" s="128"/>
    </row>
    <row r="191" spans="1:1" ht="15" customHeight="1">
      <c r="A191" s="128"/>
    </row>
    <row r="192" spans="1:1" ht="15" customHeight="1">
      <c r="A192" s="128"/>
    </row>
    <row r="193" spans="1:1" ht="15" customHeight="1">
      <c r="A193" s="128"/>
    </row>
    <row r="194" spans="1:1" ht="15" customHeight="1">
      <c r="A194" s="128"/>
    </row>
    <row r="195" spans="1:1" ht="15" customHeight="1">
      <c r="A195" s="128"/>
    </row>
    <row r="196" spans="1:1" ht="15" customHeight="1">
      <c r="A196" s="128"/>
    </row>
    <row r="197" spans="1:1" ht="15" customHeight="1">
      <c r="A197" s="128"/>
    </row>
    <row r="198" spans="1:1" ht="15" customHeight="1">
      <c r="A198" s="128"/>
    </row>
    <row r="199" spans="1:1" ht="15" customHeight="1">
      <c r="A199" s="128"/>
    </row>
    <row r="200" spans="1:1" ht="15" customHeight="1">
      <c r="A200" s="128"/>
    </row>
    <row r="201" spans="1:1" ht="15" customHeight="1">
      <c r="A201" s="128"/>
    </row>
    <row r="202" spans="1:1" ht="15" customHeight="1">
      <c r="A202" s="128"/>
    </row>
    <row r="203" spans="1:1" ht="15" customHeight="1">
      <c r="A203" s="128"/>
    </row>
    <row r="204" spans="1:1" ht="15" customHeight="1">
      <c r="A204" s="128"/>
    </row>
    <row r="205" spans="1:1" ht="15" customHeight="1">
      <c r="A205" s="128"/>
    </row>
    <row r="206" spans="1:1" ht="15" customHeight="1">
      <c r="A206" s="128"/>
    </row>
    <row r="207" spans="1:1" ht="15" customHeight="1">
      <c r="A207" s="128"/>
    </row>
    <row r="208" spans="1:1" ht="15" customHeight="1">
      <c r="A208" s="128"/>
    </row>
    <row r="209" spans="1:1" ht="15" customHeight="1">
      <c r="A209" s="128"/>
    </row>
    <row r="210" spans="1:1" ht="15" customHeight="1">
      <c r="A210" s="128"/>
    </row>
    <row r="211" spans="1:1" ht="15" customHeight="1">
      <c r="A211" s="128"/>
    </row>
    <row r="212" spans="1:1" ht="15" customHeight="1">
      <c r="A212" s="128"/>
    </row>
    <row r="213" spans="1:1" ht="15" customHeight="1">
      <c r="A213" s="128"/>
    </row>
    <row r="214" spans="1:1" ht="15" customHeight="1">
      <c r="A214" s="128"/>
    </row>
    <row r="215" spans="1:1" ht="15" customHeight="1">
      <c r="A215" s="128"/>
    </row>
    <row r="216" spans="1:1" ht="15" customHeight="1">
      <c r="A216" s="128"/>
    </row>
    <row r="217" spans="1:1" ht="15" customHeight="1">
      <c r="A217" s="128"/>
    </row>
    <row r="218" spans="1:1" ht="15" customHeight="1">
      <c r="A218" s="128"/>
    </row>
    <row r="219" spans="1:1" ht="15" customHeight="1">
      <c r="A219" s="128"/>
    </row>
    <row r="220" spans="1:1" ht="15" customHeight="1">
      <c r="A220" s="128"/>
    </row>
    <row r="221" spans="1:1" ht="15" customHeight="1">
      <c r="A221" s="128"/>
    </row>
    <row r="222" spans="1:1" ht="15" customHeight="1">
      <c r="A222" s="128"/>
    </row>
    <row r="223" spans="1:1" ht="15" customHeight="1">
      <c r="A223" s="128"/>
    </row>
    <row r="224" spans="1:1" ht="15" customHeight="1">
      <c r="A224" s="128"/>
    </row>
    <row r="225" spans="1:1" ht="15" customHeight="1">
      <c r="A225" s="128"/>
    </row>
    <row r="226" spans="1:1" ht="15" customHeight="1">
      <c r="A226" s="128"/>
    </row>
    <row r="227" spans="1:1" ht="15" customHeight="1">
      <c r="A227" s="128"/>
    </row>
    <row r="228" spans="1:1" ht="15" customHeight="1">
      <c r="A228" s="128"/>
    </row>
    <row r="229" spans="1:1" ht="15" customHeight="1">
      <c r="A229" s="128"/>
    </row>
    <row r="230" spans="1:1" ht="15" customHeight="1">
      <c r="A230" s="128"/>
    </row>
    <row r="231" spans="1:1" ht="15" customHeight="1">
      <c r="A231" s="128"/>
    </row>
    <row r="232" spans="1:1" ht="15" customHeight="1">
      <c r="A232" s="128"/>
    </row>
    <row r="233" spans="1:1" ht="15" customHeight="1">
      <c r="A233" s="128"/>
    </row>
    <row r="234" spans="1:1" ht="15" customHeight="1">
      <c r="A234" s="128"/>
    </row>
    <row r="235" spans="1:1" ht="15" customHeight="1">
      <c r="A235" s="128"/>
    </row>
    <row r="236" spans="1:1" ht="15" customHeight="1">
      <c r="A236" s="128"/>
    </row>
    <row r="237" spans="1:1" ht="15" customHeight="1">
      <c r="A237" s="128"/>
    </row>
    <row r="238" spans="1:1" ht="15" customHeight="1">
      <c r="A238" s="128"/>
    </row>
    <row r="239" spans="1:1" ht="15" customHeight="1">
      <c r="A239" s="128"/>
    </row>
    <row r="240" spans="1:1" ht="15" customHeight="1">
      <c r="A240" s="128"/>
    </row>
    <row r="241" spans="1:1" ht="15" customHeight="1">
      <c r="A241" s="128"/>
    </row>
    <row r="242" spans="1:1" ht="15" customHeight="1">
      <c r="A242" s="128"/>
    </row>
    <row r="243" spans="1:1" ht="15" customHeight="1">
      <c r="A243" s="128"/>
    </row>
    <row r="244" spans="1:1" ht="15" customHeight="1">
      <c r="A244" s="128"/>
    </row>
    <row r="245" spans="1:1" ht="15" customHeight="1">
      <c r="A245" s="128"/>
    </row>
    <row r="246" spans="1:1" ht="15" customHeight="1">
      <c r="A246" s="128"/>
    </row>
    <row r="247" spans="1:1" ht="15" customHeight="1">
      <c r="A247" s="128"/>
    </row>
    <row r="248" spans="1:1" ht="15" customHeight="1">
      <c r="A248" s="128"/>
    </row>
    <row r="249" spans="1:1" ht="15" customHeight="1">
      <c r="A249" s="128"/>
    </row>
    <row r="250" spans="1:1" ht="15" customHeight="1">
      <c r="A250" s="128"/>
    </row>
    <row r="251" spans="1:1" ht="15" customHeight="1">
      <c r="A251" s="128"/>
    </row>
    <row r="252" spans="1:1" ht="15" customHeight="1">
      <c r="A252" s="128"/>
    </row>
    <row r="253" spans="1:1" ht="15" customHeight="1">
      <c r="A253" s="128"/>
    </row>
    <row r="254" spans="1:1" ht="15" customHeight="1">
      <c r="A254" s="128"/>
    </row>
    <row r="255" spans="1:1" ht="15" customHeight="1">
      <c r="A255" s="128"/>
    </row>
    <row r="256" spans="1:1" ht="15" customHeight="1">
      <c r="A256" s="128"/>
    </row>
    <row r="257" spans="1:1" ht="15" customHeight="1">
      <c r="A257" s="128"/>
    </row>
    <row r="258" spans="1:1" ht="15" customHeight="1">
      <c r="A258" s="128"/>
    </row>
    <row r="259" spans="1:1" ht="15" customHeight="1">
      <c r="A259" s="128"/>
    </row>
    <row r="260" spans="1:1" ht="15" customHeight="1">
      <c r="A260" s="128"/>
    </row>
    <row r="261" spans="1:1" ht="15" customHeight="1">
      <c r="A261" s="128"/>
    </row>
    <row r="262" spans="1:1" ht="15" customHeight="1">
      <c r="A262" s="128"/>
    </row>
    <row r="263" spans="1:1" ht="15" customHeight="1">
      <c r="A263" s="128"/>
    </row>
    <row r="264" spans="1:1" ht="15" customHeight="1">
      <c r="A264" s="128"/>
    </row>
    <row r="265" spans="1:1" ht="15" customHeight="1">
      <c r="A265" s="128"/>
    </row>
    <row r="266" spans="1:1" ht="15" customHeight="1">
      <c r="A266" s="128"/>
    </row>
    <row r="267" spans="1:1" ht="15" customHeight="1">
      <c r="A267" s="128"/>
    </row>
    <row r="268" spans="1:1" ht="15" customHeight="1">
      <c r="A268" s="128"/>
    </row>
    <row r="269" spans="1:1" ht="15" customHeight="1">
      <c r="A269" s="128"/>
    </row>
    <row r="270" spans="1:1" ht="15" customHeight="1">
      <c r="A270" s="128"/>
    </row>
    <row r="271" spans="1:1" ht="15" customHeight="1">
      <c r="A271" s="128"/>
    </row>
    <row r="272" spans="1:1" ht="15" customHeight="1">
      <c r="A272" s="128"/>
    </row>
    <row r="273" spans="1:1" ht="15" customHeight="1">
      <c r="A273" s="128"/>
    </row>
    <row r="274" spans="1:1" ht="15" customHeight="1">
      <c r="A274" s="128"/>
    </row>
    <row r="275" spans="1:1" ht="15" customHeight="1">
      <c r="A275" s="128"/>
    </row>
    <row r="276" spans="1:1" ht="15" customHeight="1">
      <c r="A276" s="128"/>
    </row>
    <row r="277" spans="1:1" ht="15" customHeight="1">
      <c r="A277" s="128"/>
    </row>
    <row r="278" spans="1:1" ht="15" customHeight="1">
      <c r="A278" s="128"/>
    </row>
    <row r="279" spans="1:1" ht="15" customHeight="1">
      <c r="A279" s="128"/>
    </row>
    <row r="280" spans="1:1" ht="15" customHeight="1">
      <c r="A280" s="128"/>
    </row>
    <row r="281" spans="1:1" ht="15" customHeight="1">
      <c r="A281" s="128"/>
    </row>
    <row r="282" spans="1:1" ht="15" customHeight="1">
      <c r="A282" s="128"/>
    </row>
    <row r="283" spans="1:1" ht="15" customHeight="1">
      <c r="A283" s="128"/>
    </row>
    <row r="284" spans="1:1" ht="15" customHeight="1">
      <c r="A284" s="128"/>
    </row>
    <row r="285" spans="1:1" ht="15" customHeight="1">
      <c r="A285" s="128"/>
    </row>
    <row r="286" spans="1:1" ht="15" customHeight="1">
      <c r="A286" s="128"/>
    </row>
    <row r="287" spans="1:1" ht="15" customHeight="1">
      <c r="A287" s="128"/>
    </row>
    <row r="288" spans="1:1" ht="15" customHeight="1">
      <c r="A288" s="128"/>
    </row>
    <row r="289" spans="1:1" ht="15" customHeight="1">
      <c r="A289" s="128"/>
    </row>
    <row r="290" spans="1:1" ht="15" customHeight="1">
      <c r="A290" s="128"/>
    </row>
    <row r="291" spans="1:1" ht="15" customHeight="1">
      <c r="A291" s="128"/>
    </row>
    <row r="292" spans="1:1" ht="15" customHeight="1">
      <c r="A292" s="128"/>
    </row>
    <row r="293" spans="1:1" ht="15" customHeight="1">
      <c r="A293" s="128"/>
    </row>
    <row r="294" spans="1:1" ht="15" customHeight="1">
      <c r="A294" s="128"/>
    </row>
    <row r="295" spans="1:1" ht="15" customHeight="1">
      <c r="A295" s="128"/>
    </row>
    <row r="296" spans="1:1" ht="15" customHeight="1">
      <c r="A296" s="128"/>
    </row>
    <row r="297" spans="1:1" ht="15" customHeight="1">
      <c r="A297" s="128"/>
    </row>
    <row r="298" spans="1:1" ht="15" customHeight="1">
      <c r="A298" s="128"/>
    </row>
    <row r="299" spans="1:1" ht="15" customHeight="1">
      <c r="A299" s="128"/>
    </row>
    <row r="300" spans="1:1" ht="15" customHeight="1">
      <c r="A300" s="128"/>
    </row>
    <row r="301" spans="1:1" ht="15" customHeight="1">
      <c r="A301" s="128"/>
    </row>
    <row r="302" spans="1:1" ht="15" customHeight="1">
      <c r="A302" s="128"/>
    </row>
    <row r="303" spans="1:1" ht="15" customHeight="1">
      <c r="A303" s="128"/>
    </row>
    <row r="304" spans="1:1" ht="15" customHeight="1">
      <c r="A304" s="128"/>
    </row>
    <row r="305" spans="1:1" ht="15" customHeight="1">
      <c r="A305" s="128"/>
    </row>
    <row r="306" spans="1:1" ht="15" customHeight="1">
      <c r="A306" s="128"/>
    </row>
    <row r="307" spans="1:1" ht="15" customHeight="1">
      <c r="A307" s="128"/>
    </row>
    <row r="308" spans="1:1" ht="15" customHeight="1">
      <c r="A308" s="128"/>
    </row>
    <row r="309" spans="1:1" ht="15" customHeight="1">
      <c r="A309" s="128"/>
    </row>
    <row r="310" spans="1:1" ht="15" customHeight="1">
      <c r="A310" s="128"/>
    </row>
    <row r="311" spans="1:1" ht="15" customHeight="1">
      <c r="A311" s="128"/>
    </row>
    <row r="312" spans="1:1" ht="15" customHeight="1">
      <c r="A312" s="128"/>
    </row>
    <row r="313" spans="1:1" ht="15" customHeight="1">
      <c r="A313" s="128"/>
    </row>
    <row r="314" spans="1:1" ht="15" customHeight="1">
      <c r="A314" s="128"/>
    </row>
    <row r="315" spans="1:1" ht="15" customHeight="1">
      <c r="A315" s="128"/>
    </row>
    <row r="316" spans="1:1" ht="15" customHeight="1">
      <c r="A316" s="128"/>
    </row>
    <row r="317" spans="1:1" ht="15" customHeight="1">
      <c r="A317" s="128"/>
    </row>
    <row r="318" spans="1:1" ht="15" customHeight="1">
      <c r="A318" s="128"/>
    </row>
    <row r="319" spans="1:1" ht="15" customHeight="1">
      <c r="A319" s="128"/>
    </row>
    <row r="320" spans="1:1" ht="15" customHeight="1">
      <c r="A320" s="128"/>
    </row>
    <row r="321" spans="1:1" ht="15" customHeight="1">
      <c r="A321" s="128"/>
    </row>
    <row r="322" spans="1:1" ht="15" customHeight="1">
      <c r="A322" s="128"/>
    </row>
    <row r="323" spans="1:1" ht="15" customHeight="1">
      <c r="A323" s="128"/>
    </row>
    <row r="324" spans="1:1" ht="15" customHeight="1">
      <c r="A324" s="128"/>
    </row>
    <row r="325" spans="1:1" ht="15" customHeight="1">
      <c r="A325" s="128"/>
    </row>
    <row r="326" spans="1:1" ht="15" customHeight="1">
      <c r="A326" s="128"/>
    </row>
    <row r="327" spans="1:1" ht="15" customHeight="1">
      <c r="A327" s="128"/>
    </row>
    <row r="328" spans="1:1" ht="15" customHeight="1">
      <c r="A328" s="128"/>
    </row>
    <row r="329" spans="1:1" ht="15" customHeight="1">
      <c r="A329" s="128"/>
    </row>
    <row r="330" spans="1:1" ht="15" customHeight="1">
      <c r="A330" s="128"/>
    </row>
    <row r="331" spans="1:1" ht="15" customHeight="1">
      <c r="A331" s="128"/>
    </row>
    <row r="332" spans="1:1" ht="15" customHeight="1">
      <c r="A332" s="128"/>
    </row>
    <row r="333" spans="1:1" ht="15" customHeight="1">
      <c r="A333" s="128"/>
    </row>
    <row r="334" spans="1:1" ht="15" customHeight="1">
      <c r="A334" s="128"/>
    </row>
    <row r="335" spans="1:1" ht="15" customHeight="1">
      <c r="A335" s="128"/>
    </row>
    <row r="336" spans="1:1" ht="15" customHeight="1">
      <c r="A336" s="128"/>
    </row>
    <row r="337" spans="1:1" ht="15" customHeight="1">
      <c r="A337" s="128"/>
    </row>
    <row r="338" spans="1:1" ht="15" customHeight="1">
      <c r="A338" s="128"/>
    </row>
    <row r="339" spans="1:1" ht="15" customHeight="1">
      <c r="A339" s="128"/>
    </row>
    <row r="340" spans="1:1" ht="15" customHeight="1">
      <c r="A340" s="128"/>
    </row>
    <row r="341" spans="1:1" ht="15" customHeight="1">
      <c r="A341" s="128"/>
    </row>
    <row r="342" spans="1:1" ht="15" customHeight="1">
      <c r="A342" s="128"/>
    </row>
    <row r="343" spans="1:1" ht="15" customHeight="1">
      <c r="A343" s="128"/>
    </row>
    <row r="344" spans="1:1" ht="15" customHeight="1">
      <c r="A344" s="128"/>
    </row>
    <row r="345" spans="1:1" ht="15" customHeight="1">
      <c r="A345" s="128"/>
    </row>
    <row r="346" spans="1:1" ht="15" customHeight="1">
      <c r="A346" s="128"/>
    </row>
    <row r="347" spans="1:1" ht="15" customHeight="1">
      <c r="A347" s="128"/>
    </row>
    <row r="348" spans="1:1" ht="15" customHeight="1">
      <c r="A348" s="128"/>
    </row>
    <row r="349" spans="1:1" ht="15" customHeight="1">
      <c r="A349" s="128"/>
    </row>
    <row r="350" spans="1:1" ht="15" customHeight="1">
      <c r="A350" s="128"/>
    </row>
    <row r="351" spans="1:1" ht="15" customHeight="1">
      <c r="A351" s="128"/>
    </row>
    <row r="352" spans="1:1" ht="15" customHeight="1">
      <c r="A352" s="128"/>
    </row>
    <row r="353" spans="1:1" ht="15" customHeight="1">
      <c r="A353" s="128"/>
    </row>
    <row r="354" spans="1:1" ht="15" customHeight="1">
      <c r="A354" s="128"/>
    </row>
    <row r="355" spans="1:1" ht="15" customHeight="1">
      <c r="A355" s="128"/>
    </row>
    <row r="356" spans="1:1" ht="15" customHeight="1">
      <c r="A356" s="128"/>
    </row>
    <row r="357" spans="1:1" ht="15" customHeight="1">
      <c r="A357" s="128"/>
    </row>
    <row r="358" spans="1:1" ht="15" customHeight="1">
      <c r="A358" s="128"/>
    </row>
    <row r="359" spans="1:1" ht="15" customHeight="1">
      <c r="A359" s="128"/>
    </row>
    <row r="360" spans="1:1" ht="15" customHeight="1">
      <c r="A360" s="128"/>
    </row>
    <row r="361" spans="1:1" ht="15" customHeight="1">
      <c r="A361" s="128"/>
    </row>
    <row r="362" spans="1:1" ht="15" customHeight="1">
      <c r="A362" s="128"/>
    </row>
    <row r="363" spans="1:1" ht="15" customHeight="1">
      <c r="A363" s="128"/>
    </row>
    <row r="364" spans="1:1" ht="15" customHeight="1">
      <c r="A364" s="128"/>
    </row>
    <row r="365" spans="1:1" ht="15" customHeight="1">
      <c r="A365" s="128"/>
    </row>
    <row r="366" spans="1:1" ht="15" customHeight="1">
      <c r="A366" s="128"/>
    </row>
    <row r="367" spans="1:1" ht="15" customHeight="1">
      <c r="A367" s="128"/>
    </row>
    <row r="368" spans="1:1" ht="15" customHeight="1">
      <c r="A368" s="128"/>
    </row>
    <row r="369" spans="1:1" ht="15" customHeight="1">
      <c r="A369" s="128"/>
    </row>
    <row r="370" spans="1:1" ht="15" customHeight="1">
      <c r="A370" s="128"/>
    </row>
    <row r="371" spans="1:1" ht="15" customHeight="1">
      <c r="A371" s="128"/>
    </row>
    <row r="372" spans="1:1" ht="15" customHeight="1">
      <c r="A372" s="128"/>
    </row>
    <row r="373" spans="1:1" ht="15" customHeight="1">
      <c r="A373" s="128"/>
    </row>
    <row r="374" spans="1:1" ht="15" customHeight="1">
      <c r="A374" s="128"/>
    </row>
    <row r="375" spans="1:1" ht="15" customHeight="1">
      <c r="A375" s="128"/>
    </row>
    <row r="376" spans="1:1" ht="15" customHeight="1">
      <c r="A376" s="128"/>
    </row>
    <row r="377" spans="1:1" ht="15" customHeight="1">
      <c r="A377" s="128"/>
    </row>
    <row r="378" spans="1:1" ht="15" customHeight="1">
      <c r="A378" s="128"/>
    </row>
    <row r="379" spans="1:1" ht="15" customHeight="1">
      <c r="A379" s="128"/>
    </row>
    <row r="380" spans="1:1" ht="15" customHeight="1">
      <c r="A380" s="128"/>
    </row>
    <row r="381" spans="1:1" ht="15" customHeight="1">
      <c r="A381" s="128"/>
    </row>
    <row r="382" spans="1:1" ht="15" customHeight="1">
      <c r="A382" s="128"/>
    </row>
    <row r="383" spans="1:1" ht="15" customHeight="1">
      <c r="A383" s="128"/>
    </row>
    <row r="384" spans="1:1" ht="15" customHeight="1">
      <c r="A384" s="128"/>
    </row>
    <row r="385" spans="1:1" ht="15" customHeight="1">
      <c r="A385" s="128"/>
    </row>
    <row r="386" spans="1:1" ht="15" customHeight="1">
      <c r="A386" s="128"/>
    </row>
    <row r="387" spans="1:1" ht="15" customHeight="1">
      <c r="A387" s="128"/>
    </row>
    <row r="388" spans="1:1" ht="15" customHeight="1">
      <c r="A388" s="128"/>
    </row>
    <row r="389" spans="1:1" ht="15" customHeight="1">
      <c r="A389" s="128"/>
    </row>
    <row r="390" spans="1:1" ht="15" customHeight="1">
      <c r="A390" s="128"/>
    </row>
    <row r="391" spans="1:1" ht="15" customHeight="1">
      <c r="A391" s="128"/>
    </row>
    <row r="392" spans="1:1" ht="15" customHeight="1">
      <c r="A392" s="128"/>
    </row>
    <row r="393" spans="1:1" ht="15" customHeight="1">
      <c r="A393" s="128"/>
    </row>
    <row r="394" spans="1:1" ht="15" customHeight="1">
      <c r="A394" s="128"/>
    </row>
    <row r="395" spans="1:1" ht="15" customHeight="1">
      <c r="A395" s="128"/>
    </row>
    <row r="396" spans="1:1" ht="15" customHeight="1">
      <c r="A396" s="128"/>
    </row>
    <row r="397" spans="1:1" ht="15" customHeight="1">
      <c r="A397" s="128"/>
    </row>
    <row r="398" spans="1:1" ht="15" customHeight="1">
      <c r="A398" s="128"/>
    </row>
    <row r="399" spans="1:1" ht="15" customHeight="1">
      <c r="A399" s="128"/>
    </row>
    <row r="400" spans="1:1" ht="15" customHeight="1">
      <c r="A400" s="128"/>
    </row>
    <row r="401" spans="1:1" ht="15" customHeight="1">
      <c r="A401" s="128"/>
    </row>
    <row r="402" spans="1:1" ht="15" customHeight="1">
      <c r="A402" s="128"/>
    </row>
    <row r="403" spans="1:1" ht="15" customHeight="1">
      <c r="A403" s="128"/>
    </row>
    <row r="404" spans="1:1" ht="15" customHeight="1">
      <c r="A404" s="128"/>
    </row>
    <row r="405" spans="1:1" ht="15" customHeight="1">
      <c r="A405" s="128"/>
    </row>
    <row r="406" spans="1:1" ht="15" customHeight="1">
      <c r="A406" s="128"/>
    </row>
    <row r="407" spans="1:1" ht="15" customHeight="1">
      <c r="A407" s="128"/>
    </row>
    <row r="408" spans="1:1" ht="15" customHeight="1">
      <c r="A408" s="128"/>
    </row>
    <row r="409" spans="1:1" ht="15" customHeight="1">
      <c r="A409" s="128"/>
    </row>
    <row r="410" spans="1:1" ht="15" customHeight="1">
      <c r="A410" s="128"/>
    </row>
    <row r="411" spans="1:1" ht="15" customHeight="1">
      <c r="A411" s="128"/>
    </row>
    <row r="412" spans="1:1" ht="15" customHeight="1">
      <c r="A412" s="128"/>
    </row>
    <row r="413" spans="1:1" ht="15" customHeight="1">
      <c r="A413" s="128"/>
    </row>
    <row r="414" spans="1:1" ht="15" customHeight="1">
      <c r="A414" s="128"/>
    </row>
    <row r="415" spans="1:1" ht="15" customHeight="1">
      <c r="A415" s="128"/>
    </row>
    <row r="416" spans="1:1" ht="15" customHeight="1">
      <c r="A416" s="128"/>
    </row>
    <row r="417" spans="1:1" ht="15" customHeight="1">
      <c r="A417" s="128"/>
    </row>
    <row r="418" spans="1:1" ht="15" customHeight="1">
      <c r="A418" s="128"/>
    </row>
    <row r="419" spans="1:1" ht="15" customHeight="1">
      <c r="A419" s="128"/>
    </row>
    <row r="420" spans="1:1" ht="15" customHeight="1">
      <c r="A420" s="128"/>
    </row>
    <row r="421" spans="1:1" ht="15" customHeight="1">
      <c r="A421" s="128"/>
    </row>
    <row r="422" spans="1:1" ht="15" customHeight="1">
      <c r="A422" s="128"/>
    </row>
    <row r="423" spans="1:1" ht="15" customHeight="1">
      <c r="A423" s="128"/>
    </row>
    <row r="424" spans="1:1" ht="15" customHeight="1">
      <c r="A424" s="128"/>
    </row>
    <row r="425" spans="1:1" ht="15" customHeight="1">
      <c r="A425" s="128"/>
    </row>
    <row r="426" spans="1:1" ht="15" customHeight="1">
      <c r="A426" s="128"/>
    </row>
    <row r="427" spans="1:1" ht="15" customHeight="1">
      <c r="A427" s="128"/>
    </row>
    <row r="428" spans="1:1" ht="15" customHeight="1">
      <c r="A428" s="128"/>
    </row>
    <row r="429" spans="1:1" ht="15" customHeight="1">
      <c r="A429" s="128"/>
    </row>
    <row r="430" spans="1:1" ht="15" customHeight="1">
      <c r="A430" s="128"/>
    </row>
    <row r="431" spans="1:1" ht="15" customHeight="1">
      <c r="A431" s="128"/>
    </row>
    <row r="432" spans="1:1" ht="15" customHeight="1">
      <c r="A432" s="128"/>
    </row>
    <row r="433" spans="1:1" ht="15" customHeight="1">
      <c r="A433" s="128"/>
    </row>
    <row r="434" spans="1:1" ht="15" customHeight="1">
      <c r="A434" s="128"/>
    </row>
    <row r="435" spans="1:1" ht="15" customHeight="1">
      <c r="A435" s="128"/>
    </row>
    <row r="436" spans="1:1" ht="15" customHeight="1">
      <c r="A436" s="128"/>
    </row>
    <row r="437" spans="1:1" ht="15" customHeight="1">
      <c r="A437" s="128"/>
    </row>
    <row r="438" spans="1:1" ht="15" customHeight="1">
      <c r="A438" s="128"/>
    </row>
    <row r="439" spans="1:1" ht="15" customHeight="1">
      <c r="A439" s="128"/>
    </row>
    <row r="440" spans="1:1" ht="15" customHeight="1">
      <c r="A440" s="128"/>
    </row>
    <row r="441" spans="1:1" ht="15" customHeight="1">
      <c r="A441" s="128"/>
    </row>
    <row r="442" spans="1:1" ht="15" customHeight="1">
      <c r="A442" s="128"/>
    </row>
    <row r="443" spans="1:1" ht="15" customHeight="1">
      <c r="A443" s="128"/>
    </row>
    <row r="444" spans="1:1" ht="15" customHeight="1">
      <c r="A444" s="128"/>
    </row>
    <row r="445" spans="1:1" ht="15" customHeight="1">
      <c r="A445" s="128"/>
    </row>
    <row r="446" spans="1:1" ht="15" customHeight="1">
      <c r="A446" s="128"/>
    </row>
    <row r="447" spans="1:1" ht="15" customHeight="1">
      <c r="A447" s="128"/>
    </row>
    <row r="448" spans="1:1" ht="15" customHeight="1">
      <c r="A448" s="128"/>
    </row>
    <row r="449" spans="1:1" ht="15" customHeight="1">
      <c r="A449" s="128"/>
    </row>
    <row r="450" spans="1:1" ht="15" customHeight="1">
      <c r="A450" s="128"/>
    </row>
    <row r="451" spans="1:1" ht="15" customHeight="1">
      <c r="A451" s="128"/>
    </row>
    <row r="452" spans="1:1" ht="15" customHeight="1">
      <c r="A452" s="128"/>
    </row>
    <row r="453" spans="1:1" ht="15" customHeight="1">
      <c r="A453" s="128"/>
    </row>
    <row r="454" spans="1:1" ht="15" customHeight="1">
      <c r="A454" s="128"/>
    </row>
    <row r="455" spans="1:1" ht="15" customHeight="1">
      <c r="A455" s="128"/>
    </row>
    <row r="456" spans="1:1" ht="15" customHeight="1">
      <c r="A456" s="128"/>
    </row>
    <row r="457" spans="1:1" ht="15" customHeight="1">
      <c r="A457" s="128"/>
    </row>
    <row r="458" spans="1:1" ht="15" customHeight="1">
      <c r="A458" s="128"/>
    </row>
    <row r="459" spans="1:1" ht="15" customHeight="1">
      <c r="A459" s="128"/>
    </row>
    <row r="460" spans="1:1" ht="15" customHeight="1">
      <c r="A460" s="128"/>
    </row>
    <row r="461" spans="1:1" ht="15" customHeight="1">
      <c r="A461" s="128"/>
    </row>
    <row r="462" spans="1:1" ht="15" customHeight="1">
      <c r="A462" s="128"/>
    </row>
    <row r="463" spans="1:1" ht="15" customHeight="1">
      <c r="A463" s="128"/>
    </row>
    <row r="464" spans="1:1" ht="15" customHeight="1">
      <c r="A464" s="128"/>
    </row>
    <row r="465" spans="1:1" ht="15" customHeight="1">
      <c r="A465" s="128"/>
    </row>
    <row r="466" spans="1:1" ht="15" customHeight="1">
      <c r="A466" s="128"/>
    </row>
    <row r="467" spans="1:1" ht="15" customHeight="1">
      <c r="A467" s="128"/>
    </row>
    <row r="468" spans="1:1" ht="15" customHeight="1">
      <c r="A468" s="128"/>
    </row>
    <row r="469" spans="1:1" ht="15" customHeight="1">
      <c r="A469" s="128"/>
    </row>
    <row r="470" spans="1:1" ht="15" customHeight="1">
      <c r="A470" s="128"/>
    </row>
    <row r="471" spans="1:1" ht="15" customHeight="1">
      <c r="A471" s="128"/>
    </row>
    <row r="472" spans="1:1" ht="15" customHeight="1">
      <c r="A472" s="128"/>
    </row>
    <row r="473" spans="1:1" ht="15" customHeight="1">
      <c r="A473" s="128"/>
    </row>
    <row r="474" spans="1:1" ht="15" customHeight="1">
      <c r="A474" s="128"/>
    </row>
  </sheetData>
  <sheetProtection algorithmName="SHA-512" hashValue="fLLtYuefzCHvjeiJtAvrBGoGeWstCxp+iOdjQZI4GBtN08/GNLdhlEhJA4Ke0RLWYi+IlO8sOPEEheYKjZUm/g==" saltValue="WN7CvGr0dshhvUsY3twqWg==" spinCount="100000" sheet="1" objects="1" scenarios="1" selectLockedCells="1"/>
  <customSheetViews>
    <customSheetView guid="{B92ED4D4-4566-4043-8B76-FD708F820076}" showGridLines="0" fitToPage="1" hiddenRows="1" hiddenColumns="1">
      <selection activeCell="E10" sqref="E10"/>
      <pageMargins left="0.75" right="0.75" top="1" bottom="1" header="0.5" footer="0.5"/>
      <pageSetup paperSize="5" scale="59" orientation="portrait" r:id="rId1"/>
      <headerFooter alignWithMargins="0">
        <oddHeader>&amp;L&amp;"Times New Roman,Bold"&amp;14Application for Housing Development Funds
Sources and Uses Table&amp;R&amp;"Times New Roman,Bold"&amp;14____________________ NOFA
SF Mayor's Office of Housing</oddHeader>
      </headerFooter>
    </customSheetView>
  </customSheetViews>
  <mergeCells count="3">
    <mergeCell ref="I2:I6"/>
    <mergeCell ref="L100:L103"/>
    <mergeCell ref="L24:L27"/>
  </mergeCells>
  <pageMargins left="0.75" right="0.75" top="1" bottom="1" header="0.5" footer="0.5"/>
  <pageSetup paperSize="5" scale="40" orientation="portrait" r:id="rId2"/>
  <headerFooter alignWithMargins="0">
    <oddHeader>&amp;CMOHCD Proforma - Permanent Financing Sources &amp; Uses of Funds</oddHeader>
    <oddFooter>&amp;R&amp;P of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18785" r:id="rId5" name="Button 1">
              <controlPr defaultSize="0" print="0" autoFill="0" autoPict="0" macro="[0]!AddColumn">
                <anchor moveWithCells="1" sizeWithCells="1">
                  <from>
                    <xdr:col>9</xdr:col>
                    <xdr:colOff>228600</xdr:colOff>
                    <xdr:row>1</xdr:row>
                    <xdr:rowOff>68580</xdr:rowOff>
                  </from>
                  <to>
                    <xdr:col>10</xdr:col>
                    <xdr:colOff>327660</xdr:colOff>
                    <xdr:row>3</xdr:row>
                    <xdr:rowOff>45720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9">
    <tabColor theme="8" tint="0.59999389629810485"/>
  </sheetPr>
  <dimension ref="A1:AF146"/>
  <sheetViews>
    <sheetView workbookViewId="0">
      <selection activeCell="B2" sqref="B2"/>
    </sheetView>
  </sheetViews>
  <sheetFormatPr defaultColWidth="0" defaultRowHeight="14.4"/>
  <cols>
    <col min="1" max="1" width="24.6640625" style="977" customWidth="1"/>
    <col min="2" max="2" width="42.5546875" style="977" customWidth="1"/>
    <col min="3" max="3" width="10" style="977" customWidth="1"/>
    <col min="4" max="4" width="7.109375" style="977" customWidth="1"/>
    <col min="5" max="5" width="6.109375" style="977" customWidth="1"/>
    <col min="6" max="7" width="9.109375" style="977" customWidth="1"/>
    <col min="8" max="8" width="8.44140625" style="977" customWidth="1"/>
    <col min="9" max="9" width="9.6640625" style="977" customWidth="1"/>
    <col min="10" max="10" width="16.5546875" style="977" bestFit="1" customWidth="1"/>
    <col min="11" max="11" width="11" style="980" customWidth="1"/>
    <col min="12" max="27" width="11" style="977" customWidth="1"/>
    <col min="28" max="28" width="11" style="983" customWidth="1"/>
    <col min="29" max="30" width="11" style="977" customWidth="1"/>
    <col min="31" max="31" width="14" style="977" customWidth="1"/>
    <col min="32" max="32" width="9.109375" style="977" customWidth="1"/>
    <col min="33" max="16384" width="9.109375" style="977" hidden="1"/>
  </cols>
  <sheetData>
    <row r="1" spans="1:31" ht="18" customHeight="1">
      <c r="A1" s="1194" t="s">
        <v>556</v>
      </c>
      <c r="B1" s="1195" t="str">
        <f>IF('1.GeneralProjectInfo'!D3="","",'1.GeneralProjectInfo'!D3)</f>
        <v/>
      </c>
      <c r="C1" s="1195"/>
    </row>
    <row r="2" spans="1:31" ht="15.6">
      <c r="A2" s="990" t="s">
        <v>1021</v>
      </c>
      <c r="B2" s="1220"/>
      <c r="C2" s="1195"/>
      <c r="D2" s="979" t="s">
        <v>424</v>
      </c>
      <c r="E2" s="980"/>
      <c r="F2" s="980"/>
      <c r="G2" s="980"/>
      <c r="H2" s="980"/>
      <c r="I2" s="981"/>
      <c r="J2" s="981"/>
      <c r="K2" s="981"/>
      <c r="L2" s="982"/>
    </row>
    <row r="3" spans="1:31" ht="20.399999999999999">
      <c r="B3" s="984"/>
      <c r="C3" s="984"/>
      <c r="E3" s="980"/>
      <c r="F3" s="980"/>
      <c r="G3" s="980"/>
      <c r="H3" s="980"/>
      <c r="I3" s="980"/>
      <c r="J3" s="980"/>
      <c r="L3" s="980"/>
      <c r="M3" s="985" t="s">
        <v>1004</v>
      </c>
      <c r="N3" s="980"/>
      <c r="O3" s="980"/>
      <c r="P3" s="980"/>
      <c r="Q3" s="980"/>
      <c r="R3" s="980"/>
      <c r="S3" s="980"/>
      <c r="T3" s="980"/>
      <c r="U3" s="980"/>
      <c r="V3" s="980"/>
      <c r="W3" s="980"/>
      <c r="X3" s="980"/>
      <c r="Y3" s="980"/>
      <c r="Z3" s="1127"/>
      <c r="AA3" s="984"/>
      <c r="AB3" s="984"/>
    </row>
    <row r="4" spans="1:31" ht="15.6">
      <c r="A4" s="987" t="s">
        <v>1023</v>
      </c>
      <c r="B4" s="987" t="str">
        <f>IF('1.GeneralProjectInfo'!D19="","",'1.GeneralProjectInfo'!D19)</f>
        <v/>
      </c>
      <c r="C4" s="987"/>
      <c r="D4" s="1125" t="s">
        <v>1003</v>
      </c>
      <c r="E4" s="980"/>
      <c r="F4" s="980"/>
      <c r="G4" s="980"/>
      <c r="H4" s="980"/>
      <c r="I4" s="980"/>
      <c r="J4" s="980"/>
      <c r="L4" s="980"/>
      <c r="M4" s="986"/>
      <c r="N4" s="980"/>
      <c r="O4" s="980"/>
      <c r="P4" s="980"/>
      <c r="Q4" s="980"/>
      <c r="R4" s="1021"/>
      <c r="S4" s="1022" t="s">
        <v>1026</v>
      </c>
      <c r="T4" s="1023">
        <f ca="1">SUMIFS(K8:AE8,K11:AE11,"&gt;=1",K11:AE11,"&lt;=10")</f>
        <v>0</v>
      </c>
      <c r="U4" s="980"/>
      <c r="V4" s="980"/>
      <c r="W4" s="980"/>
      <c r="X4" s="980"/>
      <c r="Y4" s="980"/>
      <c r="Z4" s="986"/>
      <c r="AA4" s="980"/>
      <c r="AB4" s="980"/>
    </row>
    <row r="5" spans="1:31" ht="16.2" thickBot="1">
      <c r="A5" s="987" t="s">
        <v>1024</v>
      </c>
      <c r="B5" s="987" t="str">
        <f>IF('1.GeneralProjectInfo'!A13="","",'1.GeneralProjectInfo'!A13)</f>
        <v/>
      </c>
      <c r="C5" s="987"/>
      <c r="D5" s="1125" t="s">
        <v>1005</v>
      </c>
      <c r="E5" s="986"/>
      <c r="F5" s="986"/>
      <c r="G5" s="986"/>
      <c r="H5" s="986"/>
      <c r="I5" s="986"/>
      <c r="J5" s="986"/>
      <c r="K5" s="986"/>
      <c r="L5" s="986"/>
      <c r="M5" s="986"/>
      <c r="N5" s="986"/>
      <c r="O5" s="986"/>
      <c r="P5" s="986"/>
      <c r="Q5" s="986"/>
      <c r="R5" s="986"/>
      <c r="S5" s="986"/>
      <c r="T5" s="986"/>
      <c r="U5" s="986"/>
      <c r="V5" s="986"/>
      <c r="W5" s="986"/>
      <c r="X5" s="986"/>
      <c r="Y5" s="986"/>
      <c r="Z5" s="986"/>
      <c r="AA5" s="986"/>
      <c r="AB5" s="986"/>
    </row>
    <row r="6" spans="1:31" s="990" customFormat="1" ht="16.2" hidden="1" thickBot="1">
      <c r="A6" s="1196" t="s">
        <v>1025</v>
      </c>
      <c r="B6" s="987"/>
      <c r="C6" s="987"/>
      <c r="D6" s="988"/>
      <c r="E6" s="989"/>
      <c r="F6" s="989"/>
      <c r="G6" s="989"/>
      <c r="H6" s="989"/>
      <c r="J6" s="1020">
        <f t="shared" ref="J6:AE6" si="0">SUMPRODUCT(MAX((ROW(J13:J267)*(J13:J267&lt;&gt;""))))</f>
        <v>0</v>
      </c>
      <c r="K6" s="1020">
        <f t="shared" si="0"/>
        <v>136</v>
      </c>
      <c r="L6" s="1020">
        <f t="shared" si="0"/>
        <v>136</v>
      </c>
      <c r="M6" s="1020">
        <f t="shared" si="0"/>
        <v>136</v>
      </c>
      <c r="N6" s="1020">
        <f t="shared" si="0"/>
        <v>136</v>
      </c>
      <c r="O6" s="1020">
        <f t="shared" si="0"/>
        <v>136</v>
      </c>
      <c r="P6" s="1020">
        <f t="shared" si="0"/>
        <v>136</v>
      </c>
      <c r="Q6" s="1020">
        <f t="shared" si="0"/>
        <v>136</v>
      </c>
      <c r="R6" s="1020">
        <f t="shared" si="0"/>
        <v>136</v>
      </c>
      <c r="S6" s="1020">
        <f t="shared" si="0"/>
        <v>136</v>
      </c>
      <c r="T6" s="1020">
        <f t="shared" si="0"/>
        <v>136</v>
      </c>
      <c r="U6" s="1020">
        <f t="shared" si="0"/>
        <v>136</v>
      </c>
      <c r="V6" s="1020">
        <f t="shared" si="0"/>
        <v>136</v>
      </c>
      <c r="W6" s="1020">
        <f t="shared" si="0"/>
        <v>136</v>
      </c>
      <c r="X6" s="1020">
        <f t="shared" si="0"/>
        <v>136</v>
      </c>
      <c r="Y6" s="1020">
        <f t="shared" si="0"/>
        <v>136</v>
      </c>
      <c r="Z6" s="1020">
        <f t="shared" si="0"/>
        <v>136</v>
      </c>
      <c r="AA6" s="1020">
        <f t="shared" si="0"/>
        <v>136</v>
      </c>
      <c r="AB6" s="1020">
        <f t="shared" si="0"/>
        <v>136</v>
      </c>
      <c r="AC6" s="1020">
        <f t="shared" si="0"/>
        <v>136</v>
      </c>
      <c r="AD6" s="1020">
        <f t="shared" si="0"/>
        <v>136</v>
      </c>
      <c r="AE6" s="1020">
        <f t="shared" si="0"/>
        <v>136</v>
      </c>
    </row>
    <row r="7" spans="1:31" ht="33" customHeight="1" thickBot="1">
      <c r="A7" s="990"/>
      <c r="D7" s="989"/>
      <c r="E7" s="989"/>
      <c r="F7" s="989"/>
      <c r="G7" s="989"/>
      <c r="H7" s="1126" t="s">
        <v>1020</v>
      </c>
      <c r="I7" s="991"/>
      <c r="J7" s="1005" t="str">
        <f ca="1">IFERROR(SUM(J13:INDIRECT("J"&amp;J6)),"")</f>
        <v/>
      </c>
      <c r="K7" s="1051">
        <f ca="1">IFERROR(SUM(K13:INDIRECT("K"&amp;K6)),0)</f>
        <v>0</v>
      </c>
      <c r="L7" s="1051">
        <f ca="1">IFERROR(SUM(L13:INDIRECT("L"&amp;L6)),0)</f>
        <v>0</v>
      </c>
      <c r="M7" s="1051">
        <f ca="1">IFERROR(SUM(M13:INDIRECT("M"&amp;M6)),0)</f>
        <v>0</v>
      </c>
      <c r="N7" s="1051">
        <f ca="1">IFERROR(SUM(N13:INDIRECT("N"&amp;N6)),0)</f>
        <v>0</v>
      </c>
      <c r="O7" s="1051">
        <f ca="1">IFERROR(SUM(O13:INDIRECT("O"&amp;O6)),0)</f>
        <v>0</v>
      </c>
      <c r="P7" s="1051">
        <f ca="1">IFERROR(SUM(P13:INDIRECT("P"&amp;P6)),0)</f>
        <v>0</v>
      </c>
      <c r="Q7" s="1051">
        <f ca="1">IFERROR(SUM(Q13:INDIRECT("Q"&amp;Q6)),0)</f>
        <v>0</v>
      </c>
      <c r="R7" s="1051">
        <f ca="1">IFERROR(SUM(R13:INDIRECT("R"&amp;R6)),0)</f>
        <v>0</v>
      </c>
      <c r="S7" s="1051">
        <f ca="1">IFERROR(SUM(S13:INDIRECT("S"&amp;S6)),0)</f>
        <v>0</v>
      </c>
      <c r="T7" s="1051">
        <f ca="1">IFERROR(SUM(T13:INDIRECT("T"&amp;T6)),0)</f>
        <v>0</v>
      </c>
      <c r="U7" s="1051">
        <f ca="1">IFERROR(SUM(U13:INDIRECT("U"&amp;U6)),0)</f>
        <v>0</v>
      </c>
      <c r="V7" s="1051">
        <f ca="1">IFERROR(SUM(V13:INDIRECT("V"&amp;V6)),0)</f>
        <v>0</v>
      </c>
      <c r="W7" s="1051">
        <f ca="1">IFERROR(SUM(W13:INDIRECT("W"&amp;W6)),0)</f>
        <v>0</v>
      </c>
      <c r="X7" s="1051">
        <f ca="1">IFERROR(SUM(X13:INDIRECT("X"&amp;X6)),0)</f>
        <v>0</v>
      </c>
      <c r="Y7" s="1051">
        <f ca="1">IFERROR(SUM(Y13:INDIRECT("Y"&amp;Y6)),0)</f>
        <v>0</v>
      </c>
      <c r="Z7" s="1051">
        <f ca="1">IFERROR(SUM(Z13:INDIRECT("Z"&amp;Z6)),0)</f>
        <v>0</v>
      </c>
      <c r="AA7" s="1051">
        <f ca="1">IFERROR(SUM(AA13:INDIRECT("AA"&amp;AA6)),0)</f>
        <v>0</v>
      </c>
      <c r="AB7" s="1051">
        <f ca="1">IFERROR(SUM(AB13:INDIRECT("AB"&amp;AB6)),0)</f>
        <v>0</v>
      </c>
      <c r="AC7" s="1051">
        <f ca="1">IFERROR(SUM(AC13:INDIRECT("AC"&amp;AC6)),0)</f>
        <v>0</v>
      </c>
      <c r="AD7" s="1051">
        <f ca="1">IFERROR(SUM(AD13:INDIRECT("AD"&amp;AD6)),0)</f>
        <v>0</v>
      </c>
      <c r="AE7" s="1051">
        <f ca="1">SUM(AE13:INDIRECT("AE"&amp;AE6))</f>
        <v>0</v>
      </c>
    </row>
    <row r="8" spans="1:31" ht="27">
      <c r="A8" s="990" t="str">
        <f>_xlfn.NUMBERVALUE('1.GeneralProjectInfo'!A17)&amp;" Residential Units "&amp;IF(_xlfn.NUMBERVALUE('1.GeneralProjectInfo'!A19)=0,"",_xlfn.NUMBERVALUE('1.GeneralProjectInfo'!A19)&amp;"/ Commercial Units")</f>
        <v xml:space="preserve">0 Residential Units </v>
      </c>
      <c r="B8" s="1018"/>
      <c r="C8" s="1018"/>
      <c r="D8" s="1019" t="s">
        <v>424</v>
      </c>
      <c r="E8" s="1019"/>
      <c r="F8" s="1019"/>
      <c r="G8" s="1019"/>
      <c r="H8" s="1126" t="s">
        <v>1022</v>
      </c>
      <c r="I8" s="169" t="s">
        <v>67</v>
      </c>
      <c r="J8" s="1053">
        <v>0.01</v>
      </c>
      <c r="K8" s="1052">
        <f ca="1">K7</f>
        <v>0</v>
      </c>
      <c r="L8" s="1052">
        <f t="shared" ref="L8:AD8" ca="1" si="1">L7*(1+$J$8)^(L$10-$K$10)</f>
        <v>0</v>
      </c>
      <c r="M8" s="1052">
        <f t="shared" ca="1" si="1"/>
        <v>0</v>
      </c>
      <c r="N8" s="1052">
        <f t="shared" ca="1" si="1"/>
        <v>0</v>
      </c>
      <c r="O8" s="1052">
        <f t="shared" ca="1" si="1"/>
        <v>0</v>
      </c>
      <c r="P8" s="1052">
        <f t="shared" ca="1" si="1"/>
        <v>0</v>
      </c>
      <c r="Q8" s="1052">
        <f t="shared" ca="1" si="1"/>
        <v>0</v>
      </c>
      <c r="R8" s="1052">
        <f t="shared" ca="1" si="1"/>
        <v>0</v>
      </c>
      <c r="S8" s="1052">
        <f t="shared" ca="1" si="1"/>
        <v>0</v>
      </c>
      <c r="T8" s="1052">
        <f t="shared" ca="1" si="1"/>
        <v>0</v>
      </c>
      <c r="U8" s="1052">
        <f t="shared" ca="1" si="1"/>
        <v>0</v>
      </c>
      <c r="V8" s="1052">
        <f t="shared" ca="1" si="1"/>
        <v>0</v>
      </c>
      <c r="W8" s="1052">
        <f t="shared" ca="1" si="1"/>
        <v>0</v>
      </c>
      <c r="X8" s="1052">
        <f t="shared" ca="1" si="1"/>
        <v>0</v>
      </c>
      <c r="Y8" s="1052">
        <f t="shared" ca="1" si="1"/>
        <v>0</v>
      </c>
      <c r="Z8" s="1052">
        <f t="shared" ca="1" si="1"/>
        <v>0</v>
      </c>
      <c r="AA8" s="1052">
        <f t="shared" ca="1" si="1"/>
        <v>0</v>
      </c>
      <c r="AB8" s="1052">
        <f t="shared" ca="1" si="1"/>
        <v>0</v>
      </c>
      <c r="AC8" s="1052">
        <f t="shared" ca="1" si="1"/>
        <v>0</v>
      </c>
      <c r="AD8" s="1052">
        <f t="shared" ca="1" si="1"/>
        <v>0</v>
      </c>
      <c r="AE8" s="1052">
        <f ca="1">SUM(K8:AD8)</f>
        <v>0</v>
      </c>
    </row>
    <row r="9" spans="1:31" ht="15" thickBot="1">
      <c r="A9" s="992"/>
      <c r="B9" s="992"/>
      <c r="C9" s="992"/>
      <c r="D9" s="993"/>
      <c r="E9" s="993"/>
      <c r="F9" s="993"/>
      <c r="G9" s="993"/>
      <c r="H9" s="993"/>
      <c r="I9" s="994"/>
      <c r="J9" s="994"/>
      <c r="K9" s="994"/>
      <c r="L9" s="995"/>
      <c r="M9" s="992"/>
      <c r="N9" s="992"/>
      <c r="O9" s="992"/>
      <c r="P9" s="992"/>
      <c r="Q9" s="992"/>
      <c r="R9" s="992"/>
      <c r="S9" s="992"/>
      <c r="T9" s="992"/>
      <c r="U9" s="992"/>
      <c r="V9" s="992"/>
      <c r="W9" s="992"/>
      <c r="X9" s="992"/>
      <c r="Y9" s="992"/>
      <c r="Z9" s="992"/>
      <c r="AA9" s="992"/>
      <c r="AB9" s="996"/>
      <c r="AC9" s="992"/>
      <c r="AD9" s="992"/>
      <c r="AE9" s="992"/>
    </row>
    <row r="10" spans="1:31">
      <c r="A10" s="1221"/>
      <c r="B10" s="1222"/>
      <c r="C10" s="1223" t="s">
        <v>1100</v>
      </c>
      <c r="D10" s="1222"/>
      <c r="E10" s="1222"/>
      <c r="F10" s="1238" t="s">
        <v>1006</v>
      </c>
      <c r="G10" s="1238"/>
      <c r="H10" s="1224" t="s">
        <v>1007</v>
      </c>
      <c r="I10" s="1225" t="s">
        <v>1047</v>
      </c>
      <c r="J10" s="1226" t="s">
        <v>1008</v>
      </c>
      <c r="K10" s="1227">
        <f>'7a.20YrDetails'!$J$5</f>
        <v>0</v>
      </c>
      <c r="L10" s="1228">
        <f t="shared" ref="L10:Y10" si="2">K10+1</f>
        <v>1</v>
      </c>
      <c r="M10" s="1228">
        <f t="shared" si="2"/>
        <v>2</v>
      </c>
      <c r="N10" s="1228">
        <f t="shared" si="2"/>
        <v>3</v>
      </c>
      <c r="O10" s="1228">
        <f t="shared" si="2"/>
        <v>4</v>
      </c>
      <c r="P10" s="1228">
        <f t="shared" si="2"/>
        <v>5</v>
      </c>
      <c r="Q10" s="1228">
        <f t="shared" si="2"/>
        <v>6</v>
      </c>
      <c r="R10" s="1228">
        <f t="shared" si="2"/>
        <v>7</v>
      </c>
      <c r="S10" s="1228">
        <f t="shared" si="2"/>
        <v>8</v>
      </c>
      <c r="T10" s="1228">
        <f t="shared" si="2"/>
        <v>9</v>
      </c>
      <c r="U10" s="1228">
        <f t="shared" si="2"/>
        <v>10</v>
      </c>
      <c r="V10" s="1228">
        <f t="shared" si="2"/>
        <v>11</v>
      </c>
      <c r="W10" s="1228">
        <f t="shared" si="2"/>
        <v>12</v>
      </c>
      <c r="X10" s="1228">
        <f t="shared" si="2"/>
        <v>13</v>
      </c>
      <c r="Y10" s="1228">
        <f t="shared" si="2"/>
        <v>14</v>
      </c>
      <c r="Z10" s="1228">
        <f>Y10+1</f>
        <v>15</v>
      </c>
      <c r="AA10" s="1228">
        <f t="shared" ref="AA10:AD11" si="3">Z10+1</f>
        <v>16</v>
      </c>
      <c r="AB10" s="1228">
        <f t="shared" si="3"/>
        <v>17</v>
      </c>
      <c r="AC10" s="1228">
        <f t="shared" si="3"/>
        <v>18</v>
      </c>
      <c r="AD10" s="1228">
        <f t="shared" si="3"/>
        <v>19</v>
      </c>
      <c r="AE10" s="1229" t="s">
        <v>1009</v>
      </c>
    </row>
    <row r="11" spans="1:31" ht="15" thickBot="1">
      <c r="A11" s="1230" t="s">
        <v>1010</v>
      </c>
      <c r="B11" s="1231" t="s">
        <v>1011</v>
      </c>
      <c r="C11" s="1232" t="s">
        <v>1101</v>
      </c>
      <c r="D11" s="1231" t="s">
        <v>1012</v>
      </c>
      <c r="E11" s="1231" t="s">
        <v>1013</v>
      </c>
      <c r="F11" s="1231" t="s">
        <v>1014</v>
      </c>
      <c r="G11" s="1231" t="s">
        <v>1015</v>
      </c>
      <c r="H11" s="1233" t="s">
        <v>1016</v>
      </c>
      <c r="I11" s="1234" t="s">
        <v>1017</v>
      </c>
      <c r="J11" s="1235" t="s">
        <v>1018</v>
      </c>
      <c r="K11" s="1236">
        <f>'7a.20YrDetails'!$J$4</f>
        <v>1</v>
      </c>
      <c r="L11" s="1236">
        <f t="shared" ref="L11:Y11" si="4">K11+1</f>
        <v>2</v>
      </c>
      <c r="M11" s="1236">
        <f t="shared" si="4"/>
        <v>3</v>
      </c>
      <c r="N11" s="1236">
        <f t="shared" si="4"/>
        <v>4</v>
      </c>
      <c r="O11" s="1236">
        <f t="shared" si="4"/>
        <v>5</v>
      </c>
      <c r="P11" s="1236">
        <f t="shared" si="4"/>
        <v>6</v>
      </c>
      <c r="Q11" s="1236">
        <f t="shared" si="4"/>
        <v>7</v>
      </c>
      <c r="R11" s="1236">
        <f t="shared" si="4"/>
        <v>8</v>
      </c>
      <c r="S11" s="1236">
        <f t="shared" si="4"/>
        <v>9</v>
      </c>
      <c r="T11" s="1236">
        <f t="shared" si="4"/>
        <v>10</v>
      </c>
      <c r="U11" s="1236">
        <f t="shared" si="4"/>
        <v>11</v>
      </c>
      <c r="V11" s="1236">
        <f t="shared" si="4"/>
        <v>12</v>
      </c>
      <c r="W11" s="1236">
        <f t="shared" si="4"/>
        <v>13</v>
      </c>
      <c r="X11" s="1236">
        <f t="shared" si="4"/>
        <v>14</v>
      </c>
      <c r="Y11" s="1236">
        <f t="shared" si="4"/>
        <v>15</v>
      </c>
      <c r="Z11" s="1236">
        <f>Y11+1</f>
        <v>16</v>
      </c>
      <c r="AA11" s="1236">
        <f t="shared" si="3"/>
        <v>17</v>
      </c>
      <c r="AB11" s="1236">
        <f t="shared" si="3"/>
        <v>18</v>
      </c>
      <c r="AC11" s="1236">
        <f t="shared" si="3"/>
        <v>19</v>
      </c>
      <c r="AD11" s="1236">
        <f t="shared" si="3"/>
        <v>20</v>
      </c>
      <c r="AE11" s="1237" t="s">
        <v>1066</v>
      </c>
    </row>
    <row r="12" spans="1:31" s="983" customFormat="1" ht="31.5" customHeight="1">
      <c r="A12" s="1188" t="s">
        <v>1019</v>
      </c>
      <c r="B12" s="1184"/>
      <c r="C12" s="1184"/>
      <c r="D12" s="1185"/>
      <c r="E12" s="1185"/>
      <c r="F12" s="1218" t="s">
        <v>1097</v>
      </c>
      <c r="G12" s="1185"/>
      <c r="H12" s="1186"/>
      <c r="I12" s="1189"/>
      <c r="J12" s="1190"/>
      <c r="K12" s="1191"/>
      <c r="L12" s="1191"/>
      <c r="M12" s="1192"/>
      <c r="N12" s="1192"/>
      <c r="O12" s="1192"/>
      <c r="P12" s="1192"/>
      <c r="Q12" s="1192"/>
      <c r="R12" s="1192"/>
      <c r="S12" s="1192"/>
      <c r="T12" s="1192"/>
      <c r="U12" s="1192"/>
      <c r="V12" s="1192"/>
      <c r="W12" s="1192"/>
      <c r="X12" s="1192"/>
      <c r="Y12" s="1192"/>
      <c r="Z12" s="1191"/>
      <c r="AA12" s="1191"/>
      <c r="AB12" s="1192"/>
      <c r="AC12" s="1192"/>
      <c r="AD12" s="1192"/>
      <c r="AE12" s="1193"/>
    </row>
    <row r="13" spans="1:31">
      <c r="A13" s="1239"/>
      <c r="B13" s="1332"/>
      <c r="C13" s="1177"/>
      <c r="D13" s="1177"/>
      <c r="E13" s="1177"/>
      <c r="F13" s="1178"/>
      <c r="G13" s="1178"/>
      <c r="H13" s="1179"/>
      <c r="I13" s="1182"/>
      <c r="J13" s="1183"/>
      <c r="K13" s="1054">
        <v>0</v>
      </c>
      <c r="L13" s="1054">
        <v>0</v>
      </c>
      <c r="M13" s="1054">
        <v>0</v>
      </c>
      <c r="N13" s="1054">
        <v>0</v>
      </c>
      <c r="O13" s="1054">
        <v>0</v>
      </c>
      <c r="P13" s="1054">
        <v>0</v>
      </c>
      <c r="Q13" s="1054">
        <v>0</v>
      </c>
      <c r="R13" s="1054">
        <v>0</v>
      </c>
      <c r="S13" s="1054">
        <v>0</v>
      </c>
      <c r="T13" s="1054">
        <v>0</v>
      </c>
      <c r="U13" s="1054">
        <v>0</v>
      </c>
      <c r="V13" s="1054">
        <v>0</v>
      </c>
      <c r="W13" s="1054">
        <v>0</v>
      </c>
      <c r="X13" s="1054">
        <v>0</v>
      </c>
      <c r="Y13" s="1054">
        <v>0</v>
      </c>
      <c r="Z13" s="1054">
        <v>0</v>
      </c>
      <c r="AA13" s="1054">
        <v>0</v>
      </c>
      <c r="AB13" s="1054">
        <v>0</v>
      </c>
      <c r="AC13" s="1054">
        <v>0</v>
      </c>
      <c r="AD13" s="1054">
        <v>0</v>
      </c>
      <c r="AE13" s="997">
        <f>SUM(K13:AD13)</f>
        <v>0</v>
      </c>
    </row>
    <row r="14" spans="1:31">
      <c r="A14" s="1176"/>
      <c r="B14" s="1332"/>
      <c r="C14" s="1177"/>
      <c r="D14" s="1177"/>
      <c r="E14" s="1177"/>
      <c r="F14" s="1178"/>
      <c r="G14" s="1178"/>
      <c r="H14" s="1179"/>
      <c r="I14" s="1182"/>
      <c r="J14" s="1183"/>
      <c r="K14" s="1054">
        <v>0</v>
      </c>
      <c r="L14" s="1054">
        <v>0</v>
      </c>
      <c r="M14" s="1054">
        <v>0</v>
      </c>
      <c r="N14" s="1054">
        <v>0</v>
      </c>
      <c r="O14" s="1054">
        <v>0</v>
      </c>
      <c r="P14" s="1054">
        <v>0</v>
      </c>
      <c r="Q14" s="1054">
        <v>0</v>
      </c>
      <c r="R14" s="1054">
        <v>0</v>
      </c>
      <c r="S14" s="1054">
        <v>0</v>
      </c>
      <c r="T14" s="1054">
        <v>0</v>
      </c>
      <c r="U14" s="1054">
        <v>0</v>
      </c>
      <c r="V14" s="1054">
        <v>0</v>
      </c>
      <c r="W14" s="1054">
        <v>0</v>
      </c>
      <c r="X14" s="1054">
        <v>0</v>
      </c>
      <c r="Y14" s="1054">
        <v>0</v>
      </c>
      <c r="Z14" s="1054">
        <v>0</v>
      </c>
      <c r="AA14" s="1054">
        <v>0</v>
      </c>
      <c r="AB14" s="1054">
        <v>0</v>
      </c>
      <c r="AC14" s="1054">
        <v>0</v>
      </c>
      <c r="AD14" s="1054">
        <v>0</v>
      </c>
      <c r="AE14" s="997">
        <f t="shared" ref="AE14:AE60" si="5">SUM(K14:AD14)</f>
        <v>0</v>
      </c>
    </row>
    <row r="15" spans="1:31">
      <c r="A15" s="1176"/>
      <c r="B15" s="1333"/>
      <c r="C15" s="1180"/>
      <c r="D15" s="1177"/>
      <c r="E15" s="1177"/>
      <c r="F15" s="1178"/>
      <c r="G15" s="1178"/>
      <c r="H15" s="1179"/>
      <c r="I15" s="1182"/>
      <c r="J15" s="1183"/>
      <c r="K15" s="1054">
        <v>0</v>
      </c>
      <c r="L15" s="1054">
        <v>0</v>
      </c>
      <c r="M15" s="1054">
        <v>0</v>
      </c>
      <c r="N15" s="1054">
        <v>0</v>
      </c>
      <c r="O15" s="1054">
        <v>0</v>
      </c>
      <c r="P15" s="1054">
        <v>0</v>
      </c>
      <c r="Q15" s="1054">
        <v>0</v>
      </c>
      <c r="R15" s="1054">
        <v>0</v>
      </c>
      <c r="S15" s="1054">
        <v>0</v>
      </c>
      <c r="T15" s="1054">
        <v>0</v>
      </c>
      <c r="U15" s="1054">
        <v>0</v>
      </c>
      <c r="V15" s="1054">
        <v>0</v>
      </c>
      <c r="W15" s="1054">
        <v>0</v>
      </c>
      <c r="X15" s="1054">
        <v>0</v>
      </c>
      <c r="Y15" s="1054">
        <v>0</v>
      </c>
      <c r="Z15" s="1054">
        <v>0</v>
      </c>
      <c r="AA15" s="1054">
        <v>0</v>
      </c>
      <c r="AB15" s="1054">
        <v>0</v>
      </c>
      <c r="AC15" s="1054">
        <v>0</v>
      </c>
      <c r="AD15" s="1054">
        <v>0</v>
      </c>
      <c r="AE15" s="997">
        <f t="shared" si="5"/>
        <v>0</v>
      </c>
    </row>
    <row r="16" spans="1:31">
      <c r="A16" s="1176"/>
      <c r="B16" s="1332"/>
      <c r="C16" s="1177"/>
      <c r="D16" s="1177"/>
      <c r="E16" s="1177"/>
      <c r="F16" s="1178"/>
      <c r="G16" s="1178"/>
      <c r="H16" s="1179"/>
      <c r="I16" s="1182"/>
      <c r="J16" s="1183"/>
      <c r="K16" s="1054">
        <v>0</v>
      </c>
      <c r="L16" s="1054">
        <v>0</v>
      </c>
      <c r="M16" s="1054">
        <v>0</v>
      </c>
      <c r="N16" s="1054">
        <v>0</v>
      </c>
      <c r="O16" s="1054">
        <v>0</v>
      </c>
      <c r="P16" s="1054">
        <v>0</v>
      </c>
      <c r="Q16" s="1054">
        <v>0</v>
      </c>
      <c r="R16" s="1054">
        <v>0</v>
      </c>
      <c r="S16" s="1054">
        <v>0</v>
      </c>
      <c r="T16" s="1054">
        <v>0</v>
      </c>
      <c r="U16" s="1054">
        <v>0</v>
      </c>
      <c r="V16" s="1054">
        <v>0</v>
      </c>
      <c r="W16" s="1054">
        <v>0</v>
      </c>
      <c r="X16" s="1054">
        <v>0</v>
      </c>
      <c r="Y16" s="1054">
        <v>0</v>
      </c>
      <c r="Z16" s="1054">
        <v>0</v>
      </c>
      <c r="AA16" s="1054">
        <v>0</v>
      </c>
      <c r="AB16" s="1054">
        <v>0</v>
      </c>
      <c r="AC16" s="1054">
        <v>0</v>
      </c>
      <c r="AD16" s="1054">
        <v>0</v>
      </c>
      <c r="AE16" s="997">
        <f t="shared" si="5"/>
        <v>0</v>
      </c>
    </row>
    <row r="17" spans="1:31">
      <c r="A17" s="1176"/>
      <c r="B17" s="1333"/>
      <c r="C17" s="1180"/>
      <c r="D17" s="1177"/>
      <c r="E17" s="1177"/>
      <c r="F17" s="1178"/>
      <c r="G17" s="1178"/>
      <c r="H17" s="1179"/>
      <c r="I17" s="1182"/>
      <c r="J17" s="1183"/>
      <c r="K17" s="1054">
        <v>0</v>
      </c>
      <c r="L17" s="1054">
        <v>0</v>
      </c>
      <c r="M17" s="1054">
        <v>0</v>
      </c>
      <c r="N17" s="1054">
        <v>0</v>
      </c>
      <c r="O17" s="1054">
        <v>0</v>
      </c>
      <c r="P17" s="1054">
        <v>0</v>
      </c>
      <c r="Q17" s="1054">
        <v>0</v>
      </c>
      <c r="R17" s="1054">
        <v>0</v>
      </c>
      <c r="S17" s="1054">
        <v>0</v>
      </c>
      <c r="T17" s="1054">
        <v>0</v>
      </c>
      <c r="U17" s="1054">
        <v>0</v>
      </c>
      <c r="V17" s="1054">
        <v>0</v>
      </c>
      <c r="W17" s="1054">
        <v>0</v>
      </c>
      <c r="X17" s="1054">
        <v>0</v>
      </c>
      <c r="Y17" s="1054">
        <v>0</v>
      </c>
      <c r="Z17" s="1054">
        <v>0</v>
      </c>
      <c r="AA17" s="1054">
        <v>0</v>
      </c>
      <c r="AB17" s="1054">
        <v>0</v>
      </c>
      <c r="AC17" s="1054">
        <v>0</v>
      </c>
      <c r="AD17" s="1054">
        <v>0</v>
      </c>
      <c r="AE17" s="997">
        <f t="shared" si="5"/>
        <v>0</v>
      </c>
    </row>
    <row r="18" spans="1:31">
      <c r="A18" s="1176"/>
      <c r="B18" s="1332"/>
      <c r="C18" s="1177"/>
      <c r="D18" s="1177"/>
      <c r="E18" s="1177"/>
      <c r="F18" s="1178"/>
      <c r="G18" s="1178"/>
      <c r="H18" s="1179"/>
      <c r="I18" s="1182"/>
      <c r="J18" s="1183"/>
      <c r="K18" s="1054">
        <v>0</v>
      </c>
      <c r="L18" s="1054">
        <v>0</v>
      </c>
      <c r="M18" s="1054">
        <v>0</v>
      </c>
      <c r="N18" s="1054">
        <v>0</v>
      </c>
      <c r="O18" s="1054">
        <v>0</v>
      </c>
      <c r="P18" s="1054">
        <v>0</v>
      </c>
      <c r="Q18" s="1054">
        <v>0</v>
      </c>
      <c r="R18" s="1054">
        <v>0</v>
      </c>
      <c r="S18" s="1054">
        <v>0</v>
      </c>
      <c r="T18" s="1054">
        <v>0</v>
      </c>
      <c r="U18" s="1054">
        <v>0</v>
      </c>
      <c r="V18" s="1054">
        <v>0</v>
      </c>
      <c r="W18" s="1054">
        <v>0</v>
      </c>
      <c r="X18" s="1054">
        <v>0</v>
      </c>
      <c r="Y18" s="1054">
        <v>0</v>
      </c>
      <c r="Z18" s="1054">
        <v>0</v>
      </c>
      <c r="AA18" s="1054">
        <v>0</v>
      </c>
      <c r="AB18" s="1054">
        <v>0</v>
      </c>
      <c r="AC18" s="1054">
        <v>0</v>
      </c>
      <c r="AD18" s="1054">
        <v>0</v>
      </c>
      <c r="AE18" s="997">
        <f t="shared" si="5"/>
        <v>0</v>
      </c>
    </row>
    <row r="19" spans="1:31">
      <c r="A19" s="1176"/>
      <c r="B19" s="1332"/>
      <c r="C19" s="1177"/>
      <c r="D19" s="1177"/>
      <c r="E19" s="1177"/>
      <c r="F19" s="1178"/>
      <c r="G19" s="1178"/>
      <c r="H19" s="1179"/>
      <c r="I19" s="1182"/>
      <c r="J19" s="1183"/>
      <c r="K19" s="1054">
        <v>0</v>
      </c>
      <c r="L19" s="1054">
        <v>0</v>
      </c>
      <c r="M19" s="1054">
        <v>0</v>
      </c>
      <c r="N19" s="1054">
        <v>0</v>
      </c>
      <c r="O19" s="1054">
        <v>0</v>
      </c>
      <c r="P19" s="1054">
        <v>0</v>
      </c>
      <c r="Q19" s="1054">
        <v>0</v>
      </c>
      <c r="R19" s="1054">
        <v>0</v>
      </c>
      <c r="S19" s="1054">
        <v>0</v>
      </c>
      <c r="T19" s="1054">
        <v>0</v>
      </c>
      <c r="U19" s="1054">
        <v>0</v>
      </c>
      <c r="V19" s="1054">
        <v>0</v>
      </c>
      <c r="W19" s="1054">
        <v>0</v>
      </c>
      <c r="X19" s="1054">
        <v>0</v>
      </c>
      <c r="Y19" s="1054">
        <v>0</v>
      </c>
      <c r="Z19" s="1054">
        <v>0</v>
      </c>
      <c r="AA19" s="1054">
        <v>0</v>
      </c>
      <c r="AB19" s="1054">
        <v>0</v>
      </c>
      <c r="AC19" s="1054">
        <v>0</v>
      </c>
      <c r="AD19" s="1054">
        <v>0</v>
      </c>
      <c r="AE19" s="997">
        <f t="shared" si="5"/>
        <v>0</v>
      </c>
    </row>
    <row r="20" spans="1:31">
      <c r="A20" s="1176"/>
      <c r="B20" s="1332"/>
      <c r="C20" s="1177"/>
      <c r="D20" s="1177"/>
      <c r="E20" s="1177"/>
      <c r="F20" s="1178"/>
      <c r="G20" s="1178"/>
      <c r="H20" s="1179"/>
      <c r="I20" s="1182"/>
      <c r="J20" s="1183"/>
      <c r="K20" s="1054">
        <v>0</v>
      </c>
      <c r="L20" s="1054">
        <v>0</v>
      </c>
      <c r="M20" s="1054">
        <v>0</v>
      </c>
      <c r="N20" s="1054">
        <v>0</v>
      </c>
      <c r="O20" s="1054">
        <v>0</v>
      </c>
      <c r="P20" s="1054">
        <v>0</v>
      </c>
      <c r="Q20" s="1054">
        <v>0</v>
      </c>
      <c r="R20" s="1054">
        <v>0</v>
      </c>
      <c r="S20" s="1054">
        <v>0</v>
      </c>
      <c r="T20" s="1054">
        <v>0</v>
      </c>
      <c r="U20" s="1054">
        <v>0</v>
      </c>
      <c r="V20" s="1054">
        <v>0</v>
      </c>
      <c r="W20" s="1054">
        <v>0</v>
      </c>
      <c r="X20" s="1054">
        <v>0</v>
      </c>
      <c r="Y20" s="1054">
        <v>0</v>
      </c>
      <c r="Z20" s="1054">
        <v>0</v>
      </c>
      <c r="AA20" s="1054">
        <v>0</v>
      </c>
      <c r="AB20" s="1054">
        <v>0</v>
      </c>
      <c r="AC20" s="1054">
        <v>0</v>
      </c>
      <c r="AD20" s="1054">
        <v>0</v>
      </c>
      <c r="AE20" s="997">
        <f t="shared" si="5"/>
        <v>0</v>
      </c>
    </row>
    <row r="21" spans="1:31">
      <c r="A21" s="1176"/>
      <c r="B21" s="1332"/>
      <c r="C21" s="1177"/>
      <c r="D21" s="1177"/>
      <c r="E21" s="1177"/>
      <c r="F21" s="1178"/>
      <c r="G21" s="1178"/>
      <c r="H21" s="1179"/>
      <c r="I21" s="1182"/>
      <c r="J21" s="1183"/>
      <c r="K21" s="1054">
        <v>0</v>
      </c>
      <c r="L21" s="1054">
        <v>0</v>
      </c>
      <c r="M21" s="1054">
        <v>0</v>
      </c>
      <c r="N21" s="1054">
        <v>0</v>
      </c>
      <c r="O21" s="1054">
        <v>0</v>
      </c>
      <c r="P21" s="1054">
        <v>0</v>
      </c>
      <c r="Q21" s="1054">
        <v>0</v>
      </c>
      <c r="R21" s="1054">
        <v>0</v>
      </c>
      <c r="S21" s="1054">
        <v>0</v>
      </c>
      <c r="T21" s="1054">
        <v>0</v>
      </c>
      <c r="U21" s="1054">
        <v>0</v>
      </c>
      <c r="V21" s="1054">
        <v>0</v>
      </c>
      <c r="W21" s="1054">
        <v>0</v>
      </c>
      <c r="X21" s="1054">
        <v>0</v>
      </c>
      <c r="Y21" s="1054">
        <v>0</v>
      </c>
      <c r="Z21" s="1054">
        <v>0</v>
      </c>
      <c r="AA21" s="1054">
        <v>0</v>
      </c>
      <c r="AB21" s="1054">
        <v>0</v>
      </c>
      <c r="AC21" s="1054">
        <v>0</v>
      </c>
      <c r="AD21" s="1054">
        <v>0</v>
      </c>
      <c r="AE21" s="997">
        <f t="shared" si="5"/>
        <v>0</v>
      </c>
    </row>
    <row r="22" spans="1:31">
      <c r="A22" s="1176"/>
      <c r="B22" s="1332"/>
      <c r="C22" s="1177"/>
      <c r="D22" s="1177"/>
      <c r="E22" s="1177"/>
      <c r="F22" s="1178"/>
      <c r="G22" s="1178"/>
      <c r="H22" s="1179"/>
      <c r="I22" s="1182"/>
      <c r="J22" s="1183"/>
      <c r="K22" s="1054">
        <v>0</v>
      </c>
      <c r="L22" s="1054">
        <v>0</v>
      </c>
      <c r="M22" s="1054">
        <v>0</v>
      </c>
      <c r="N22" s="1054">
        <v>0</v>
      </c>
      <c r="O22" s="1054">
        <v>0</v>
      </c>
      <c r="P22" s="1054">
        <v>0</v>
      </c>
      <c r="Q22" s="1054">
        <v>0</v>
      </c>
      <c r="R22" s="1054">
        <v>0</v>
      </c>
      <c r="S22" s="1054">
        <v>0</v>
      </c>
      <c r="T22" s="1054">
        <v>0</v>
      </c>
      <c r="U22" s="1054">
        <v>0</v>
      </c>
      <c r="V22" s="1054">
        <v>0</v>
      </c>
      <c r="W22" s="1054">
        <v>0</v>
      </c>
      <c r="X22" s="1054">
        <v>0</v>
      </c>
      <c r="Y22" s="1054">
        <v>0</v>
      </c>
      <c r="Z22" s="1054">
        <v>0</v>
      </c>
      <c r="AA22" s="1054">
        <v>0</v>
      </c>
      <c r="AB22" s="1054">
        <v>0</v>
      </c>
      <c r="AC22" s="1054">
        <v>0</v>
      </c>
      <c r="AD22" s="1054">
        <v>0</v>
      </c>
      <c r="AE22" s="997">
        <f t="shared" si="5"/>
        <v>0</v>
      </c>
    </row>
    <row r="23" spans="1:31">
      <c r="A23" s="1176"/>
      <c r="B23" s="1334"/>
      <c r="C23" s="1176"/>
      <c r="D23" s="1177"/>
      <c r="E23" s="1177"/>
      <c r="F23" s="1178"/>
      <c r="G23" s="1178"/>
      <c r="H23" s="1179"/>
      <c r="I23" s="1182"/>
      <c r="J23" s="1183"/>
      <c r="K23" s="1054">
        <v>0</v>
      </c>
      <c r="L23" s="1054">
        <v>0</v>
      </c>
      <c r="M23" s="1054">
        <v>0</v>
      </c>
      <c r="N23" s="1054">
        <v>0</v>
      </c>
      <c r="O23" s="1054">
        <v>0</v>
      </c>
      <c r="P23" s="1054">
        <v>0</v>
      </c>
      <c r="Q23" s="1054">
        <v>0</v>
      </c>
      <c r="R23" s="1054">
        <v>0</v>
      </c>
      <c r="S23" s="1054">
        <v>0</v>
      </c>
      <c r="T23" s="1054">
        <v>0</v>
      </c>
      <c r="U23" s="1054">
        <v>0</v>
      </c>
      <c r="V23" s="1054">
        <v>0</v>
      </c>
      <c r="W23" s="1054">
        <v>0</v>
      </c>
      <c r="X23" s="1054">
        <v>0</v>
      </c>
      <c r="Y23" s="1054">
        <v>0</v>
      </c>
      <c r="Z23" s="1054">
        <v>0</v>
      </c>
      <c r="AA23" s="1054">
        <v>0</v>
      </c>
      <c r="AB23" s="1054">
        <v>0</v>
      </c>
      <c r="AC23" s="1054">
        <v>0</v>
      </c>
      <c r="AD23" s="1054">
        <v>0</v>
      </c>
      <c r="AE23" s="997">
        <f t="shared" si="5"/>
        <v>0</v>
      </c>
    </row>
    <row r="24" spans="1:31">
      <c r="A24" s="1176"/>
      <c r="B24" s="1332"/>
      <c r="C24" s="1177"/>
      <c r="D24" s="1177"/>
      <c r="E24" s="1177"/>
      <c r="F24" s="1178"/>
      <c r="G24" s="1178"/>
      <c r="H24" s="1179"/>
      <c r="I24" s="1182"/>
      <c r="J24" s="1183"/>
      <c r="K24" s="1054">
        <v>0</v>
      </c>
      <c r="L24" s="1054">
        <v>0</v>
      </c>
      <c r="M24" s="1054">
        <v>0</v>
      </c>
      <c r="N24" s="1054">
        <v>0</v>
      </c>
      <c r="O24" s="1054">
        <v>0</v>
      </c>
      <c r="P24" s="1054">
        <v>0</v>
      </c>
      <c r="Q24" s="1054">
        <v>0</v>
      </c>
      <c r="R24" s="1054">
        <v>0</v>
      </c>
      <c r="S24" s="1054">
        <v>0</v>
      </c>
      <c r="T24" s="1054">
        <v>0</v>
      </c>
      <c r="U24" s="1054">
        <v>0</v>
      </c>
      <c r="V24" s="1054">
        <v>0</v>
      </c>
      <c r="W24" s="1054">
        <v>0</v>
      </c>
      <c r="X24" s="1054">
        <v>0</v>
      </c>
      <c r="Y24" s="1054">
        <v>0</v>
      </c>
      <c r="Z24" s="1054">
        <v>0</v>
      </c>
      <c r="AA24" s="1054">
        <v>0</v>
      </c>
      <c r="AB24" s="1054">
        <v>0</v>
      </c>
      <c r="AC24" s="1054">
        <v>0</v>
      </c>
      <c r="AD24" s="1054">
        <v>0</v>
      </c>
      <c r="AE24" s="997">
        <f t="shared" si="5"/>
        <v>0</v>
      </c>
    </row>
    <row r="25" spans="1:31">
      <c r="A25" s="1176"/>
      <c r="B25" s="1332"/>
      <c r="C25" s="1177"/>
      <c r="D25" s="1177"/>
      <c r="E25" s="1177"/>
      <c r="F25" s="1178"/>
      <c r="G25" s="1178"/>
      <c r="H25" s="1179"/>
      <c r="I25" s="1182"/>
      <c r="J25" s="1183"/>
      <c r="K25" s="1054">
        <v>0</v>
      </c>
      <c r="L25" s="1054">
        <v>0</v>
      </c>
      <c r="M25" s="1054">
        <v>0</v>
      </c>
      <c r="N25" s="1054">
        <v>0</v>
      </c>
      <c r="O25" s="1054">
        <v>0</v>
      </c>
      <c r="P25" s="1054">
        <v>0</v>
      </c>
      <c r="Q25" s="1054">
        <v>0</v>
      </c>
      <c r="R25" s="1054">
        <v>0</v>
      </c>
      <c r="S25" s="1054">
        <v>0</v>
      </c>
      <c r="T25" s="1054">
        <v>0</v>
      </c>
      <c r="U25" s="1054">
        <v>0</v>
      </c>
      <c r="V25" s="1054">
        <v>0</v>
      </c>
      <c r="W25" s="1054">
        <v>0</v>
      </c>
      <c r="X25" s="1054">
        <v>0</v>
      </c>
      <c r="Y25" s="1054">
        <v>0</v>
      </c>
      <c r="Z25" s="1054">
        <v>0</v>
      </c>
      <c r="AA25" s="1054">
        <v>0</v>
      </c>
      <c r="AB25" s="1054">
        <v>0</v>
      </c>
      <c r="AC25" s="1054">
        <v>0</v>
      </c>
      <c r="AD25" s="1054">
        <v>0</v>
      </c>
      <c r="AE25" s="997">
        <f>SUM(K25:AD25)</f>
        <v>0</v>
      </c>
    </row>
    <row r="26" spans="1:31">
      <c r="A26" s="1176"/>
      <c r="B26" s="1334"/>
      <c r="C26" s="1176"/>
      <c r="D26" s="1177"/>
      <c r="E26" s="1177"/>
      <c r="F26" s="1178"/>
      <c r="G26" s="1178"/>
      <c r="H26" s="1179"/>
      <c r="I26" s="1182"/>
      <c r="J26" s="1183"/>
      <c r="K26" s="1054">
        <v>0</v>
      </c>
      <c r="L26" s="1054">
        <v>0</v>
      </c>
      <c r="M26" s="1054">
        <v>0</v>
      </c>
      <c r="N26" s="1054">
        <v>0</v>
      </c>
      <c r="O26" s="1054">
        <v>0</v>
      </c>
      <c r="P26" s="1054">
        <v>0</v>
      </c>
      <c r="Q26" s="1054">
        <v>0</v>
      </c>
      <c r="R26" s="1054">
        <v>0</v>
      </c>
      <c r="S26" s="1054">
        <v>0</v>
      </c>
      <c r="T26" s="1054">
        <v>0</v>
      </c>
      <c r="U26" s="1054">
        <v>0</v>
      </c>
      <c r="V26" s="1054">
        <v>0</v>
      </c>
      <c r="W26" s="1054">
        <v>0</v>
      </c>
      <c r="X26" s="1054">
        <v>0</v>
      </c>
      <c r="Y26" s="1054">
        <v>0</v>
      </c>
      <c r="Z26" s="1054">
        <v>0</v>
      </c>
      <c r="AA26" s="1054">
        <v>0</v>
      </c>
      <c r="AB26" s="1054">
        <v>0</v>
      </c>
      <c r="AC26" s="1054">
        <v>0</v>
      </c>
      <c r="AD26" s="1054">
        <v>0</v>
      </c>
      <c r="AE26" s="997">
        <f t="shared" si="5"/>
        <v>0</v>
      </c>
    </row>
    <row r="27" spans="1:31">
      <c r="A27" s="1176"/>
      <c r="B27" s="1332"/>
      <c r="C27" s="1177"/>
      <c r="D27" s="1177"/>
      <c r="E27" s="1177"/>
      <c r="F27" s="1178"/>
      <c r="G27" s="1178"/>
      <c r="H27" s="1179"/>
      <c r="I27" s="1182"/>
      <c r="J27" s="1183"/>
      <c r="K27" s="1054">
        <v>0</v>
      </c>
      <c r="L27" s="1054">
        <v>0</v>
      </c>
      <c r="M27" s="1054">
        <v>0</v>
      </c>
      <c r="N27" s="1054">
        <v>0</v>
      </c>
      <c r="O27" s="1054">
        <v>0</v>
      </c>
      <c r="P27" s="1054">
        <v>0</v>
      </c>
      <c r="Q27" s="1054">
        <v>0</v>
      </c>
      <c r="R27" s="1054">
        <v>0</v>
      </c>
      <c r="S27" s="1054">
        <v>0</v>
      </c>
      <c r="T27" s="1054">
        <v>0</v>
      </c>
      <c r="U27" s="1054">
        <v>0</v>
      </c>
      <c r="V27" s="1054">
        <v>0</v>
      </c>
      <c r="W27" s="1054">
        <v>0</v>
      </c>
      <c r="X27" s="1054">
        <v>0</v>
      </c>
      <c r="Y27" s="1054">
        <v>0</v>
      </c>
      <c r="Z27" s="1054">
        <v>0</v>
      </c>
      <c r="AA27" s="1054">
        <v>0</v>
      </c>
      <c r="AB27" s="1054">
        <v>0</v>
      </c>
      <c r="AC27" s="1054">
        <v>0</v>
      </c>
      <c r="AD27" s="1054">
        <v>0</v>
      </c>
      <c r="AE27" s="997">
        <f t="shared" si="5"/>
        <v>0</v>
      </c>
    </row>
    <row r="28" spans="1:31">
      <c r="A28" s="1176"/>
      <c r="B28" s="1332"/>
      <c r="C28" s="1177"/>
      <c r="D28" s="1177"/>
      <c r="E28" s="1177"/>
      <c r="F28" s="1178"/>
      <c r="G28" s="1178"/>
      <c r="H28" s="1179"/>
      <c r="I28" s="1182"/>
      <c r="J28" s="1183"/>
      <c r="K28" s="1054">
        <v>0</v>
      </c>
      <c r="L28" s="1054">
        <v>0</v>
      </c>
      <c r="M28" s="1054">
        <v>0</v>
      </c>
      <c r="N28" s="1054">
        <v>0</v>
      </c>
      <c r="O28" s="1054">
        <v>0</v>
      </c>
      <c r="P28" s="1054">
        <v>0</v>
      </c>
      <c r="Q28" s="1054">
        <v>0</v>
      </c>
      <c r="R28" s="1054">
        <v>0</v>
      </c>
      <c r="S28" s="1054">
        <v>0</v>
      </c>
      <c r="T28" s="1054">
        <v>0</v>
      </c>
      <c r="U28" s="1054">
        <v>0</v>
      </c>
      <c r="V28" s="1054">
        <v>0</v>
      </c>
      <c r="W28" s="1054">
        <v>0</v>
      </c>
      <c r="X28" s="1054">
        <v>0</v>
      </c>
      <c r="Y28" s="1054">
        <v>0</v>
      </c>
      <c r="Z28" s="1054">
        <v>0</v>
      </c>
      <c r="AA28" s="1054">
        <v>0</v>
      </c>
      <c r="AB28" s="1054">
        <v>0</v>
      </c>
      <c r="AC28" s="1054">
        <v>0</v>
      </c>
      <c r="AD28" s="1054">
        <v>0</v>
      </c>
      <c r="AE28" s="997">
        <f t="shared" si="5"/>
        <v>0</v>
      </c>
    </row>
    <row r="29" spans="1:31">
      <c r="A29" s="1176"/>
      <c r="B29" s="1332"/>
      <c r="C29" s="1177"/>
      <c r="D29" s="1177"/>
      <c r="E29" s="1176"/>
      <c r="F29" s="1178"/>
      <c r="G29" s="1178"/>
      <c r="H29" s="1179"/>
      <c r="I29" s="1182"/>
      <c r="J29" s="1183"/>
      <c r="K29" s="1054">
        <v>0</v>
      </c>
      <c r="L29" s="1054">
        <v>0</v>
      </c>
      <c r="M29" s="1054">
        <v>0</v>
      </c>
      <c r="N29" s="1054">
        <v>0</v>
      </c>
      <c r="O29" s="1054">
        <v>0</v>
      </c>
      <c r="P29" s="1054">
        <v>0</v>
      </c>
      <c r="Q29" s="1054">
        <v>0</v>
      </c>
      <c r="R29" s="1054">
        <v>0</v>
      </c>
      <c r="S29" s="1054">
        <v>0</v>
      </c>
      <c r="T29" s="1054">
        <v>0</v>
      </c>
      <c r="U29" s="1054">
        <v>0</v>
      </c>
      <c r="V29" s="1054">
        <v>0</v>
      </c>
      <c r="W29" s="1054">
        <v>0</v>
      </c>
      <c r="X29" s="1054">
        <v>0</v>
      </c>
      <c r="Y29" s="1054">
        <v>0</v>
      </c>
      <c r="Z29" s="1054">
        <v>0</v>
      </c>
      <c r="AA29" s="1054">
        <v>0</v>
      </c>
      <c r="AB29" s="1054">
        <v>0</v>
      </c>
      <c r="AC29" s="1054">
        <v>0</v>
      </c>
      <c r="AD29" s="1054">
        <v>0</v>
      </c>
      <c r="AE29" s="997">
        <f t="shared" si="5"/>
        <v>0</v>
      </c>
    </row>
    <row r="30" spans="1:31">
      <c r="A30" s="1176"/>
      <c r="B30" s="1334"/>
      <c r="C30" s="1176"/>
      <c r="D30" s="1176"/>
      <c r="E30" s="1176"/>
      <c r="F30" s="1181"/>
      <c r="G30" s="1181"/>
      <c r="H30" s="1179"/>
      <c r="I30" s="1182"/>
      <c r="J30" s="1183"/>
      <c r="K30" s="1054">
        <v>0</v>
      </c>
      <c r="L30" s="1054">
        <v>0</v>
      </c>
      <c r="M30" s="1054">
        <v>0</v>
      </c>
      <c r="N30" s="1054">
        <v>0</v>
      </c>
      <c r="O30" s="1054">
        <v>0</v>
      </c>
      <c r="P30" s="1054">
        <v>0</v>
      </c>
      <c r="Q30" s="1054">
        <v>0</v>
      </c>
      <c r="R30" s="1054">
        <v>0</v>
      </c>
      <c r="S30" s="1054">
        <v>0</v>
      </c>
      <c r="T30" s="1054">
        <v>0</v>
      </c>
      <c r="U30" s="1054">
        <v>0</v>
      </c>
      <c r="V30" s="1054">
        <v>0</v>
      </c>
      <c r="W30" s="1054">
        <v>0</v>
      </c>
      <c r="X30" s="1054">
        <v>0</v>
      </c>
      <c r="Y30" s="1054">
        <v>0</v>
      </c>
      <c r="Z30" s="1054">
        <v>0</v>
      </c>
      <c r="AA30" s="1054">
        <v>0</v>
      </c>
      <c r="AB30" s="1054">
        <v>0</v>
      </c>
      <c r="AC30" s="1054">
        <v>0</v>
      </c>
      <c r="AD30" s="1054">
        <v>0</v>
      </c>
      <c r="AE30" s="997">
        <f t="shared" si="5"/>
        <v>0</v>
      </c>
    </row>
    <row r="31" spans="1:31">
      <c r="A31" s="1176"/>
      <c r="B31" s="1332"/>
      <c r="C31" s="1177"/>
      <c r="D31" s="1177"/>
      <c r="E31" s="1177"/>
      <c r="F31" s="1178"/>
      <c r="G31" s="1178"/>
      <c r="H31" s="1179"/>
      <c r="I31" s="1182"/>
      <c r="J31" s="1183"/>
      <c r="K31" s="1054">
        <v>0</v>
      </c>
      <c r="L31" s="1054">
        <v>0</v>
      </c>
      <c r="M31" s="1054">
        <v>0</v>
      </c>
      <c r="N31" s="1054">
        <v>0</v>
      </c>
      <c r="O31" s="1054">
        <v>0</v>
      </c>
      <c r="P31" s="1054">
        <v>0</v>
      </c>
      <c r="Q31" s="1054">
        <v>0</v>
      </c>
      <c r="R31" s="1054">
        <v>0</v>
      </c>
      <c r="S31" s="1054">
        <v>0</v>
      </c>
      <c r="T31" s="1054">
        <v>0</v>
      </c>
      <c r="U31" s="1054">
        <v>0</v>
      </c>
      <c r="V31" s="1054">
        <v>0</v>
      </c>
      <c r="W31" s="1054">
        <v>0</v>
      </c>
      <c r="X31" s="1054">
        <v>0</v>
      </c>
      <c r="Y31" s="1054">
        <v>0</v>
      </c>
      <c r="Z31" s="1054">
        <v>0</v>
      </c>
      <c r="AA31" s="1054">
        <v>0</v>
      </c>
      <c r="AB31" s="1054">
        <v>0</v>
      </c>
      <c r="AC31" s="1054">
        <v>0</v>
      </c>
      <c r="AD31" s="1054">
        <v>0</v>
      </c>
      <c r="AE31" s="997">
        <f t="shared" si="5"/>
        <v>0</v>
      </c>
    </row>
    <row r="32" spans="1:31">
      <c r="A32" s="1176"/>
      <c r="B32" s="1332"/>
      <c r="C32" s="1177"/>
      <c r="D32" s="1177"/>
      <c r="E32" s="1177"/>
      <c r="F32" s="1178"/>
      <c r="G32" s="1178"/>
      <c r="H32" s="1179"/>
      <c r="I32" s="1182"/>
      <c r="J32" s="1183"/>
      <c r="K32" s="1054">
        <v>0</v>
      </c>
      <c r="L32" s="1054">
        <v>0</v>
      </c>
      <c r="M32" s="1054">
        <v>0</v>
      </c>
      <c r="N32" s="1054">
        <v>0</v>
      </c>
      <c r="O32" s="1054">
        <v>0</v>
      </c>
      <c r="P32" s="1054">
        <v>0</v>
      </c>
      <c r="Q32" s="1054">
        <v>0</v>
      </c>
      <c r="R32" s="1054">
        <v>0</v>
      </c>
      <c r="S32" s="1054">
        <v>0</v>
      </c>
      <c r="T32" s="1054">
        <v>0</v>
      </c>
      <c r="U32" s="1054">
        <v>0</v>
      </c>
      <c r="V32" s="1054">
        <v>0</v>
      </c>
      <c r="W32" s="1054">
        <v>0</v>
      </c>
      <c r="X32" s="1054">
        <v>0</v>
      </c>
      <c r="Y32" s="1054">
        <v>0</v>
      </c>
      <c r="Z32" s="1054">
        <v>0</v>
      </c>
      <c r="AA32" s="1054">
        <v>0</v>
      </c>
      <c r="AB32" s="1054">
        <v>0</v>
      </c>
      <c r="AC32" s="1054">
        <v>0</v>
      </c>
      <c r="AD32" s="1054">
        <v>0</v>
      </c>
      <c r="AE32" s="997">
        <f t="shared" si="5"/>
        <v>0</v>
      </c>
    </row>
    <row r="33" spans="1:31">
      <c r="A33" s="1176"/>
      <c r="B33" s="1334"/>
      <c r="C33" s="1176"/>
      <c r="D33" s="1177"/>
      <c r="E33" s="1177"/>
      <c r="F33" s="1178"/>
      <c r="G33" s="1178"/>
      <c r="H33" s="1179"/>
      <c r="I33" s="1182"/>
      <c r="J33" s="1183"/>
      <c r="K33" s="1054">
        <v>0</v>
      </c>
      <c r="L33" s="1054">
        <v>0</v>
      </c>
      <c r="M33" s="1054">
        <v>0</v>
      </c>
      <c r="N33" s="1054">
        <v>0</v>
      </c>
      <c r="O33" s="1054">
        <v>0</v>
      </c>
      <c r="P33" s="1054">
        <v>0</v>
      </c>
      <c r="Q33" s="1054">
        <v>0</v>
      </c>
      <c r="R33" s="1054">
        <v>0</v>
      </c>
      <c r="S33" s="1054">
        <v>0</v>
      </c>
      <c r="T33" s="1054">
        <v>0</v>
      </c>
      <c r="U33" s="1054">
        <v>0</v>
      </c>
      <c r="V33" s="1054">
        <v>0</v>
      </c>
      <c r="W33" s="1054">
        <v>0</v>
      </c>
      <c r="X33" s="1054">
        <v>0</v>
      </c>
      <c r="Y33" s="1054">
        <v>0</v>
      </c>
      <c r="Z33" s="1054">
        <v>0</v>
      </c>
      <c r="AA33" s="1054">
        <v>0</v>
      </c>
      <c r="AB33" s="1054">
        <v>0</v>
      </c>
      <c r="AC33" s="1054">
        <v>0</v>
      </c>
      <c r="AD33" s="1054">
        <v>0</v>
      </c>
      <c r="AE33" s="997">
        <f t="shared" si="5"/>
        <v>0</v>
      </c>
    </row>
    <row r="34" spans="1:31">
      <c r="A34" s="1176"/>
      <c r="B34" s="1334"/>
      <c r="C34" s="1176"/>
      <c r="D34" s="1177"/>
      <c r="E34" s="1177"/>
      <c r="F34" s="1178"/>
      <c r="G34" s="1178"/>
      <c r="H34" s="1179"/>
      <c r="I34" s="1182"/>
      <c r="J34" s="1183"/>
      <c r="K34" s="1054">
        <v>0</v>
      </c>
      <c r="L34" s="1054">
        <v>0</v>
      </c>
      <c r="M34" s="1054">
        <v>0</v>
      </c>
      <c r="N34" s="1054">
        <v>0</v>
      </c>
      <c r="O34" s="1054">
        <v>0</v>
      </c>
      <c r="P34" s="1054">
        <v>0</v>
      </c>
      <c r="Q34" s="1054">
        <v>0</v>
      </c>
      <c r="R34" s="1054">
        <v>0</v>
      </c>
      <c r="S34" s="1054">
        <v>0</v>
      </c>
      <c r="T34" s="1054">
        <v>0</v>
      </c>
      <c r="U34" s="1054">
        <v>0</v>
      </c>
      <c r="V34" s="1054">
        <v>0</v>
      </c>
      <c r="W34" s="1054">
        <v>0</v>
      </c>
      <c r="X34" s="1054">
        <v>0</v>
      </c>
      <c r="Y34" s="1054">
        <v>0</v>
      </c>
      <c r="Z34" s="1054">
        <v>0</v>
      </c>
      <c r="AA34" s="1054">
        <v>0</v>
      </c>
      <c r="AB34" s="1054">
        <v>0</v>
      </c>
      <c r="AC34" s="1054">
        <v>0</v>
      </c>
      <c r="AD34" s="1054">
        <v>0</v>
      </c>
      <c r="AE34" s="997">
        <f t="shared" si="5"/>
        <v>0</v>
      </c>
    </row>
    <row r="35" spans="1:31">
      <c r="A35" s="1176"/>
      <c r="B35" s="1334"/>
      <c r="C35" s="1176"/>
      <c r="D35" s="1177"/>
      <c r="E35" s="1177"/>
      <c r="F35" s="1178"/>
      <c r="G35" s="1178"/>
      <c r="H35" s="1179"/>
      <c r="I35" s="1182"/>
      <c r="J35" s="1183"/>
      <c r="K35" s="1054">
        <v>0</v>
      </c>
      <c r="L35" s="1054">
        <v>0</v>
      </c>
      <c r="M35" s="1054">
        <v>0</v>
      </c>
      <c r="N35" s="1054">
        <v>0</v>
      </c>
      <c r="O35" s="1054">
        <v>0</v>
      </c>
      <c r="P35" s="1054">
        <v>0</v>
      </c>
      <c r="Q35" s="1054">
        <v>0</v>
      </c>
      <c r="R35" s="1054">
        <v>0</v>
      </c>
      <c r="S35" s="1054">
        <v>0</v>
      </c>
      <c r="T35" s="1054">
        <v>0</v>
      </c>
      <c r="U35" s="1054">
        <v>0</v>
      </c>
      <c r="V35" s="1054">
        <v>0</v>
      </c>
      <c r="W35" s="1054">
        <v>0</v>
      </c>
      <c r="X35" s="1054">
        <v>0</v>
      </c>
      <c r="Y35" s="1054">
        <v>0</v>
      </c>
      <c r="Z35" s="1054">
        <v>0</v>
      </c>
      <c r="AA35" s="1054">
        <v>0</v>
      </c>
      <c r="AB35" s="1054">
        <v>0</v>
      </c>
      <c r="AC35" s="1054">
        <v>0</v>
      </c>
      <c r="AD35" s="1054">
        <v>0</v>
      </c>
      <c r="AE35" s="997">
        <f t="shared" si="5"/>
        <v>0</v>
      </c>
    </row>
    <row r="36" spans="1:31">
      <c r="A36" s="1176"/>
      <c r="B36" s="1333"/>
      <c r="C36" s="1180"/>
      <c r="D36" s="1177"/>
      <c r="E36" s="1177"/>
      <c r="F36" s="1178"/>
      <c r="G36" s="1178"/>
      <c r="H36" s="1179"/>
      <c r="I36" s="1182"/>
      <c r="J36" s="1183"/>
      <c r="K36" s="1054">
        <v>0</v>
      </c>
      <c r="L36" s="1054">
        <v>0</v>
      </c>
      <c r="M36" s="1054">
        <v>0</v>
      </c>
      <c r="N36" s="1054">
        <v>0</v>
      </c>
      <c r="O36" s="1054">
        <v>0</v>
      </c>
      <c r="P36" s="1054">
        <v>0</v>
      </c>
      <c r="Q36" s="1054">
        <v>0</v>
      </c>
      <c r="R36" s="1054">
        <v>0</v>
      </c>
      <c r="S36" s="1054">
        <v>0</v>
      </c>
      <c r="T36" s="1054">
        <v>0</v>
      </c>
      <c r="U36" s="1054">
        <v>0</v>
      </c>
      <c r="V36" s="1054">
        <v>0</v>
      </c>
      <c r="W36" s="1054">
        <v>0</v>
      </c>
      <c r="X36" s="1054">
        <v>0</v>
      </c>
      <c r="Y36" s="1054">
        <v>0</v>
      </c>
      <c r="Z36" s="1054">
        <v>0</v>
      </c>
      <c r="AA36" s="1054">
        <v>0</v>
      </c>
      <c r="AB36" s="1054">
        <v>0</v>
      </c>
      <c r="AC36" s="1054">
        <v>0</v>
      </c>
      <c r="AD36" s="1054">
        <v>0</v>
      </c>
      <c r="AE36" s="997">
        <f t="shared" si="5"/>
        <v>0</v>
      </c>
    </row>
    <row r="37" spans="1:31">
      <c r="A37" s="1176"/>
      <c r="B37" s="1333"/>
      <c r="C37" s="1180"/>
      <c r="D37" s="1177"/>
      <c r="E37" s="1177"/>
      <c r="F37" s="1178"/>
      <c r="G37" s="1178"/>
      <c r="H37" s="1179"/>
      <c r="I37" s="1182"/>
      <c r="J37" s="1183"/>
      <c r="K37" s="1054">
        <v>0</v>
      </c>
      <c r="L37" s="1054">
        <v>0</v>
      </c>
      <c r="M37" s="1054">
        <v>0</v>
      </c>
      <c r="N37" s="1054">
        <v>0</v>
      </c>
      <c r="O37" s="1054">
        <v>0</v>
      </c>
      <c r="P37" s="1054">
        <v>0</v>
      </c>
      <c r="Q37" s="1054">
        <v>0</v>
      </c>
      <c r="R37" s="1054">
        <v>0</v>
      </c>
      <c r="S37" s="1054">
        <v>0</v>
      </c>
      <c r="T37" s="1054">
        <v>0</v>
      </c>
      <c r="U37" s="1054">
        <v>0</v>
      </c>
      <c r="V37" s="1054">
        <v>0</v>
      </c>
      <c r="W37" s="1054">
        <v>0</v>
      </c>
      <c r="X37" s="1054">
        <v>0</v>
      </c>
      <c r="Y37" s="1054">
        <v>0</v>
      </c>
      <c r="Z37" s="1054">
        <v>0</v>
      </c>
      <c r="AA37" s="1054">
        <v>0</v>
      </c>
      <c r="AB37" s="1054">
        <v>0</v>
      </c>
      <c r="AC37" s="1054">
        <v>0</v>
      </c>
      <c r="AD37" s="1054">
        <v>0</v>
      </c>
      <c r="AE37" s="997">
        <f t="shared" si="5"/>
        <v>0</v>
      </c>
    </row>
    <row r="38" spans="1:31">
      <c r="A38" s="1176"/>
      <c r="B38" s="1333"/>
      <c r="C38" s="1180"/>
      <c r="D38" s="1177"/>
      <c r="E38" s="1177"/>
      <c r="F38" s="1178"/>
      <c r="G38" s="1178"/>
      <c r="H38" s="1179"/>
      <c r="I38" s="1182"/>
      <c r="J38" s="1183"/>
      <c r="K38" s="1054">
        <v>0</v>
      </c>
      <c r="L38" s="1054">
        <v>0</v>
      </c>
      <c r="M38" s="1054">
        <v>0</v>
      </c>
      <c r="N38" s="1054">
        <v>0</v>
      </c>
      <c r="O38" s="1054">
        <v>0</v>
      </c>
      <c r="P38" s="1054">
        <v>0</v>
      </c>
      <c r="Q38" s="1054">
        <v>0</v>
      </c>
      <c r="R38" s="1054">
        <v>0</v>
      </c>
      <c r="S38" s="1054">
        <v>0</v>
      </c>
      <c r="T38" s="1054">
        <v>0</v>
      </c>
      <c r="U38" s="1054">
        <v>0</v>
      </c>
      <c r="V38" s="1054">
        <v>0</v>
      </c>
      <c r="W38" s="1054">
        <v>0</v>
      </c>
      <c r="X38" s="1054">
        <v>0</v>
      </c>
      <c r="Y38" s="1054">
        <v>0</v>
      </c>
      <c r="Z38" s="1054">
        <v>0</v>
      </c>
      <c r="AA38" s="1054">
        <v>0</v>
      </c>
      <c r="AB38" s="1054">
        <v>0</v>
      </c>
      <c r="AC38" s="1054">
        <v>0</v>
      </c>
      <c r="AD38" s="1054">
        <v>0</v>
      </c>
      <c r="AE38" s="997">
        <f>SUM(K38:AD38)</f>
        <v>0</v>
      </c>
    </row>
    <row r="39" spans="1:31">
      <c r="A39" s="1176"/>
      <c r="B39" s="1333"/>
      <c r="C39" s="1180"/>
      <c r="D39" s="1177"/>
      <c r="E39" s="1177"/>
      <c r="F39" s="1178"/>
      <c r="G39" s="1178"/>
      <c r="H39" s="1179"/>
      <c r="I39" s="1182"/>
      <c r="J39" s="1183"/>
      <c r="K39" s="1054">
        <v>0</v>
      </c>
      <c r="L39" s="1054">
        <v>0</v>
      </c>
      <c r="M39" s="1054">
        <v>0</v>
      </c>
      <c r="N39" s="1054">
        <v>0</v>
      </c>
      <c r="O39" s="1054">
        <v>0</v>
      </c>
      <c r="P39" s="1054">
        <v>0</v>
      </c>
      <c r="Q39" s="1054">
        <v>0</v>
      </c>
      <c r="R39" s="1054">
        <v>0</v>
      </c>
      <c r="S39" s="1054">
        <v>0</v>
      </c>
      <c r="T39" s="1054">
        <v>0</v>
      </c>
      <c r="U39" s="1054">
        <v>0</v>
      </c>
      <c r="V39" s="1054">
        <v>0</v>
      </c>
      <c r="W39" s="1054">
        <v>0</v>
      </c>
      <c r="X39" s="1054">
        <v>0</v>
      </c>
      <c r="Y39" s="1054">
        <v>0</v>
      </c>
      <c r="Z39" s="1054">
        <v>0</v>
      </c>
      <c r="AA39" s="1054">
        <v>0</v>
      </c>
      <c r="AB39" s="1054">
        <v>0</v>
      </c>
      <c r="AC39" s="1054">
        <v>0</v>
      </c>
      <c r="AD39" s="1054">
        <v>0</v>
      </c>
      <c r="AE39" s="997">
        <f t="shared" ref="AE39:AE58" si="6">SUM(K39:AD39)</f>
        <v>0</v>
      </c>
    </row>
    <row r="40" spans="1:31">
      <c r="A40" s="1176"/>
      <c r="B40" s="1333"/>
      <c r="C40" s="1180"/>
      <c r="D40" s="1177"/>
      <c r="E40" s="1177"/>
      <c r="F40" s="1178"/>
      <c r="G40" s="1178"/>
      <c r="H40" s="1179"/>
      <c r="I40" s="1182"/>
      <c r="J40" s="1183"/>
      <c r="K40" s="1054">
        <v>0</v>
      </c>
      <c r="L40" s="1054">
        <v>0</v>
      </c>
      <c r="M40" s="1054">
        <v>0</v>
      </c>
      <c r="N40" s="1054">
        <v>0</v>
      </c>
      <c r="O40" s="1054">
        <v>0</v>
      </c>
      <c r="P40" s="1054">
        <v>0</v>
      </c>
      <c r="Q40" s="1054">
        <v>0</v>
      </c>
      <c r="R40" s="1054">
        <v>0</v>
      </c>
      <c r="S40" s="1054">
        <v>0</v>
      </c>
      <c r="T40" s="1054">
        <v>0</v>
      </c>
      <c r="U40" s="1054">
        <v>0</v>
      </c>
      <c r="V40" s="1054">
        <v>0</v>
      </c>
      <c r="W40" s="1054">
        <v>0</v>
      </c>
      <c r="X40" s="1054">
        <v>0</v>
      </c>
      <c r="Y40" s="1054">
        <v>0</v>
      </c>
      <c r="Z40" s="1054">
        <v>0</v>
      </c>
      <c r="AA40" s="1054">
        <v>0</v>
      </c>
      <c r="AB40" s="1054">
        <v>0</v>
      </c>
      <c r="AC40" s="1054">
        <v>0</v>
      </c>
      <c r="AD40" s="1054">
        <v>0</v>
      </c>
      <c r="AE40" s="997">
        <f t="shared" si="6"/>
        <v>0</v>
      </c>
    </row>
    <row r="41" spans="1:31">
      <c r="A41" s="1176"/>
      <c r="B41" s="1333"/>
      <c r="C41" s="1180"/>
      <c r="D41" s="1177"/>
      <c r="E41" s="1177"/>
      <c r="F41" s="1178"/>
      <c r="G41" s="1178"/>
      <c r="H41" s="1179"/>
      <c r="I41" s="1182"/>
      <c r="J41" s="1183"/>
      <c r="K41" s="1054">
        <v>0</v>
      </c>
      <c r="L41" s="1054">
        <v>0</v>
      </c>
      <c r="M41" s="1054">
        <v>0</v>
      </c>
      <c r="N41" s="1054">
        <v>0</v>
      </c>
      <c r="O41" s="1054">
        <v>0</v>
      </c>
      <c r="P41" s="1054">
        <v>0</v>
      </c>
      <c r="Q41" s="1054">
        <v>0</v>
      </c>
      <c r="R41" s="1054">
        <v>0</v>
      </c>
      <c r="S41" s="1054">
        <v>0</v>
      </c>
      <c r="T41" s="1054">
        <v>0</v>
      </c>
      <c r="U41" s="1054">
        <v>0</v>
      </c>
      <c r="V41" s="1054">
        <v>0</v>
      </c>
      <c r="W41" s="1054">
        <v>0</v>
      </c>
      <c r="X41" s="1054">
        <v>0</v>
      </c>
      <c r="Y41" s="1054">
        <v>0</v>
      </c>
      <c r="Z41" s="1054">
        <v>0</v>
      </c>
      <c r="AA41" s="1054">
        <v>0</v>
      </c>
      <c r="AB41" s="1054">
        <v>0</v>
      </c>
      <c r="AC41" s="1054">
        <v>0</v>
      </c>
      <c r="AD41" s="1054">
        <v>0</v>
      </c>
      <c r="AE41" s="997">
        <f t="shared" si="6"/>
        <v>0</v>
      </c>
    </row>
    <row r="42" spans="1:31">
      <c r="A42" s="1176"/>
      <c r="B42" s="1333"/>
      <c r="C42" s="1180"/>
      <c r="D42" s="1177"/>
      <c r="E42" s="1177"/>
      <c r="F42" s="1178"/>
      <c r="G42" s="1178"/>
      <c r="H42" s="1179"/>
      <c r="I42" s="1182"/>
      <c r="J42" s="1183"/>
      <c r="K42" s="1054">
        <v>0</v>
      </c>
      <c r="L42" s="1054">
        <v>0</v>
      </c>
      <c r="M42" s="1054">
        <v>0</v>
      </c>
      <c r="N42" s="1054">
        <v>0</v>
      </c>
      <c r="O42" s="1054">
        <v>0</v>
      </c>
      <c r="P42" s="1054">
        <v>0</v>
      </c>
      <c r="Q42" s="1054">
        <v>0</v>
      </c>
      <c r="R42" s="1054">
        <v>0</v>
      </c>
      <c r="S42" s="1054">
        <v>0</v>
      </c>
      <c r="T42" s="1054">
        <v>0</v>
      </c>
      <c r="U42" s="1054">
        <v>0</v>
      </c>
      <c r="V42" s="1054">
        <v>0</v>
      </c>
      <c r="W42" s="1054">
        <v>0</v>
      </c>
      <c r="X42" s="1054">
        <v>0</v>
      </c>
      <c r="Y42" s="1054">
        <v>0</v>
      </c>
      <c r="Z42" s="1054">
        <v>0</v>
      </c>
      <c r="AA42" s="1054">
        <v>0</v>
      </c>
      <c r="AB42" s="1054">
        <v>0</v>
      </c>
      <c r="AC42" s="1054">
        <v>0</v>
      </c>
      <c r="AD42" s="1054">
        <v>0</v>
      </c>
      <c r="AE42" s="997">
        <f t="shared" si="6"/>
        <v>0</v>
      </c>
    </row>
    <row r="43" spans="1:31">
      <c r="A43" s="1176"/>
      <c r="B43" s="1333"/>
      <c r="C43" s="1180"/>
      <c r="D43" s="1177"/>
      <c r="E43" s="1177"/>
      <c r="F43" s="1178"/>
      <c r="G43" s="1178"/>
      <c r="H43" s="1179"/>
      <c r="I43" s="1182"/>
      <c r="J43" s="1183"/>
      <c r="K43" s="1054">
        <v>0</v>
      </c>
      <c r="L43" s="1054">
        <v>0</v>
      </c>
      <c r="M43" s="1054">
        <v>0</v>
      </c>
      <c r="N43" s="1054">
        <v>0</v>
      </c>
      <c r="O43" s="1054">
        <v>0</v>
      </c>
      <c r="P43" s="1054">
        <v>0</v>
      </c>
      <c r="Q43" s="1054">
        <v>0</v>
      </c>
      <c r="R43" s="1054">
        <v>0</v>
      </c>
      <c r="S43" s="1054">
        <v>0</v>
      </c>
      <c r="T43" s="1054">
        <v>0</v>
      </c>
      <c r="U43" s="1054">
        <v>0</v>
      </c>
      <c r="V43" s="1054">
        <v>0</v>
      </c>
      <c r="W43" s="1054">
        <v>0</v>
      </c>
      <c r="X43" s="1054">
        <v>0</v>
      </c>
      <c r="Y43" s="1054">
        <v>0</v>
      </c>
      <c r="Z43" s="1054">
        <v>0</v>
      </c>
      <c r="AA43" s="1054">
        <v>0</v>
      </c>
      <c r="AB43" s="1054">
        <v>0</v>
      </c>
      <c r="AC43" s="1054">
        <v>0</v>
      </c>
      <c r="AD43" s="1054">
        <v>0</v>
      </c>
      <c r="AE43" s="997">
        <f t="shared" si="6"/>
        <v>0</v>
      </c>
    </row>
    <row r="44" spans="1:31">
      <c r="A44" s="1176"/>
      <c r="B44" s="1333"/>
      <c r="C44" s="1180"/>
      <c r="D44" s="1177"/>
      <c r="E44" s="1177"/>
      <c r="F44" s="1178"/>
      <c r="G44" s="1178"/>
      <c r="H44" s="1179"/>
      <c r="I44" s="1182"/>
      <c r="J44" s="1183"/>
      <c r="K44" s="1054">
        <v>0</v>
      </c>
      <c r="L44" s="1054">
        <v>0</v>
      </c>
      <c r="M44" s="1054">
        <v>0</v>
      </c>
      <c r="N44" s="1054">
        <v>0</v>
      </c>
      <c r="O44" s="1054">
        <v>0</v>
      </c>
      <c r="P44" s="1054">
        <v>0</v>
      </c>
      <c r="Q44" s="1054">
        <v>0</v>
      </c>
      <c r="R44" s="1054">
        <v>0</v>
      </c>
      <c r="S44" s="1054">
        <v>0</v>
      </c>
      <c r="T44" s="1054">
        <v>0</v>
      </c>
      <c r="U44" s="1054">
        <v>0</v>
      </c>
      <c r="V44" s="1054">
        <v>0</v>
      </c>
      <c r="W44" s="1054">
        <v>0</v>
      </c>
      <c r="X44" s="1054">
        <v>0</v>
      </c>
      <c r="Y44" s="1054">
        <v>0</v>
      </c>
      <c r="Z44" s="1054">
        <v>0</v>
      </c>
      <c r="AA44" s="1054">
        <v>0</v>
      </c>
      <c r="AB44" s="1054">
        <v>0</v>
      </c>
      <c r="AC44" s="1054">
        <v>0</v>
      </c>
      <c r="AD44" s="1054">
        <v>0</v>
      </c>
      <c r="AE44" s="997">
        <f t="shared" si="6"/>
        <v>0</v>
      </c>
    </row>
    <row r="45" spans="1:31">
      <c r="A45" s="1176"/>
      <c r="B45" s="1333"/>
      <c r="C45" s="1180"/>
      <c r="D45" s="1177"/>
      <c r="E45" s="1177"/>
      <c r="F45" s="1178"/>
      <c r="G45" s="1178"/>
      <c r="H45" s="1179"/>
      <c r="I45" s="1182"/>
      <c r="J45" s="1183"/>
      <c r="K45" s="1054">
        <v>0</v>
      </c>
      <c r="L45" s="1054">
        <v>0</v>
      </c>
      <c r="M45" s="1054">
        <v>0</v>
      </c>
      <c r="N45" s="1054">
        <v>0</v>
      </c>
      <c r="O45" s="1054">
        <v>0</v>
      </c>
      <c r="P45" s="1054">
        <v>0</v>
      </c>
      <c r="Q45" s="1054">
        <v>0</v>
      </c>
      <c r="R45" s="1054">
        <v>0</v>
      </c>
      <c r="S45" s="1054">
        <v>0</v>
      </c>
      <c r="T45" s="1054">
        <v>0</v>
      </c>
      <c r="U45" s="1054">
        <v>0</v>
      </c>
      <c r="V45" s="1054">
        <v>0</v>
      </c>
      <c r="W45" s="1054">
        <v>0</v>
      </c>
      <c r="X45" s="1054">
        <v>0</v>
      </c>
      <c r="Y45" s="1054">
        <v>0</v>
      </c>
      <c r="Z45" s="1054">
        <v>0</v>
      </c>
      <c r="AA45" s="1054">
        <v>0</v>
      </c>
      <c r="AB45" s="1054">
        <v>0</v>
      </c>
      <c r="AC45" s="1054">
        <v>0</v>
      </c>
      <c r="AD45" s="1054">
        <v>0</v>
      </c>
      <c r="AE45" s="997">
        <f t="shared" si="6"/>
        <v>0</v>
      </c>
    </row>
    <row r="46" spans="1:31">
      <c r="A46" s="1176"/>
      <c r="B46" s="1333"/>
      <c r="C46" s="1180"/>
      <c r="D46" s="1177"/>
      <c r="E46" s="1177"/>
      <c r="F46" s="1178"/>
      <c r="G46" s="1178"/>
      <c r="H46" s="1179"/>
      <c r="I46" s="1182"/>
      <c r="J46" s="1183"/>
      <c r="K46" s="1054">
        <v>0</v>
      </c>
      <c r="L46" s="1054">
        <v>0</v>
      </c>
      <c r="M46" s="1054">
        <v>0</v>
      </c>
      <c r="N46" s="1054">
        <v>0</v>
      </c>
      <c r="O46" s="1054">
        <v>0</v>
      </c>
      <c r="P46" s="1054">
        <v>0</v>
      </c>
      <c r="Q46" s="1054">
        <v>0</v>
      </c>
      <c r="R46" s="1054">
        <v>0</v>
      </c>
      <c r="S46" s="1054">
        <v>0</v>
      </c>
      <c r="T46" s="1054">
        <v>0</v>
      </c>
      <c r="U46" s="1054">
        <v>0</v>
      </c>
      <c r="V46" s="1054">
        <v>0</v>
      </c>
      <c r="W46" s="1054">
        <v>0</v>
      </c>
      <c r="X46" s="1054">
        <v>0</v>
      </c>
      <c r="Y46" s="1054">
        <v>0</v>
      </c>
      <c r="Z46" s="1054">
        <v>0</v>
      </c>
      <c r="AA46" s="1054">
        <v>0</v>
      </c>
      <c r="AB46" s="1054">
        <v>0</v>
      </c>
      <c r="AC46" s="1054">
        <v>0</v>
      </c>
      <c r="AD46" s="1054">
        <v>0</v>
      </c>
      <c r="AE46" s="997">
        <f t="shared" si="6"/>
        <v>0</v>
      </c>
    </row>
    <row r="47" spans="1:31">
      <c r="A47" s="1176"/>
      <c r="B47" s="1333"/>
      <c r="C47" s="1180"/>
      <c r="D47" s="1177"/>
      <c r="E47" s="1177"/>
      <c r="F47" s="1178"/>
      <c r="G47" s="1178"/>
      <c r="H47" s="1179"/>
      <c r="I47" s="1182"/>
      <c r="J47" s="1183"/>
      <c r="K47" s="1054">
        <v>0</v>
      </c>
      <c r="L47" s="1054">
        <v>0</v>
      </c>
      <c r="M47" s="1054">
        <v>0</v>
      </c>
      <c r="N47" s="1054">
        <v>0</v>
      </c>
      <c r="O47" s="1054">
        <v>0</v>
      </c>
      <c r="P47" s="1054">
        <v>0</v>
      </c>
      <c r="Q47" s="1054">
        <v>0</v>
      </c>
      <c r="R47" s="1054">
        <v>0</v>
      </c>
      <c r="S47" s="1054">
        <v>0</v>
      </c>
      <c r="T47" s="1054">
        <v>0</v>
      </c>
      <c r="U47" s="1054">
        <v>0</v>
      </c>
      <c r="V47" s="1054">
        <v>0</v>
      </c>
      <c r="W47" s="1054">
        <v>0</v>
      </c>
      <c r="X47" s="1054">
        <v>0</v>
      </c>
      <c r="Y47" s="1054">
        <v>0</v>
      </c>
      <c r="Z47" s="1054">
        <v>0</v>
      </c>
      <c r="AA47" s="1054">
        <v>0</v>
      </c>
      <c r="AB47" s="1054">
        <v>0</v>
      </c>
      <c r="AC47" s="1054">
        <v>0</v>
      </c>
      <c r="AD47" s="1054">
        <v>0</v>
      </c>
      <c r="AE47" s="997">
        <f t="shared" si="6"/>
        <v>0</v>
      </c>
    </row>
    <row r="48" spans="1:31">
      <c r="A48" s="1176"/>
      <c r="B48" s="1333"/>
      <c r="C48" s="1180"/>
      <c r="D48" s="1177"/>
      <c r="E48" s="1177"/>
      <c r="F48" s="1178"/>
      <c r="G48" s="1178"/>
      <c r="H48" s="1179"/>
      <c r="I48" s="1182"/>
      <c r="J48" s="1183"/>
      <c r="K48" s="1054">
        <v>0</v>
      </c>
      <c r="L48" s="1054">
        <v>0</v>
      </c>
      <c r="M48" s="1054">
        <v>0</v>
      </c>
      <c r="N48" s="1054">
        <v>0</v>
      </c>
      <c r="O48" s="1054">
        <v>0</v>
      </c>
      <c r="P48" s="1054">
        <v>0</v>
      </c>
      <c r="Q48" s="1054">
        <v>0</v>
      </c>
      <c r="R48" s="1054">
        <v>0</v>
      </c>
      <c r="S48" s="1054">
        <v>0</v>
      </c>
      <c r="T48" s="1054">
        <v>0</v>
      </c>
      <c r="U48" s="1054">
        <v>0</v>
      </c>
      <c r="V48" s="1054">
        <v>0</v>
      </c>
      <c r="W48" s="1054">
        <v>0</v>
      </c>
      <c r="X48" s="1054">
        <v>0</v>
      </c>
      <c r="Y48" s="1054">
        <v>0</v>
      </c>
      <c r="Z48" s="1054">
        <v>0</v>
      </c>
      <c r="AA48" s="1054">
        <v>0</v>
      </c>
      <c r="AB48" s="1054">
        <v>0</v>
      </c>
      <c r="AC48" s="1054">
        <v>0</v>
      </c>
      <c r="AD48" s="1054">
        <v>0</v>
      </c>
      <c r="AE48" s="997">
        <f t="shared" si="6"/>
        <v>0</v>
      </c>
    </row>
    <row r="49" spans="1:31">
      <c r="A49" s="1176"/>
      <c r="B49" s="1333"/>
      <c r="C49" s="1180"/>
      <c r="D49" s="1177"/>
      <c r="E49" s="1177"/>
      <c r="F49" s="1178"/>
      <c r="G49" s="1178"/>
      <c r="H49" s="1179"/>
      <c r="I49" s="1182"/>
      <c r="J49" s="1183"/>
      <c r="K49" s="1054">
        <v>0</v>
      </c>
      <c r="L49" s="1054">
        <v>0</v>
      </c>
      <c r="M49" s="1054">
        <v>0</v>
      </c>
      <c r="N49" s="1054">
        <v>0</v>
      </c>
      <c r="O49" s="1054">
        <v>0</v>
      </c>
      <c r="P49" s="1054">
        <v>0</v>
      </c>
      <c r="Q49" s="1054">
        <v>0</v>
      </c>
      <c r="R49" s="1054">
        <v>0</v>
      </c>
      <c r="S49" s="1054">
        <v>0</v>
      </c>
      <c r="T49" s="1054">
        <v>0</v>
      </c>
      <c r="U49" s="1054">
        <v>0</v>
      </c>
      <c r="V49" s="1054">
        <v>0</v>
      </c>
      <c r="W49" s="1054">
        <v>0</v>
      </c>
      <c r="X49" s="1054">
        <v>0</v>
      </c>
      <c r="Y49" s="1054">
        <v>0</v>
      </c>
      <c r="Z49" s="1054">
        <v>0</v>
      </c>
      <c r="AA49" s="1054">
        <v>0</v>
      </c>
      <c r="AB49" s="1054">
        <v>0</v>
      </c>
      <c r="AC49" s="1054">
        <v>0</v>
      </c>
      <c r="AD49" s="1054">
        <v>0</v>
      </c>
      <c r="AE49" s="997">
        <f t="shared" si="6"/>
        <v>0</v>
      </c>
    </row>
    <row r="50" spans="1:31">
      <c r="A50" s="1176"/>
      <c r="B50" s="1333"/>
      <c r="C50" s="1180"/>
      <c r="D50" s="1177"/>
      <c r="E50" s="1177"/>
      <c r="F50" s="1178"/>
      <c r="G50" s="1178"/>
      <c r="H50" s="1179"/>
      <c r="I50" s="1182"/>
      <c r="J50" s="1183"/>
      <c r="K50" s="1054">
        <v>0</v>
      </c>
      <c r="L50" s="1054">
        <v>0</v>
      </c>
      <c r="M50" s="1054">
        <v>0</v>
      </c>
      <c r="N50" s="1054">
        <v>0</v>
      </c>
      <c r="O50" s="1054">
        <v>0</v>
      </c>
      <c r="P50" s="1054">
        <v>0</v>
      </c>
      <c r="Q50" s="1054">
        <v>0</v>
      </c>
      <c r="R50" s="1054">
        <v>0</v>
      </c>
      <c r="S50" s="1054">
        <v>0</v>
      </c>
      <c r="T50" s="1054">
        <v>0</v>
      </c>
      <c r="U50" s="1054">
        <v>0</v>
      </c>
      <c r="V50" s="1054">
        <v>0</v>
      </c>
      <c r="W50" s="1054">
        <v>0</v>
      </c>
      <c r="X50" s="1054">
        <v>0</v>
      </c>
      <c r="Y50" s="1054">
        <v>0</v>
      </c>
      <c r="Z50" s="1054">
        <v>0</v>
      </c>
      <c r="AA50" s="1054">
        <v>0</v>
      </c>
      <c r="AB50" s="1054">
        <v>0</v>
      </c>
      <c r="AC50" s="1054">
        <v>0</v>
      </c>
      <c r="AD50" s="1054">
        <v>0</v>
      </c>
      <c r="AE50" s="997">
        <f t="shared" si="6"/>
        <v>0</v>
      </c>
    </row>
    <row r="51" spans="1:31">
      <c r="A51" s="1176"/>
      <c r="B51" s="1333"/>
      <c r="C51" s="1180"/>
      <c r="D51" s="1177"/>
      <c r="E51" s="1177"/>
      <c r="F51" s="1178"/>
      <c r="G51" s="1178"/>
      <c r="H51" s="1179"/>
      <c r="I51" s="1182"/>
      <c r="J51" s="1183"/>
      <c r="K51" s="1054">
        <v>0</v>
      </c>
      <c r="L51" s="1054">
        <v>0</v>
      </c>
      <c r="M51" s="1054">
        <v>0</v>
      </c>
      <c r="N51" s="1054">
        <v>0</v>
      </c>
      <c r="O51" s="1054">
        <v>0</v>
      </c>
      <c r="P51" s="1054">
        <v>0</v>
      </c>
      <c r="Q51" s="1054">
        <v>0</v>
      </c>
      <c r="R51" s="1054">
        <v>0</v>
      </c>
      <c r="S51" s="1054">
        <v>0</v>
      </c>
      <c r="T51" s="1054">
        <v>0</v>
      </c>
      <c r="U51" s="1054">
        <v>0</v>
      </c>
      <c r="V51" s="1054">
        <v>0</v>
      </c>
      <c r="W51" s="1054">
        <v>0</v>
      </c>
      <c r="X51" s="1054">
        <v>0</v>
      </c>
      <c r="Y51" s="1054">
        <v>0</v>
      </c>
      <c r="Z51" s="1054">
        <v>0</v>
      </c>
      <c r="AA51" s="1054">
        <v>0</v>
      </c>
      <c r="AB51" s="1054">
        <v>0</v>
      </c>
      <c r="AC51" s="1054">
        <v>0</v>
      </c>
      <c r="AD51" s="1054">
        <v>0</v>
      </c>
      <c r="AE51" s="997">
        <f t="shared" si="6"/>
        <v>0</v>
      </c>
    </row>
    <row r="52" spans="1:31">
      <c r="A52" s="1176"/>
      <c r="B52" s="1333"/>
      <c r="C52" s="1180"/>
      <c r="D52" s="1177"/>
      <c r="E52" s="1177"/>
      <c r="F52" s="1178"/>
      <c r="G52" s="1178"/>
      <c r="H52" s="1179"/>
      <c r="I52" s="1182"/>
      <c r="J52" s="1183"/>
      <c r="K52" s="1054">
        <v>0</v>
      </c>
      <c r="L52" s="1054">
        <v>0</v>
      </c>
      <c r="M52" s="1054">
        <v>0</v>
      </c>
      <c r="N52" s="1054">
        <v>0</v>
      </c>
      <c r="O52" s="1054">
        <v>0</v>
      </c>
      <c r="P52" s="1054">
        <v>0</v>
      </c>
      <c r="Q52" s="1054">
        <v>0</v>
      </c>
      <c r="R52" s="1054">
        <v>0</v>
      </c>
      <c r="S52" s="1054">
        <v>0</v>
      </c>
      <c r="T52" s="1054">
        <v>0</v>
      </c>
      <c r="U52" s="1054">
        <v>0</v>
      </c>
      <c r="V52" s="1054">
        <v>0</v>
      </c>
      <c r="W52" s="1054">
        <v>0</v>
      </c>
      <c r="X52" s="1054">
        <v>0</v>
      </c>
      <c r="Y52" s="1054">
        <v>0</v>
      </c>
      <c r="Z52" s="1054">
        <v>0</v>
      </c>
      <c r="AA52" s="1054">
        <v>0</v>
      </c>
      <c r="AB52" s="1054">
        <v>0</v>
      </c>
      <c r="AC52" s="1054">
        <v>0</v>
      </c>
      <c r="AD52" s="1054">
        <v>0</v>
      </c>
      <c r="AE52" s="997">
        <f t="shared" si="6"/>
        <v>0</v>
      </c>
    </row>
    <row r="53" spans="1:31">
      <c r="A53" s="1176"/>
      <c r="B53" s="1333"/>
      <c r="C53" s="1180"/>
      <c r="D53" s="1177"/>
      <c r="E53" s="1177"/>
      <c r="F53" s="1178"/>
      <c r="G53" s="1178"/>
      <c r="H53" s="1179"/>
      <c r="I53" s="1182"/>
      <c r="J53" s="1183"/>
      <c r="K53" s="1054">
        <v>0</v>
      </c>
      <c r="L53" s="1054">
        <v>0</v>
      </c>
      <c r="M53" s="1054">
        <v>0</v>
      </c>
      <c r="N53" s="1054">
        <v>0</v>
      </c>
      <c r="O53" s="1054">
        <v>0</v>
      </c>
      <c r="P53" s="1054">
        <v>0</v>
      </c>
      <c r="Q53" s="1054">
        <v>0</v>
      </c>
      <c r="R53" s="1054">
        <v>0</v>
      </c>
      <c r="S53" s="1054">
        <v>0</v>
      </c>
      <c r="T53" s="1054">
        <v>0</v>
      </c>
      <c r="U53" s="1054">
        <v>0</v>
      </c>
      <c r="V53" s="1054">
        <v>0</v>
      </c>
      <c r="W53" s="1054">
        <v>0</v>
      </c>
      <c r="X53" s="1054">
        <v>0</v>
      </c>
      <c r="Y53" s="1054">
        <v>0</v>
      </c>
      <c r="Z53" s="1054">
        <v>0</v>
      </c>
      <c r="AA53" s="1054">
        <v>0</v>
      </c>
      <c r="AB53" s="1054">
        <v>0</v>
      </c>
      <c r="AC53" s="1054">
        <v>0</v>
      </c>
      <c r="AD53" s="1054">
        <v>0</v>
      </c>
      <c r="AE53" s="997">
        <f t="shared" si="6"/>
        <v>0</v>
      </c>
    </row>
    <row r="54" spans="1:31">
      <c r="A54" s="1176"/>
      <c r="B54" s="1333"/>
      <c r="C54" s="1180"/>
      <c r="D54" s="1177"/>
      <c r="E54" s="1177"/>
      <c r="F54" s="1178"/>
      <c r="G54" s="1178"/>
      <c r="H54" s="1179"/>
      <c r="I54" s="1182"/>
      <c r="J54" s="1183"/>
      <c r="K54" s="1054">
        <v>0</v>
      </c>
      <c r="L54" s="1054">
        <v>0</v>
      </c>
      <c r="M54" s="1054">
        <v>0</v>
      </c>
      <c r="N54" s="1054">
        <v>0</v>
      </c>
      <c r="O54" s="1054">
        <v>0</v>
      </c>
      <c r="P54" s="1054">
        <v>0</v>
      </c>
      <c r="Q54" s="1054">
        <v>0</v>
      </c>
      <c r="R54" s="1054">
        <v>0</v>
      </c>
      <c r="S54" s="1054">
        <v>0</v>
      </c>
      <c r="T54" s="1054">
        <v>0</v>
      </c>
      <c r="U54" s="1054">
        <v>0</v>
      </c>
      <c r="V54" s="1054">
        <v>0</v>
      </c>
      <c r="W54" s="1054">
        <v>0</v>
      </c>
      <c r="X54" s="1054">
        <v>0</v>
      </c>
      <c r="Y54" s="1054">
        <v>0</v>
      </c>
      <c r="Z54" s="1054">
        <v>0</v>
      </c>
      <c r="AA54" s="1054">
        <v>0</v>
      </c>
      <c r="AB54" s="1054">
        <v>0</v>
      </c>
      <c r="AC54" s="1054">
        <v>0</v>
      </c>
      <c r="AD54" s="1054">
        <v>0</v>
      </c>
      <c r="AE54" s="997">
        <f t="shared" si="6"/>
        <v>0</v>
      </c>
    </row>
    <row r="55" spans="1:31">
      <c r="A55" s="1176"/>
      <c r="B55" s="1333"/>
      <c r="C55" s="1180"/>
      <c r="D55" s="1177"/>
      <c r="E55" s="1177"/>
      <c r="F55" s="1178"/>
      <c r="G55" s="1178"/>
      <c r="H55" s="1179"/>
      <c r="I55" s="1182"/>
      <c r="J55" s="1183"/>
      <c r="K55" s="1054">
        <v>0</v>
      </c>
      <c r="L55" s="1054">
        <v>0</v>
      </c>
      <c r="M55" s="1054">
        <v>0</v>
      </c>
      <c r="N55" s="1054">
        <v>0</v>
      </c>
      <c r="O55" s="1054">
        <v>0</v>
      </c>
      <c r="P55" s="1054">
        <v>0</v>
      </c>
      <c r="Q55" s="1054">
        <v>0</v>
      </c>
      <c r="R55" s="1054">
        <v>0</v>
      </c>
      <c r="S55" s="1054">
        <v>0</v>
      </c>
      <c r="T55" s="1054">
        <v>0</v>
      </c>
      <c r="U55" s="1054">
        <v>0</v>
      </c>
      <c r="V55" s="1054">
        <v>0</v>
      </c>
      <c r="W55" s="1054">
        <v>0</v>
      </c>
      <c r="X55" s="1054">
        <v>0</v>
      </c>
      <c r="Y55" s="1054">
        <v>0</v>
      </c>
      <c r="Z55" s="1054">
        <v>0</v>
      </c>
      <c r="AA55" s="1054">
        <v>0</v>
      </c>
      <c r="AB55" s="1054">
        <v>0</v>
      </c>
      <c r="AC55" s="1054">
        <v>0</v>
      </c>
      <c r="AD55" s="1054">
        <v>0</v>
      </c>
      <c r="AE55" s="997">
        <f t="shared" si="6"/>
        <v>0</v>
      </c>
    </row>
    <row r="56" spans="1:31">
      <c r="A56" s="1176"/>
      <c r="B56" s="1333"/>
      <c r="C56" s="1180"/>
      <c r="D56" s="1177"/>
      <c r="E56" s="1177"/>
      <c r="F56" s="1178"/>
      <c r="G56" s="1178"/>
      <c r="H56" s="1179"/>
      <c r="I56" s="1182"/>
      <c r="J56" s="1183"/>
      <c r="K56" s="1054">
        <v>0</v>
      </c>
      <c r="L56" s="1054">
        <v>0</v>
      </c>
      <c r="M56" s="1054">
        <v>0</v>
      </c>
      <c r="N56" s="1054">
        <v>0</v>
      </c>
      <c r="O56" s="1054">
        <v>0</v>
      </c>
      <c r="P56" s="1054">
        <v>0</v>
      </c>
      <c r="Q56" s="1054">
        <v>0</v>
      </c>
      <c r="R56" s="1054">
        <v>0</v>
      </c>
      <c r="S56" s="1054">
        <v>0</v>
      </c>
      <c r="T56" s="1054">
        <v>0</v>
      </c>
      <c r="U56" s="1054">
        <v>0</v>
      </c>
      <c r="V56" s="1054">
        <v>0</v>
      </c>
      <c r="W56" s="1054">
        <v>0</v>
      </c>
      <c r="X56" s="1054">
        <v>0</v>
      </c>
      <c r="Y56" s="1054">
        <v>0</v>
      </c>
      <c r="Z56" s="1054">
        <v>0</v>
      </c>
      <c r="AA56" s="1054">
        <v>0</v>
      </c>
      <c r="AB56" s="1054">
        <v>0</v>
      </c>
      <c r="AC56" s="1054">
        <v>0</v>
      </c>
      <c r="AD56" s="1054">
        <v>0</v>
      </c>
      <c r="AE56" s="997">
        <f t="shared" si="6"/>
        <v>0</v>
      </c>
    </row>
    <row r="57" spans="1:31">
      <c r="A57" s="1176"/>
      <c r="B57" s="1333"/>
      <c r="C57" s="1180"/>
      <c r="D57" s="1177"/>
      <c r="E57" s="1177"/>
      <c r="F57" s="1178"/>
      <c r="G57" s="1178"/>
      <c r="H57" s="1179"/>
      <c r="I57" s="1182"/>
      <c r="J57" s="1183"/>
      <c r="K57" s="1054">
        <v>0</v>
      </c>
      <c r="L57" s="1054">
        <v>0</v>
      </c>
      <c r="M57" s="1054">
        <v>0</v>
      </c>
      <c r="N57" s="1054">
        <v>0</v>
      </c>
      <c r="O57" s="1054">
        <v>0</v>
      </c>
      <c r="P57" s="1054">
        <v>0</v>
      </c>
      <c r="Q57" s="1054">
        <v>0</v>
      </c>
      <c r="R57" s="1054">
        <v>0</v>
      </c>
      <c r="S57" s="1054">
        <v>0</v>
      </c>
      <c r="T57" s="1054">
        <v>0</v>
      </c>
      <c r="U57" s="1054">
        <v>0</v>
      </c>
      <c r="V57" s="1054">
        <v>0</v>
      </c>
      <c r="W57" s="1054">
        <v>0</v>
      </c>
      <c r="X57" s="1054">
        <v>0</v>
      </c>
      <c r="Y57" s="1054">
        <v>0</v>
      </c>
      <c r="Z57" s="1054">
        <v>0</v>
      </c>
      <c r="AA57" s="1054">
        <v>0</v>
      </c>
      <c r="AB57" s="1054">
        <v>0</v>
      </c>
      <c r="AC57" s="1054">
        <v>0</v>
      </c>
      <c r="AD57" s="1054">
        <v>0</v>
      </c>
      <c r="AE57" s="997">
        <f t="shared" si="6"/>
        <v>0</v>
      </c>
    </row>
    <row r="58" spans="1:31">
      <c r="A58" s="1176"/>
      <c r="B58" s="1333"/>
      <c r="C58" s="1180"/>
      <c r="D58" s="1177"/>
      <c r="E58" s="1177"/>
      <c r="F58" s="1178"/>
      <c r="G58" s="1178"/>
      <c r="H58" s="1179"/>
      <c r="I58" s="1182"/>
      <c r="J58" s="1183"/>
      <c r="K58" s="1054">
        <v>0</v>
      </c>
      <c r="L58" s="1054">
        <v>0</v>
      </c>
      <c r="M58" s="1054">
        <v>0</v>
      </c>
      <c r="N58" s="1054">
        <v>0</v>
      </c>
      <c r="O58" s="1054">
        <v>0</v>
      </c>
      <c r="P58" s="1054">
        <v>0</v>
      </c>
      <c r="Q58" s="1054">
        <v>0</v>
      </c>
      <c r="R58" s="1054">
        <v>0</v>
      </c>
      <c r="S58" s="1054">
        <v>0</v>
      </c>
      <c r="T58" s="1054">
        <v>0</v>
      </c>
      <c r="U58" s="1054">
        <v>0</v>
      </c>
      <c r="V58" s="1054">
        <v>0</v>
      </c>
      <c r="W58" s="1054">
        <v>0</v>
      </c>
      <c r="X58" s="1054">
        <v>0</v>
      </c>
      <c r="Y58" s="1054">
        <v>0</v>
      </c>
      <c r="Z58" s="1054">
        <v>0</v>
      </c>
      <c r="AA58" s="1054">
        <v>0</v>
      </c>
      <c r="AB58" s="1054">
        <v>0</v>
      </c>
      <c r="AC58" s="1054">
        <v>0</v>
      </c>
      <c r="AD58" s="1054">
        <v>0</v>
      </c>
      <c r="AE58" s="997">
        <f t="shared" si="6"/>
        <v>0</v>
      </c>
    </row>
    <row r="59" spans="1:31">
      <c r="A59" s="1176"/>
      <c r="B59" s="1333"/>
      <c r="C59" s="1180"/>
      <c r="D59" s="1177"/>
      <c r="E59" s="1177"/>
      <c r="F59" s="1178"/>
      <c r="G59" s="1178"/>
      <c r="H59" s="1179"/>
      <c r="I59" s="1182"/>
      <c r="J59" s="1183"/>
      <c r="K59" s="1054">
        <v>0</v>
      </c>
      <c r="L59" s="1054">
        <v>0</v>
      </c>
      <c r="M59" s="1054">
        <v>0</v>
      </c>
      <c r="N59" s="1054">
        <v>0</v>
      </c>
      <c r="O59" s="1054">
        <v>0</v>
      </c>
      <c r="P59" s="1054">
        <v>0</v>
      </c>
      <c r="Q59" s="1054">
        <v>0</v>
      </c>
      <c r="R59" s="1054">
        <v>0</v>
      </c>
      <c r="S59" s="1054">
        <v>0</v>
      </c>
      <c r="T59" s="1054">
        <v>0</v>
      </c>
      <c r="U59" s="1054">
        <v>0</v>
      </c>
      <c r="V59" s="1054">
        <v>0</v>
      </c>
      <c r="W59" s="1054">
        <v>0</v>
      </c>
      <c r="X59" s="1054">
        <v>0</v>
      </c>
      <c r="Y59" s="1054">
        <v>0</v>
      </c>
      <c r="Z59" s="1054">
        <v>0</v>
      </c>
      <c r="AA59" s="1054">
        <v>0</v>
      </c>
      <c r="AB59" s="1054">
        <v>0</v>
      </c>
      <c r="AC59" s="1054">
        <v>0</v>
      </c>
      <c r="AD59" s="1054">
        <v>0</v>
      </c>
      <c r="AE59" s="997">
        <f t="shared" si="5"/>
        <v>0</v>
      </c>
    </row>
    <row r="60" spans="1:31">
      <c r="A60" s="1176"/>
      <c r="B60" s="1333"/>
      <c r="C60" s="1180"/>
      <c r="D60" s="1177"/>
      <c r="E60" s="1177"/>
      <c r="F60" s="1178"/>
      <c r="G60" s="1178"/>
      <c r="H60" s="1179"/>
      <c r="I60" s="1182"/>
      <c r="J60" s="1183"/>
      <c r="K60" s="1054">
        <v>0</v>
      </c>
      <c r="L60" s="1054">
        <v>0</v>
      </c>
      <c r="M60" s="1054">
        <v>0</v>
      </c>
      <c r="N60" s="1054">
        <v>0</v>
      </c>
      <c r="O60" s="1054">
        <v>0</v>
      </c>
      <c r="P60" s="1054">
        <v>0</v>
      </c>
      <c r="Q60" s="1054">
        <v>0</v>
      </c>
      <c r="R60" s="1054">
        <v>0</v>
      </c>
      <c r="S60" s="1054">
        <v>0</v>
      </c>
      <c r="T60" s="1054">
        <v>0</v>
      </c>
      <c r="U60" s="1054">
        <v>0</v>
      </c>
      <c r="V60" s="1054">
        <v>0</v>
      </c>
      <c r="W60" s="1054">
        <v>0</v>
      </c>
      <c r="X60" s="1054">
        <v>0</v>
      </c>
      <c r="Y60" s="1054">
        <v>0</v>
      </c>
      <c r="Z60" s="1054">
        <v>0</v>
      </c>
      <c r="AA60" s="1054">
        <v>0</v>
      </c>
      <c r="AB60" s="1054">
        <v>0</v>
      </c>
      <c r="AC60" s="1054">
        <v>0</v>
      </c>
      <c r="AD60" s="1054">
        <v>0</v>
      </c>
      <c r="AE60" s="997">
        <f t="shared" si="5"/>
        <v>0</v>
      </c>
    </row>
    <row r="61" spans="1:31">
      <c r="A61" s="1176"/>
      <c r="B61" s="1333"/>
      <c r="C61" s="1180"/>
      <c r="D61" s="1177"/>
      <c r="E61" s="1177"/>
      <c r="F61" s="1178"/>
      <c r="G61" s="1178"/>
      <c r="H61" s="1179"/>
      <c r="I61" s="1182"/>
      <c r="J61" s="1183"/>
      <c r="K61" s="1054">
        <v>0</v>
      </c>
      <c r="L61" s="1054">
        <v>0</v>
      </c>
      <c r="M61" s="1054">
        <v>0</v>
      </c>
      <c r="N61" s="1054">
        <v>0</v>
      </c>
      <c r="O61" s="1054">
        <v>0</v>
      </c>
      <c r="P61" s="1054">
        <v>0</v>
      </c>
      <c r="Q61" s="1054">
        <v>0</v>
      </c>
      <c r="R61" s="1054">
        <v>0</v>
      </c>
      <c r="S61" s="1054">
        <v>0</v>
      </c>
      <c r="T61" s="1054">
        <v>0</v>
      </c>
      <c r="U61" s="1054">
        <v>0</v>
      </c>
      <c r="V61" s="1054">
        <v>0</v>
      </c>
      <c r="W61" s="1054">
        <v>0</v>
      </c>
      <c r="X61" s="1054">
        <v>0</v>
      </c>
      <c r="Y61" s="1054">
        <v>0</v>
      </c>
      <c r="Z61" s="1054">
        <v>0</v>
      </c>
      <c r="AA61" s="1054">
        <v>0</v>
      </c>
      <c r="AB61" s="1054">
        <v>0</v>
      </c>
      <c r="AC61" s="1054">
        <v>0</v>
      </c>
      <c r="AD61" s="1054">
        <v>0</v>
      </c>
      <c r="AE61" s="997">
        <f>SUM(K61:AD61)</f>
        <v>0</v>
      </c>
    </row>
    <row r="62" spans="1:31">
      <c r="A62" s="1176"/>
      <c r="B62" s="1333"/>
      <c r="C62" s="1180"/>
      <c r="D62" s="1177"/>
      <c r="E62" s="1177"/>
      <c r="F62" s="1178"/>
      <c r="G62" s="1178"/>
      <c r="H62" s="1179"/>
      <c r="I62" s="1182"/>
      <c r="J62" s="1183"/>
      <c r="K62" s="1054">
        <v>0</v>
      </c>
      <c r="L62" s="1054">
        <v>0</v>
      </c>
      <c r="M62" s="1054">
        <v>0</v>
      </c>
      <c r="N62" s="1054">
        <v>0</v>
      </c>
      <c r="O62" s="1054">
        <v>0</v>
      </c>
      <c r="P62" s="1054">
        <v>0</v>
      </c>
      <c r="Q62" s="1054">
        <v>0</v>
      </c>
      <c r="R62" s="1054">
        <v>0</v>
      </c>
      <c r="S62" s="1054">
        <v>0</v>
      </c>
      <c r="T62" s="1054">
        <v>0</v>
      </c>
      <c r="U62" s="1054">
        <v>0</v>
      </c>
      <c r="V62" s="1054">
        <v>0</v>
      </c>
      <c r="W62" s="1054">
        <v>0</v>
      </c>
      <c r="X62" s="1054">
        <v>0</v>
      </c>
      <c r="Y62" s="1054">
        <v>0</v>
      </c>
      <c r="Z62" s="1054">
        <v>0</v>
      </c>
      <c r="AA62" s="1054">
        <v>0</v>
      </c>
      <c r="AB62" s="1054">
        <v>0</v>
      </c>
      <c r="AC62" s="1054">
        <v>0</v>
      </c>
      <c r="AD62" s="1054">
        <v>0</v>
      </c>
      <c r="AE62" s="997">
        <f>SUM(K62:AD62)</f>
        <v>0</v>
      </c>
    </row>
    <row r="63" spans="1:31">
      <c r="A63" s="1176"/>
      <c r="B63" s="1333"/>
      <c r="C63" s="1180"/>
      <c r="D63" s="1177"/>
      <c r="E63" s="1177"/>
      <c r="F63" s="1178"/>
      <c r="G63" s="1178"/>
      <c r="H63" s="1179"/>
      <c r="I63" s="1182"/>
      <c r="J63" s="1183"/>
      <c r="K63" s="1054">
        <v>0</v>
      </c>
      <c r="L63" s="1054">
        <v>0</v>
      </c>
      <c r="M63" s="1054">
        <v>0</v>
      </c>
      <c r="N63" s="1054">
        <v>0</v>
      </c>
      <c r="O63" s="1054">
        <v>0</v>
      </c>
      <c r="P63" s="1054">
        <v>0</v>
      </c>
      <c r="Q63" s="1054">
        <v>0</v>
      </c>
      <c r="R63" s="1054">
        <v>0</v>
      </c>
      <c r="S63" s="1054">
        <v>0</v>
      </c>
      <c r="T63" s="1054">
        <v>0</v>
      </c>
      <c r="U63" s="1054">
        <v>0</v>
      </c>
      <c r="V63" s="1054">
        <v>0</v>
      </c>
      <c r="W63" s="1054">
        <v>0</v>
      </c>
      <c r="X63" s="1054">
        <v>0</v>
      </c>
      <c r="Y63" s="1054">
        <v>0</v>
      </c>
      <c r="Z63" s="1054">
        <v>0</v>
      </c>
      <c r="AA63" s="1054">
        <v>0</v>
      </c>
      <c r="AB63" s="1054">
        <v>0</v>
      </c>
      <c r="AC63" s="1054">
        <v>0</v>
      </c>
      <c r="AD63" s="1054">
        <v>0</v>
      </c>
      <c r="AE63" s="997">
        <f>SUM(K63:AD63)</f>
        <v>0</v>
      </c>
    </row>
    <row r="64" spans="1:31" ht="15" thickBot="1">
      <c r="A64" s="1199"/>
      <c r="B64" s="1200"/>
      <c r="C64" s="1200"/>
      <c r="D64" s="1201"/>
      <c r="E64" s="1201"/>
      <c r="F64" s="1202"/>
      <c r="G64" s="1202"/>
      <c r="H64" s="1203"/>
      <c r="I64" s="1204"/>
      <c r="J64" s="1205"/>
      <c r="K64" s="1206"/>
      <c r="L64" s="1206"/>
      <c r="M64" s="1206"/>
      <c r="N64" s="1206"/>
      <c r="O64" s="1206"/>
      <c r="P64" s="1206"/>
      <c r="Q64" s="1206"/>
      <c r="R64" s="1206"/>
      <c r="S64" s="1206"/>
      <c r="T64" s="1206"/>
      <c r="U64" s="1206"/>
      <c r="V64" s="1206"/>
      <c r="W64" s="1206"/>
      <c r="X64" s="1206"/>
      <c r="Y64" s="1206"/>
      <c r="Z64" s="1206"/>
      <c r="AA64" s="1206"/>
      <c r="AB64" s="1206"/>
      <c r="AC64" s="1206"/>
      <c r="AD64" s="1206"/>
      <c r="AE64" s="1207"/>
    </row>
    <row r="65" spans="1:31" s="983" customFormat="1" ht="29.25" customHeight="1">
      <c r="A65" s="1197" t="s">
        <v>1065</v>
      </c>
      <c r="B65" s="1187"/>
      <c r="C65" s="1187"/>
      <c r="D65" s="1187"/>
      <c r="E65" s="1187"/>
      <c r="F65" s="1218" t="s">
        <v>1098</v>
      </c>
      <c r="G65" s="1185"/>
      <c r="H65" s="1186"/>
      <c r="I65" s="1189"/>
      <c r="J65" s="1190"/>
      <c r="K65" s="1191"/>
      <c r="L65" s="1191"/>
      <c r="M65" s="1192"/>
      <c r="N65" s="1192"/>
      <c r="O65" s="1192"/>
      <c r="P65" s="1192"/>
      <c r="Q65" s="1198"/>
      <c r="R65" s="1198"/>
      <c r="S65" s="1198"/>
      <c r="T65" s="1198"/>
      <c r="U65" s="1198"/>
      <c r="V65" s="1198"/>
      <c r="W65" s="1198"/>
      <c r="X65" s="1198"/>
      <c r="Y65" s="1198"/>
      <c r="Z65" s="1198"/>
      <c r="AA65" s="1198"/>
      <c r="AB65" s="1198"/>
      <c r="AC65" s="1198"/>
      <c r="AD65" s="1198"/>
      <c r="AE65" s="1208"/>
    </row>
    <row r="66" spans="1:31">
      <c r="A66" s="1176"/>
      <c r="B66" s="1332"/>
      <c r="C66" s="1177"/>
      <c r="D66" s="1177"/>
      <c r="E66" s="1177"/>
      <c r="F66" s="1178"/>
      <c r="G66" s="1178"/>
      <c r="H66" s="1179"/>
      <c r="I66" s="1182"/>
      <c r="J66" s="1183"/>
      <c r="K66" s="1054">
        <v>0</v>
      </c>
      <c r="L66" s="1054">
        <v>0</v>
      </c>
      <c r="M66" s="1054">
        <v>0</v>
      </c>
      <c r="N66" s="1054">
        <v>0</v>
      </c>
      <c r="O66" s="1054">
        <v>0</v>
      </c>
      <c r="P66" s="1054">
        <v>0</v>
      </c>
      <c r="Q66" s="1054">
        <v>0</v>
      </c>
      <c r="R66" s="1054">
        <v>0</v>
      </c>
      <c r="S66" s="1054">
        <v>0</v>
      </c>
      <c r="T66" s="1054">
        <v>0</v>
      </c>
      <c r="U66" s="1054">
        <v>0</v>
      </c>
      <c r="V66" s="1054">
        <v>0</v>
      </c>
      <c r="W66" s="1054">
        <v>0</v>
      </c>
      <c r="X66" s="1054">
        <v>0</v>
      </c>
      <c r="Y66" s="1054">
        <v>0</v>
      </c>
      <c r="Z66" s="1054">
        <v>0</v>
      </c>
      <c r="AA66" s="1054">
        <v>0</v>
      </c>
      <c r="AB66" s="1054">
        <v>0</v>
      </c>
      <c r="AC66" s="1054">
        <v>0</v>
      </c>
      <c r="AD66" s="1054">
        <v>0</v>
      </c>
      <c r="AE66" s="997">
        <f t="shared" ref="AE66:AE116" si="7">SUM(K66:AD66)</f>
        <v>0</v>
      </c>
    </row>
    <row r="67" spans="1:31">
      <c r="A67" s="1176"/>
      <c r="B67" s="1332"/>
      <c r="C67" s="1177"/>
      <c r="D67" s="1177"/>
      <c r="E67" s="1177"/>
      <c r="F67" s="1178"/>
      <c r="G67" s="1178"/>
      <c r="H67" s="1179"/>
      <c r="I67" s="1182"/>
      <c r="J67" s="1183"/>
      <c r="K67" s="1054">
        <v>0</v>
      </c>
      <c r="L67" s="1054">
        <v>0</v>
      </c>
      <c r="M67" s="1054">
        <v>0</v>
      </c>
      <c r="N67" s="1054">
        <v>0</v>
      </c>
      <c r="O67" s="1054">
        <v>0</v>
      </c>
      <c r="P67" s="1054">
        <v>0</v>
      </c>
      <c r="Q67" s="1054">
        <v>0</v>
      </c>
      <c r="R67" s="1054">
        <v>0</v>
      </c>
      <c r="S67" s="1054">
        <v>0</v>
      </c>
      <c r="T67" s="1054">
        <v>0</v>
      </c>
      <c r="U67" s="1054">
        <v>0</v>
      </c>
      <c r="V67" s="1054">
        <v>0</v>
      </c>
      <c r="W67" s="1054">
        <v>0</v>
      </c>
      <c r="X67" s="1054">
        <v>0</v>
      </c>
      <c r="Y67" s="1054">
        <v>0</v>
      </c>
      <c r="Z67" s="1054">
        <v>0</v>
      </c>
      <c r="AA67" s="1054">
        <v>0</v>
      </c>
      <c r="AB67" s="1054">
        <v>0</v>
      </c>
      <c r="AC67" s="1054">
        <v>0</v>
      </c>
      <c r="AD67" s="1054">
        <v>0</v>
      </c>
      <c r="AE67" s="997">
        <f t="shared" si="7"/>
        <v>0</v>
      </c>
    </row>
    <row r="68" spans="1:31">
      <c r="A68" s="1176"/>
      <c r="B68" s="1332"/>
      <c r="C68" s="1177"/>
      <c r="D68" s="1177"/>
      <c r="E68" s="1177"/>
      <c r="F68" s="1178"/>
      <c r="G68" s="1178"/>
      <c r="H68" s="1179"/>
      <c r="I68" s="1182"/>
      <c r="J68" s="1183"/>
      <c r="K68" s="1054">
        <v>0</v>
      </c>
      <c r="L68" s="1054">
        <v>0</v>
      </c>
      <c r="M68" s="1054">
        <v>0</v>
      </c>
      <c r="N68" s="1054">
        <v>0</v>
      </c>
      <c r="O68" s="1054">
        <v>0</v>
      </c>
      <c r="P68" s="1054">
        <v>0</v>
      </c>
      <c r="Q68" s="1054">
        <v>0</v>
      </c>
      <c r="R68" s="1054">
        <v>0</v>
      </c>
      <c r="S68" s="1054">
        <v>0</v>
      </c>
      <c r="T68" s="1054">
        <v>0</v>
      </c>
      <c r="U68" s="1054">
        <v>0</v>
      </c>
      <c r="V68" s="1054">
        <v>0</v>
      </c>
      <c r="W68" s="1054">
        <v>0</v>
      </c>
      <c r="X68" s="1054">
        <v>0</v>
      </c>
      <c r="Y68" s="1054">
        <v>0</v>
      </c>
      <c r="Z68" s="1054">
        <v>0</v>
      </c>
      <c r="AA68" s="1054">
        <v>0</v>
      </c>
      <c r="AB68" s="1054">
        <v>0</v>
      </c>
      <c r="AC68" s="1054">
        <v>0</v>
      </c>
      <c r="AD68" s="1054">
        <v>0</v>
      </c>
      <c r="AE68" s="997">
        <f t="shared" si="7"/>
        <v>0</v>
      </c>
    </row>
    <row r="69" spans="1:31" s="998" customFormat="1" ht="13.8">
      <c r="A69" s="1176"/>
      <c r="B69" s="1332"/>
      <c r="C69" s="1177"/>
      <c r="D69" s="1177"/>
      <c r="E69" s="1177"/>
      <c r="F69" s="1178"/>
      <c r="G69" s="1178"/>
      <c r="H69" s="1179"/>
      <c r="I69" s="1182"/>
      <c r="J69" s="1183"/>
      <c r="K69" s="1054">
        <v>0</v>
      </c>
      <c r="L69" s="1054">
        <v>0</v>
      </c>
      <c r="M69" s="1054">
        <v>0</v>
      </c>
      <c r="N69" s="1054">
        <v>0</v>
      </c>
      <c r="O69" s="1054">
        <v>0</v>
      </c>
      <c r="P69" s="1054">
        <v>0</v>
      </c>
      <c r="Q69" s="1054">
        <v>0</v>
      </c>
      <c r="R69" s="1054">
        <v>0</v>
      </c>
      <c r="S69" s="1054">
        <v>0</v>
      </c>
      <c r="T69" s="1054">
        <v>0</v>
      </c>
      <c r="U69" s="1054">
        <v>0</v>
      </c>
      <c r="V69" s="1054">
        <v>0</v>
      </c>
      <c r="W69" s="1054">
        <v>0</v>
      </c>
      <c r="X69" s="1054">
        <v>0</v>
      </c>
      <c r="Y69" s="1054">
        <v>0</v>
      </c>
      <c r="Z69" s="1054">
        <v>0</v>
      </c>
      <c r="AA69" s="1054">
        <v>0</v>
      </c>
      <c r="AB69" s="1054">
        <v>0</v>
      </c>
      <c r="AC69" s="1054">
        <v>0</v>
      </c>
      <c r="AD69" s="1054">
        <v>0</v>
      </c>
      <c r="AE69" s="997">
        <f t="shared" si="7"/>
        <v>0</v>
      </c>
    </row>
    <row r="70" spans="1:31" s="998" customFormat="1" ht="13.8">
      <c r="A70" s="1176"/>
      <c r="B70" s="1332"/>
      <c r="C70" s="1177"/>
      <c r="D70" s="1177"/>
      <c r="E70" s="1177"/>
      <c r="F70" s="1178"/>
      <c r="G70" s="1178"/>
      <c r="H70" s="1179"/>
      <c r="I70" s="1182"/>
      <c r="J70" s="1183"/>
      <c r="K70" s="1054">
        <v>0</v>
      </c>
      <c r="L70" s="1054">
        <v>0</v>
      </c>
      <c r="M70" s="1054">
        <v>0</v>
      </c>
      <c r="N70" s="1054">
        <v>0</v>
      </c>
      <c r="O70" s="1054">
        <v>0</v>
      </c>
      <c r="P70" s="1054">
        <v>0</v>
      </c>
      <c r="Q70" s="1054">
        <v>0</v>
      </c>
      <c r="R70" s="1054">
        <v>0</v>
      </c>
      <c r="S70" s="1054">
        <v>0</v>
      </c>
      <c r="T70" s="1054">
        <v>0</v>
      </c>
      <c r="U70" s="1054">
        <v>0</v>
      </c>
      <c r="V70" s="1054">
        <v>0</v>
      </c>
      <c r="W70" s="1054">
        <v>0</v>
      </c>
      <c r="X70" s="1054">
        <v>0</v>
      </c>
      <c r="Y70" s="1054">
        <v>0</v>
      </c>
      <c r="Z70" s="1054">
        <v>0</v>
      </c>
      <c r="AA70" s="1054">
        <v>0</v>
      </c>
      <c r="AB70" s="1054">
        <v>0</v>
      </c>
      <c r="AC70" s="1054">
        <v>0</v>
      </c>
      <c r="AD70" s="1054">
        <v>0</v>
      </c>
      <c r="AE70" s="997">
        <f t="shared" si="7"/>
        <v>0</v>
      </c>
    </row>
    <row r="71" spans="1:31" s="998" customFormat="1" ht="13.8">
      <c r="A71" s="1176"/>
      <c r="B71" s="1332"/>
      <c r="C71" s="1177"/>
      <c r="D71" s="1177"/>
      <c r="E71" s="1177"/>
      <c r="F71" s="1178"/>
      <c r="G71" s="1178"/>
      <c r="H71" s="1179"/>
      <c r="I71" s="1182"/>
      <c r="J71" s="1183"/>
      <c r="K71" s="1054">
        <v>0</v>
      </c>
      <c r="L71" s="1054">
        <v>0</v>
      </c>
      <c r="M71" s="1054">
        <v>0</v>
      </c>
      <c r="N71" s="1054">
        <v>0</v>
      </c>
      <c r="O71" s="1054">
        <v>0</v>
      </c>
      <c r="P71" s="1054">
        <v>0</v>
      </c>
      <c r="Q71" s="1054">
        <v>0</v>
      </c>
      <c r="R71" s="1054">
        <v>0</v>
      </c>
      <c r="S71" s="1054">
        <v>0</v>
      </c>
      <c r="T71" s="1054">
        <v>0</v>
      </c>
      <c r="U71" s="1054">
        <v>0</v>
      </c>
      <c r="V71" s="1054">
        <v>0</v>
      </c>
      <c r="W71" s="1054">
        <v>0</v>
      </c>
      <c r="X71" s="1054">
        <v>0</v>
      </c>
      <c r="Y71" s="1054">
        <v>0</v>
      </c>
      <c r="Z71" s="1054">
        <v>0</v>
      </c>
      <c r="AA71" s="1054">
        <v>0</v>
      </c>
      <c r="AB71" s="1054">
        <v>0</v>
      </c>
      <c r="AC71" s="1054">
        <v>0</v>
      </c>
      <c r="AD71" s="1054">
        <v>0</v>
      </c>
      <c r="AE71" s="997">
        <f t="shared" si="7"/>
        <v>0</v>
      </c>
    </row>
    <row r="72" spans="1:31" s="998" customFormat="1" ht="13.8">
      <c r="A72" s="1176"/>
      <c r="B72" s="1332"/>
      <c r="C72" s="1177"/>
      <c r="D72" s="1177"/>
      <c r="E72" s="1177"/>
      <c r="F72" s="1178"/>
      <c r="G72" s="1178"/>
      <c r="H72" s="1179"/>
      <c r="I72" s="1182"/>
      <c r="J72" s="1183"/>
      <c r="K72" s="1054">
        <v>0</v>
      </c>
      <c r="L72" s="1054">
        <v>0</v>
      </c>
      <c r="M72" s="1054">
        <v>0</v>
      </c>
      <c r="N72" s="1054">
        <v>0</v>
      </c>
      <c r="O72" s="1054">
        <v>0</v>
      </c>
      <c r="P72" s="1054">
        <v>0</v>
      </c>
      <c r="Q72" s="1054">
        <v>0</v>
      </c>
      <c r="R72" s="1054">
        <v>0</v>
      </c>
      <c r="S72" s="1054">
        <v>0</v>
      </c>
      <c r="T72" s="1054">
        <v>0</v>
      </c>
      <c r="U72" s="1054">
        <v>0</v>
      </c>
      <c r="V72" s="1054">
        <v>0</v>
      </c>
      <c r="W72" s="1054">
        <v>0</v>
      </c>
      <c r="X72" s="1054">
        <v>0</v>
      </c>
      <c r="Y72" s="1054">
        <v>0</v>
      </c>
      <c r="Z72" s="1054">
        <v>0</v>
      </c>
      <c r="AA72" s="1054">
        <v>0</v>
      </c>
      <c r="AB72" s="1054">
        <v>0</v>
      </c>
      <c r="AC72" s="1054">
        <v>0</v>
      </c>
      <c r="AD72" s="1054">
        <v>0</v>
      </c>
      <c r="AE72" s="997">
        <f t="shared" si="7"/>
        <v>0</v>
      </c>
    </row>
    <row r="73" spans="1:31">
      <c r="A73" s="1176"/>
      <c r="B73" s="1332"/>
      <c r="C73" s="1177"/>
      <c r="D73" s="1177"/>
      <c r="E73" s="1177"/>
      <c r="F73" s="1178"/>
      <c r="G73" s="1178"/>
      <c r="H73" s="1179"/>
      <c r="I73" s="1182"/>
      <c r="J73" s="1183"/>
      <c r="K73" s="1054">
        <v>0</v>
      </c>
      <c r="L73" s="1054">
        <v>0</v>
      </c>
      <c r="M73" s="1054">
        <v>0</v>
      </c>
      <c r="N73" s="1054">
        <v>0</v>
      </c>
      <c r="O73" s="1054">
        <v>0</v>
      </c>
      <c r="P73" s="1054">
        <v>0</v>
      </c>
      <c r="Q73" s="1054">
        <v>0</v>
      </c>
      <c r="R73" s="1054">
        <v>0</v>
      </c>
      <c r="S73" s="1054">
        <v>0</v>
      </c>
      <c r="T73" s="1054">
        <v>0</v>
      </c>
      <c r="U73" s="1054">
        <v>0</v>
      </c>
      <c r="V73" s="1054">
        <v>0</v>
      </c>
      <c r="W73" s="1054">
        <v>0</v>
      </c>
      <c r="X73" s="1054">
        <v>0</v>
      </c>
      <c r="Y73" s="1054">
        <v>0</v>
      </c>
      <c r="Z73" s="1054">
        <v>0</v>
      </c>
      <c r="AA73" s="1054">
        <v>0</v>
      </c>
      <c r="AB73" s="1054">
        <v>0</v>
      </c>
      <c r="AC73" s="1054">
        <v>0</v>
      </c>
      <c r="AD73" s="1054">
        <v>0</v>
      </c>
      <c r="AE73" s="997">
        <f t="shared" si="7"/>
        <v>0</v>
      </c>
    </row>
    <row r="74" spans="1:31">
      <c r="A74" s="1176"/>
      <c r="B74" s="1332"/>
      <c r="C74" s="1177"/>
      <c r="D74" s="1177"/>
      <c r="E74" s="1177"/>
      <c r="F74" s="1178"/>
      <c r="G74" s="1178"/>
      <c r="H74" s="1179"/>
      <c r="I74" s="1182"/>
      <c r="J74" s="1183"/>
      <c r="K74" s="1054">
        <v>0</v>
      </c>
      <c r="L74" s="1054">
        <v>0</v>
      </c>
      <c r="M74" s="1054">
        <v>0</v>
      </c>
      <c r="N74" s="1054">
        <v>0</v>
      </c>
      <c r="O74" s="1054">
        <v>0</v>
      </c>
      <c r="P74" s="1054">
        <v>0</v>
      </c>
      <c r="Q74" s="1054">
        <v>0</v>
      </c>
      <c r="R74" s="1054">
        <v>0</v>
      </c>
      <c r="S74" s="1054">
        <v>0</v>
      </c>
      <c r="T74" s="1054">
        <v>0</v>
      </c>
      <c r="U74" s="1054">
        <v>0</v>
      </c>
      <c r="V74" s="1054">
        <v>0</v>
      </c>
      <c r="W74" s="1054">
        <v>0</v>
      </c>
      <c r="X74" s="1054">
        <v>0</v>
      </c>
      <c r="Y74" s="1054">
        <v>0</v>
      </c>
      <c r="Z74" s="1054">
        <v>0</v>
      </c>
      <c r="AA74" s="1054">
        <v>0</v>
      </c>
      <c r="AB74" s="1054">
        <v>0</v>
      </c>
      <c r="AC74" s="1054">
        <v>0</v>
      </c>
      <c r="AD74" s="1054">
        <v>0</v>
      </c>
      <c r="AE74" s="997">
        <f t="shared" si="7"/>
        <v>0</v>
      </c>
    </row>
    <row r="75" spans="1:31">
      <c r="A75" s="1176"/>
      <c r="B75" s="1332"/>
      <c r="C75" s="1177"/>
      <c r="D75" s="1177"/>
      <c r="E75" s="1177"/>
      <c r="F75" s="1178"/>
      <c r="G75" s="1178"/>
      <c r="H75" s="1179"/>
      <c r="I75" s="1182"/>
      <c r="J75" s="1183"/>
      <c r="K75" s="1054">
        <v>0</v>
      </c>
      <c r="L75" s="1054">
        <v>0</v>
      </c>
      <c r="M75" s="1054">
        <v>0</v>
      </c>
      <c r="N75" s="1054">
        <v>0</v>
      </c>
      <c r="O75" s="1054">
        <v>0</v>
      </c>
      <c r="P75" s="1054">
        <v>0</v>
      </c>
      <c r="Q75" s="1054">
        <v>0</v>
      </c>
      <c r="R75" s="1054">
        <v>0</v>
      </c>
      <c r="S75" s="1054">
        <v>0</v>
      </c>
      <c r="T75" s="1054">
        <v>0</v>
      </c>
      <c r="U75" s="1054">
        <v>0</v>
      </c>
      <c r="V75" s="1054">
        <v>0</v>
      </c>
      <c r="W75" s="1054">
        <v>0</v>
      </c>
      <c r="X75" s="1054">
        <v>0</v>
      </c>
      <c r="Y75" s="1054">
        <v>0</v>
      </c>
      <c r="Z75" s="1054">
        <v>0</v>
      </c>
      <c r="AA75" s="1054">
        <v>0</v>
      </c>
      <c r="AB75" s="1054">
        <v>0</v>
      </c>
      <c r="AC75" s="1054">
        <v>0</v>
      </c>
      <c r="AD75" s="1054">
        <v>0</v>
      </c>
      <c r="AE75" s="997">
        <f t="shared" si="7"/>
        <v>0</v>
      </c>
    </row>
    <row r="76" spans="1:31">
      <c r="A76" s="1176"/>
      <c r="B76" s="1332"/>
      <c r="C76" s="1177"/>
      <c r="D76" s="1177"/>
      <c r="E76" s="1177"/>
      <c r="F76" s="1178"/>
      <c r="G76" s="1178"/>
      <c r="H76" s="1179"/>
      <c r="I76" s="1182"/>
      <c r="J76" s="1183"/>
      <c r="K76" s="1054">
        <v>0</v>
      </c>
      <c r="L76" s="1054">
        <v>0</v>
      </c>
      <c r="M76" s="1054">
        <v>0</v>
      </c>
      <c r="N76" s="1054">
        <v>0</v>
      </c>
      <c r="O76" s="1054">
        <v>0</v>
      </c>
      <c r="P76" s="1054">
        <v>0</v>
      </c>
      <c r="Q76" s="1054">
        <v>0</v>
      </c>
      <c r="R76" s="1054">
        <v>0</v>
      </c>
      <c r="S76" s="1054">
        <v>0</v>
      </c>
      <c r="T76" s="1054">
        <v>0</v>
      </c>
      <c r="U76" s="1054">
        <v>0</v>
      </c>
      <c r="V76" s="1054">
        <v>0</v>
      </c>
      <c r="W76" s="1054">
        <v>0</v>
      </c>
      <c r="X76" s="1054">
        <v>0</v>
      </c>
      <c r="Y76" s="1054">
        <v>0</v>
      </c>
      <c r="Z76" s="1054">
        <v>0</v>
      </c>
      <c r="AA76" s="1054">
        <v>0</v>
      </c>
      <c r="AB76" s="1054">
        <v>0</v>
      </c>
      <c r="AC76" s="1054">
        <v>0</v>
      </c>
      <c r="AD76" s="1054">
        <v>0</v>
      </c>
      <c r="AE76" s="997">
        <f t="shared" si="7"/>
        <v>0</v>
      </c>
    </row>
    <row r="77" spans="1:31">
      <c r="A77" s="1176"/>
      <c r="B77" s="1332"/>
      <c r="C77" s="1177"/>
      <c r="D77" s="1177"/>
      <c r="E77" s="1177"/>
      <c r="F77" s="1178"/>
      <c r="G77" s="1178"/>
      <c r="H77" s="1179"/>
      <c r="I77" s="1182"/>
      <c r="J77" s="1183"/>
      <c r="K77" s="1054">
        <v>0</v>
      </c>
      <c r="L77" s="1054">
        <v>0</v>
      </c>
      <c r="M77" s="1054">
        <v>0</v>
      </c>
      <c r="N77" s="1054">
        <v>0</v>
      </c>
      <c r="O77" s="1054">
        <v>0</v>
      </c>
      <c r="P77" s="1054">
        <v>0</v>
      </c>
      <c r="Q77" s="1054">
        <v>0</v>
      </c>
      <c r="R77" s="1054">
        <v>0</v>
      </c>
      <c r="S77" s="1054">
        <v>0</v>
      </c>
      <c r="T77" s="1054">
        <v>0</v>
      </c>
      <c r="U77" s="1054">
        <v>0</v>
      </c>
      <c r="V77" s="1054">
        <v>0</v>
      </c>
      <c r="W77" s="1054">
        <v>0</v>
      </c>
      <c r="X77" s="1054">
        <v>0</v>
      </c>
      <c r="Y77" s="1054">
        <v>0</v>
      </c>
      <c r="Z77" s="1054">
        <v>0</v>
      </c>
      <c r="AA77" s="1054">
        <v>0</v>
      </c>
      <c r="AB77" s="1054">
        <v>0</v>
      </c>
      <c r="AC77" s="1054">
        <v>0</v>
      </c>
      <c r="AD77" s="1054">
        <v>0</v>
      </c>
      <c r="AE77" s="997">
        <f t="shared" si="7"/>
        <v>0</v>
      </c>
    </row>
    <row r="78" spans="1:31">
      <c r="A78" s="1176"/>
      <c r="B78" s="1332"/>
      <c r="C78" s="1177"/>
      <c r="D78" s="1177"/>
      <c r="E78" s="1177"/>
      <c r="F78" s="1178"/>
      <c r="G78" s="1178"/>
      <c r="H78" s="1179"/>
      <c r="I78" s="1182"/>
      <c r="J78" s="1183"/>
      <c r="K78" s="1054">
        <v>0</v>
      </c>
      <c r="L78" s="1054">
        <v>0</v>
      </c>
      <c r="M78" s="1054">
        <v>0</v>
      </c>
      <c r="N78" s="1054">
        <v>0</v>
      </c>
      <c r="O78" s="1054">
        <v>0</v>
      </c>
      <c r="P78" s="1054">
        <v>0</v>
      </c>
      <c r="Q78" s="1054">
        <v>0</v>
      </c>
      <c r="R78" s="1054">
        <v>0</v>
      </c>
      <c r="S78" s="1054">
        <v>0</v>
      </c>
      <c r="T78" s="1054">
        <v>0</v>
      </c>
      <c r="U78" s="1054">
        <v>0</v>
      </c>
      <c r="V78" s="1054">
        <v>0</v>
      </c>
      <c r="W78" s="1054">
        <v>0</v>
      </c>
      <c r="X78" s="1054">
        <v>0</v>
      </c>
      <c r="Y78" s="1054">
        <v>0</v>
      </c>
      <c r="Z78" s="1054">
        <v>0</v>
      </c>
      <c r="AA78" s="1054">
        <v>0</v>
      </c>
      <c r="AB78" s="1054">
        <v>0</v>
      </c>
      <c r="AC78" s="1054">
        <v>0</v>
      </c>
      <c r="AD78" s="1054">
        <v>0</v>
      </c>
      <c r="AE78" s="997">
        <f t="shared" si="7"/>
        <v>0</v>
      </c>
    </row>
    <row r="79" spans="1:31">
      <c r="A79" s="1176"/>
      <c r="B79" s="1332"/>
      <c r="C79" s="1177"/>
      <c r="D79" s="1177"/>
      <c r="E79" s="1177"/>
      <c r="F79" s="1178"/>
      <c r="G79" s="1178"/>
      <c r="H79" s="1179"/>
      <c r="I79" s="1182"/>
      <c r="J79" s="1183"/>
      <c r="K79" s="1054">
        <v>0</v>
      </c>
      <c r="L79" s="1054">
        <v>0</v>
      </c>
      <c r="M79" s="1054">
        <v>0</v>
      </c>
      <c r="N79" s="1054">
        <v>0</v>
      </c>
      <c r="O79" s="1054">
        <v>0</v>
      </c>
      <c r="P79" s="1054">
        <v>0</v>
      </c>
      <c r="Q79" s="1054">
        <v>0</v>
      </c>
      <c r="R79" s="1054">
        <v>0</v>
      </c>
      <c r="S79" s="1054">
        <v>0</v>
      </c>
      <c r="T79" s="1054">
        <v>0</v>
      </c>
      <c r="U79" s="1054">
        <v>0</v>
      </c>
      <c r="V79" s="1054">
        <v>0</v>
      </c>
      <c r="W79" s="1054">
        <v>0</v>
      </c>
      <c r="X79" s="1054">
        <v>0</v>
      </c>
      <c r="Y79" s="1054">
        <v>0</v>
      </c>
      <c r="Z79" s="1054">
        <v>0</v>
      </c>
      <c r="AA79" s="1054">
        <v>0</v>
      </c>
      <c r="AB79" s="1054">
        <v>0</v>
      </c>
      <c r="AC79" s="1054">
        <v>0</v>
      </c>
      <c r="AD79" s="1054">
        <v>0</v>
      </c>
      <c r="AE79" s="997">
        <f t="shared" si="7"/>
        <v>0</v>
      </c>
    </row>
    <row r="80" spans="1:31">
      <c r="A80" s="1176"/>
      <c r="B80" s="1332"/>
      <c r="C80" s="1177"/>
      <c r="D80" s="1177"/>
      <c r="E80" s="1177"/>
      <c r="F80" s="1178"/>
      <c r="G80" s="1178"/>
      <c r="H80" s="1179"/>
      <c r="I80" s="1182"/>
      <c r="J80" s="1183"/>
      <c r="K80" s="1054">
        <v>0</v>
      </c>
      <c r="L80" s="1054">
        <v>0</v>
      </c>
      <c r="M80" s="1054">
        <v>0</v>
      </c>
      <c r="N80" s="1054">
        <v>0</v>
      </c>
      <c r="O80" s="1054">
        <v>0</v>
      </c>
      <c r="P80" s="1054">
        <v>0</v>
      </c>
      <c r="Q80" s="1054">
        <v>0</v>
      </c>
      <c r="R80" s="1054">
        <v>0</v>
      </c>
      <c r="S80" s="1054">
        <v>0</v>
      </c>
      <c r="T80" s="1054">
        <v>0</v>
      </c>
      <c r="U80" s="1054">
        <v>0</v>
      </c>
      <c r="V80" s="1054">
        <v>0</v>
      </c>
      <c r="W80" s="1054">
        <v>0</v>
      </c>
      <c r="X80" s="1054">
        <v>0</v>
      </c>
      <c r="Y80" s="1054">
        <v>0</v>
      </c>
      <c r="Z80" s="1054">
        <v>0</v>
      </c>
      <c r="AA80" s="1054">
        <v>0</v>
      </c>
      <c r="AB80" s="1054">
        <v>0</v>
      </c>
      <c r="AC80" s="1054">
        <v>0</v>
      </c>
      <c r="AD80" s="1054">
        <v>0</v>
      </c>
      <c r="AE80" s="997">
        <f t="shared" si="7"/>
        <v>0</v>
      </c>
    </row>
    <row r="81" spans="1:31">
      <c r="A81" s="1176"/>
      <c r="B81" s="1332"/>
      <c r="C81" s="1177"/>
      <c r="D81" s="1177"/>
      <c r="E81" s="1177"/>
      <c r="F81" s="1178"/>
      <c r="G81" s="1178"/>
      <c r="H81" s="1179"/>
      <c r="I81" s="1182"/>
      <c r="J81" s="1183"/>
      <c r="K81" s="1054">
        <v>0</v>
      </c>
      <c r="L81" s="1054">
        <v>0</v>
      </c>
      <c r="M81" s="1054">
        <v>0</v>
      </c>
      <c r="N81" s="1054">
        <v>0</v>
      </c>
      <c r="O81" s="1054">
        <v>0</v>
      </c>
      <c r="P81" s="1054">
        <v>0</v>
      </c>
      <c r="Q81" s="1054">
        <v>0</v>
      </c>
      <c r="R81" s="1054">
        <v>0</v>
      </c>
      <c r="S81" s="1054">
        <v>0</v>
      </c>
      <c r="T81" s="1054">
        <v>0</v>
      </c>
      <c r="U81" s="1054">
        <v>0</v>
      </c>
      <c r="V81" s="1054">
        <v>0</v>
      </c>
      <c r="W81" s="1054">
        <v>0</v>
      </c>
      <c r="X81" s="1054">
        <v>0</v>
      </c>
      <c r="Y81" s="1054">
        <v>0</v>
      </c>
      <c r="Z81" s="1054">
        <v>0</v>
      </c>
      <c r="AA81" s="1054">
        <v>0</v>
      </c>
      <c r="AB81" s="1054">
        <v>0</v>
      </c>
      <c r="AC81" s="1054">
        <v>0</v>
      </c>
      <c r="AD81" s="1054">
        <v>0</v>
      </c>
      <c r="AE81" s="997">
        <f t="shared" si="7"/>
        <v>0</v>
      </c>
    </row>
    <row r="82" spans="1:31">
      <c r="A82" s="1176"/>
      <c r="B82" s="1332"/>
      <c r="C82" s="1177"/>
      <c r="D82" s="1177"/>
      <c r="E82" s="1177"/>
      <c r="F82" s="1178"/>
      <c r="G82" s="1178"/>
      <c r="H82" s="1179"/>
      <c r="I82" s="1182"/>
      <c r="J82" s="1183"/>
      <c r="K82" s="1054">
        <v>0</v>
      </c>
      <c r="L82" s="1054">
        <v>0</v>
      </c>
      <c r="M82" s="1054">
        <v>0</v>
      </c>
      <c r="N82" s="1054">
        <v>0</v>
      </c>
      <c r="O82" s="1054">
        <v>0</v>
      </c>
      <c r="P82" s="1054">
        <v>0</v>
      </c>
      <c r="Q82" s="1054">
        <v>0</v>
      </c>
      <c r="R82" s="1054">
        <v>0</v>
      </c>
      <c r="S82" s="1054">
        <v>0</v>
      </c>
      <c r="T82" s="1054">
        <v>0</v>
      </c>
      <c r="U82" s="1054">
        <v>0</v>
      </c>
      <c r="V82" s="1054">
        <v>0</v>
      </c>
      <c r="W82" s="1054">
        <v>0</v>
      </c>
      <c r="X82" s="1054">
        <v>0</v>
      </c>
      <c r="Y82" s="1054">
        <v>0</v>
      </c>
      <c r="Z82" s="1054">
        <v>0</v>
      </c>
      <c r="AA82" s="1054">
        <v>0</v>
      </c>
      <c r="AB82" s="1054">
        <v>0</v>
      </c>
      <c r="AC82" s="1054">
        <v>0</v>
      </c>
      <c r="AD82" s="1054">
        <v>0</v>
      </c>
      <c r="AE82" s="997">
        <f t="shared" si="7"/>
        <v>0</v>
      </c>
    </row>
    <row r="83" spans="1:31">
      <c r="A83" s="1176"/>
      <c r="B83" s="1332"/>
      <c r="C83" s="1177"/>
      <c r="D83" s="1177"/>
      <c r="E83" s="1177"/>
      <c r="F83" s="1178"/>
      <c r="G83" s="1178"/>
      <c r="H83" s="1179"/>
      <c r="I83" s="1182"/>
      <c r="J83" s="1183"/>
      <c r="K83" s="1054">
        <v>0</v>
      </c>
      <c r="L83" s="1054">
        <v>0</v>
      </c>
      <c r="M83" s="1054">
        <v>0</v>
      </c>
      <c r="N83" s="1054">
        <v>0</v>
      </c>
      <c r="O83" s="1054">
        <v>0</v>
      </c>
      <c r="P83" s="1054">
        <v>0</v>
      </c>
      <c r="Q83" s="1054">
        <v>0</v>
      </c>
      <c r="R83" s="1054">
        <v>0</v>
      </c>
      <c r="S83" s="1054">
        <v>0</v>
      </c>
      <c r="T83" s="1054">
        <v>0</v>
      </c>
      <c r="U83" s="1054">
        <v>0</v>
      </c>
      <c r="V83" s="1054">
        <v>0</v>
      </c>
      <c r="W83" s="1054">
        <v>0</v>
      </c>
      <c r="X83" s="1054">
        <v>0</v>
      </c>
      <c r="Y83" s="1054">
        <v>0</v>
      </c>
      <c r="Z83" s="1054">
        <v>0</v>
      </c>
      <c r="AA83" s="1054">
        <v>0</v>
      </c>
      <c r="AB83" s="1054">
        <v>0</v>
      </c>
      <c r="AC83" s="1054">
        <v>0</v>
      </c>
      <c r="AD83" s="1054">
        <v>0</v>
      </c>
      <c r="AE83" s="997">
        <f t="shared" si="7"/>
        <v>0</v>
      </c>
    </row>
    <row r="84" spans="1:31">
      <c r="A84" s="1176"/>
      <c r="B84" s="1332"/>
      <c r="C84" s="1177"/>
      <c r="D84" s="1177"/>
      <c r="E84" s="1177"/>
      <c r="F84" s="1178"/>
      <c r="G84" s="1178"/>
      <c r="H84" s="1179"/>
      <c r="I84" s="1182"/>
      <c r="J84" s="1183"/>
      <c r="K84" s="1054">
        <v>0</v>
      </c>
      <c r="L84" s="1054">
        <v>0</v>
      </c>
      <c r="M84" s="1054">
        <v>0</v>
      </c>
      <c r="N84" s="1054">
        <v>0</v>
      </c>
      <c r="O84" s="1054">
        <v>0</v>
      </c>
      <c r="P84" s="1054">
        <v>0</v>
      </c>
      <c r="Q84" s="1054">
        <v>0</v>
      </c>
      <c r="R84" s="1054">
        <v>0</v>
      </c>
      <c r="S84" s="1054">
        <v>0</v>
      </c>
      <c r="T84" s="1054">
        <v>0</v>
      </c>
      <c r="U84" s="1054">
        <v>0</v>
      </c>
      <c r="V84" s="1054">
        <v>0</v>
      </c>
      <c r="W84" s="1054">
        <v>0</v>
      </c>
      <c r="X84" s="1054">
        <v>0</v>
      </c>
      <c r="Y84" s="1054">
        <v>0</v>
      </c>
      <c r="Z84" s="1054">
        <v>0</v>
      </c>
      <c r="AA84" s="1054">
        <v>0</v>
      </c>
      <c r="AB84" s="1054">
        <v>0</v>
      </c>
      <c r="AC84" s="1054">
        <v>0</v>
      </c>
      <c r="AD84" s="1054">
        <v>0</v>
      </c>
      <c r="AE84" s="997">
        <f t="shared" si="7"/>
        <v>0</v>
      </c>
    </row>
    <row r="85" spans="1:31">
      <c r="A85" s="1176"/>
      <c r="B85" s="1332"/>
      <c r="C85" s="1177"/>
      <c r="D85" s="1177"/>
      <c r="E85" s="1177"/>
      <c r="F85" s="1178"/>
      <c r="G85" s="1178"/>
      <c r="H85" s="1179"/>
      <c r="I85" s="1182"/>
      <c r="J85" s="1183"/>
      <c r="K85" s="1054">
        <v>0</v>
      </c>
      <c r="L85" s="1054">
        <v>0</v>
      </c>
      <c r="M85" s="1054">
        <v>0</v>
      </c>
      <c r="N85" s="1054">
        <v>0</v>
      </c>
      <c r="O85" s="1054">
        <v>0</v>
      </c>
      <c r="P85" s="1054">
        <v>0</v>
      </c>
      <c r="Q85" s="1054">
        <v>0</v>
      </c>
      <c r="R85" s="1054">
        <v>0</v>
      </c>
      <c r="S85" s="1054">
        <v>0</v>
      </c>
      <c r="T85" s="1054">
        <v>0</v>
      </c>
      <c r="U85" s="1054">
        <v>0</v>
      </c>
      <c r="V85" s="1054">
        <v>0</v>
      </c>
      <c r="W85" s="1054">
        <v>0</v>
      </c>
      <c r="X85" s="1054">
        <v>0</v>
      </c>
      <c r="Y85" s="1054">
        <v>0</v>
      </c>
      <c r="Z85" s="1054">
        <v>0</v>
      </c>
      <c r="AA85" s="1054">
        <v>0</v>
      </c>
      <c r="AB85" s="1054">
        <v>0</v>
      </c>
      <c r="AC85" s="1054">
        <v>0</v>
      </c>
      <c r="AD85" s="1054">
        <v>0</v>
      </c>
      <c r="AE85" s="997">
        <f t="shared" si="7"/>
        <v>0</v>
      </c>
    </row>
    <row r="86" spans="1:31">
      <c r="A86" s="1176"/>
      <c r="B86" s="1332"/>
      <c r="C86" s="1177"/>
      <c r="D86" s="1177"/>
      <c r="E86" s="1177"/>
      <c r="F86" s="1178"/>
      <c r="G86" s="1178"/>
      <c r="H86" s="1179"/>
      <c r="I86" s="1182"/>
      <c r="J86" s="1183"/>
      <c r="K86" s="1054">
        <v>0</v>
      </c>
      <c r="L86" s="1054">
        <v>0</v>
      </c>
      <c r="M86" s="1054">
        <v>0</v>
      </c>
      <c r="N86" s="1054">
        <v>0</v>
      </c>
      <c r="O86" s="1054">
        <v>0</v>
      </c>
      <c r="P86" s="1054">
        <v>0</v>
      </c>
      <c r="Q86" s="1054">
        <v>0</v>
      </c>
      <c r="R86" s="1054">
        <v>0</v>
      </c>
      <c r="S86" s="1054">
        <v>0</v>
      </c>
      <c r="T86" s="1054">
        <v>0</v>
      </c>
      <c r="U86" s="1054">
        <v>0</v>
      </c>
      <c r="V86" s="1054">
        <v>0</v>
      </c>
      <c r="W86" s="1054">
        <v>0</v>
      </c>
      <c r="X86" s="1054">
        <v>0</v>
      </c>
      <c r="Y86" s="1054">
        <v>0</v>
      </c>
      <c r="Z86" s="1054">
        <v>0</v>
      </c>
      <c r="AA86" s="1054">
        <v>0</v>
      </c>
      <c r="AB86" s="1054">
        <v>0</v>
      </c>
      <c r="AC86" s="1054">
        <v>0</v>
      </c>
      <c r="AD86" s="1054">
        <v>0</v>
      </c>
      <c r="AE86" s="997">
        <f t="shared" si="7"/>
        <v>0</v>
      </c>
    </row>
    <row r="87" spans="1:31">
      <c r="A87" s="1176"/>
      <c r="B87" s="1332"/>
      <c r="C87" s="1177"/>
      <c r="D87" s="1177"/>
      <c r="E87" s="1177"/>
      <c r="F87" s="1178"/>
      <c r="G87" s="1178"/>
      <c r="H87" s="1179"/>
      <c r="I87" s="1182"/>
      <c r="J87" s="1183"/>
      <c r="K87" s="1054">
        <v>0</v>
      </c>
      <c r="L87" s="1054">
        <v>0</v>
      </c>
      <c r="M87" s="1054">
        <v>0</v>
      </c>
      <c r="N87" s="1054">
        <v>0</v>
      </c>
      <c r="O87" s="1054">
        <v>0</v>
      </c>
      <c r="P87" s="1054">
        <v>0</v>
      </c>
      <c r="Q87" s="1054">
        <v>0</v>
      </c>
      <c r="R87" s="1054">
        <v>0</v>
      </c>
      <c r="S87" s="1054">
        <v>0</v>
      </c>
      <c r="T87" s="1054">
        <v>0</v>
      </c>
      <c r="U87" s="1054">
        <v>0</v>
      </c>
      <c r="V87" s="1054">
        <v>0</v>
      </c>
      <c r="W87" s="1054">
        <v>0</v>
      </c>
      <c r="X87" s="1054">
        <v>0</v>
      </c>
      <c r="Y87" s="1054">
        <v>0</v>
      </c>
      <c r="Z87" s="1054">
        <v>0</v>
      </c>
      <c r="AA87" s="1054">
        <v>0</v>
      </c>
      <c r="AB87" s="1054">
        <v>0</v>
      </c>
      <c r="AC87" s="1054">
        <v>0</v>
      </c>
      <c r="AD87" s="1054">
        <v>0</v>
      </c>
      <c r="AE87" s="997">
        <f t="shared" ref="AE87:AE106" si="8">SUM(K87:AD87)</f>
        <v>0</v>
      </c>
    </row>
    <row r="88" spans="1:31">
      <c r="A88" s="1176"/>
      <c r="B88" s="1332"/>
      <c r="C88" s="1177"/>
      <c r="D88" s="1177"/>
      <c r="E88" s="1177"/>
      <c r="F88" s="1178"/>
      <c r="G88" s="1178"/>
      <c r="H88" s="1179"/>
      <c r="I88" s="1182"/>
      <c r="J88" s="1183"/>
      <c r="K88" s="1054">
        <v>0</v>
      </c>
      <c r="L88" s="1054">
        <v>0</v>
      </c>
      <c r="M88" s="1054">
        <v>0</v>
      </c>
      <c r="N88" s="1054">
        <v>0</v>
      </c>
      <c r="O88" s="1054">
        <v>0</v>
      </c>
      <c r="P88" s="1054">
        <v>0</v>
      </c>
      <c r="Q88" s="1054">
        <v>0</v>
      </c>
      <c r="R88" s="1054">
        <v>0</v>
      </c>
      <c r="S88" s="1054">
        <v>0</v>
      </c>
      <c r="T88" s="1054">
        <v>0</v>
      </c>
      <c r="U88" s="1054">
        <v>0</v>
      </c>
      <c r="V88" s="1054">
        <v>0</v>
      </c>
      <c r="W88" s="1054">
        <v>0</v>
      </c>
      <c r="X88" s="1054">
        <v>0</v>
      </c>
      <c r="Y88" s="1054">
        <v>0</v>
      </c>
      <c r="Z88" s="1054">
        <v>0</v>
      </c>
      <c r="AA88" s="1054">
        <v>0</v>
      </c>
      <c r="AB88" s="1054">
        <v>0</v>
      </c>
      <c r="AC88" s="1054">
        <v>0</v>
      </c>
      <c r="AD88" s="1054">
        <v>0</v>
      </c>
      <c r="AE88" s="997">
        <f t="shared" si="8"/>
        <v>0</v>
      </c>
    </row>
    <row r="89" spans="1:31">
      <c r="A89" s="1176"/>
      <c r="B89" s="1332"/>
      <c r="C89" s="1177"/>
      <c r="D89" s="1177"/>
      <c r="E89" s="1177"/>
      <c r="F89" s="1178"/>
      <c r="G89" s="1178"/>
      <c r="H89" s="1179"/>
      <c r="I89" s="1182"/>
      <c r="J89" s="1183"/>
      <c r="K89" s="1054">
        <v>0</v>
      </c>
      <c r="L89" s="1054">
        <v>0</v>
      </c>
      <c r="M89" s="1054">
        <v>0</v>
      </c>
      <c r="N89" s="1054">
        <v>0</v>
      </c>
      <c r="O89" s="1054">
        <v>0</v>
      </c>
      <c r="P89" s="1054">
        <v>0</v>
      </c>
      <c r="Q89" s="1054">
        <v>0</v>
      </c>
      <c r="R89" s="1054">
        <v>0</v>
      </c>
      <c r="S89" s="1054">
        <v>0</v>
      </c>
      <c r="T89" s="1054">
        <v>0</v>
      </c>
      <c r="U89" s="1054">
        <v>0</v>
      </c>
      <c r="V89" s="1054">
        <v>0</v>
      </c>
      <c r="W89" s="1054">
        <v>0</v>
      </c>
      <c r="X89" s="1054">
        <v>0</v>
      </c>
      <c r="Y89" s="1054">
        <v>0</v>
      </c>
      <c r="Z89" s="1054">
        <v>0</v>
      </c>
      <c r="AA89" s="1054">
        <v>0</v>
      </c>
      <c r="AB89" s="1054">
        <v>0</v>
      </c>
      <c r="AC89" s="1054">
        <v>0</v>
      </c>
      <c r="AD89" s="1054">
        <v>0</v>
      </c>
      <c r="AE89" s="997">
        <f t="shared" si="8"/>
        <v>0</v>
      </c>
    </row>
    <row r="90" spans="1:31">
      <c r="A90" s="1176"/>
      <c r="B90" s="1332"/>
      <c r="C90" s="1177"/>
      <c r="D90" s="1177"/>
      <c r="E90" s="1177"/>
      <c r="F90" s="1178"/>
      <c r="G90" s="1178"/>
      <c r="H90" s="1179"/>
      <c r="I90" s="1182"/>
      <c r="J90" s="1183"/>
      <c r="K90" s="1054">
        <v>0</v>
      </c>
      <c r="L90" s="1054">
        <v>0</v>
      </c>
      <c r="M90" s="1054">
        <v>0</v>
      </c>
      <c r="N90" s="1054">
        <v>0</v>
      </c>
      <c r="O90" s="1054">
        <v>0</v>
      </c>
      <c r="P90" s="1054">
        <v>0</v>
      </c>
      <c r="Q90" s="1054">
        <v>0</v>
      </c>
      <c r="R90" s="1054">
        <v>0</v>
      </c>
      <c r="S90" s="1054">
        <v>0</v>
      </c>
      <c r="T90" s="1054">
        <v>0</v>
      </c>
      <c r="U90" s="1054">
        <v>0</v>
      </c>
      <c r="V90" s="1054">
        <v>0</v>
      </c>
      <c r="W90" s="1054">
        <v>0</v>
      </c>
      <c r="X90" s="1054">
        <v>0</v>
      </c>
      <c r="Y90" s="1054">
        <v>0</v>
      </c>
      <c r="Z90" s="1054">
        <v>0</v>
      </c>
      <c r="AA90" s="1054">
        <v>0</v>
      </c>
      <c r="AB90" s="1054">
        <v>0</v>
      </c>
      <c r="AC90" s="1054">
        <v>0</v>
      </c>
      <c r="AD90" s="1054">
        <v>0</v>
      </c>
      <c r="AE90" s="997">
        <f t="shared" si="8"/>
        <v>0</v>
      </c>
    </row>
    <row r="91" spans="1:31">
      <c r="A91" s="1176"/>
      <c r="B91" s="1332"/>
      <c r="C91" s="1177"/>
      <c r="D91" s="1177"/>
      <c r="E91" s="1177"/>
      <c r="F91" s="1178"/>
      <c r="G91" s="1178"/>
      <c r="H91" s="1179"/>
      <c r="I91" s="1182"/>
      <c r="J91" s="1183"/>
      <c r="K91" s="1054">
        <v>0</v>
      </c>
      <c r="L91" s="1054">
        <v>0</v>
      </c>
      <c r="M91" s="1054">
        <v>0</v>
      </c>
      <c r="N91" s="1054">
        <v>0</v>
      </c>
      <c r="O91" s="1054">
        <v>0</v>
      </c>
      <c r="P91" s="1054">
        <v>0</v>
      </c>
      <c r="Q91" s="1054">
        <v>0</v>
      </c>
      <c r="R91" s="1054">
        <v>0</v>
      </c>
      <c r="S91" s="1054">
        <v>0</v>
      </c>
      <c r="T91" s="1054">
        <v>0</v>
      </c>
      <c r="U91" s="1054">
        <v>0</v>
      </c>
      <c r="V91" s="1054">
        <v>0</v>
      </c>
      <c r="W91" s="1054">
        <v>0</v>
      </c>
      <c r="X91" s="1054">
        <v>0</v>
      </c>
      <c r="Y91" s="1054">
        <v>0</v>
      </c>
      <c r="Z91" s="1054">
        <v>0</v>
      </c>
      <c r="AA91" s="1054">
        <v>0</v>
      </c>
      <c r="AB91" s="1054">
        <v>0</v>
      </c>
      <c r="AC91" s="1054">
        <v>0</v>
      </c>
      <c r="AD91" s="1054">
        <v>0</v>
      </c>
      <c r="AE91" s="997">
        <f t="shared" si="8"/>
        <v>0</v>
      </c>
    </row>
    <row r="92" spans="1:31">
      <c r="A92" s="1176"/>
      <c r="B92" s="1332"/>
      <c r="C92" s="1177"/>
      <c r="D92" s="1177"/>
      <c r="E92" s="1177"/>
      <c r="F92" s="1178"/>
      <c r="G92" s="1178"/>
      <c r="H92" s="1179"/>
      <c r="I92" s="1182"/>
      <c r="J92" s="1183"/>
      <c r="K92" s="1054">
        <v>0</v>
      </c>
      <c r="L92" s="1054">
        <v>0</v>
      </c>
      <c r="M92" s="1054">
        <v>0</v>
      </c>
      <c r="N92" s="1054">
        <v>0</v>
      </c>
      <c r="O92" s="1054">
        <v>0</v>
      </c>
      <c r="P92" s="1054">
        <v>0</v>
      </c>
      <c r="Q92" s="1054">
        <v>0</v>
      </c>
      <c r="R92" s="1054">
        <v>0</v>
      </c>
      <c r="S92" s="1054">
        <v>0</v>
      </c>
      <c r="T92" s="1054">
        <v>0</v>
      </c>
      <c r="U92" s="1054">
        <v>0</v>
      </c>
      <c r="V92" s="1054">
        <v>0</v>
      </c>
      <c r="W92" s="1054">
        <v>0</v>
      </c>
      <c r="X92" s="1054">
        <v>0</v>
      </c>
      <c r="Y92" s="1054">
        <v>0</v>
      </c>
      <c r="Z92" s="1054">
        <v>0</v>
      </c>
      <c r="AA92" s="1054">
        <v>0</v>
      </c>
      <c r="AB92" s="1054">
        <v>0</v>
      </c>
      <c r="AC92" s="1054">
        <v>0</v>
      </c>
      <c r="AD92" s="1054">
        <v>0</v>
      </c>
      <c r="AE92" s="997">
        <f t="shared" si="8"/>
        <v>0</v>
      </c>
    </row>
    <row r="93" spans="1:31">
      <c r="A93" s="1176"/>
      <c r="B93" s="1334"/>
      <c r="C93" s="1176"/>
      <c r="D93" s="1177"/>
      <c r="E93" s="1177"/>
      <c r="F93" s="1178"/>
      <c r="G93" s="1178"/>
      <c r="H93" s="1179"/>
      <c r="I93" s="1182"/>
      <c r="J93" s="1183"/>
      <c r="K93" s="1054">
        <v>0</v>
      </c>
      <c r="L93" s="1054">
        <v>0</v>
      </c>
      <c r="M93" s="1054">
        <v>0</v>
      </c>
      <c r="N93" s="1054">
        <v>0</v>
      </c>
      <c r="O93" s="1054">
        <v>0</v>
      </c>
      <c r="P93" s="1054">
        <v>0</v>
      </c>
      <c r="Q93" s="1054">
        <v>0</v>
      </c>
      <c r="R93" s="1054">
        <v>0</v>
      </c>
      <c r="S93" s="1054">
        <v>0</v>
      </c>
      <c r="T93" s="1054">
        <v>0</v>
      </c>
      <c r="U93" s="1054">
        <v>0</v>
      </c>
      <c r="V93" s="1054">
        <v>0</v>
      </c>
      <c r="W93" s="1054">
        <v>0</v>
      </c>
      <c r="X93" s="1054">
        <v>0</v>
      </c>
      <c r="Y93" s="1054">
        <v>0</v>
      </c>
      <c r="Z93" s="1054">
        <v>0</v>
      </c>
      <c r="AA93" s="1054">
        <v>0</v>
      </c>
      <c r="AB93" s="1054">
        <v>0</v>
      </c>
      <c r="AC93" s="1054">
        <v>0</v>
      </c>
      <c r="AD93" s="1054">
        <v>0</v>
      </c>
      <c r="AE93" s="997">
        <f t="shared" si="8"/>
        <v>0</v>
      </c>
    </row>
    <row r="94" spans="1:31">
      <c r="A94" s="1176"/>
      <c r="B94" s="1334"/>
      <c r="C94" s="1176"/>
      <c r="D94" s="1177"/>
      <c r="E94" s="1177"/>
      <c r="F94" s="1178"/>
      <c r="G94" s="1178"/>
      <c r="H94" s="1179"/>
      <c r="I94" s="1182"/>
      <c r="J94" s="1183"/>
      <c r="K94" s="1054">
        <v>0</v>
      </c>
      <c r="L94" s="1054">
        <v>0</v>
      </c>
      <c r="M94" s="1054">
        <v>0</v>
      </c>
      <c r="N94" s="1054">
        <v>0</v>
      </c>
      <c r="O94" s="1054">
        <v>0</v>
      </c>
      <c r="P94" s="1054">
        <v>0</v>
      </c>
      <c r="Q94" s="1054">
        <v>0</v>
      </c>
      <c r="R94" s="1054">
        <v>0</v>
      </c>
      <c r="S94" s="1054">
        <v>0</v>
      </c>
      <c r="T94" s="1054">
        <v>0</v>
      </c>
      <c r="U94" s="1054">
        <v>0</v>
      </c>
      <c r="V94" s="1054">
        <v>0</v>
      </c>
      <c r="W94" s="1054">
        <v>0</v>
      </c>
      <c r="X94" s="1054">
        <v>0</v>
      </c>
      <c r="Y94" s="1054">
        <v>0</v>
      </c>
      <c r="Z94" s="1054">
        <v>0</v>
      </c>
      <c r="AA94" s="1054">
        <v>0</v>
      </c>
      <c r="AB94" s="1054">
        <v>0</v>
      </c>
      <c r="AC94" s="1054">
        <v>0</v>
      </c>
      <c r="AD94" s="1054">
        <v>0</v>
      </c>
      <c r="AE94" s="997">
        <f t="shared" si="8"/>
        <v>0</v>
      </c>
    </row>
    <row r="95" spans="1:31">
      <c r="A95" s="1176"/>
      <c r="B95" s="1332"/>
      <c r="C95" s="1177"/>
      <c r="D95" s="1177"/>
      <c r="E95" s="1177"/>
      <c r="F95" s="1178"/>
      <c r="G95" s="1178"/>
      <c r="H95" s="1179"/>
      <c r="I95" s="1182"/>
      <c r="J95" s="1183"/>
      <c r="K95" s="1054">
        <v>0</v>
      </c>
      <c r="L95" s="1054">
        <v>0</v>
      </c>
      <c r="M95" s="1054">
        <v>0</v>
      </c>
      <c r="N95" s="1054">
        <v>0</v>
      </c>
      <c r="O95" s="1054">
        <v>0</v>
      </c>
      <c r="P95" s="1054">
        <v>0</v>
      </c>
      <c r="Q95" s="1054">
        <v>0</v>
      </c>
      <c r="R95" s="1054">
        <v>0</v>
      </c>
      <c r="S95" s="1054">
        <v>0</v>
      </c>
      <c r="T95" s="1054">
        <v>0</v>
      </c>
      <c r="U95" s="1054">
        <v>0</v>
      </c>
      <c r="V95" s="1054">
        <v>0</v>
      </c>
      <c r="W95" s="1054">
        <v>0</v>
      </c>
      <c r="X95" s="1054">
        <v>0</v>
      </c>
      <c r="Y95" s="1054">
        <v>0</v>
      </c>
      <c r="Z95" s="1054">
        <v>0</v>
      </c>
      <c r="AA95" s="1054">
        <v>0</v>
      </c>
      <c r="AB95" s="1054">
        <v>0</v>
      </c>
      <c r="AC95" s="1054">
        <v>0</v>
      </c>
      <c r="AD95" s="1054">
        <v>0</v>
      </c>
      <c r="AE95" s="997">
        <f t="shared" si="8"/>
        <v>0</v>
      </c>
    </row>
    <row r="96" spans="1:31">
      <c r="A96" s="1176"/>
      <c r="B96" s="1332"/>
      <c r="C96" s="1177"/>
      <c r="D96" s="1177"/>
      <c r="E96" s="1177"/>
      <c r="F96" s="1178"/>
      <c r="G96" s="1178"/>
      <c r="H96" s="1179"/>
      <c r="I96" s="1182"/>
      <c r="J96" s="1183"/>
      <c r="K96" s="1054">
        <v>0</v>
      </c>
      <c r="L96" s="1054">
        <v>0</v>
      </c>
      <c r="M96" s="1054">
        <v>0</v>
      </c>
      <c r="N96" s="1054">
        <v>0</v>
      </c>
      <c r="O96" s="1054">
        <v>0</v>
      </c>
      <c r="P96" s="1054">
        <v>0</v>
      </c>
      <c r="Q96" s="1054">
        <v>0</v>
      </c>
      <c r="R96" s="1054">
        <v>0</v>
      </c>
      <c r="S96" s="1054">
        <v>0</v>
      </c>
      <c r="T96" s="1054">
        <v>0</v>
      </c>
      <c r="U96" s="1054">
        <v>0</v>
      </c>
      <c r="V96" s="1054">
        <v>0</v>
      </c>
      <c r="W96" s="1054">
        <v>0</v>
      </c>
      <c r="X96" s="1054">
        <v>0</v>
      </c>
      <c r="Y96" s="1054">
        <v>0</v>
      </c>
      <c r="Z96" s="1054">
        <v>0</v>
      </c>
      <c r="AA96" s="1054">
        <v>0</v>
      </c>
      <c r="AB96" s="1054">
        <v>0</v>
      </c>
      <c r="AC96" s="1054">
        <v>0</v>
      </c>
      <c r="AD96" s="1054">
        <v>0</v>
      </c>
      <c r="AE96" s="997">
        <f t="shared" si="8"/>
        <v>0</v>
      </c>
    </row>
    <row r="97" spans="1:31">
      <c r="A97" s="1176"/>
      <c r="B97" s="1332"/>
      <c r="C97" s="1177"/>
      <c r="D97" s="1177"/>
      <c r="E97" s="1177"/>
      <c r="F97" s="1178"/>
      <c r="G97" s="1178"/>
      <c r="H97" s="1179"/>
      <c r="I97" s="1182"/>
      <c r="J97" s="1183"/>
      <c r="K97" s="1054">
        <v>0</v>
      </c>
      <c r="L97" s="1054">
        <v>0</v>
      </c>
      <c r="M97" s="1054">
        <v>0</v>
      </c>
      <c r="N97" s="1054">
        <v>0</v>
      </c>
      <c r="O97" s="1054">
        <v>0</v>
      </c>
      <c r="P97" s="1054">
        <v>0</v>
      </c>
      <c r="Q97" s="1054">
        <v>0</v>
      </c>
      <c r="R97" s="1054">
        <v>0</v>
      </c>
      <c r="S97" s="1054">
        <v>0</v>
      </c>
      <c r="T97" s="1054">
        <v>0</v>
      </c>
      <c r="U97" s="1054">
        <v>0</v>
      </c>
      <c r="V97" s="1054">
        <v>0</v>
      </c>
      <c r="W97" s="1054">
        <v>0</v>
      </c>
      <c r="X97" s="1054">
        <v>0</v>
      </c>
      <c r="Y97" s="1054">
        <v>0</v>
      </c>
      <c r="Z97" s="1054">
        <v>0</v>
      </c>
      <c r="AA97" s="1054">
        <v>0</v>
      </c>
      <c r="AB97" s="1054">
        <v>0</v>
      </c>
      <c r="AC97" s="1054">
        <v>0</v>
      </c>
      <c r="AD97" s="1054">
        <v>0</v>
      </c>
      <c r="AE97" s="997">
        <f t="shared" si="8"/>
        <v>0</v>
      </c>
    </row>
    <row r="98" spans="1:31">
      <c r="A98" s="1176"/>
      <c r="B98" s="1332"/>
      <c r="C98" s="1177"/>
      <c r="D98" s="1177"/>
      <c r="E98" s="1177"/>
      <c r="F98" s="1178"/>
      <c r="G98" s="1178"/>
      <c r="H98" s="1179"/>
      <c r="I98" s="1182"/>
      <c r="J98" s="1183"/>
      <c r="K98" s="1054">
        <v>0</v>
      </c>
      <c r="L98" s="1054">
        <v>0</v>
      </c>
      <c r="M98" s="1054">
        <v>0</v>
      </c>
      <c r="N98" s="1054">
        <v>0</v>
      </c>
      <c r="O98" s="1054">
        <v>0</v>
      </c>
      <c r="P98" s="1054">
        <v>0</v>
      </c>
      <c r="Q98" s="1054">
        <v>0</v>
      </c>
      <c r="R98" s="1054">
        <v>0</v>
      </c>
      <c r="S98" s="1054">
        <v>0</v>
      </c>
      <c r="T98" s="1054">
        <v>0</v>
      </c>
      <c r="U98" s="1054">
        <v>0</v>
      </c>
      <c r="V98" s="1054">
        <v>0</v>
      </c>
      <c r="W98" s="1054">
        <v>0</v>
      </c>
      <c r="X98" s="1054">
        <v>0</v>
      </c>
      <c r="Y98" s="1054">
        <v>0</v>
      </c>
      <c r="Z98" s="1054">
        <v>0</v>
      </c>
      <c r="AA98" s="1054">
        <v>0</v>
      </c>
      <c r="AB98" s="1054">
        <v>0</v>
      </c>
      <c r="AC98" s="1054">
        <v>0</v>
      </c>
      <c r="AD98" s="1054">
        <v>0</v>
      </c>
      <c r="AE98" s="997">
        <f t="shared" si="8"/>
        <v>0</v>
      </c>
    </row>
    <row r="99" spans="1:31">
      <c r="A99" s="1176"/>
      <c r="B99" s="1332"/>
      <c r="C99" s="1177"/>
      <c r="D99" s="1177"/>
      <c r="E99" s="1177"/>
      <c r="F99" s="1178"/>
      <c r="G99" s="1178"/>
      <c r="H99" s="1179"/>
      <c r="I99" s="1182"/>
      <c r="J99" s="1183"/>
      <c r="K99" s="1054">
        <v>0</v>
      </c>
      <c r="L99" s="1054">
        <v>0</v>
      </c>
      <c r="M99" s="1054">
        <v>0</v>
      </c>
      <c r="N99" s="1054">
        <v>0</v>
      </c>
      <c r="O99" s="1054">
        <v>0</v>
      </c>
      <c r="P99" s="1054">
        <v>0</v>
      </c>
      <c r="Q99" s="1054">
        <v>0</v>
      </c>
      <c r="R99" s="1054">
        <v>0</v>
      </c>
      <c r="S99" s="1054">
        <v>0</v>
      </c>
      <c r="T99" s="1054">
        <v>0</v>
      </c>
      <c r="U99" s="1054">
        <v>0</v>
      </c>
      <c r="V99" s="1054">
        <v>0</v>
      </c>
      <c r="W99" s="1054">
        <v>0</v>
      </c>
      <c r="X99" s="1054">
        <v>0</v>
      </c>
      <c r="Y99" s="1054">
        <v>0</v>
      </c>
      <c r="Z99" s="1054">
        <v>0</v>
      </c>
      <c r="AA99" s="1054">
        <v>0</v>
      </c>
      <c r="AB99" s="1054">
        <v>0</v>
      </c>
      <c r="AC99" s="1054">
        <v>0</v>
      </c>
      <c r="AD99" s="1054">
        <v>0</v>
      </c>
      <c r="AE99" s="997">
        <f t="shared" si="8"/>
        <v>0</v>
      </c>
    </row>
    <row r="100" spans="1:31">
      <c r="A100" s="1176"/>
      <c r="B100" s="1332"/>
      <c r="C100" s="1177"/>
      <c r="D100" s="1177"/>
      <c r="E100" s="1177"/>
      <c r="F100" s="1178"/>
      <c r="G100" s="1178"/>
      <c r="H100" s="1179"/>
      <c r="I100" s="1182"/>
      <c r="J100" s="1183"/>
      <c r="K100" s="1054">
        <v>0</v>
      </c>
      <c r="L100" s="1054">
        <v>0</v>
      </c>
      <c r="M100" s="1054">
        <v>0</v>
      </c>
      <c r="N100" s="1054">
        <v>0</v>
      </c>
      <c r="O100" s="1054">
        <v>0</v>
      </c>
      <c r="P100" s="1054">
        <v>0</v>
      </c>
      <c r="Q100" s="1054">
        <v>0</v>
      </c>
      <c r="R100" s="1054">
        <v>0</v>
      </c>
      <c r="S100" s="1054">
        <v>0</v>
      </c>
      <c r="T100" s="1054">
        <v>0</v>
      </c>
      <c r="U100" s="1054">
        <v>0</v>
      </c>
      <c r="V100" s="1054">
        <v>0</v>
      </c>
      <c r="W100" s="1054">
        <v>0</v>
      </c>
      <c r="X100" s="1054">
        <v>0</v>
      </c>
      <c r="Y100" s="1054">
        <v>0</v>
      </c>
      <c r="Z100" s="1054">
        <v>0</v>
      </c>
      <c r="AA100" s="1054">
        <v>0</v>
      </c>
      <c r="AB100" s="1054">
        <v>0</v>
      </c>
      <c r="AC100" s="1054">
        <v>0</v>
      </c>
      <c r="AD100" s="1054">
        <v>0</v>
      </c>
      <c r="AE100" s="997">
        <f t="shared" si="8"/>
        <v>0</v>
      </c>
    </row>
    <row r="101" spans="1:31">
      <c r="A101" s="1176"/>
      <c r="B101" s="1332"/>
      <c r="C101" s="1177"/>
      <c r="D101" s="1177"/>
      <c r="E101" s="1177"/>
      <c r="F101" s="1178"/>
      <c r="G101" s="1178"/>
      <c r="H101" s="1179"/>
      <c r="I101" s="1182"/>
      <c r="J101" s="1183"/>
      <c r="K101" s="1054">
        <v>0</v>
      </c>
      <c r="L101" s="1054">
        <v>0</v>
      </c>
      <c r="M101" s="1054">
        <v>0</v>
      </c>
      <c r="N101" s="1054">
        <v>0</v>
      </c>
      <c r="O101" s="1054">
        <v>0</v>
      </c>
      <c r="P101" s="1054">
        <v>0</v>
      </c>
      <c r="Q101" s="1054">
        <v>0</v>
      </c>
      <c r="R101" s="1054">
        <v>0</v>
      </c>
      <c r="S101" s="1054">
        <v>0</v>
      </c>
      <c r="T101" s="1054">
        <v>0</v>
      </c>
      <c r="U101" s="1054">
        <v>0</v>
      </c>
      <c r="V101" s="1054">
        <v>0</v>
      </c>
      <c r="W101" s="1054">
        <v>0</v>
      </c>
      <c r="X101" s="1054">
        <v>0</v>
      </c>
      <c r="Y101" s="1054">
        <v>0</v>
      </c>
      <c r="Z101" s="1054">
        <v>0</v>
      </c>
      <c r="AA101" s="1054">
        <v>0</v>
      </c>
      <c r="AB101" s="1054">
        <v>0</v>
      </c>
      <c r="AC101" s="1054">
        <v>0</v>
      </c>
      <c r="AD101" s="1054">
        <v>0</v>
      </c>
      <c r="AE101" s="997">
        <f t="shared" si="8"/>
        <v>0</v>
      </c>
    </row>
    <row r="102" spans="1:31">
      <c r="A102" s="1176"/>
      <c r="B102" s="1332"/>
      <c r="C102" s="1177"/>
      <c r="D102" s="1177"/>
      <c r="E102" s="1177"/>
      <c r="F102" s="1178"/>
      <c r="G102" s="1178"/>
      <c r="H102" s="1179"/>
      <c r="I102" s="1182"/>
      <c r="J102" s="1183"/>
      <c r="K102" s="1054">
        <v>0</v>
      </c>
      <c r="L102" s="1054">
        <v>0</v>
      </c>
      <c r="M102" s="1054">
        <v>0</v>
      </c>
      <c r="N102" s="1054">
        <v>0</v>
      </c>
      <c r="O102" s="1054">
        <v>0</v>
      </c>
      <c r="P102" s="1054">
        <v>0</v>
      </c>
      <c r="Q102" s="1054">
        <v>0</v>
      </c>
      <c r="R102" s="1054">
        <v>0</v>
      </c>
      <c r="S102" s="1054">
        <v>0</v>
      </c>
      <c r="T102" s="1054">
        <v>0</v>
      </c>
      <c r="U102" s="1054">
        <v>0</v>
      </c>
      <c r="V102" s="1054">
        <v>0</v>
      </c>
      <c r="W102" s="1054">
        <v>0</v>
      </c>
      <c r="X102" s="1054">
        <v>0</v>
      </c>
      <c r="Y102" s="1054">
        <v>0</v>
      </c>
      <c r="Z102" s="1054">
        <v>0</v>
      </c>
      <c r="AA102" s="1054">
        <v>0</v>
      </c>
      <c r="AB102" s="1054">
        <v>0</v>
      </c>
      <c r="AC102" s="1054">
        <v>0</v>
      </c>
      <c r="AD102" s="1054">
        <v>0</v>
      </c>
      <c r="AE102" s="997">
        <f t="shared" si="8"/>
        <v>0</v>
      </c>
    </row>
    <row r="103" spans="1:31">
      <c r="A103" s="1176"/>
      <c r="B103" s="1334"/>
      <c r="C103" s="1176"/>
      <c r="D103" s="1177"/>
      <c r="E103" s="1177"/>
      <c r="F103" s="1178"/>
      <c r="G103" s="1178"/>
      <c r="H103" s="1179"/>
      <c r="I103" s="1182"/>
      <c r="J103" s="1183"/>
      <c r="K103" s="1054">
        <v>0</v>
      </c>
      <c r="L103" s="1054">
        <v>0</v>
      </c>
      <c r="M103" s="1054">
        <v>0</v>
      </c>
      <c r="N103" s="1054">
        <v>0</v>
      </c>
      <c r="O103" s="1054">
        <v>0</v>
      </c>
      <c r="P103" s="1054">
        <v>0</v>
      </c>
      <c r="Q103" s="1054">
        <v>0</v>
      </c>
      <c r="R103" s="1054">
        <v>0</v>
      </c>
      <c r="S103" s="1054">
        <v>0</v>
      </c>
      <c r="T103" s="1054">
        <v>0</v>
      </c>
      <c r="U103" s="1054">
        <v>0</v>
      </c>
      <c r="V103" s="1054">
        <v>0</v>
      </c>
      <c r="W103" s="1054">
        <v>0</v>
      </c>
      <c r="X103" s="1054">
        <v>0</v>
      </c>
      <c r="Y103" s="1054">
        <v>0</v>
      </c>
      <c r="Z103" s="1054">
        <v>0</v>
      </c>
      <c r="AA103" s="1054">
        <v>0</v>
      </c>
      <c r="AB103" s="1054">
        <v>0</v>
      </c>
      <c r="AC103" s="1054">
        <v>0</v>
      </c>
      <c r="AD103" s="1054">
        <v>0</v>
      </c>
      <c r="AE103" s="997">
        <f t="shared" si="8"/>
        <v>0</v>
      </c>
    </row>
    <row r="104" spans="1:31">
      <c r="A104" s="1176"/>
      <c r="B104" s="1334"/>
      <c r="C104" s="1176"/>
      <c r="D104" s="1177"/>
      <c r="E104" s="1177"/>
      <c r="F104" s="1178"/>
      <c r="G104" s="1178"/>
      <c r="H104" s="1179"/>
      <c r="I104" s="1182"/>
      <c r="J104" s="1183"/>
      <c r="K104" s="1054">
        <v>0</v>
      </c>
      <c r="L104" s="1054">
        <v>0</v>
      </c>
      <c r="M104" s="1054">
        <v>0</v>
      </c>
      <c r="N104" s="1054">
        <v>0</v>
      </c>
      <c r="O104" s="1054">
        <v>0</v>
      </c>
      <c r="P104" s="1054">
        <v>0</v>
      </c>
      <c r="Q104" s="1054">
        <v>0</v>
      </c>
      <c r="R104" s="1054">
        <v>0</v>
      </c>
      <c r="S104" s="1054">
        <v>0</v>
      </c>
      <c r="T104" s="1054">
        <v>0</v>
      </c>
      <c r="U104" s="1054">
        <v>0</v>
      </c>
      <c r="V104" s="1054">
        <v>0</v>
      </c>
      <c r="W104" s="1054">
        <v>0</v>
      </c>
      <c r="X104" s="1054">
        <v>0</v>
      </c>
      <c r="Y104" s="1054">
        <v>0</v>
      </c>
      <c r="Z104" s="1054">
        <v>0</v>
      </c>
      <c r="AA104" s="1054">
        <v>0</v>
      </c>
      <c r="AB104" s="1054">
        <v>0</v>
      </c>
      <c r="AC104" s="1054">
        <v>0</v>
      </c>
      <c r="AD104" s="1054">
        <v>0</v>
      </c>
      <c r="AE104" s="997">
        <f t="shared" si="8"/>
        <v>0</v>
      </c>
    </row>
    <row r="105" spans="1:31">
      <c r="A105" s="1176"/>
      <c r="B105" s="1332"/>
      <c r="C105" s="1177"/>
      <c r="D105" s="1177"/>
      <c r="E105" s="1177"/>
      <c r="F105" s="1178"/>
      <c r="G105" s="1178"/>
      <c r="H105" s="1179"/>
      <c r="I105" s="1182"/>
      <c r="J105" s="1183"/>
      <c r="K105" s="1054">
        <v>0</v>
      </c>
      <c r="L105" s="1054">
        <v>0</v>
      </c>
      <c r="M105" s="1054">
        <v>0</v>
      </c>
      <c r="N105" s="1054">
        <v>0</v>
      </c>
      <c r="O105" s="1054">
        <v>0</v>
      </c>
      <c r="P105" s="1054">
        <v>0</v>
      </c>
      <c r="Q105" s="1054">
        <v>0</v>
      </c>
      <c r="R105" s="1054">
        <v>0</v>
      </c>
      <c r="S105" s="1054">
        <v>0</v>
      </c>
      <c r="T105" s="1054">
        <v>0</v>
      </c>
      <c r="U105" s="1054">
        <v>0</v>
      </c>
      <c r="V105" s="1054">
        <v>0</v>
      </c>
      <c r="W105" s="1054">
        <v>0</v>
      </c>
      <c r="X105" s="1054">
        <v>0</v>
      </c>
      <c r="Y105" s="1054">
        <v>0</v>
      </c>
      <c r="Z105" s="1054">
        <v>0</v>
      </c>
      <c r="AA105" s="1054">
        <v>0</v>
      </c>
      <c r="AB105" s="1054">
        <v>0</v>
      </c>
      <c r="AC105" s="1054">
        <v>0</v>
      </c>
      <c r="AD105" s="1054">
        <v>0</v>
      </c>
      <c r="AE105" s="997">
        <f t="shared" si="8"/>
        <v>0</v>
      </c>
    </row>
    <row r="106" spans="1:31">
      <c r="A106" s="1176"/>
      <c r="B106" s="1332"/>
      <c r="C106" s="1177"/>
      <c r="D106" s="1177"/>
      <c r="E106" s="1177"/>
      <c r="F106" s="1178"/>
      <c r="G106" s="1178"/>
      <c r="H106" s="1179"/>
      <c r="I106" s="1182"/>
      <c r="J106" s="1183"/>
      <c r="K106" s="1054">
        <v>0</v>
      </c>
      <c r="L106" s="1054">
        <v>0</v>
      </c>
      <c r="M106" s="1054">
        <v>0</v>
      </c>
      <c r="N106" s="1054">
        <v>0</v>
      </c>
      <c r="O106" s="1054">
        <v>0</v>
      </c>
      <c r="P106" s="1054">
        <v>0</v>
      </c>
      <c r="Q106" s="1054">
        <v>0</v>
      </c>
      <c r="R106" s="1054">
        <v>0</v>
      </c>
      <c r="S106" s="1054">
        <v>0</v>
      </c>
      <c r="T106" s="1054">
        <v>0</v>
      </c>
      <c r="U106" s="1054">
        <v>0</v>
      </c>
      <c r="V106" s="1054">
        <v>0</v>
      </c>
      <c r="W106" s="1054">
        <v>0</v>
      </c>
      <c r="X106" s="1054">
        <v>0</v>
      </c>
      <c r="Y106" s="1054">
        <v>0</v>
      </c>
      <c r="Z106" s="1054">
        <v>0</v>
      </c>
      <c r="AA106" s="1054">
        <v>0</v>
      </c>
      <c r="AB106" s="1054">
        <v>0</v>
      </c>
      <c r="AC106" s="1054">
        <v>0</v>
      </c>
      <c r="AD106" s="1054">
        <v>0</v>
      </c>
      <c r="AE106" s="997">
        <f t="shared" si="8"/>
        <v>0</v>
      </c>
    </row>
    <row r="107" spans="1:31">
      <c r="A107" s="1176"/>
      <c r="B107" s="1332"/>
      <c r="C107" s="1177"/>
      <c r="D107" s="1177"/>
      <c r="E107" s="1177"/>
      <c r="F107" s="1178"/>
      <c r="G107" s="1178"/>
      <c r="H107" s="1179"/>
      <c r="I107" s="1182"/>
      <c r="J107" s="1183"/>
      <c r="K107" s="1054">
        <v>0</v>
      </c>
      <c r="L107" s="1054">
        <v>0</v>
      </c>
      <c r="M107" s="1054">
        <v>0</v>
      </c>
      <c r="N107" s="1054">
        <v>0</v>
      </c>
      <c r="O107" s="1054">
        <v>0</v>
      </c>
      <c r="P107" s="1054">
        <v>0</v>
      </c>
      <c r="Q107" s="1054">
        <v>0</v>
      </c>
      <c r="R107" s="1054">
        <v>0</v>
      </c>
      <c r="S107" s="1054">
        <v>0</v>
      </c>
      <c r="T107" s="1054">
        <v>0</v>
      </c>
      <c r="U107" s="1054">
        <v>0</v>
      </c>
      <c r="V107" s="1054">
        <v>0</v>
      </c>
      <c r="W107" s="1054">
        <v>0</v>
      </c>
      <c r="X107" s="1054">
        <v>0</v>
      </c>
      <c r="Y107" s="1054">
        <v>0</v>
      </c>
      <c r="Z107" s="1054">
        <v>0</v>
      </c>
      <c r="AA107" s="1054">
        <v>0</v>
      </c>
      <c r="AB107" s="1054">
        <v>0</v>
      </c>
      <c r="AC107" s="1054">
        <v>0</v>
      </c>
      <c r="AD107" s="1054">
        <v>0</v>
      </c>
      <c r="AE107" s="997">
        <f t="shared" si="7"/>
        <v>0</v>
      </c>
    </row>
    <row r="108" spans="1:31">
      <c r="A108" s="1176"/>
      <c r="B108" s="1332"/>
      <c r="C108" s="1177"/>
      <c r="D108" s="1177"/>
      <c r="E108" s="1177"/>
      <c r="F108" s="1178"/>
      <c r="G108" s="1178"/>
      <c r="H108" s="1179"/>
      <c r="I108" s="1182"/>
      <c r="J108" s="1183"/>
      <c r="K108" s="1054">
        <v>0</v>
      </c>
      <c r="L108" s="1054">
        <v>0</v>
      </c>
      <c r="M108" s="1054">
        <v>0</v>
      </c>
      <c r="N108" s="1054">
        <v>0</v>
      </c>
      <c r="O108" s="1054">
        <v>0</v>
      </c>
      <c r="P108" s="1054">
        <v>0</v>
      </c>
      <c r="Q108" s="1054">
        <v>0</v>
      </c>
      <c r="R108" s="1054">
        <v>0</v>
      </c>
      <c r="S108" s="1054">
        <v>0</v>
      </c>
      <c r="T108" s="1054">
        <v>0</v>
      </c>
      <c r="U108" s="1054">
        <v>0</v>
      </c>
      <c r="V108" s="1054">
        <v>0</v>
      </c>
      <c r="W108" s="1054">
        <v>0</v>
      </c>
      <c r="X108" s="1054">
        <v>0</v>
      </c>
      <c r="Y108" s="1054">
        <v>0</v>
      </c>
      <c r="Z108" s="1054">
        <v>0</v>
      </c>
      <c r="AA108" s="1054">
        <v>0</v>
      </c>
      <c r="AB108" s="1054">
        <v>0</v>
      </c>
      <c r="AC108" s="1054">
        <v>0</v>
      </c>
      <c r="AD108" s="1054">
        <v>0</v>
      </c>
      <c r="AE108" s="997">
        <f t="shared" si="7"/>
        <v>0</v>
      </c>
    </row>
    <row r="109" spans="1:31">
      <c r="A109" s="1176"/>
      <c r="B109" s="1332"/>
      <c r="C109" s="1177"/>
      <c r="D109" s="1177"/>
      <c r="E109" s="1177"/>
      <c r="F109" s="1178"/>
      <c r="G109" s="1178"/>
      <c r="H109" s="1179"/>
      <c r="I109" s="1182"/>
      <c r="J109" s="1183"/>
      <c r="K109" s="1054">
        <v>0</v>
      </c>
      <c r="L109" s="1054">
        <v>0</v>
      </c>
      <c r="M109" s="1054">
        <v>0</v>
      </c>
      <c r="N109" s="1054">
        <v>0</v>
      </c>
      <c r="O109" s="1054">
        <v>0</v>
      </c>
      <c r="P109" s="1054">
        <v>0</v>
      </c>
      <c r="Q109" s="1054">
        <v>0</v>
      </c>
      <c r="R109" s="1054">
        <v>0</v>
      </c>
      <c r="S109" s="1054">
        <v>0</v>
      </c>
      <c r="T109" s="1054">
        <v>0</v>
      </c>
      <c r="U109" s="1054">
        <v>0</v>
      </c>
      <c r="V109" s="1054">
        <v>0</v>
      </c>
      <c r="W109" s="1054">
        <v>0</v>
      </c>
      <c r="X109" s="1054">
        <v>0</v>
      </c>
      <c r="Y109" s="1054">
        <v>0</v>
      </c>
      <c r="Z109" s="1054">
        <v>0</v>
      </c>
      <c r="AA109" s="1054">
        <v>0</v>
      </c>
      <c r="AB109" s="1054">
        <v>0</v>
      </c>
      <c r="AC109" s="1054">
        <v>0</v>
      </c>
      <c r="AD109" s="1054">
        <v>0</v>
      </c>
      <c r="AE109" s="997">
        <f t="shared" si="7"/>
        <v>0</v>
      </c>
    </row>
    <row r="110" spans="1:31">
      <c r="A110" s="1176"/>
      <c r="B110" s="1332"/>
      <c r="C110" s="1177"/>
      <c r="D110" s="1177"/>
      <c r="E110" s="1177"/>
      <c r="F110" s="1178"/>
      <c r="G110" s="1178"/>
      <c r="H110" s="1179"/>
      <c r="I110" s="1182"/>
      <c r="J110" s="1183"/>
      <c r="K110" s="1054">
        <v>0</v>
      </c>
      <c r="L110" s="1054">
        <v>0</v>
      </c>
      <c r="M110" s="1054">
        <v>0</v>
      </c>
      <c r="N110" s="1054">
        <v>0</v>
      </c>
      <c r="O110" s="1054">
        <v>0</v>
      </c>
      <c r="P110" s="1054">
        <v>0</v>
      </c>
      <c r="Q110" s="1054">
        <v>0</v>
      </c>
      <c r="R110" s="1054">
        <v>0</v>
      </c>
      <c r="S110" s="1054">
        <v>0</v>
      </c>
      <c r="T110" s="1054">
        <v>0</v>
      </c>
      <c r="U110" s="1054">
        <v>0</v>
      </c>
      <c r="V110" s="1054">
        <v>0</v>
      </c>
      <c r="W110" s="1054">
        <v>0</v>
      </c>
      <c r="X110" s="1054">
        <v>0</v>
      </c>
      <c r="Y110" s="1054">
        <v>0</v>
      </c>
      <c r="Z110" s="1054">
        <v>0</v>
      </c>
      <c r="AA110" s="1054">
        <v>0</v>
      </c>
      <c r="AB110" s="1054">
        <v>0</v>
      </c>
      <c r="AC110" s="1054">
        <v>0</v>
      </c>
      <c r="AD110" s="1054">
        <v>0</v>
      </c>
      <c r="AE110" s="997">
        <f t="shared" si="7"/>
        <v>0</v>
      </c>
    </row>
    <row r="111" spans="1:31">
      <c r="A111" s="1176"/>
      <c r="B111" s="1332"/>
      <c r="C111" s="1177"/>
      <c r="D111" s="1177"/>
      <c r="E111" s="1177"/>
      <c r="F111" s="1178"/>
      <c r="G111" s="1178"/>
      <c r="H111" s="1179"/>
      <c r="I111" s="1182"/>
      <c r="J111" s="1183"/>
      <c r="K111" s="1054">
        <v>0</v>
      </c>
      <c r="L111" s="1054">
        <v>0</v>
      </c>
      <c r="M111" s="1054">
        <v>0</v>
      </c>
      <c r="N111" s="1054">
        <v>0</v>
      </c>
      <c r="O111" s="1054">
        <v>0</v>
      </c>
      <c r="P111" s="1054">
        <v>0</v>
      </c>
      <c r="Q111" s="1054">
        <v>0</v>
      </c>
      <c r="R111" s="1054">
        <v>0</v>
      </c>
      <c r="S111" s="1054">
        <v>0</v>
      </c>
      <c r="T111" s="1054">
        <v>0</v>
      </c>
      <c r="U111" s="1054">
        <v>0</v>
      </c>
      <c r="V111" s="1054">
        <v>0</v>
      </c>
      <c r="W111" s="1054">
        <v>0</v>
      </c>
      <c r="X111" s="1054">
        <v>0</v>
      </c>
      <c r="Y111" s="1054">
        <v>0</v>
      </c>
      <c r="Z111" s="1054">
        <v>0</v>
      </c>
      <c r="AA111" s="1054">
        <v>0</v>
      </c>
      <c r="AB111" s="1054">
        <v>0</v>
      </c>
      <c r="AC111" s="1054">
        <v>0</v>
      </c>
      <c r="AD111" s="1054">
        <v>0</v>
      </c>
      <c r="AE111" s="997">
        <f t="shared" si="7"/>
        <v>0</v>
      </c>
    </row>
    <row r="112" spans="1:31">
      <c r="A112" s="1176"/>
      <c r="B112" s="1332"/>
      <c r="C112" s="1177"/>
      <c r="D112" s="1177"/>
      <c r="E112" s="1177"/>
      <c r="F112" s="1178"/>
      <c r="G112" s="1178"/>
      <c r="H112" s="1179"/>
      <c r="I112" s="1182"/>
      <c r="J112" s="1183"/>
      <c r="K112" s="1054">
        <v>0</v>
      </c>
      <c r="L112" s="1054">
        <v>0</v>
      </c>
      <c r="M112" s="1054">
        <v>0</v>
      </c>
      <c r="N112" s="1054">
        <v>0</v>
      </c>
      <c r="O112" s="1054">
        <v>0</v>
      </c>
      <c r="P112" s="1054">
        <v>0</v>
      </c>
      <c r="Q112" s="1054">
        <v>0</v>
      </c>
      <c r="R112" s="1054">
        <v>0</v>
      </c>
      <c r="S112" s="1054">
        <v>0</v>
      </c>
      <c r="T112" s="1054">
        <v>0</v>
      </c>
      <c r="U112" s="1054">
        <v>0</v>
      </c>
      <c r="V112" s="1054">
        <v>0</v>
      </c>
      <c r="W112" s="1054">
        <v>0</v>
      </c>
      <c r="X112" s="1054">
        <v>0</v>
      </c>
      <c r="Y112" s="1054">
        <v>0</v>
      </c>
      <c r="Z112" s="1054">
        <v>0</v>
      </c>
      <c r="AA112" s="1054">
        <v>0</v>
      </c>
      <c r="AB112" s="1054">
        <v>0</v>
      </c>
      <c r="AC112" s="1054">
        <v>0</v>
      </c>
      <c r="AD112" s="1054">
        <v>0</v>
      </c>
      <c r="AE112" s="997">
        <f t="shared" si="7"/>
        <v>0</v>
      </c>
    </row>
    <row r="113" spans="1:31">
      <c r="A113" s="1176"/>
      <c r="B113" s="1334"/>
      <c r="C113" s="1176"/>
      <c r="D113" s="1177"/>
      <c r="E113" s="1177"/>
      <c r="F113" s="1178"/>
      <c r="G113" s="1178"/>
      <c r="H113" s="1179"/>
      <c r="I113" s="1182"/>
      <c r="J113" s="1183"/>
      <c r="K113" s="1054">
        <v>0</v>
      </c>
      <c r="L113" s="1054">
        <v>0</v>
      </c>
      <c r="M113" s="1054">
        <v>0</v>
      </c>
      <c r="N113" s="1054">
        <v>0</v>
      </c>
      <c r="O113" s="1054">
        <v>0</v>
      </c>
      <c r="P113" s="1054">
        <v>0</v>
      </c>
      <c r="Q113" s="1054">
        <v>0</v>
      </c>
      <c r="R113" s="1054">
        <v>0</v>
      </c>
      <c r="S113" s="1054">
        <v>0</v>
      </c>
      <c r="T113" s="1054">
        <v>0</v>
      </c>
      <c r="U113" s="1054">
        <v>0</v>
      </c>
      <c r="V113" s="1054">
        <v>0</v>
      </c>
      <c r="W113" s="1054">
        <v>0</v>
      </c>
      <c r="X113" s="1054">
        <v>0</v>
      </c>
      <c r="Y113" s="1054">
        <v>0</v>
      </c>
      <c r="Z113" s="1054">
        <v>0</v>
      </c>
      <c r="AA113" s="1054">
        <v>0</v>
      </c>
      <c r="AB113" s="1054">
        <v>0</v>
      </c>
      <c r="AC113" s="1054">
        <v>0</v>
      </c>
      <c r="AD113" s="1054">
        <v>0</v>
      </c>
      <c r="AE113" s="997">
        <f t="shared" si="7"/>
        <v>0</v>
      </c>
    </row>
    <row r="114" spans="1:31">
      <c r="A114" s="1176"/>
      <c r="B114" s="1334"/>
      <c r="C114" s="1176"/>
      <c r="D114" s="1177"/>
      <c r="E114" s="1177"/>
      <c r="F114" s="1178"/>
      <c r="G114" s="1178"/>
      <c r="H114" s="1179"/>
      <c r="I114" s="1182"/>
      <c r="J114" s="1183"/>
      <c r="K114" s="1054">
        <v>0</v>
      </c>
      <c r="L114" s="1054">
        <v>0</v>
      </c>
      <c r="M114" s="1054">
        <v>0</v>
      </c>
      <c r="N114" s="1054">
        <v>0</v>
      </c>
      <c r="O114" s="1054">
        <v>0</v>
      </c>
      <c r="P114" s="1054">
        <v>0</v>
      </c>
      <c r="Q114" s="1054">
        <v>0</v>
      </c>
      <c r="R114" s="1054">
        <v>0</v>
      </c>
      <c r="S114" s="1054">
        <v>0</v>
      </c>
      <c r="T114" s="1054">
        <v>0</v>
      </c>
      <c r="U114" s="1054">
        <v>0</v>
      </c>
      <c r="V114" s="1054">
        <v>0</v>
      </c>
      <c r="W114" s="1054">
        <v>0</v>
      </c>
      <c r="X114" s="1054">
        <v>0</v>
      </c>
      <c r="Y114" s="1054">
        <v>0</v>
      </c>
      <c r="Z114" s="1054">
        <v>0</v>
      </c>
      <c r="AA114" s="1054">
        <v>0</v>
      </c>
      <c r="AB114" s="1054">
        <v>0</v>
      </c>
      <c r="AC114" s="1054">
        <v>0</v>
      </c>
      <c r="AD114" s="1054">
        <v>0</v>
      </c>
      <c r="AE114" s="997">
        <f t="shared" si="7"/>
        <v>0</v>
      </c>
    </row>
    <row r="115" spans="1:31">
      <c r="A115" s="1176"/>
      <c r="B115" s="1332"/>
      <c r="C115" s="1177"/>
      <c r="D115" s="1177"/>
      <c r="E115" s="1177"/>
      <c r="F115" s="1178"/>
      <c r="G115" s="1178"/>
      <c r="H115" s="1179"/>
      <c r="I115" s="1182"/>
      <c r="J115" s="1183"/>
      <c r="K115" s="1054">
        <v>0</v>
      </c>
      <c r="L115" s="1054">
        <v>0</v>
      </c>
      <c r="M115" s="1054">
        <v>0</v>
      </c>
      <c r="N115" s="1054">
        <v>0</v>
      </c>
      <c r="O115" s="1054">
        <v>0</v>
      </c>
      <c r="P115" s="1054">
        <v>0</v>
      </c>
      <c r="Q115" s="1054">
        <v>0</v>
      </c>
      <c r="R115" s="1054">
        <v>0</v>
      </c>
      <c r="S115" s="1054">
        <v>0</v>
      </c>
      <c r="T115" s="1054">
        <v>0</v>
      </c>
      <c r="U115" s="1054">
        <v>0</v>
      </c>
      <c r="V115" s="1054">
        <v>0</v>
      </c>
      <c r="W115" s="1054">
        <v>0</v>
      </c>
      <c r="X115" s="1054">
        <v>0</v>
      </c>
      <c r="Y115" s="1054">
        <v>0</v>
      </c>
      <c r="Z115" s="1054">
        <v>0</v>
      </c>
      <c r="AA115" s="1054">
        <v>0</v>
      </c>
      <c r="AB115" s="1054">
        <v>0</v>
      </c>
      <c r="AC115" s="1054">
        <v>0</v>
      </c>
      <c r="AD115" s="1054">
        <v>0</v>
      </c>
      <c r="AE115" s="997">
        <f t="shared" si="7"/>
        <v>0</v>
      </c>
    </row>
    <row r="116" spans="1:31">
      <c r="A116" s="1176"/>
      <c r="B116" s="1332"/>
      <c r="C116" s="1177"/>
      <c r="D116" s="1177"/>
      <c r="E116" s="1177"/>
      <c r="F116" s="1178"/>
      <c r="G116" s="1178"/>
      <c r="H116" s="1179"/>
      <c r="I116" s="1182"/>
      <c r="J116" s="1183"/>
      <c r="K116" s="1054">
        <v>0</v>
      </c>
      <c r="L116" s="1054">
        <v>0</v>
      </c>
      <c r="M116" s="1054">
        <v>0</v>
      </c>
      <c r="N116" s="1054">
        <v>0</v>
      </c>
      <c r="O116" s="1054">
        <v>0</v>
      </c>
      <c r="P116" s="1054">
        <v>0</v>
      </c>
      <c r="Q116" s="1054">
        <v>0</v>
      </c>
      <c r="R116" s="1054">
        <v>0</v>
      </c>
      <c r="S116" s="1054">
        <v>0</v>
      </c>
      <c r="T116" s="1054">
        <v>0</v>
      </c>
      <c r="U116" s="1054">
        <v>0</v>
      </c>
      <c r="V116" s="1054">
        <v>0</v>
      </c>
      <c r="W116" s="1054">
        <v>0</v>
      </c>
      <c r="X116" s="1054">
        <v>0</v>
      </c>
      <c r="Y116" s="1054">
        <v>0</v>
      </c>
      <c r="Z116" s="1054">
        <v>0</v>
      </c>
      <c r="AA116" s="1054">
        <v>0</v>
      </c>
      <c r="AB116" s="1054">
        <v>0</v>
      </c>
      <c r="AC116" s="1054">
        <v>0</v>
      </c>
      <c r="AD116" s="1054">
        <v>0</v>
      </c>
      <c r="AE116" s="997">
        <f t="shared" si="7"/>
        <v>0</v>
      </c>
    </row>
    <row r="117" spans="1:31">
      <c r="A117" s="1176"/>
      <c r="B117" s="1332"/>
      <c r="C117" s="1177"/>
      <c r="D117" s="1177"/>
      <c r="E117" s="1177"/>
      <c r="F117" s="1178"/>
      <c r="G117" s="1178"/>
      <c r="H117" s="1179"/>
      <c r="I117" s="1182"/>
      <c r="J117" s="1183"/>
      <c r="K117" s="1054">
        <v>0</v>
      </c>
      <c r="L117" s="1054">
        <v>0</v>
      </c>
      <c r="M117" s="1054">
        <v>0</v>
      </c>
      <c r="N117" s="1054">
        <v>0</v>
      </c>
      <c r="O117" s="1054">
        <v>0</v>
      </c>
      <c r="P117" s="1054">
        <v>0</v>
      </c>
      <c r="Q117" s="1054">
        <v>0</v>
      </c>
      <c r="R117" s="1054">
        <v>0</v>
      </c>
      <c r="S117" s="1054">
        <v>0</v>
      </c>
      <c r="T117" s="1054">
        <v>0</v>
      </c>
      <c r="U117" s="1054">
        <v>0</v>
      </c>
      <c r="V117" s="1054">
        <v>0</v>
      </c>
      <c r="W117" s="1054">
        <v>0</v>
      </c>
      <c r="X117" s="1054">
        <v>0</v>
      </c>
      <c r="Y117" s="1054">
        <v>0</v>
      </c>
      <c r="Z117" s="1054">
        <v>0</v>
      </c>
      <c r="AA117" s="1054">
        <v>0</v>
      </c>
      <c r="AB117" s="1054">
        <v>0</v>
      </c>
      <c r="AC117" s="1054">
        <v>0</v>
      </c>
      <c r="AD117" s="1054">
        <v>0</v>
      </c>
      <c r="AE117" s="997">
        <f t="shared" ref="AE117:AE126" si="9">SUM(K117:AD117)</f>
        <v>0</v>
      </c>
    </row>
    <row r="118" spans="1:31">
      <c r="A118" s="1176"/>
      <c r="B118" s="1332"/>
      <c r="C118" s="1177"/>
      <c r="D118" s="1177"/>
      <c r="E118" s="1177"/>
      <c r="F118" s="1178"/>
      <c r="G118" s="1178"/>
      <c r="H118" s="1179"/>
      <c r="I118" s="1182"/>
      <c r="J118" s="1183"/>
      <c r="K118" s="1054">
        <v>0</v>
      </c>
      <c r="L118" s="1054">
        <v>0</v>
      </c>
      <c r="M118" s="1054">
        <v>0</v>
      </c>
      <c r="N118" s="1054">
        <v>0</v>
      </c>
      <c r="O118" s="1054">
        <v>0</v>
      </c>
      <c r="P118" s="1054">
        <v>0</v>
      </c>
      <c r="Q118" s="1054">
        <v>0</v>
      </c>
      <c r="R118" s="1054">
        <v>0</v>
      </c>
      <c r="S118" s="1054">
        <v>0</v>
      </c>
      <c r="T118" s="1054">
        <v>0</v>
      </c>
      <c r="U118" s="1054">
        <v>0</v>
      </c>
      <c r="V118" s="1054">
        <v>0</v>
      </c>
      <c r="W118" s="1054">
        <v>0</v>
      </c>
      <c r="X118" s="1054">
        <v>0</v>
      </c>
      <c r="Y118" s="1054">
        <v>0</v>
      </c>
      <c r="Z118" s="1054">
        <v>0</v>
      </c>
      <c r="AA118" s="1054">
        <v>0</v>
      </c>
      <c r="AB118" s="1054">
        <v>0</v>
      </c>
      <c r="AC118" s="1054">
        <v>0</v>
      </c>
      <c r="AD118" s="1054">
        <v>0</v>
      </c>
      <c r="AE118" s="997">
        <f t="shared" si="9"/>
        <v>0</v>
      </c>
    </row>
    <row r="119" spans="1:31">
      <c r="A119" s="1176"/>
      <c r="B119" s="1332"/>
      <c r="C119" s="1177"/>
      <c r="D119" s="1177"/>
      <c r="E119" s="1177"/>
      <c r="F119" s="1178"/>
      <c r="G119" s="1178"/>
      <c r="H119" s="1179"/>
      <c r="I119" s="1182"/>
      <c r="J119" s="1183"/>
      <c r="K119" s="1054">
        <v>0</v>
      </c>
      <c r="L119" s="1054">
        <v>0</v>
      </c>
      <c r="M119" s="1054">
        <v>0</v>
      </c>
      <c r="N119" s="1054">
        <v>0</v>
      </c>
      <c r="O119" s="1054">
        <v>0</v>
      </c>
      <c r="P119" s="1054">
        <v>0</v>
      </c>
      <c r="Q119" s="1054">
        <v>0</v>
      </c>
      <c r="R119" s="1054">
        <v>0</v>
      </c>
      <c r="S119" s="1054">
        <v>0</v>
      </c>
      <c r="T119" s="1054">
        <v>0</v>
      </c>
      <c r="U119" s="1054">
        <v>0</v>
      </c>
      <c r="V119" s="1054">
        <v>0</v>
      </c>
      <c r="W119" s="1054">
        <v>0</v>
      </c>
      <c r="X119" s="1054">
        <v>0</v>
      </c>
      <c r="Y119" s="1054">
        <v>0</v>
      </c>
      <c r="Z119" s="1054">
        <v>0</v>
      </c>
      <c r="AA119" s="1054">
        <v>0</v>
      </c>
      <c r="AB119" s="1054">
        <v>0</v>
      </c>
      <c r="AC119" s="1054">
        <v>0</v>
      </c>
      <c r="AD119" s="1054">
        <v>0</v>
      </c>
      <c r="AE119" s="997">
        <f t="shared" si="9"/>
        <v>0</v>
      </c>
    </row>
    <row r="120" spans="1:31">
      <c r="A120" s="1176"/>
      <c r="B120" s="1332"/>
      <c r="C120" s="1177"/>
      <c r="D120" s="1177"/>
      <c r="E120" s="1177"/>
      <c r="F120" s="1178"/>
      <c r="G120" s="1178"/>
      <c r="H120" s="1179"/>
      <c r="I120" s="1182"/>
      <c r="J120" s="1183"/>
      <c r="K120" s="1054">
        <v>0</v>
      </c>
      <c r="L120" s="1054">
        <v>0</v>
      </c>
      <c r="M120" s="1054">
        <v>0</v>
      </c>
      <c r="N120" s="1054">
        <v>0</v>
      </c>
      <c r="O120" s="1054">
        <v>0</v>
      </c>
      <c r="P120" s="1054">
        <v>0</v>
      </c>
      <c r="Q120" s="1054">
        <v>0</v>
      </c>
      <c r="R120" s="1054">
        <v>0</v>
      </c>
      <c r="S120" s="1054">
        <v>0</v>
      </c>
      <c r="T120" s="1054">
        <v>0</v>
      </c>
      <c r="U120" s="1054">
        <v>0</v>
      </c>
      <c r="V120" s="1054">
        <v>0</v>
      </c>
      <c r="W120" s="1054">
        <v>0</v>
      </c>
      <c r="X120" s="1054">
        <v>0</v>
      </c>
      <c r="Y120" s="1054">
        <v>0</v>
      </c>
      <c r="Z120" s="1054">
        <v>0</v>
      </c>
      <c r="AA120" s="1054">
        <v>0</v>
      </c>
      <c r="AB120" s="1054">
        <v>0</v>
      </c>
      <c r="AC120" s="1054">
        <v>0</v>
      </c>
      <c r="AD120" s="1054">
        <v>0</v>
      </c>
      <c r="AE120" s="997">
        <f t="shared" si="9"/>
        <v>0</v>
      </c>
    </row>
    <row r="121" spans="1:31">
      <c r="A121" s="1176"/>
      <c r="B121" s="1332"/>
      <c r="C121" s="1177"/>
      <c r="D121" s="1177"/>
      <c r="E121" s="1177"/>
      <c r="F121" s="1178"/>
      <c r="G121" s="1178"/>
      <c r="H121" s="1179"/>
      <c r="I121" s="1182"/>
      <c r="J121" s="1183"/>
      <c r="K121" s="1054">
        <v>0</v>
      </c>
      <c r="L121" s="1054">
        <v>0</v>
      </c>
      <c r="M121" s="1054">
        <v>0</v>
      </c>
      <c r="N121" s="1054">
        <v>0</v>
      </c>
      <c r="O121" s="1054">
        <v>0</v>
      </c>
      <c r="P121" s="1054">
        <v>0</v>
      </c>
      <c r="Q121" s="1054">
        <v>0</v>
      </c>
      <c r="R121" s="1054">
        <v>0</v>
      </c>
      <c r="S121" s="1054">
        <v>0</v>
      </c>
      <c r="T121" s="1054">
        <v>0</v>
      </c>
      <c r="U121" s="1054">
        <v>0</v>
      </c>
      <c r="V121" s="1054">
        <v>0</v>
      </c>
      <c r="W121" s="1054">
        <v>0</v>
      </c>
      <c r="X121" s="1054">
        <v>0</v>
      </c>
      <c r="Y121" s="1054">
        <v>0</v>
      </c>
      <c r="Z121" s="1054">
        <v>0</v>
      </c>
      <c r="AA121" s="1054">
        <v>0</v>
      </c>
      <c r="AB121" s="1054">
        <v>0</v>
      </c>
      <c r="AC121" s="1054">
        <v>0</v>
      </c>
      <c r="AD121" s="1054">
        <v>0</v>
      </c>
      <c r="AE121" s="997">
        <f t="shared" si="9"/>
        <v>0</v>
      </c>
    </row>
    <row r="122" spans="1:31">
      <c r="A122" s="1176"/>
      <c r="B122" s="1332"/>
      <c r="C122" s="1177"/>
      <c r="D122" s="1177"/>
      <c r="E122" s="1177"/>
      <c r="F122" s="1178"/>
      <c r="G122" s="1178"/>
      <c r="H122" s="1179"/>
      <c r="I122" s="1182"/>
      <c r="J122" s="1183"/>
      <c r="K122" s="1054">
        <v>0</v>
      </c>
      <c r="L122" s="1054">
        <v>0</v>
      </c>
      <c r="M122" s="1054">
        <v>0</v>
      </c>
      <c r="N122" s="1054">
        <v>0</v>
      </c>
      <c r="O122" s="1054">
        <v>0</v>
      </c>
      <c r="P122" s="1054">
        <v>0</v>
      </c>
      <c r="Q122" s="1054">
        <v>0</v>
      </c>
      <c r="R122" s="1054">
        <v>0</v>
      </c>
      <c r="S122" s="1054">
        <v>0</v>
      </c>
      <c r="T122" s="1054">
        <v>0</v>
      </c>
      <c r="U122" s="1054">
        <v>0</v>
      </c>
      <c r="V122" s="1054">
        <v>0</v>
      </c>
      <c r="W122" s="1054">
        <v>0</v>
      </c>
      <c r="X122" s="1054">
        <v>0</v>
      </c>
      <c r="Y122" s="1054">
        <v>0</v>
      </c>
      <c r="Z122" s="1054">
        <v>0</v>
      </c>
      <c r="AA122" s="1054">
        <v>0</v>
      </c>
      <c r="AB122" s="1054">
        <v>0</v>
      </c>
      <c r="AC122" s="1054">
        <v>0</v>
      </c>
      <c r="AD122" s="1054">
        <v>0</v>
      </c>
      <c r="AE122" s="997">
        <f t="shared" si="9"/>
        <v>0</v>
      </c>
    </row>
    <row r="123" spans="1:31">
      <c r="A123" s="1176"/>
      <c r="B123" s="1334"/>
      <c r="C123" s="1176"/>
      <c r="D123" s="1177"/>
      <c r="E123" s="1177"/>
      <c r="F123" s="1178"/>
      <c r="G123" s="1178"/>
      <c r="H123" s="1179"/>
      <c r="I123" s="1182"/>
      <c r="J123" s="1183"/>
      <c r="K123" s="1054">
        <v>0</v>
      </c>
      <c r="L123" s="1054">
        <v>0</v>
      </c>
      <c r="M123" s="1054">
        <v>0</v>
      </c>
      <c r="N123" s="1054">
        <v>0</v>
      </c>
      <c r="O123" s="1054">
        <v>0</v>
      </c>
      <c r="P123" s="1054">
        <v>0</v>
      </c>
      <c r="Q123" s="1054">
        <v>0</v>
      </c>
      <c r="R123" s="1054">
        <v>0</v>
      </c>
      <c r="S123" s="1054">
        <v>0</v>
      </c>
      <c r="T123" s="1054">
        <v>0</v>
      </c>
      <c r="U123" s="1054">
        <v>0</v>
      </c>
      <c r="V123" s="1054">
        <v>0</v>
      </c>
      <c r="W123" s="1054">
        <v>0</v>
      </c>
      <c r="X123" s="1054">
        <v>0</v>
      </c>
      <c r="Y123" s="1054">
        <v>0</v>
      </c>
      <c r="Z123" s="1054">
        <v>0</v>
      </c>
      <c r="AA123" s="1054">
        <v>0</v>
      </c>
      <c r="AB123" s="1054">
        <v>0</v>
      </c>
      <c r="AC123" s="1054">
        <v>0</v>
      </c>
      <c r="AD123" s="1054">
        <v>0</v>
      </c>
      <c r="AE123" s="997">
        <f t="shared" si="9"/>
        <v>0</v>
      </c>
    </row>
    <row r="124" spans="1:31">
      <c r="A124" s="1176"/>
      <c r="B124" s="1334"/>
      <c r="C124" s="1176"/>
      <c r="D124" s="1177"/>
      <c r="E124" s="1177"/>
      <c r="F124" s="1178"/>
      <c r="G124" s="1178"/>
      <c r="H124" s="1179"/>
      <c r="I124" s="1182"/>
      <c r="J124" s="1183"/>
      <c r="K124" s="1054">
        <v>0</v>
      </c>
      <c r="L124" s="1054">
        <v>0</v>
      </c>
      <c r="M124" s="1054">
        <v>0</v>
      </c>
      <c r="N124" s="1054">
        <v>0</v>
      </c>
      <c r="O124" s="1054">
        <v>0</v>
      </c>
      <c r="P124" s="1054">
        <v>0</v>
      </c>
      <c r="Q124" s="1054">
        <v>0</v>
      </c>
      <c r="R124" s="1054">
        <v>0</v>
      </c>
      <c r="S124" s="1054">
        <v>0</v>
      </c>
      <c r="T124" s="1054">
        <v>0</v>
      </c>
      <c r="U124" s="1054">
        <v>0</v>
      </c>
      <c r="V124" s="1054">
        <v>0</v>
      </c>
      <c r="W124" s="1054">
        <v>0</v>
      </c>
      <c r="X124" s="1054">
        <v>0</v>
      </c>
      <c r="Y124" s="1054">
        <v>0</v>
      </c>
      <c r="Z124" s="1054">
        <v>0</v>
      </c>
      <c r="AA124" s="1054">
        <v>0</v>
      </c>
      <c r="AB124" s="1054">
        <v>0</v>
      </c>
      <c r="AC124" s="1054">
        <v>0</v>
      </c>
      <c r="AD124" s="1054">
        <v>0</v>
      </c>
      <c r="AE124" s="997">
        <f t="shared" si="9"/>
        <v>0</v>
      </c>
    </row>
    <row r="125" spans="1:31">
      <c r="A125" s="1176"/>
      <c r="B125" s="1332"/>
      <c r="C125" s="1177"/>
      <c r="D125" s="1177"/>
      <c r="E125" s="1177"/>
      <c r="F125" s="1178"/>
      <c r="G125" s="1178"/>
      <c r="H125" s="1179"/>
      <c r="I125" s="1182"/>
      <c r="J125" s="1183"/>
      <c r="K125" s="1054">
        <v>0</v>
      </c>
      <c r="L125" s="1054">
        <v>0</v>
      </c>
      <c r="M125" s="1054">
        <v>0</v>
      </c>
      <c r="N125" s="1054">
        <v>0</v>
      </c>
      <c r="O125" s="1054">
        <v>0</v>
      </c>
      <c r="P125" s="1054">
        <v>0</v>
      </c>
      <c r="Q125" s="1054">
        <v>0</v>
      </c>
      <c r="R125" s="1054">
        <v>0</v>
      </c>
      <c r="S125" s="1054">
        <v>0</v>
      </c>
      <c r="T125" s="1054">
        <v>0</v>
      </c>
      <c r="U125" s="1054">
        <v>0</v>
      </c>
      <c r="V125" s="1054">
        <v>0</v>
      </c>
      <c r="W125" s="1054">
        <v>0</v>
      </c>
      <c r="X125" s="1054">
        <v>0</v>
      </c>
      <c r="Y125" s="1054">
        <v>0</v>
      </c>
      <c r="Z125" s="1054">
        <v>0</v>
      </c>
      <c r="AA125" s="1054">
        <v>0</v>
      </c>
      <c r="AB125" s="1054">
        <v>0</v>
      </c>
      <c r="AC125" s="1054">
        <v>0</v>
      </c>
      <c r="AD125" s="1054">
        <v>0</v>
      </c>
      <c r="AE125" s="997">
        <f t="shared" si="9"/>
        <v>0</v>
      </c>
    </row>
    <row r="126" spans="1:31">
      <c r="A126" s="1176"/>
      <c r="B126" s="1332"/>
      <c r="C126" s="1177"/>
      <c r="D126" s="1177"/>
      <c r="E126" s="1177"/>
      <c r="F126" s="1178"/>
      <c r="G126" s="1178"/>
      <c r="H126" s="1179"/>
      <c r="I126" s="1182"/>
      <c r="J126" s="1183"/>
      <c r="K126" s="1054">
        <v>0</v>
      </c>
      <c r="L126" s="1054">
        <v>0</v>
      </c>
      <c r="M126" s="1054">
        <v>0</v>
      </c>
      <c r="N126" s="1054">
        <v>0</v>
      </c>
      <c r="O126" s="1054">
        <v>0</v>
      </c>
      <c r="P126" s="1054">
        <v>0</v>
      </c>
      <c r="Q126" s="1054">
        <v>0</v>
      </c>
      <c r="R126" s="1054">
        <v>0</v>
      </c>
      <c r="S126" s="1054">
        <v>0</v>
      </c>
      <c r="T126" s="1054">
        <v>0</v>
      </c>
      <c r="U126" s="1054">
        <v>0</v>
      </c>
      <c r="V126" s="1054">
        <v>0</v>
      </c>
      <c r="W126" s="1054">
        <v>0</v>
      </c>
      <c r="X126" s="1054">
        <v>0</v>
      </c>
      <c r="Y126" s="1054">
        <v>0</v>
      </c>
      <c r="Z126" s="1054">
        <v>0</v>
      </c>
      <c r="AA126" s="1054">
        <v>0</v>
      </c>
      <c r="AB126" s="1054">
        <v>0</v>
      </c>
      <c r="AC126" s="1054">
        <v>0</v>
      </c>
      <c r="AD126" s="1054">
        <v>0</v>
      </c>
      <c r="AE126" s="997">
        <f t="shared" si="9"/>
        <v>0</v>
      </c>
    </row>
    <row r="127" spans="1:31">
      <c r="A127" s="1176"/>
      <c r="B127" s="1332"/>
      <c r="C127" s="1177"/>
      <c r="D127" s="1177"/>
      <c r="E127" s="1177"/>
      <c r="F127" s="1178"/>
      <c r="G127" s="1178"/>
      <c r="H127" s="1179"/>
      <c r="I127" s="1182"/>
      <c r="J127" s="1183"/>
      <c r="K127" s="1054">
        <v>0</v>
      </c>
      <c r="L127" s="1054">
        <v>0</v>
      </c>
      <c r="M127" s="1054">
        <v>0</v>
      </c>
      <c r="N127" s="1054">
        <v>0</v>
      </c>
      <c r="O127" s="1054">
        <v>0</v>
      </c>
      <c r="P127" s="1054">
        <v>0</v>
      </c>
      <c r="Q127" s="1054">
        <v>0</v>
      </c>
      <c r="R127" s="1054">
        <v>0</v>
      </c>
      <c r="S127" s="1054">
        <v>0</v>
      </c>
      <c r="T127" s="1054">
        <v>0</v>
      </c>
      <c r="U127" s="1054">
        <v>0</v>
      </c>
      <c r="V127" s="1054">
        <v>0</v>
      </c>
      <c r="W127" s="1054">
        <v>0</v>
      </c>
      <c r="X127" s="1054">
        <v>0</v>
      </c>
      <c r="Y127" s="1054">
        <v>0</v>
      </c>
      <c r="Z127" s="1054">
        <v>0</v>
      </c>
      <c r="AA127" s="1054">
        <v>0</v>
      </c>
      <c r="AB127" s="1054">
        <v>0</v>
      </c>
      <c r="AC127" s="1054">
        <v>0</v>
      </c>
      <c r="AD127" s="1054">
        <v>0</v>
      </c>
      <c r="AE127" s="997">
        <f t="shared" ref="AE127:AE136" si="10">SUM(K127:AD127)</f>
        <v>0</v>
      </c>
    </row>
    <row r="128" spans="1:31">
      <c r="A128" s="1176"/>
      <c r="B128" s="1332"/>
      <c r="C128" s="1177"/>
      <c r="D128" s="1177"/>
      <c r="E128" s="1177"/>
      <c r="F128" s="1178"/>
      <c r="G128" s="1178"/>
      <c r="H128" s="1179"/>
      <c r="I128" s="1182"/>
      <c r="J128" s="1183"/>
      <c r="K128" s="1054">
        <v>0</v>
      </c>
      <c r="L128" s="1054">
        <v>0</v>
      </c>
      <c r="M128" s="1054">
        <v>0</v>
      </c>
      <c r="N128" s="1054">
        <v>0</v>
      </c>
      <c r="O128" s="1054">
        <v>0</v>
      </c>
      <c r="P128" s="1054">
        <v>0</v>
      </c>
      <c r="Q128" s="1054">
        <v>0</v>
      </c>
      <c r="R128" s="1054">
        <v>0</v>
      </c>
      <c r="S128" s="1054">
        <v>0</v>
      </c>
      <c r="T128" s="1054">
        <v>0</v>
      </c>
      <c r="U128" s="1054">
        <v>0</v>
      </c>
      <c r="V128" s="1054">
        <v>0</v>
      </c>
      <c r="W128" s="1054">
        <v>0</v>
      </c>
      <c r="X128" s="1054">
        <v>0</v>
      </c>
      <c r="Y128" s="1054">
        <v>0</v>
      </c>
      <c r="Z128" s="1054">
        <v>0</v>
      </c>
      <c r="AA128" s="1054">
        <v>0</v>
      </c>
      <c r="AB128" s="1054">
        <v>0</v>
      </c>
      <c r="AC128" s="1054">
        <v>0</v>
      </c>
      <c r="AD128" s="1054">
        <v>0</v>
      </c>
      <c r="AE128" s="997">
        <f t="shared" si="10"/>
        <v>0</v>
      </c>
    </row>
    <row r="129" spans="1:31">
      <c r="A129" s="1176"/>
      <c r="B129" s="1332"/>
      <c r="C129" s="1177"/>
      <c r="D129" s="1177"/>
      <c r="E129" s="1177"/>
      <c r="F129" s="1178"/>
      <c r="G129" s="1178"/>
      <c r="H129" s="1179"/>
      <c r="I129" s="1182"/>
      <c r="J129" s="1183"/>
      <c r="K129" s="1054">
        <v>0</v>
      </c>
      <c r="L129" s="1054">
        <v>0</v>
      </c>
      <c r="M129" s="1054">
        <v>0</v>
      </c>
      <c r="N129" s="1054">
        <v>0</v>
      </c>
      <c r="O129" s="1054">
        <v>0</v>
      </c>
      <c r="P129" s="1054">
        <v>0</v>
      </c>
      <c r="Q129" s="1054">
        <v>0</v>
      </c>
      <c r="R129" s="1054">
        <v>0</v>
      </c>
      <c r="S129" s="1054">
        <v>0</v>
      </c>
      <c r="T129" s="1054">
        <v>0</v>
      </c>
      <c r="U129" s="1054">
        <v>0</v>
      </c>
      <c r="V129" s="1054">
        <v>0</v>
      </c>
      <c r="W129" s="1054">
        <v>0</v>
      </c>
      <c r="X129" s="1054">
        <v>0</v>
      </c>
      <c r="Y129" s="1054">
        <v>0</v>
      </c>
      <c r="Z129" s="1054">
        <v>0</v>
      </c>
      <c r="AA129" s="1054">
        <v>0</v>
      </c>
      <c r="AB129" s="1054">
        <v>0</v>
      </c>
      <c r="AC129" s="1054">
        <v>0</v>
      </c>
      <c r="AD129" s="1054">
        <v>0</v>
      </c>
      <c r="AE129" s="997">
        <f t="shared" si="10"/>
        <v>0</v>
      </c>
    </row>
    <row r="130" spans="1:31">
      <c r="A130" s="1176"/>
      <c r="B130" s="1332"/>
      <c r="C130" s="1177"/>
      <c r="D130" s="1177"/>
      <c r="E130" s="1177"/>
      <c r="F130" s="1178"/>
      <c r="G130" s="1178"/>
      <c r="H130" s="1179"/>
      <c r="I130" s="1182"/>
      <c r="J130" s="1183"/>
      <c r="K130" s="1054">
        <v>0</v>
      </c>
      <c r="L130" s="1054">
        <v>0</v>
      </c>
      <c r="M130" s="1054">
        <v>0</v>
      </c>
      <c r="N130" s="1054">
        <v>0</v>
      </c>
      <c r="O130" s="1054">
        <v>0</v>
      </c>
      <c r="P130" s="1054">
        <v>0</v>
      </c>
      <c r="Q130" s="1054">
        <v>0</v>
      </c>
      <c r="R130" s="1054">
        <v>0</v>
      </c>
      <c r="S130" s="1054">
        <v>0</v>
      </c>
      <c r="T130" s="1054">
        <v>0</v>
      </c>
      <c r="U130" s="1054">
        <v>0</v>
      </c>
      <c r="V130" s="1054">
        <v>0</v>
      </c>
      <c r="W130" s="1054">
        <v>0</v>
      </c>
      <c r="X130" s="1054">
        <v>0</v>
      </c>
      <c r="Y130" s="1054">
        <v>0</v>
      </c>
      <c r="Z130" s="1054">
        <v>0</v>
      </c>
      <c r="AA130" s="1054">
        <v>0</v>
      </c>
      <c r="AB130" s="1054">
        <v>0</v>
      </c>
      <c r="AC130" s="1054">
        <v>0</v>
      </c>
      <c r="AD130" s="1054">
        <v>0</v>
      </c>
      <c r="AE130" s="997">
        <f t="shared" si="10"/>
        <v>0</v>
      </c>
    </row>
    <row r="131" spans="1:31">
      <c r="A131" s="1176"/>
      <c r="B131" s="1332"/>
      <c r="C131" s="1177"/>
      <c r="D131" s="1177"/>
      <c r="E131" s="1177"/>
      <c r="F131" s="1178"/>
      <c r="G131" s="1178"/>
      <c r="H131" s="1179"/>
      <c r="I131" s="1182"/>
      <c r="J131" s="1183"/>
      <c r="K131" s="1054">
        <v>0</v>
      </c>
      <c r="L131" s="1054">
        <v>0</v>
      </c>
      <c r="M131" s="1054">
        <v>0</v>
      </c>
      <c r="N131" s="1054">
        <v>0</v>
      </c>
      <c r="O131" s="1054">
        <v>0</v>
      </c>
      <c r="P131" s="1054">
        <v>0</v>
      </c>
      <c r="Q131" s="1054">
        <v>0</v>
      </c>
      <c r="R131" s="1054">
        <v>0</v>
      </c>
      <c r="S131" s="1054">
        <v>0</v>
      </c>
      <c r="T131" s="1054">
        <v>0</v>
      </c>
      <c r="U131" s="1054">
        <v>0</v>
      </c>
      <c r="V131" s="1054">
        <v>0</v>
      </c>
      <c r="W131" s="1054">
        <v>0</v>
      </c>
      <c r="X131" s="1054">
        <v>0</v>
      </c>
      <c r="Y131" s="1054">
        <v>0</v>
      </c>
      <c r="Z131" s="1054">
        <v>0</v>
      </c>
      <c r="AA131" s="1054">
        <v>0</v>
      </c>
      <c r="AB131" s="1054">
        <v>0</v>
      </c>
      <c r="AC131" s="1054">
        <v>0</v>
      </c>
      <c r="AD131" s="1054">
        <v>0</v>
      </c>
      <c r="AE131" s="997">
        <f t="shared" si="10"/>
        <v>0</v>
      </c>
    </row>
    <row r="132" spans="1:31">
      <c r="A132" s="1176"/>
      <c r="B132" s="1332"/>
      <c r="C132" s="1177"/>
      <c r="D132" s="1177"/>
      <c r="E132" s="1177"/>
      <c r="F132" s="1178"/>
      <c r="G132" s="1178"/>
      <c r="H132" s="1179"/>
      <c r="I132" s="1182"/>
      <c r="J132" s="1183"/>
      <c r="K132" s="1054">
        <v>0</v>
      </c>
      <c r="L132" s="1054">
        <v>0</v>
      </c>
      <c r="M132" s="1054">
        <v>0</v>
      </c>
      <c r="N132" s="1054">
        <v>0</v>
      </c>
      <c r="O132" s="1054">
        <v>0</v>
      </c>
      <c r="P132" s="1054">
        <v>0</v>
      </c>
      <c r="Q132" s="1054">
        <v>0</v>
      </c>
      <c r="R132" s="1054">
        <v>0</v>
      </c>
      <c r="S132" s="1054">
        <v>0</v>
      </c>
      <c r="T132" s="1054">
        <v>0</v>
      </c>
      <c r="U132" s="1054">
        <v>0</v>
      </c>
      <c r="V132" s="1054">
        <v>0</v>
      </c>
      <c r="W132" s="1054">
        <v>0</v>
      </c>
      <c r="X132" s="1054">
        <v>0</v>
      </c>
      <c r="Y132" s="1054">
        <v>0</v>
      </c>
      <c r="Z132" s="1054">
        <v>0</v>
      </c>
      <c r="AA132" s="1054">
        <v>0</v>
      </c>
      <c r="AB132" s="1054">
        <v>0</v>
      </c>
      <c r="AC132" s="1054">
        <v>0</v>
      </c>
      <c r="AD132" s="1054">
        <v>0</v>
      </c>
      <c r="AE132" s="997">
        <f t="shared" si="10"/>
        <v>0</v>
      </c>
    </row>
    <row r="133" spans="1:31">
      <c r="A133" s="1176"/>
      <c r="B133" s="1334"/>
      <c r="C133" s="1176"/>
      <c r="D133" s="1177"/>
      <c r="E133" s="1177"/>
      <c r="F133" s="1178"/>
      <c r="G133" s="1178"/>
      <c r="H133" s="1179"/>
      <c r="I133" s="1182"/>
      <c r="J133" s="1183"/>
      <c r="K133" s="1054">
        <v>0</v>
      </c>
      <c r="L133" s="1054">
        <v>0</v>
      </c>
      <c r="M133" s="1054">
        <v>0</v>
      </c>
      <c r="N133" s="1054">
        <v>0</v>
      </c>
      <c r="O133" s="1054">
        <v>0</v>
      </c>
      <c r="P133" s="1054">
        <v>0</v>
      </c>
      <c r="Q133" s="1054">
        <v>0</v>
      </c>
      <c r="R133" s="1054">
        <v>0</v>
      </c>
      <c r="S133" s="1054">
        <v>0</v>
      </c>
      <c r="T133" s="1054">
        <v>0</v>
      </c>
      <c r="U133" s="1054">
        <v>0</v>
      </c>
      <c r="V133" s="1054">
        <v>0</v>
      </c>
      <c r="W133" s="1054">
        <v>0</v>
      </c>
      <c r="X133" s="1054">
        <v>0</v>
      </c>
      <c r="Y133" s="1054">
        <v>0</v>
      </c>
      <c r="Z133" s="1054">
        <v>0</v>
      </c>
      <c r="AA133" s="1054">
        <v>0</v>
      </c>
      <c r="AB133" s="1054">
        <v>0</v>
      </c>
      <c r="AC133" s="1054">
        <v>0</v>
      </c>
      <c r="AD133" s="1054">
        <v>0</v>
      </c>
      <c r="AE133" s="997">
        <f t="shared" si="10"/>
        <v>0</v>
      </c>
    </row>
    <row r="134" spans="1:31">
      <c r="A134" s="1176"/>
      <c r="B134" s="1334"/>
      <c r="C134" s="1176"/>
      <c r="D134" s="1177"/>
      <c r="E134" s="1177"/>
      <c r="F134" s="1178"/>
      <c r="G134" s="1178"/>
      <c r="H134" s="1179"/>
      <c r="I134" s="1182"/>
      <c r="J134" s="1183"/>
      <c r="K134" s="1054">
        <v>0</v>
      </c>
      <c r="L134" s="1054">
        <v>0</v>
      </c>
      <c r="M134" s="1054">
        <v>0</v>
      </c>
      <c r="N134" s="1054">
        <v>0</v>
      </c>
      <c r="O134" s="1054">
        <v>0</v>
      </c>
      <c r="P134" s="1054">
        <v>0</v>
      </c>
      <c r="Q134" s="1054">
        <v>0</v>
      </c>
      <c r="R134" s="1054">
        <v>0</v>
      </c>
      <c r="S134" s="1054">
        <v>0</v>
      </c>
      <c r="T134" s="1054">
        <v>0</v>
      </c>
      <c r="U134" s="1054">
        <v>0</v>
      </c>
      <c r="V134" s="1054">
        <v>0</v>
      </c>
      <c r="W134" s="1054">
        <v>0</v>
      </c>
      <c r="X134" s="1054">
        <v>0</v>
      </c>
      <c r="Y134" s="1054">
        <v>0</v>
      </c>
      <c r="Z134" s="1054">
        <v>0</v>
      </c>
      <c r="AA134" s="1054">
        <v>0</v>
      </c>
      <c r="AB134" s="1054">
        <v>0</v>
      </c>
      <c r="AC134" s="1054">
        <v>0</v>
      </c>
      <c r="AD134" s="1054">
        <v>0</v>
      </c>
      <c r="AE134" s="997">
        <f t="shared" si="10"/>
        <v>0</v>
      </c>
    </row>
    <row r="135" spans="1:31">
      <c r="A135" s="1176"/>
      <c r="B135" s="1332"/>
      <c r="C135" s="1177"/>
      <c r="D135" s="1177"/>
      <c r="E135" s="1177"/>
      <c r="F135" s="1178"/>
      <c r="G135" s="1178"/>
      <c r="H135" s="1179"/>
      <c r="I135" s="1182"/>
      <c r="J135" s="1183"/>
      <c r="K135" s="1054">
        <v>0</v>
      </c>
      <c r="L135" s="1054">
        <v>0</v>
      </c>
      <c r="M135" s="1054">
        <v>0</v>
      </c>
      <c r="N135" s="1054">
        <v>0</v>
      </c>
      <c r="O135" s="1054">
        <v>0</v>
      </c>
      <c r="P135" s="1054">
        <v>0</v>
      </c>
      <c r="Q135" s="1054">
        <v>0</v>
      </c>
      <c r="R135" s="1054">
        <v>0</v>
      </c>
      <c r="S135" s="1054">
        <v>0</v>
      </c>
      <c r="T135" s="1054">
        <v>0</v>
      </c>
      <c r="U135" s="1054">
        <v>0</v>
      </c>
      <c r="V135" s="1054">
        <v>0</v>
      </c>
      <c r="W135" s="1054">
        <v>0</v>
      </c>
      <c r="X135" s="1054">
        <v>0</v>
      </c>
      <c r="Y135" s="1054">
        <v>0</v>
      </c>
      <c r="Z135" s="1054">
        <v>0</v>
      </c>
      <c r="AA135" s="1054">
        <v>0</v>
      </c>
      <c r="AB135" s="1054">
        <v>0</v>
      </c>
      <c r="AC135" s="1054">
        <v>0</v>
      </c>
      <c r="AD135" s="1054">
        <v>0</v>
      </c>
      <c r="AE135" s="997">
        <f t="shared" si="10"/>
        <v>0</v>
      </c>
    </row>
    <row r="136" spans="1:31" ht="15" thickBot="1">
      <c r="A136" s="1176"/>
      <c r="B136" s="1332"/>
      <c r="C136" s="1177"/>
      <c r="D136" s="1177"/>
      <c r="E136" s="1177"/>
      <c r="F136" s="1178"/>
      <c r="G136" s="1178"/>
      <c r="H136" s="1179"/>
      <c r="I136" s="1182"/>
      <c r="J136" s="1183"/>
      <c r="K136" s="1054">
        <v>0</v>
      </c>
      <c r="L136" s="1054">
        <v>0</v>
      </c>
      <c r="M136" s="1054">
        <v>0</v>
      </c>
      <c r="N136" s="1054">
        <v>0</v>
      </c>
      <c r="O136" s="1054">
        <v>0</v>
      </c>
      <c r="P136" s="1054">
        <v>0</v>
      </c>
      <c r="Q136" s="1054">
        <v>0</v>
      </c>
      <c r="R136" s="1054">
        <v>0</v>
      </c>
      <c r="S136" s="1054">
        <v>0</v>
      </c>
      <c r="T136" s="1054">
        <v>0</v>
      </c>
      <c r="U136" s="1054">
        <v>0</v>
      </c>
      <c r="V136" s="1054">
        <v>0</v>
      </c>
      <c r="W136" s="1054">
        <v>0</v>
      </c>
      <c r="X136" s="1054">
        <v>0</v>
      </c>
      <c r="Y136" s="1054">
        <v>0</v>
      </c>
      <c r="Z136" s="1054">
        <v>0</v>
      </c>
      <c r="AA136" s="1054">
        <v>0</v>
      </c>
      <c r="AB136" s="1054">
        <v>0</v>
      </c>
      <c r="AC136" s="1054">
        <v>0</v>
      </c>
      <c r="AD136" s="1054">
        <v>0</v>
      </c>
      <c r="AE136" s="997">
        <f t="shared" si="10"/>
        <v>0</v>
      </c>
    </row>
    <row r="137" spans="1:31">
      <c r="A137" s="1212"/>
      <c r="B137" s="1213"/>
      <c r="C137" s="1213"/>
      <c r="D137" s="1213"/>
      <c r="E137" s="1213"/>
      <c r="F137" s="1214"/>
      <c r="G137" s="1214"/>
      <c r="H137" s="1085"/>
      <c r="I137" s="1215"/>
      <c r="J137" s="1217"/>
      <c r="K137" s="1084"/>
      <c r="L137" s="1084"/>
      <c r="M137" s="1084"/>
      <c r="N137" s="1084"/>
      <c r="O137" s="1084"/>
      <c r="P137" s="1084"/>
      <c r="Q137" s="1084"/>
      <c r="R137" s="1084"/>
      <c r="S137" s="1084"/>
      <c r="T137" s="1084"/>
      <c r="U137" s="1084"/>
      <c r="V137" s="1084"/>
      <c r="W137" s="1084"/>
      <c r="X137" s="1084"/>
      <c r="Y137" s="1084"/>
      <c r="Z137" s="1084"/>
      <c r="AA137" s="1084"/>
      <c r="AB137" s="1084"/>
      <c r="AC137" s="1084"/>
      <c r="AD137" s="1084"/>
      <c r="AE137" s="1216"/>
    </row>
    <row r="138" spans="1:31">
      <c r="A138" s="1209"/>
      <c r="B138" s="1210"/>
      <c r="C138" s="1210"/>
      <c r="D138" s="1210"/>
      <c r="E138" s="1210"/>
      <c r="F138" s="1211"/>
      <c r="G138" s="1211"/>
      <c r="H138" s="981"/>
      <c r="I138" s="999"/>
      <c r="J138" s="981"/>
      <c r="K138" s="1000"/>
      <c r="L138" s="1000"/>
      <c r="M138" s="1000"/>
      <c r="N138" s="1000"/>
      <c r="O138" s="1000"/>
      <c r="P138" s="1000"/>
      <c r="Q138" s="1000"/>
      <c r="R138" s="1000"/>
      <c r="S138" s="1000"/>
      <c r="T138" s="1000"/>
      <c r="U138" s="1000"/>
      <c r="V138" s="1000"/>
      <c r="W138" s="1000"/>
      <c r="X138" s="1000"/>
      <c r="Y138" s="1000"/>
      <c r="Z138" s="1000"/>
      <c r="AA138" s="1000"/>
      <c r="AB138" s="1000"/>
      <c r="AC138" s="1000"/>
      <c r="AD138" s="1000"/>
      <c r="AE138" s="1001"/>
    </row>
    <row r="139" spans="1:31" s="978" customFormat="1" ht="16.2" customHeight="1">
      <c r="A139" s="1002"/>
      <c r="D139" s="1003"/>
      <c r="E139" s="1003"/>
      <c r="F139" s="1003"/>
      <c r="G139" s="1003"/>
      <c r="H139" s="1003"/>
      <c r="I139" s="1004"/>
    </row>
    <row r="140" spans="1:31" s="1007" customFormat="1" ht="16.2" customHeight="1">
      <c r="A140" s="1006"/>
      <c r="D140" s="1008"/>
      <c r="E140" s="1008"/>
      <c r="F140" s="1008"/>
      <c r="G140" s="1008"/>
      <c r="H140" s="1008"/>
      <c r="I140" s="1009"/>
      <c r="J140" s="1009"/>
    </row>
    <row r="141" spans="1:31" s="1007" customFormat="1" ht="13.2">
      <c r="A141" s="1011"/>
      <c r="D141" s="1008"/>
      <c r="E141" s="1008"/>
      <c r="F141" s="1008"/>
      <c r="G141" s="1008"/>
      <c r="H141" s="1008"/>
      <c r="I141" s="1009"/>
      <c r="J141" s="1009"/>
      <c r="K141" s="1010"/>
      <c r="L141" s="1010"/>
      <c r="M141" s="1010"/>
      <c r="N141" s="1010"/>
      <c r="O141" s="1010"/>
      <c r="P141" s="1010"/>
      <c r="Q141" s="1010"/>
      <c r="R141" s="1010"/>
      <c r="S141" s="1010"/>
      <c r="T141" s="1010"/>
      <c r="U141" s="1010"/>
      <c r="V141" s="1010"/>
      <c r="W141" s="1010"/>
      <c r="X141" s="1010"/>
      <c r="Y141" s="1010"/>
      <c r="Z141" s="1010"/>
      <c r="AA141" s="1010"/>
      <c r="AB141" s="1010"/>
      <c r="AC141" s="1010"/>
      <c r="AD141" s="1010"/>
      <c r="AE141" s="1010"/>
    </row>
    <row r="142" spans="1:31" s="1007" customFormat="1" ht="15.6" customHeight="1">
      <c r="A142" s="1011"/>
      <c r="D142" s="1008"/>
      <c r="E142" s="1008"/>
      <c r="F142" s="1008"/>
      <c r="G142" s="1008"/>
      <c r="H142" s="1008"/>
      <c r="I142" s="1009"/>
      <c r="J142" s="1009"/>
      <c r="K142" s="1010"/>
      <c r="L142" s="1010"/>
      <c r="M142" s="1010"/>
      <c r="N142" s="1010"/>
      <c r="O142" s="1010"/>
      <c r="P142" s="1010"/>
      <c r="Q142" s="1010"/>
      <c r="R142" s="1010"/>
      <c r="S142" s="1010"/>
      <c r="T142" s="1010"/>
      <c r="U142" s="1010"/>
      <c r="V142" s="1010"/>
      <c r="W142" s="1010"/>
      <c r="X142" s="1010"/>
      <c r="Y142" s="1010"/>
      <c r="Z142" s="1010"/>
      <c r="AA142" s="1010"/>
      <c r="AB142" s="1010"/>
      <c r="AC142" s="1010"/>
      <c r="AD142" s="1010"/>
      <c r="AE142" s="1010"/>
    </row>
    <row r="143" spans="1:31" s="1007" customFormat="1" ht="13.2">
      <c r="A143" s="1011"/>
      <c r="D143" s="1008"/>
      <c r="E143" s="1008"/>
      <c r="F143" s="1008"/>
      <c r="G143" s="1008"/>
      <c r="H143" s="1008"/>
      <c r="I143" s="1009"/>
      <c r="J143" s="1009"/>
      <c r="K143" s="1010"/>
      <c r="L143" s="1010"/>
      <c r="M143" s="1010"/>
      <c r="N143" s="1010"/>
      <c r="O143" s="1010"/>
      <c r="P143" s="1010"/>
      <c r="Q143" s="1010"/>
      <c r="R143" s="1010"/>
      <c r="S143" s="1010"/>
      <c r="T143" s="1010"/>
      <c r="U143" s="1010"/>
      <c r="V143" s="1010"/>
      <c r="W143" s="1010"/>
      <c r="X143" s="1010"/>
      <c r="Y143" s="1010"/>
      <c r="Z143" s="1010"/>
      <c r="AA143" s="1010"/>
      <c r="AB143" s="1010"/>
      <c r="AC143" s="1010"/>
      <c r="AD143" s="1010"/>
      <c r="AE143" s="1010"/>
    </row>
    <row r="144" spans="1:31" ht="15.6">
      <c r="A144" s="990"/>
      <c r="B144" s="990"/>
      <c r="C144" s="990"/>
      <c r="D144" s="990"/>
      <c r="E144" s="990"/>
      <c r="F144" s="990"/>
      <c r="G144" s="990"/>
      <c r="H144" s="990"/>
      <c r="I144" s="990"/>
      <c r="J144" s="990"/>
      <c r="K144" s="989"/>
      <c r="L144" s="990"/>
      <c r="M144" s="990"/>
      <c r="N144" s="1012"/>
      <c r="O144" s="1012"/>
      <c r="P144" s="1012"/>
      <c r="Z144" s="1013"/>
      <c r="AA144" s="1013"/>
      <c r="AB144" s="977"/>
    </row>
    <row r="145" spans="1:31" ht="15.6">
      <c r="A145" s="990"/>
      <c r="B145" s="990"/>
      <c r="C145" s="990"/>
      <c r="D145" s="1014"/>
      <c r="E145" s="1014"/>
      <c r="F145" s="1014"/>
      <c r="G145" s="1014"/>
      <c r="H145" s="1014"/>
      <c r="I145" s="990"/>
      <c r="J145" s="990"/>
      <c r="K145" s="1015"/>
      <c r="L145" s="1016"/>
      <c r="M145" s="1017"/>
      <c r="N145" s="1017"/>
      <c r="O145" s="1017"/>
      <c r="P145" s="1017"/>
      <c r="Q145" s="1017"/>
      <c r="R145" s="1017"/>
      <c r="S145" s="1017"/>
      <c r="T145" s="1017"/>
      <c r="U145" s="1017"/>
      <c r="V145" s="1017"/>
      <c r="W145" s="1017"/>
      <c r="X145" s="1017"/>
      <c r="Y145" s="1017"/>
      <c r="Z145" s="1017"/>
      <c r="AA145" s="1017"/>
      <c r="AB145" s="1017"/>
      <c r="AC145" s="1017"/>
      <c r="AD145" s="1017"/>
      <c r="AE145" s="1017"/>
    </row>
    <row r="146" spans="1:31" ht="15.6">
      <c r="A146" s="990"/>
      <c r="B146" s="990"/>
      <c r="C146" s="990"/>
      <c r="D146" s="990"/>
      <c r="E146" s="990"/>
      <c r="F146" s="990"/>
      <c r="G146" s="990"/>
      <c r="H146" s="990"/>
      <c r="I146" s="990"/>
      <c r="J146" s="990"/>
      <c r="K146" s="989"/>
      <c r="L146" s="990"/>
      <c r="M146" s="990"/>
      <c r="N146" s="990"/>
      <c r="O146" s="990"/>
      <c r="P146" s="990"/>
    </row>
  </sheetData>
  <sheetProtection algorithmName="SHA-512" hashValue="xCMbPjD4TI5yPeA2HYiHcfEIiNUxswzx27obOvZxE0Ildgi7TN4f/SnvjGpWy+kTBOfIZ86LW2bXRD+bLq9DBw==" saltValue="ap4Kdix1OEr5ULOXM8EoAw==" spinCount="100000" sheet="1" objects="1" scenarios="1" selectLockedCells="1"/>
  <pageMargins left="0.5" right="0.5" top="0.75" bottom="0.75" header="0.3" footer="0.3"/>
  <pageSetup paperSize="17" scale="54" fitToHeight="2" orientation="landscape" r:id="rId1"/>
  <rowBreaks count="1" manualBreakCount="1">
    <brk id="64"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26977" r:id="rId4" name="Button 1">
              <controlPr defaultSize="0" print="0" autoFill="0" autoPict="0" macro="[0]!AddRowCommonArea">
                <anchor moveWithCells="1" sizeWithCells="1">
                  <from>
                    <xdr:col>1</xdr:col>
                    <xdr:colOff>1066800</xdr:colOff>
                    <xdr:row>11</xdr:row>
                    <xdr:rowOff>99060</xdr:rowOff>
                  </from>
                  <to>
                    <xdr:col>4</xdr:col>
                    <xdr:colOff>312420</xdr:colOff>
                    <xdr:row>11</xdr:row>
                    <xdr:rowOff>335280</xdr:rowOff>
                  </to>
                </anchor>
              </controlPr>
            </control>
          </mc:Choice>
        </mc:AlternateContent>
        <mc:AlternateContent xmlns:mc="http://schemas.openxmlformats.org/markup-compatibility/2006">
          <mc:Choice Requires="x14">
            <control shapeId="126978" r:id="rId5" name="Button 2">
              <controlPr defaultSize="0" print="0" autoFill="0" autoPict="0" macro="[0]!AddRowUnits">
                <anchor moveWithCells="1" sizeWithCells="1">
                  <from>
                    <xdr:col>1</xdr:col>
                    <xdr:colOff>1059180</xdr:colOff>
                    <xdr:row>64</xdr:row>
                    <xdr:rowOff>83820</xdr:rowOff>
                  </from>
                  <to>
                    <xdr:col>4</xdr:col>
                    <xdr:colOff>289560</xdr:colOff>
                    <xdr:row>64</xdr:row>
                    <xdr:rowOff>335280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240B7-1594-4799-AFDF-96206B37579F}">
  <sheetPr codeName="Sheet17">
    <tabColor theme="7" tint="0.59999389629810485"/>
    <pageSetUpPr fitToPage="1"/>
  </sheetPr>
  <dimension ref="A1:XFC473"/>
  <sheetViews>
    <sheetView topLeftCell="A104" workbookViewId="0">
      <selection activeCell="I141" sqref="I141"/>
    </sheetView>
  </sheetViews>
  <sheetFormatPr defaultColWidth="0" defaultRowHeight="13.8"/>
  <cols>
    <col min="1" max="1" width="2.88671875" style="1428" customWidth="1"/>
    <col min="2" max="2" width="2.88671875" style="1397" customWidth="1"/>
    <col min="3" max="3" width="61.44140625" style="1397" customWidth="1"/>
    <col min="4" max="4" width="15.44140625" style="1415" customWidth="1"/>
    <col min="5" max="8" width="14.6640625" style="1397" customWidth="1"/>
    <col min="9" max="9" width="17.88671875" style="1402" customWidth="1"/>
    <col min="10" max="10" width="55.88671875" style="1397" customWidth="1"/>
    <col min="11" max="11" width="11.44140625" style="1404" customWidth="1"/>
    <col min="12" max="12" width="2.6640625" style="1397" customWidth="1"/>
    <col min="13" max="13" width="9.109375" style="1397" hidden="1" customWidth="1"/>
    <col min="14" max="18" width="0" style="1397" hidden="1" customWidth="1"/>
    <col min="19" max="16383" width="9.109375" style="1397" hidden="1"/>
    <col min="16384" max="16384" width="13.6640625" style="1397" hidden="1" customWidth="1"/>
  </cols>
  <sheetData>
    <row r="1" spans="1:12">
      <c r="A1" s="1396" t="s">
        <v>2</v>
      </c>
      <c r="C1" s="1398"/>
      <c r="D1" s="701" t="str">
        <f>IF('1.GeneralProjectInfo'!$D$3&lt;&gt;"",'1.GeneralProjectInfo'!$D$3,"")</f>
        <v/>
      </c>
      <c r="E1" s="1399"/>
      <c r="F1" s="1400"/>
      <c r="G1" s="1401" t="s">
        <v>1264</v>
      </c>
      <c r="H1" s="1647"/>
      <c r="J1" s="1403" t="s">
        <v>424</v>
      </c>
      <c r="L1" s="1405"/>
    </row>
    <row r="2" spans="1:12" ht="15" customHeight="1">
      <c r="A2" s="1396" t="s">
        <v>65</v>
      </c>
      <c r="C2" s="1398"/>
      <c r="D2" s="695" t="str">
        <f>IF('1.GeneralProjectInfo'!$A$13&lt;&gt;"",'1.GeneralProjectInfo'!$A$13,"")</f>
        <v/>
      </c>
      <c r="E2" s="1399"/>
      <c r="F2" s="1399"/>
      <c r="G2" s="1406"/>
      <c r="H2" s="1406"/>
      <c r="J2" s="1403" t="s">
        <v>424</v>
      </c>
      <c r="L2" s="1405"/>
    </row>
    <row r="3" spans="1:12" ht="15" customHeight="1">
      <c r="A3" s="1396" t="s">
        <v>66</v>
      </c>
      <c r="C3" s="1398"/>
      <c r="D3" s="128" t="str">
        <f>IF('1.GeneralProjectInfo'!$E$13&lt;&gt;"",CONCATENATE('1.GeneralProjectInfo'!$E$13," ",'1.GeneralProjectInfo'!$G$13," ",'1.GeneralProjectInfo'!$I$13),"")</f>
        <v/>
      </c>
      <c r="E3" s="1399"/>
      <c r="G3" s="1402"/>
      <c r="H3" s="1402"/>
      <c r="I3" s="1407"/>
      <c r="L3" s="1405"/>
    </row>
    <row r="4" spans="1:12" ht="15" customHeight="1">
      <c r="A4" s="1396" t="s">
        <v>59</v>
      </c>
      <c r="C4" s="1398"/>
      <c r="D4" s="808" t="str">
        <f>IF('1.GeneralProjectInfo'!$D$19&lt;&gt;"",'1.GeneralProjectInfo'!$D$19,"")</f>
        <v/>
      </c>
      <c r="E4" s="1399"/>
      <c r="F4" s="1399"/>
      <c r="G4" s="1398"/>
      <c r="H4" s="1398"/>
      <c r="I4" s="1396"/>
      <c r="L4" s="1405"/>
    </row>
    <row r="5" spans="1:12">
      <c r="A5" s="1408"/>
      <c r="D5" s="1399"/>
      <c r="E5" s="1409" t="str">
        <f>IF(OR(D138="",D139="",D140=""),"Don't forget to fill in D138:D140!","")</f>
        <v>Don't forget to fill in D138:D140!</v>
      </c>
      <c r="F5" s="1398"/>
      <c r="G5" s="1396"/>
      <c r="H5" s="1396"/>
      <c r="I5" s="1397"/>
      <c r="L5" s="1405"/>
    </row>
    <row r="6" spans="1:12">
      <c r="A6" s="1410" t="s">
        <v>1265</v>
      </c>
      <c r="C6" s="1411"/>
      <c r="D6" s="1412" t="s">
        <v>1266</v>
      </c>
      <c r="E6" s="1412" t="s">
        <v>1267</v>
      </c>
      <c r="F6" s="1412" t="s">
        <v>1268</v>
      </c>
      <c r="G6" s="1412" t="s">
        <v>1269</v>
      </c>
      <c r="H6" s="1412" t="s">
        <v>1270</v>
      </c>
      <c r="L6" s="1405"/>
    </row>
    <row r="7" spans="1:12">
      <c r="A7" s="1397"/>
      <c r="C7" s="1411" t="s">
        <v>1271</v>
      </c>
      <c r="D7" s="1649"/>
      <c r="E7" s="1483"/>
      <c r="F7" s="1483"/>
      <c r="G7" s="1483"/>
      <c r="H7" s="1483"/>
      <c r="I7" s="1648"/>
      <c r="J7" s="1396" t="s">
        <v>1355</v>
      </c>
      <c r="L7" s="1405"/>
    </row>
    <row r="8" spans="1:12">
      <c r="A8" s="1413"/>
      <c r="C8" s="1411" t="s">
        <v>648</v>
      </c>
      <c r="D8" s="1654"/>
      <c r="E8" s="1654"/>
      <c r="F8" s="1654"/>
      <c r="G8" s="1654"/>
      <c r="H8" s="1654"/>
      <c r="I8" s="1414">
        <f>SUM(D8:H8)</f>
        <v>0</v>
      </c>
      <c r="J8" s="1402" t="s">
        <v>1272</v>
      </c>
      <c r="L8" s="1405"/>
    </row>
    <row r="9" spans="1:12" ht="14.4">
      <c r="A9" s="1413"/>
      <c r="E9" s="1402"/>
      <c r="F9" s="1416"/>
      <c r="L9" s="1405"/>
    </row>
    <row r="10" spans="1:12" ht="14.4">
      <c r="A10" s="1397"/>
      <c r="D10" s="1402"/>
      <c r="E10" s="1402"/>
      <c r="F10" s="1416"/>
      <c r="I10" s="1402" t="s">
        <v>691</v>
      </c>
      <c r="J10" s="1417" t="s">
        <v>0</v>
      </c>
      <c r="L10" s="1405"/>
    </row>
    <row r="11" spans="1:12">
      <c r="A11" s="1413" t="s">
        <v>690</v>
      </c>
      <c r="C11" s="1413"/>
      <c r="D11" s="1418">
        <f>D128</f>
        <v>0</v>
      </c>
      <c r="E11" s="1418">
        <f>E128</f>
        <v>0</v>
      </c>
      <c r="F11" s="1418">
        <f>F128</f>
        <v>0</v>
      </c>
      <c r="G11" s="1418">
        <f t="shared" ref="G11" si="0">G128</f>
        <v>0</v>
      </c>
      <c r="H11" s="1418">
        <f>H128</f>
        <v>0</v>
      </c>
      <c r="I11" s="1414">
        <f>SUM(D11:H11)</f>
        <v>0</v>
      </c>
      <c r="J11" s="1419"/>
    </row>
    <row r="12" spans="1:12">
      <c r="A12" s="1402"/>
      <c r="C12" s="1411" t="s">
        <v>1110</v>
      </c>
      <c r="D12" s="1420"/>
      <c r="E12" s="1420"/>
      <c r="F12" s="1420"/>
      <c r="G12" s="1420"/>
      <c r="H12" s="1420"/>
      <c r="I12" s="1421"/>
      <c r="J12" s="1422"/>
    </row>
    <row r="13" spans="1:12">
      <c r="A13" s="1413" t="s">
        <v>689</v>
      </c>
      <c r="C13" s="1423" t="s">
        <v>424</v>
      </c>
      <c r="D13" s="1415" t="s">
        <v>424</v>
      </c>
      <c r="E13" s="1415"/>
      <c r="F13" s="1415"/>
      <c r="G13" s="1415"/>
      <c r="H13" s="1415"/>
      <c r="I13" s="1421"/>
      <c r="J13" s="1422"/>
    </row>
    <row r="14" spans="1:12">
      <c r="A14" s="1413"/>
      <c r="C14" s="1413"/>
      <c r="E14" s="1415"/>
      <c r="F14" s="1415"/>
      <c r="G14" s="1415"/>
      <c r="H14" s="1415"/>
      <c r="I14" s="1421"/>
      <c r="J14" s="1422" t="s">
        <v>424</v>
      </c>
    </row>
    <row r="15" spans="1:12">
      <c r="A15" s="1402" t="s">
        <v>688</v>
      </c>
      <c r="C15" s="1424"/>
      <c r="D15" s="1425"/>
      <c r="E15" s="1425"/>
      <c r="F15" s="1425"/>
      <c r="G15" s="1425"/>
      <c r="H15" s="1425"/>
      <c r="I15" s="1426"/>
      <c r="J15" s="1427" t="s">
        <v>424</v>
      </c>
    </row>
    <row r="16" spans="1:12">
      <c r="A16" s="1397"/>
      <c r="B16" s="1428"/>
      <c r="C16" s="1429" t="s">
        <v>687</v>
      </c>
      <c r="D16" s="1430"/>
      <c r="E16" s="1430"/>
      <c r="F16" s="1430"/>
      <c r="G16" s="1430"/>
      <c r="H16" s="1430"/>
      <c r="I16" s="1431">
        <f>SUM(D16:H16)</f>
        <v>0</v>
      </c>
      <c r="J16" s="1432"/>
    </row>
    <row r="17" spans="1:13">
      <c r="A17" s="1397"/>
      <c r="B17" s="1428"/>
      <c r="C17" s="1429" t="s">
        <v>1273</v>
      </c>
      <c r="D17" s="1430"/>
      <c r="E17" s="1430"/>
      <c r="F17" s="1430"/>
      <c r="G17" s="1430"/>
      <c r="H17" s="1430"/>
      <c r="I17" s="1431">
        <f>SUM(D17:H17)</f>
        <v>0</v>
      </c>
      <c r="J17" s="1432"/>
    </row>
    <row r="18" spans="1:13">
      <c r="A18" s="1397"/>
      <c r="B18" s="1428"/>
      <c r="C18" s="1429" t="s">
        <v>1121</v>
      </c>
      <c r="D18" s="1430"/>
      <c r="E18" s="1430"/>
      <c r="F18" s="1430"/>
      <c r="G18" s="1430"/>
      <c r="H18" s="1430"/>
      <c r="I18" s="1431">
        <f>SUM(D18:H18)</f>
        <v>0</v>
      </c>
      <c r="J18" s="1432"/>
    </row>
    <row r="19" spans="1:13" s="1436" customFormat="1" ht="14.4">
      <c r="A19" s="1397"/>
      <c r="B19" s="1433"/>
      <c r="C19" s="1429" t="s">
        <v>1122</v>
      </c>
      <c r="D19" s="1430"/>
      <c r="E19" s="1430"/>
      <c r="F19" s="1430"/>
      <c r="G19" s="1430"/>
      <c r="H19" s="1430"/>
      <c r="I19" s="1431">
        <f>SUM(D19:H19)</f>
        <v>0</v>
      </c>
      <c r="J19" s="1434"/>
      <c r="K19" s="1435"/>
    </row>
    <row r="20" spans="1:13" s="1406" customFormat="1" ht="14.4">
      <c r="A20" s="1402"/>
      <c r="B20" s="1402"/>
      <c r="C20" s="1437" t="s">
        <v>685</v>
      </c>
      <c r="D20" s="1438">
        <f t="shared" ref="D20:H20" si="1">SUM(D16:D19)</f>
        <v>0</v>
      </c>
      <c r="E20" s="1438">
        <f t="shared" si="1"/>
        <v>0</v>
      </c>
      <c r="F20" s="1438">
        <f t="shared" si="1"/>
        <v>0</v>
      </c>
      <c r="G20" s="1438">
        <f t="shared" si="1"/>
        <v>0</v>
      </c>
      <c r="H20" s="1438">
        <f t="shared" si="1"/>
        <v>0</v>
      </c>
      <c r="I20" s="1439">
        <f>SUM(D20:H20)</f>
        <v>0</v>
      </c>
      <c r="J20" s="1440"/>
      <c r="K20" s="1435"/>
    </row>
    <row r="21" spans="1:13" s="1406" customFormat="1">
      <c r="A21" s="1402"/>
      <c r="B21" s="1402"/>
      <c r="C21" s="1398"/>
      <c r="D21" s="1441"/>
      <c r="E21" s="1441"/>
      <c r="F21" s="1441"/>
      <c r="G21" s="1441"/>
      <c r="H21" s="1441"/>
      <c r="I21" s="1441"/>
      <c r="J21" s="1442"/>
      <c r="K21" s="1441"/>
      <c r="L21" s="1408"/>
      <c r="M21" s="1435"/>
    </row>
    <row r="22" spans="1:13" s="1436" customFormat="1" ht="14.4">
      <c r="A22" s="1443" t="s">
        <v>684</v>
      </c>
      <c r="D22" s="1444"/>
      <c r="E22" s="1444"/>
      <c r="F22" s="1444"/>
      <c r="G22" s="1444"/>
      <c r="H22" s="1444"/>
      <c r="I22" s="1445"/>
      <c r="J22" s="1446"/>
      <c r="K22" s="1435"/>
    </row>
    <row r="23" spans="1:13">
      <c r="A23" s="1402"/>
      <c r="B23" s="1402"/>
      <c r="C23" s="1447"/>
      <c r="D23" s="1448"/>
      <c r="E23" s="1448"/>
      <c r="F23" s="1448"/>
      <c r="G23" s="1448"/>
      <c r="H23" s="1448"/>
      <c r="I23" s="1426"/>
      <c r="J23" s="1427"/>
    </row>
    <row r="24" spans="1:13">
      <c r="A24" s="1397"/>
      <c r="B24" s="1428"/>
      <c r="C24" s="1429" t="s">
        <v>682</v>
      </c>
      <c r="D24" s="1430"/>
      <c r="E24" s="1430"/>
      <c r="F24" s="1430"/>
      <c r="G24" s="1430"/>
      <c r="H24" s="1430"/>
      <c r="I24" s="1431">
        <f t="shared" ref="I24:I40" si="2">SUM(D24:H24)</f>
        <v>0</v>
      </c>
      <c r="J24" s="1432"/>
    </row>
    <row r="25" spans="1:13" ht="27.6">
      <c r="A25" s="1397"/>
      <c r="B25" s="1428"/>
      <c r="C25" s="1429" t="s">
        <v>1274</v>
      </c>
      <c r="D25" s="1430"/>
      <c r="E25" s="1430"/>
      <c r="F25" s="1430"/>
      <c r="G25" s="1430"/>
      <c r="H25" s="1430"/>
      <c r="I25" s="1431">
        <f t="shared" si="2"/>
        <v>0</v>
      </c>
      <c r="J25" s="1449" t="s">
        <v>1275</v>
      </c>
    </row>
    <row r="26" spans="1:13">
      <c r="A26" s="1397"/>
      <c r="B26" s="1428"/>
      <c r="C26" s="1429" t="s">
        <v>1276</v>
      </c>
      <c r="D26" s="1430"/>
      <c r="E26" s="1430"/>
      <c r="F26" s="1430"/>
      <c r="G26" s="1430"/>
      <c r="H26" s="1430"/>
      <c r="I26" s="1431">
        <f t="shared" si="2"/>
        <v>0</v>
      </c>
      <c r="J26" s="1449"/>
    </row>
    <row r="27" spans="1:13">
      <c r="A27" s="1397"/>
      <c r="B27" s="1428"/>
      <c r="C27" s="1429" t="s">
        <v>686</v>
      </c>
      <c r="D27" s="1430"/>
      <c r="E27" s="1430"/>
      <c r="F27" s="1430"/>
      <c r="G27" s="1430"/>
      <c r="H27" s="1430"/>
      <c r="I27" s="1431">
        <f t="shared" si="2"/>
        <v>0</v>
      </c>
      <c r="J27" s="1432"/>
    </row>
    <row r="28" spans="1:13">
      <c r="A28" s="1397"/>
      <c r="B28" s="1428"/>
      <c r="C28" s="1429" t="s">
        <v>683</v>
      </c>
      <c r="D28" s="1430"/>
      <c r="E28" s="1430"/>
      <c r="F28" s="1430"/>
      <c r="G28" s="1430"/>
      <c r="H28" s="1430"/>
      <c r="I28" s="1431">
        <f t="shared" si="2"/>
        <v>0</v>
      </c>
      <c r="J28" s="1432"/>
    </row>
    <row r="29" spans="1:13">
      <c r="A29" s="1397"/>
      <c r="B29" s="1428"/>
      <c r="C29" s="1429" t="s">
        <v>1124</v>
      </c>
      <c r="D29" s="1430"/>
      <c r="E29" s="1430"/>
      <c r="F29" s="1430"/>
      <c r="G29" s="1430"/>
      <c r="H29" s="1430"/>
      <c r="I29" s="1431">
        <f t="shared" si="2"/>
        <v>0</v>
      </c>
      <c r="J29" s="1432"/>
      <c r="K29" s="2273" t="s">
        <v>1190</v>
      </c>
    </row>
    <row r="30" spans="1:13">
      <c r="A30" s="1397"/>
      <c r="B30" s="1428"/>
      <c r="C30" s="1429" t="s">
        <v>1211</v>
      </c>
      <c r="D30" s="1430"/>
      <c r="E30" s="1430"/>
      <c r="F30" s="1430"/>
      <c r="G30" s="1430"/>
      <c r="H30" s="1430"/>
      <c r="I30" s="1431">
        <f t="shared" si="2"/>
        <v>0</v>
      </c>
      <c r="J30" s="1432"/>
      <c r="K30" s="2274"/>
    </row>
    <row r="31" spans="1:13">
      <c r="A31" s="1397"/>
      <c r="B31" s="1428"/>
      <c r="C31" s="1429" t="s">
        <v>1125</v>
      </c>
      <c r="D31" s="1430"/>
      <c r="E31" s="1430"/>
      <c r="F31" s="1430"/>
      <c r="G31" s="1430"/>
      <c r="H31" s="1430"/>
      <c r="I31" s="1431">
        <f t="shared" si="2"/>
        <v>0</v>
      </c>
      <c r="J31" s="1432"/>
      <c r="K31" s="2274"/>
    </row>
    <row r="32" spans="1:13">
      <c r="A32" s="1397"/>
      <c r="B32" s="1428"/>
      <c r="C32" s="1429" t="s">
        <v>681</v>
      </c>
      <c r="D32" s="1430"/>
      <c r="E32" s="1430"/>
      <c r="F32" s="1430"/>
      <c r="G32" s="1430"/>
      <c r="H32" s="1430"/>
      <c r="I32" s="1431">
        <f t="shared" si="2"/>
        <v>0</v>
      </c>
      <c r="J32" s="1432"/>
      <c r="K32" s="2274"/>
    </row>
    <row r="33" spans="1:11">
      <c r="A33" s="1397"/>
      <c r="B33" s="1428"/>
      <c r="C33" s="1429" t="s">
        <v>1212</v>
      </c>
      <c r="D33" s="1430"/>
      <c r="E33" s="1430"/>
      <c r="F33" s="1430"/>
      <c r="G33" s="1430"/>
      <c r="H33" s="1430"/>
      <c r="I33" s="1431">
        <f t="shared" si="2"/>
        <v>0</v>
      </c>
      <c r="J33" s="1432"/>
      <c r="K33" s="1287" t="str">
        <f>IFERROR(I33/SUM($I$24:$I$35),"")</f>
        <v/>
      </c>
    </row>
    <row r="34" spans="1:11">
      <c r="A34" s="1397"/>
      <c r="B34" s="1428"/>
      <c r="C34" s="1429" t="s">
        <v>1126</v>
      </c>
      <c r="D34" s="1430"/>
      <c r="E34" s="1430"/>
      <c r="F34" s="1430"/>
      <c r="G34" s="1430"/>
      <c r="H34" s="1430"/>
      <c r="I34" s="1431">
        <f t="shared" si="2"/>
        <v>0</v>
      </c>
      <c r="J34" s="1432"/>
      <c r="K34" s="1287" t="str">
        <f t="shared" ref="K34:K35" si="3">IFERROR(I34/SUM($I$24:$I$35),"")</f>
        <v/>
      </c>
    </row>
    <row r="35" spans="1:11" s="1402" customFormat="1">
      <c r="A35" s="1397"/>
      <c r="B35" s="1428"/>
      <c r="C35" s="1429" t="s">
        <v>1127</v>
      </c>
      <c r="D35" s="1430"/>
      <c r="E35" s="1430"/>
      <c r="F35" s="1430"/>
      <c r="G35" s="1430"/>
      <c r="H35" s="1430"/>
      <c r="I35" s="1431">
        <f t="shared" si="2"/>
        <v>0</v>
      </c>
      <c r="J35" s="1432"/>
      <c r="K35" s="1287" t="str">
        <f t="shared" si="3"/>
        <v/>
      </c>
    </row>
    <row r="36" spans="1:11" ht="14.4">
      <c r="A36" s="1402"/>
      <c r="B36" s="1402"/>
      <c r="C36" s="1450" t="s">
        <v>1128</v>
      </c>
      <c r="D36" s="1451">
        <f t="shared" ref="D36:H36" si="4">SUM(D24:D35)</f>
        <v>0</v>
      </c>
      <c r="E36" s="1451">
        <f t="shared" si="4"/>
        <v>0</v>
      </c>
      <c r="F36" s="1451">
        <f t="shared" si="4"/>
        <v>0</v>
      </c>
      <c r="G36" s="1451">
        <f t="shared" si="4"/>
        <v>0</v>
      </c>
      <c r="H36" s="1451">
        <f t="shared" si="4"/>
        <v>0</v>
      </c>
      <c r="I36" s="1452">
        <f t="shared" si="2"/>
        <v>0</v>
      </c>
      <c r="J36" s="1453"/>
      <c r="K36" s="1454"/>
    </row>
    <row r="37" spans="1:11" ht="15" customHeight="1">
      <c r="A37" s="1397"/>
      <c r="B37" s="1428"/>
      <c r="C37" s="1429" t="s">
        <v>1129</v>
      </c>
      <c r="D37" s="1430"/>
      <c r="E37" s="1430"/>
      <c r="F37" s="1430"/>
      <c r="G37" s="1430"/>
      <c r="H37" s="1430"/>
      <c r="I37" s="1431">
        <f t="shared" si="2"/>
        <v>0</v>
      </c>
      <c r="J37" s="1432"/>
      <c r="K37" s="1287" t="str">
        <f t="shared" ref="K37:K40" si="5">IFERROR(I37/SUM($I$24:$I$35),"")</f>
        <v/>
      </c>
    </row>
    <row r="38" spans="1:11" ht="15" customHeight="1">
      <c r="A38" s="1397"/>
      <c r="B38" s="1428"/>
      <c r="C38" s="1429" t="s">
        <v>1130</v>
      </c>
      <c r="D38" s="1430"/>
      <c r="E38" s="1430"/>
      <c r="F38" s="1430"/>
      <c r="G38" s="1430"/>
      <c r="H38" s="1430"/>
      <c r="I38" s="1431">
        <f t="shared" si="2"/>
        <v>0</v>
      </c>
      <c r="J38" s="1432"/>
      <c r="K38" s="1287" t="str">
        <f t="shared" si="5"/>
        <v/>
      </c>
    </row>
    <row r="39" spans="1:11" ht="15" customHeight="1">
      <c r="A39" s="1397"/>
      <c r="B39" s="1428"/>
      <c r="C39" s="1429" t="s">
        <v>1131</v>
      </c>
      <c r="D39" s="1430"/>
      <c r="E39" s="1430"/>
      <c r="F39" s="1430"/>
      <c r="G39" s="1430"/>
      <c r="H39" s="1430"/>
      <c r="I39" s="1431">
        <f t="shared" si="2"/>
        <v>0</v>
      </c>
      <c r="J39" s="1432"/>
      <c r="K39" s="1287" t="str">
        <f t="shared" si="5"/>
        <v/>
      </c>
    </row>
    <row r="40" spans="1:11" s="1406" customFormat="1">
      <c r="A40" s="1397"/>
      <c r="B40" s="1428"/>
      <c r="C40" s="1429" t="s">
        <v>1132</v>
      </c>
      <c r="D40" s="1430"/>
      <c r="E40" s="1430"/>
      <c r="F40" s="1430"/>
      <c r="G40" s="1430"/>
      <c r="H40" s="1430"/>
      <c r="I40" s="1431">
        <f t="shared" si="2"/>
        <v>0</v>
      </c>
      <c r="J40" s="1432"/>
      <c r="K40" s="1289" t="str">
        <f t="shared" si="5"/>
        <v/>
      </c>
    </row>
    <row r="41" spans="1:11" s="1406" customFormat="1" ht="14.4">
      <c r="A41" s="1397"/>
      <c r="B41" s="1397"/>
      <c r="C41" s="1450" t="s">
        <v>1208</v>
      </c>
      <c r="D41" s="1451">
        <f>SUM(D37:D40)</f>
        <v>0</v>
      </c>
      <c r="E41" s="1451">
        <f t="shared" ref="E41:I41" si="6">SUM(E37:E40)</f>
        <v>0</v>
      </c>
      <c r="F41" s="1451">
        <f t="shared" si="6"/>
        <v>0</v>
      </c>
      <c r="G41" s="1451">
        <f t="shared" si="6"/>
        <v>0</v>
      </c>
      <c r="H41" s="1451">
        <f t="shared" si="6"/>
        <v>0</v>
      </c>
      <c r="I41" s="1451">
        <f t="shared" si="6"/>
        <v>0</v>
      </c>
      <c r="J41" s="1455"/>
      <c r="K41" s="1435"/>
    </row>
    <row r="42" spans="1:11" s="1402" customFormat="1">
      <c r="A42" s="1406"/>
      <c r="C42" s="1437" t="s">
        <v>680</v>
      </c>
      <c r="D42" s="1438">
        <f>D36+D41</f>
        <v>0</v>
      </c>
      <c r="E42" s="1438">
        <f t="shared" ref="E42:I42" si="7">E36+E41</f>
        <v>0</v>
      </c>
      <c r="F42" s="1438">
        <f t="shared" si="7"/>
        <v>0</v>
      </c>
      <c r="G42" s="1438">
        <f t="shared" si="7"/>
        <v>0</v>
      </c>
      <c r="H42" s="1438">
        <f t="shared" si="7"/>
        <v>0</v>
      </c>
      <c r="I42" s="1438">
        <f t="shared" si="7"/>
        <v>0</v>
      </c>
      <c r="J42" s="1456"/>
    </row>
    <row r="43" spans="1:11" s="1402" customFormat="1">
      <c r="A43" s="1397"/>
      <c r="B43" s="1397"/>
      <c r="C43" s="1397"/>
      <c r="D43" s="1457"/>
      <c r="E43" s="1397"/>
      <c r="F43" s="1397"/>
      <c r="G43" s="1397"/>
      <c r="H43" s="1397"/>
      <c r="I43" s="1458"/>
      <c r="J43" s="1455"/>
      <c r="K43" s="1459"/>
    </row>
    <row r="44" spans="1:11" s="1402" customFormat="1" ht="14.4">
      <c r="A44" s="1402" t="s">
        <v>679</v>
      </c>
      <c r="B44" s="1397"/>
      <c r="C44" s="1416"/>
      <c r="D44" s="1460"/>
      <c r="E44" s="1460"/>
      <c r="F44" s="1460"/>
      <c r="G44" s="1460"/>
      <c r="H44" s="1460"/>
      <c r="I44" s="1441"/>
      <c r="J44" s="1455"/>
      <c r="K44" s="1404"/>
    </row>
    <row r="45" spans="1:11" s="1402" customFormat="1">
      <c r="B45" s="1443" t="s">
        <v>1175</v>
      </c>
      <c r="C45" s="1447"/>
      <c r="D45" s="1448"/>
      <c r="E45" s="1448"/>
      <c r="F45" s="1448"/>
      <c r="G45" s="1448"/>
      <c r="H45" s="1448"/>
      <c r="I45" s="1461"/>
      <c r="J45" s="1462"/>
      <c r="K45" s="1404"/>
    </row>
    <row r="46" spans="1:11" s="1402" customFormat="1" ht="27.6">
      <c r="B46" s="1443"/>
      <c r="C46" s="1429" t="s">
        <v>1137</v>
      </c>
      <c r="D46" s="1430"/>
      <c r="E46" s="1430"/>
      <c r="F46" s="1430"/>
      <c r="G46" s="1430"/>
      <c r="H46" s="1430"/>
      <c r="I46" s="1431">
        <f t="shared" ref="I46:I53" si="8">SUM(D46:H46)</f>
        <v>0</v>
      </c>
      <c r="J46" s="1432" t="s">
        <v>1182</v>
      </c>
      <c r="K46" s="1404"/>
    </row>
    <row r="47" spans="1:11" s="1402" customFormat="1" ht="27.6">
      <c r="B47" s="1443"/>
      <c r="C47" s="1463" t="s">
        <v>1277</v>
      </c>
      <c r="D47" s="1430"/>
      <c r="E47" s="1430"/>
      <c r="F47" s="1430"/>
      <c r="G47" s="1430"/>
      <c r="H47" s="1430"/>
      <c r="I47" s="1431">
        <f t="shared" si="8"/>
        <v>0</v>
      </c>
      <c r="J47" s="1432"/>
      <c r="K47" s="1404"/>
    </row>
    <row r="48" spans="1:11" s="1402" customFormat="1">
      <c r="B48" s="1443"/>
      <c r="C48" s="1429" t="s">
        <v>1138</v>
      </c>
      <c r="D48" s="1430"/>
      <c r="E48" s="1430"/>
      <c r="F48" s="1430"/>
      <c r="G48" s="1430"/>
      <c r="H48" s="1430"/>
      <c r="I48" s="1431">
        <f t="shared" si="8"/>
        <v>0</v>
      </c>
      <c r="J48" s="1432"/>
      <c r="K48" s="1404"/>
    </row>
    <row r="49" spans="1:11" s="1402" customFormat="1">
      <c r="B49" s="1443"/>
      <c r="C49" s="1429" t="s">
        <v>1139</v>
      </c>
      <c r="D49" s="1430"/>
      <c r="E49" s="1430"/>
      <c r="F49" s="1430"/>
      <c r="G49" s="1430"/>
      <c r="H49" s="1430"/>
      <c r="I49" s="1431">
        <f t="shared" si="8"/>
        <v>0</v>
      </c>
      <c r="J49" s="1432"/>
      <c r="K49" s="1404"/>
    </row>
    <row r="50" spans="1:11" s="1402" customFormat="1">
      <c r="B50" s="1443"/>
      <c r="C50" s="1429" t="s">
        <v>1140</v>
      </c>
      <c r="D50" s="1430"/>
      <c r="E50" s="1430"/>
      <c r="F50" s="1430"/>
      <c r="G50" s="1430"/>
      <c r="H50" s="1430"/>
      <c r="I50" s="1431">
        <f t="shared" si="8"/>
        <v>0</v>
      </c>
      <c r="J50" s="1432"/>
    </row>
    <row r="51" spans="1:11">
      <c r="A51" s="1402"/>
      <c r="B51" s="1443"/>
      <c r="C51" s="1464" t="s">
        <v>1141</v>
      </c>
      <c r="D51" s="1430"/>
      <c r="E51" s="1430"/>
      <c r="F51" s="1430"/>
      <c r="G51" s="1430"/>
      <c r="H51" s="1430"/>
      <c r="I51" s="1431">
        <f t="shared" si="8"/>
        <v>0</v>
      </c>
      <c r="J51" s="1432"/>
    </row>
    <row r="52" spans="1:11" ht="14.4">
      <c r="A52" s="1402"/>
      <c r="B52" s="1402"/>
      <c r="C52" s="1416" t="s">
        <v>1142</v>
      </c>
      <c r="D52" s="1465">
        <f t="shared" ref="D52:H52" si="9">SUM(D46:D51)</f>
        <v>0</v>
      </c>
      <c r="E52" s="1465">
        <f t="shared" si="9"/>
        <v>0</v>
      </c>
      <c r="F52" s="1465">
        <f t="shared" si="9"/>
        <v>0</v>
      </c>
      <c r="G52" s="1465">
        <f t="shared" si="9"/>
        <v>0</v>
      </c>
      <c r="H52" s="1465">
        <f t="shared" si="9"/>
        <v>0</v>
      </c>
      <c r="I52" s="1452">
        <f t="shared" si="8"/>
        <v>0</v>
      </c>
      <c r="J52" s="1432"/>
    </row>
    <row r="53" spans="1:11" ht="27.6">
      <c r="A53" s="1402"/>
      <c r="B53" s="1402"/>
      <c r="C53" s="1466" t="s">
        <v>1143</v>
      </c>
      <c r="D53" s="1467"/>
      <c r="E53" s="1467"/>
      <c r="F53" s="1467"/>
      <c r="G53" s="1467"/>
      <c r="H53" s="1467"/>
      <c r="I53" s="1468">
        <f t="shared" si="8"/>
        <v>0</v>
      </c>
      <c r="J53" s="1469"/>
    </row>
    <row r="54" spans="1:11">
      <c r="A54" s="1402"/>
      <c r="B54" s="1402"/>
      <c r="C54" s="1470" t="s">
        <v>1177</v>
      </c>
      <c r="D54" s="1471">
        <f>D52+D53</f>
        <v>0</v>
      </c>
      <c r="E54" s="1471">
        <f t="shared" ref="E54:I54" si="10">E52+E53</f>
        <v>0</v>
      </c>
      <c r="F54" s="1471">
        <f t="shared" si="10"/>
        <v>0</v>
      </c>
      <c r="G54" s="1471">
        <f t="shared" si="10"/>
        <v>0</v>
      </c>
      <c r="H54" s="1471">
        <f t="shared" si="10"/>
        <v>0</v>
      </c>
      <c r="I54" s="1472">
        <f t="shared" si="10"/>
        <v>0</v>
      </c>
      <c r="J54" s="1473"/>
      <c r="K54" s="1459"/>
    </row>
    <row r="55" spans="1:11">
      <c r="A55" s="1397"/>
      <c r="B55" s="1443" t="s">
        <v>1176</v>
      </c>
      <c r="C55" s="1474"/>
      <c r="D55" s="1475"/>
      <c r="E55" s="1475"/>
      <c r="F55" s="1475"/>
      <c r="G55" s="1475"/>
      <c r="H55" s="1475"/>
      <c r="I55" s="1476"/>
      <c r="J55" s="1462"/>
    </row>
    <row r="56" spans="1:11">
      <c r="A56" s="1397"/>
      <c r="B56" s="1428"/>
      <c r="C56" s="1429" t="s">
        <v>678</v>
      </c>
      <c r="D56" s="1430"/>
      <c r="E56" s="1430"/>
      <c r="F56" s="1430"/>
      <c r="G56" s="1430"/>
      <c r="H56" s="1430"/>
      <c r="I56" s="1431">
        <f t="shared" ref="I56:I63" si="11">SUM(D56:H56)</f>
        <v>0</v>
      </c>
      <c r="J56" s="1432"/>
    </row>
    <row r="57" spans="1:11" s="1402" customFormat="1">
      <c r="A57" s="1397"/>
      <c r="B57" s="1428"/>
      <c r="C57" s="1429" t="s">
        <v>677</v>
      </c>
      <c r="D57" s="1430"/>
      <c r="E57" s="1430"/>
      <c r="F57" s="1430"/>
      <c r="G57" s="1430"/>
      <c r="H57" s="1430"/>
      <c r="I57" s="1431">
        <f t="shared" si="11"/>
        <v>0</v>
      </c>
      <c r="J57" s="1432"/>
      <c r="K57" s="1404"/>
    </row>
    <row r="58" spans="1:11" s="1402" customFormat="1">
      <c r="A58" s="1397"/>
      <c r="B58" s="1428"/>
      <c r="C58" s="1429" t="s">
        <v>676</v>
      </c>
      <c r="D58" s="1430"/>
      <c r="E58" s="1430"/>
      <c r="F58" s="1430"/>
      <c r="G58" s="1430"/>
      <c r="H58" s="1430"/>
      <c r="I58" s="1431">
        <f t="shared" si="11"/>
        <v>0</v>
      </c>
      <c r="J58" s="1432"/>
      <c r="K58" s="1404"/>
    </row>
    <row r="59" spans="1:11" s="1402" customFormat="1">
      <c r="A59" s="1397"/>
      <c r="B59" s="1428"/>
      <c r="C59" s="1429" t="s">
        <v>1160</v>
      </c>
      <c r="D59" s="1430"/>
      <c r="E59" s="1430"/>
      <c r="F59" s="1430"/>
      <c r="G59" s="1430"/>
      <c r="H59" s="1430"/>
      <c r="I59" s="1431">
        <f t="shared" si="11"/>
        <v>0</v>
      </c>
      <c r="J59" s="1432"/>
      <c r="K59" s="1404"/>
    </row>
    <row r="60" spans="1:11" s="1402" customFormat="1">
      <c r="A60" s="1397"/>
      <c r="B60" s="1428"/>
      <c r="C60" s="1429" t="s">
        <v>1161</v>
      </c>
      <c r="D60" s="1430"/>
      <c r="E60" s="1430"/>
      <c r="F60" s="1430"/>
      <c r="G60" s="1430"/>
      <c r="H60" s="1430"/>
      <c r="I60" s="1431">
        <f t="shared" si="11"/>
        <v>0</v>
      </c>
      <c r="J60" s="1432"/>
      <c r="K60" s="1404"/>
    </row>
    <row r="61" spans="1:11" s="1402" customFormat="1">
      <c r="A61" s="1397"/>
      <c r="B61" s="1428"/>
      <c r="C61" s="1429" t="s">
        <v>1145</v>
      </c>
      <c r="D61" s="1430"/>
      <c r="E61" s="1430"/>
      <c r="F61" s="1430"/>
      <c r="G61" s="1430"/>
      <c r="H61" s="1430"/>
      <c r="I61" s="1431">
        <f t="shared" si="11"/>
        <v>0</v>
      </c>
      <c r="J61" s="1432"/>
      <c r="K61" s="1404"/>
    </row>
    <row r="62" spans="1:11">
      <c r="A62" s="1397"/>
      <c r="B62" s="1428"/>
      <c r="C62" s="1429" t="s">
        <v>1146</v>
      </c>
      <c r="D62" s="1430"/>
      <c r="E62" s="1430"/>
      <c r="F62" s="1430"/>
      <c r="G62" s="1430"/>
      <c r="H62" s="1430"/>
      <c r="I62" s="1431">
        <f t="shared" si="11"/>
        <v>0</v>
      </c>
      <c r="J62" s="1469" t="s">
        <v>1213</v>
      </c>
    </row>
    <row r="63" spans="1:11">
      <c r="A63" s="1402"/>
      <c r="B63" s="1402"/>
      <c r="C63" s="1477" t="s">
        <v>1178</v>
      </c>
      <c r="D63" s="1471">
        <f t="shared" ref="D63:H63" si="12">SUM(D56:D62)</f>
        <v>0</v>
      </c>
      <c r="E63" s="1471">
        <f t="shared" si="12"/>
        <v>0</v>
      </c>
      <c r="F63" s="1471">
        <f t="shared" si="12"/>
        <v>0</v>
      </c>
      <c r="G63" s="1471">
        <f t="shared" si="12"/>
        <v>0</v>
      </c>
      <c r="H63" s="1471">
        <f t="shared" si="12"/>
        <v>0</v>
      </c>
      <c r="I63" s="1472">
        <f t="shared" si="11"/>
        <v>0</v>
      </c>
      <c r="J63" s="1473"/>
    </row>
    <row r="64" spans="1:11" ht="14.4">
      <c r="A64" s="1397"/>
      <c r="B64" s="1443" t="s">
        <v>675</v>
      </c>
      <c r="C64" s="1478"/>
      <c r="D64" s="1479"/>
      <c r="E64" s="1479"/>
      <c r="F64" s="1479"/>
      <c r="G64" s="1479"/>
      <c r="H64" s="1479"/>
      <c r="I64" s="1480"/>
      <c r="J64" s="1455"/>
    </row>
    <row r="65" spans="1:11" s="1402" customFormat="1">
      <c r="C65" s="1481" t="s">
        <v>882</v>
      </c>
      <c r="D65" s="1482"/>
      <c r="E65" s="1482"/>
      <c r="F65" s="1482"/>
      <c r="G65" s="1482"/>
      <c r="H65" s="1482"/>
      <c r="I65" s="1476"/>
      <c r="J65" s="1462"/>
      <c r="K65" s="1404"/>
    </row>
    <row r="66" spans="1:11">
      <c r="A66" s="1397"/>
      <c r="B66" s="1428"/>
      <c r="C66" s="1429" t="s">
        <v>674</v>
      </c>
      <c r="D66" s="1430"/>
      <c r="E66" s="1430"/>
      <c r="F66" s="1430"/>
      <c r="G66" s="1430"/>
      <c r="H66" s="1430"/>
      <c r="I66" s="1431">
        <f t="shared" ref="I66:I73" si="13">SUM(D66:H66)</f>
        <v>0</v>
      </c>
      <c r="J66" s="1432"/>
    </row>
    <row r="67" spans="1:11">
      <c r="A67" s="1397"/>
      <c r="B67" s="1428"/>
      <c r="C67" s="1429" t="s">
        <v>673</v>
      </c>
      <c r="D67" s="1430"/>
      <c r="E67" s="1430"/>
      <c r="F67" s="1430"/>
      <c r="G67" s="1430"/>
      <c r="H67" s="1430"/>
      <c r="I67" s="1431">
        <f t="shared" si="13"/>
        <v>0</v>
      </c>
      <c r="J67" s="1432"/>
    </row>
    <row r="68" spans="1:11">
      <c r="A68" s="1397"/>
      <c r="B68" s="1428"/>
      <c r="C68" s="1429" t="s">
        <v>669</v>
      </c>
      <c r="D68" s="1430"/>
      <c r="E68" s="1430"/>
      <c r="F68" s="1430"/>
      <c r="G68" s="1430"/>
      <c r="H68" s="1430"/>
      <c r="I68" s="1431">
        <f t="shared" si="13"/>
        <v>0</v>
      </c>
      <c r="J68" s="1432"/>
    </row>
    <row r="69" spans="1:11">
      <c r="A69" s="1397"/>
      <c r="B69" s="1428"/>
      <c r="C69" s="1429" t="s">
        <v>1147</v>
      </c>
      <c r="D69" s="1430"/>
      <c r="E69" s="1430"/>
      <c r="F69" s="1430"/>
      <c r="G69" s="1430"/>
      <c r="H69" s="1430"/>
      <c r="I69" s="1431">
        <f t="shared" si="13"/>
        <v>0</v>
      </c>
      <c r="J69" s="1432"/>
    </row>
    <row r="70" spans="1:11">
      <c r="A70" s="1397"/>
      <c r="B70" s="1428"/>
      <c r="C70" s="1429" t="s">
        <v>1148</v>
      </c>
      <c r="D70" s="1430"/>
      <c r="E70" s="1430"/>
      <c r="F70" s="1430"/>
      <c r="G70" s="1430"/>
      <c r="H70" s="1430"/>
      <c r="I70" s="1431">
        <f t="shared" si="13"/>
        <v>0</v>
      </c>
      <c r="J70" s="1432"/>
    </row>
    <row r="71" spans="1:11" s="1436" customFormat="1" ht="14.4">
      <c r="A71" s="1397"/>
      <c r="B71" s="1428"/>
      <c r="C71" s="1429" t="s">
        <v>1149</v>
      </c>
      <c r="D71" s="1430"/>
      <c r="E71" s="1430"/>
      <c r="F71" s="1430"/>
      <c r="G71" s="1430"/>
      <c r="H71" s="1430"/>
      <c r="I71" s="1431">
        <f t="shared" si="13"/>
        <v>0</v>
      </c>
      <c r="J71" s="1434"/>
      <c r="K71" s="1435"/>
    </row>
    <row r="72" spans="1:11">
      <c r="A72" s="1397"/>
      <c r="B72" s="1428"/>
      <c r="C72" s="1483" t="s">
        <v>1150</v>
      </c>
      <c r="D72" s="1484"/>
      <c r="E72" s="1484"/>
      <c r="F72" s="1430"/>
      <c r="G72" s="1430"/>
      <c r="H72" s="1430"/>
      <c r="I72" s="1431">
        <f t="shared" si="13"/>
        <v>0</v>
      </c>
      <c r="J72" s="1432"/>
    </row>
    <row r="73" spans="1:11" s="1402" customFormat="1" ht="14.4">
      <c r="C73" s="1485" t="s">
        <v>672</v>
      </c>
      <c r="D73" s="1486">
        <f t="shared" ref="D73:H73" si="14">SUM(D66:D72)</f>
        <v>0</v>
      </c>
      <c r="E73" s="1486">
        <f t="shared" si="14"/>
        <v>0</v>
      </c>
      <c r="F73" s="1486">
        <f t="shared" si="14"/>
        <v>0</v>
      </c>
      <c r="G73" s="1486">
        <f t="shared" si="14"/>
        <v>0</v>
      </c>
      <c r="H73" s="1486">
        <f t="shared" si="14"/>
        <v>0</v>
      </c>
      <c r="I73" s="1487">
        <f t="shared" si="13"/>
        <v>0</v>
      </c>
      <c r="J73" s="1473"/>
      <c r="K73" s="1404"/>
    </row>
    <row r="74" spans="1:11" s="1402" customFormat="1">
      <c r="C74" s="1481" t="s">
        <v>1209</v>
      </c>
      <c r="D74" s="1482"/>
      <c r="E74" s="1482"/>
      <c r="F74" s="1482"/>
      <c r="G74" s="1482"/>
      <c r="H74" s="1482"/>
      <c r="I74" s="1476"/>
      <c r="J74" s="1462"/>
      <c r="K74" s="1404"/>
    </row>
    <row r="75" spans="1:11">
      <c r="A75" s="1397"/>
      <c r="B75" s="1428"/>
      <c r="C75" s="1429" t="s">
        <v>1278</v>
      </c>
      <c r="D75" s="1430"/>
      <c r="E75" s="1484"/>
      <c r="F75" s="1484"/>
      <c r="G75" s="1430"/>
      <c r="H75" s="1430"/>
      <c r="I75" s="1431">
        <f>SUM(D75:H75)</f>
        <v>0</v>
      </c>
      <c r="J75" s="1432"/>
    </row>
    <row r="76" spans="1:11" ht="14.4">
      <c r="A76" s="1397"/>
      <c r="B76" s="1433"/>
      <c r="C76" s="1429" t="s">
        <v>670</v>
      </c>
      <c r="D76" s="1488"/>
      <c r="E76" s="1489"/>
      <c r="F76" s="1489"/>
      <c r="G76" s="1488"/>
      <c r="H76" s="1488"/>
      <c r="I76" s="1431">
        <f>SUM(D76:H76)</f>
        <v>0</v>
      </c>
      <c r="J76" s="1432"/>
    </row>
    <row r="77" spans="1:11" ht="14.4">
      <c r="A77" s="1397"/>
      <c r="B77" s="1433"/>
      <c r="C77" s="1429" t="s">
        <v>669</v>
      </c>
      <c r="D77" s="1488"/>
      <c r="E77" s="1489"/>
      <c r="F77" s="1489"/>
      <c r="G77" s="1488"/>
      <c r="H77" s="1488"/>
      <c r="I77" s="1431">
        <f>SUM(D77:H77)</f>
        <v>0</v>
      </c>
      <c r="J77" s="1432"/>
    </row>
    <row r="78" spans="1:11">
      <c r="A78" s="1397"/>
      <c r="B78" s="1428"/>
      <c r="C78" s="1429" t="s">
        <v>1279</v>
      </c>
      <c r="D78" s="1430"/>
      <c r="E78" s="1430"/>
      <c r="F78" s="1430"/>
      <c r="G78" s="1430"/>
      <c r="H78" s="1430"/>
      <c r="I78" s="1431">
        <f>SUM(D78:H78)</f>
        <v>0</v>
      </c>
      <c r="J78" s="1432"/>
    </row>
    <row r="79" spans="1:11" ht="14.4">
      <c r="A79" s="1402"/>
      <c r="B79" s="1402"/>
      <c r="C79" s="1485" t="s">
        <v>668</v>
      </c>
      <c r="D79" s="1486">
        <f t="shared" ref="D79:H79" si="15">SUM(D75:D78)</f>
        <v>0</v>
      </c>
      <c r="E79" s="1486">
        <f t="shared" si="15"/>
        <v>0</v>
      </c>
      <c r="F79" s="1486">
        <f t="shared" si="15"/>
        <v>0</v>
      </c>
      <c r="G79" s="1486">
        <f t="shared" si="15"/>
        <v>0</v>
      </c>
      <c r="H79" s="1486">
        <f t="shared" si="15"/>
        <v>0</v>
      </c>
      <c r="I79" s="1487">
        <f>SUM(D79:H79)</f>
        <v>0</v>
      </c>
      <c r="J79" s="1490"/>
    </row>
    <row r="80" spans="1:11" s="1402" customFormat="1">
      <c r="C80" s="1477" t="s">
        <v>667</v>
      </c>
      <c r="D80" s="1491">
        <f>D73+D79</f>
        <v>0</v>
      </c>
      <c r="E80" s="1491">
        <f t="shared" ref="E80:I80" si="16">E73+E79</f>
        <v>0</v>
      </c>
      <c r="F80" s="1491">
        <f t="shared" si="16"/>
        <v>0</v>
      </c>
      <c r="G80" s="1491">
        <f t="shared" si="16"/>
        <v>0</v>
      </c>
      <c r="H80" s="1491">
        <f t="shared" si="16"/>
        <v>0</v>
      </c>
      <c r="I80" s="1492">
        <f t="shared" si="16"/>
        <v>0</v>
      </c>
      <c r="J80" s="1493"/>
      <c r="K80" s="1404"/>
    </row>
    <row r="81" spans="1:10">
      <c r="A81" s="1397"/>
      <c r="B81" s="1443" t="s">
        <v>666</v>
      </c>
      <c r="C81" s="1474"/>
      <c r="D81" s="1494"/>
      <c r="E81" s="1494"/>
      <c r="F81" s="1494"/>
      <c r="G81" s="1494"/>
      <c r="H81" s="1494"/>
      <c r="I81" s="1476"/>
      <c r="J81" s="1495"/>
    </row>
    <row r="82" spans="1:10">
      <c r="A82" s="1397"/>
      <c r="B82" s="1428"/>
      <c r="C82" s="1429" t="s">
        <v>1151</v>
      </c>
      <c r="D82" s="1430"/>
      <c r="E82" s="1484"/>
      <c r="F82" s="1484"/>
      <c r="G82" s="1484"/>
      <c r="H82" s="1484"/>
      <c r="I82" s="1431">
        <f t="shared" ref="I82:I89" si="17">SUM(D82:H82)</f>
        <v>0</v>
      </c>
      <c r="J82" s="1432"/>
    </row>
    <row r="83" spans="1:10">
      <c r="A83" s="1397"/>
      <c r="B83" s="1428"/>
      <c r="C83" s="1429" t="s">
        <v>1152</v>
      </c>
      <c r="D83" s="1430"/>
      <c r="E83" s="1484"/>
      <c r="F83" s="1484"/>
      <c r="G83" s="1484"/>
      <c r="H83" s="1484"/>
      <c r="I83" s="1431">
        <f t="shared" si="17"/>
        <v>0</v>
      </c>
      <c r="J83" s="1432"/>
    </row>
    <row r="84" spans="1:10">
      <c r="A84" s="1397"/>
      <c r="B84" s="1428"/>
      <c r="C84" s="1429" t="s">
        <v>1153</v>
      </c>
      <c r="D84" s="1430"/>
      <c r="E84" s="1484"/>
      <c r="F84" s="1484"/>
      <c r="G84" s="1484"/>
      <c r="H84" s="1484"/>
      <c r="I84" s="1431">
        <f t="shared" si="17"/>
        <v>0</v>
      </c>
      <c r="J84" s="1432"/>
    </row>
    <row r="85" spans="1:10">
      <c r="A85" s="1397"/>
      <c r="B85" s="1428"/>
      <c r="C85" s="1429" t="s">
        <v>1154</v>
      </c>
      <c r="D85" s="1430"/>
      <c r="E85" s="1484"/>
      <c r="F85" s="1484"/>
      <c r="G85" s="1484"/>
      <c r="H85" s="1484"/>
      <c r="I85" s="1431">
        <f t="shared" si="17"/>
        <v>0</v>
      </c>
      <c r="J85" s="1432"/>
    </row>
    <row r="86" spans="1:10">
      <c r="A86" s="1397"/>
      <c r="B86" s="1428"/>
      <c r="C86" s="1429" t="s">
        <v>1155</v>
      </c>
      <c r="D86" s="1430"/>
      <c r="E86" s="1484"/>
      <c r="F86" s="1484"/>
      <c r="G86" s="1484"/>
      <c r="H86" s="1484"/>
      <c r="I86" s="1431">
        <f t="shared" si="17"/>
        <v>0</v>
      </c>
      <c r="J86" s="1432"/>
    </row>
    <row r="87" spans="1:10">
      <c r="A87" s="1397"/>
      <c r="B87" s="1428"/>
      <c r="C87" s="1429" t="s">
        <v>1156</v>
      </c>
      <c r="D87" s="1430"/>
      <c r="E87" s="1484"/>
      <c r="F87" s="1484"/>
      <c r="G87" s="1484"/>
      <c r="H87" s="1484"/>
      <c r="I87" s="1431">
        <f t="shared" si="17"/>
        <v>0</v>
      </c>
      <c r="J87" s="1432"/>
    </row>
    <row r="88" spans="1:10">
      <c r="A88" s="1397"/>
      <c r="B88" s="1428"/>
      <c r="C88" s="1483" t="s">
        <v>1157</v>
      </c>
      <c r="D88" s="1430"/>
      <c r="E88" s="1484"/>
      <c r="F88" s="1484"/>
      <c r="G88" s="1484"/>
      <c r="H88" s="1484"/>
      <c r="I88" s="1431">
        <f t="shared" si="17"/>
        <v>0</v>
      </c>
      <c r="J88" s="1432"/>
    </row>
    <row r="89" spans="1:10">
      <c r="A89" s="1402"/>
      <c r="B89" s="1402"/>
      <c r="C89" s="1470" t="s">
        <v>665</v>
      </c>
      <c r="D89" s="1496">
        <f t="shared" ref="D89:H89" si="18">SUM(D82:D88)</f>
        <v>0</v>
      </c>
      <c r="E89" s="1496">
        <f t="shared" si="18"/>
        <v>0</v>
      </c>
      <c r="F89" s="1496">
        <f t="shared" si="18"/>
        <v>0</v>
      </c>
      <c r="G89" s="1496">
        <f t="shared" si="18"/>
        <v>0</v>
      </c>
      <c r="H89" s="1496">
        <f t="shared" si="18"/>
        <v>0</v>
      </c>
      <c r="I89" s="1497">
        <f t="shared" si="17"/>
        <v>0</v>
      </c>
      <c r="J89" s="1473"/>
    </row>
    <row r="90" spans="1:10">
      <c r="A90" s="1402"/>
      <c r="B90" s="1402" t="s">
        <v>1158</v>
      </c>
      <c r="C90" s="1498"/>
      <c r="D90" s="1461"/>
      <c r="E90" s="1461"/>
      <c r="F90" s="1461"/>
      <c r="G90" s="1461"/>
      <c r="H90" s="1461"/>
      <c r="I90" s="1499"/>
      <c r="J90" s="1462"/>
    </row>
    <row r="91" spans="1:10">
      <c r="A91" s="1397"/>
      <c r="B91" s="1428"/>
      <c r="C91" s="1464" t="s">
        <v>664</v>
      </c>
      <c r="D91" s="1430"/>
      <c r="E91" s="1500"/>
      <c r="F91" s="1500"/>
      <c r="G91" s="1500"/>
      <c r="H91" s="1500"/>
      <c r="I91" s="1431">
        <f t="shared" ref="I91:I108" si="19">SUM(D91:H91)</f>
        <v>0</v>
      </c>
      <c r="J91" s="1432"/>
    </row>
    <row r="92" spans="1:10">
      <c r="A92" s="1397"/>
      <c r="B92" s="1428"/>
      <c r="C92" s="1429" t="s">
        <v>660</v>
      </c>
      <c r="D92" s="1430"/>
      <c r="E92" s="1500"/>
      <c r="F92" s="1500"/>
      <c r="G92" s="1500"/>
      <c r="H92" s="1500"/>
      <c r="I92" s="1431">
        <f t="shared" si="19"/>
        <v>0</v>
      </c>
      <c r="J92" s="1432"/>
    </row>
    <row r="93" spans="1:10">
      <c r="A93" s="1397"/>
      <c r="B93" s="1428"/>
      <c r="C93" s="1429" t="s">
        <v>1</v>
      </c>
      <c r="D93" s="1430"/>
      <c r="E93" s="1500"/>
      <c r="F93" s="1500"/>
      <c r="G93" s="1500"/>
      <c r="H93" s="1500"/>
      <c r="I93" s="1431">
        <f t="shared" si="19"/>
        <v>0</v>
      </c>
      <c r="J93" s="1432"/>
    </row>
    <row r="94" spans="1:10">
      <c r="A94" s="1397"/>
      <c r="B94" s="1428"/>
      <c r="C94" s="1429" t="s">
        <v>663</v>
      </c>
      <c r="D94" s="1430"/>
      <c r="E94" s="1500"/>
      <c r="F94" s="1500"/>
      <c r="G94" s="1500"/>
      <c r="H94" s="1500"/>
      <c r="I94" s="1431">
        <f t="shared" si="19"/>
        <v>0</v>
      </c>
      <c r="J94" s="1432"/>
    </row>
    <row r="95" spans="1:10">
      <c r="A95" s="1397"/>
      <c r="B95" s="1428"/>
      <c r="C95" s="1429" t="s">
        <v>1159</v>
      </c>
      <c r="D95" s="1430"/>
      <c r="E95" s="1500"/>
      <c r="F95" s="1500"/>
      <c r="G95" s="1500"/>
      <c r="H95" s="1500"/>
      <c r="I95" s="1431">
        <f t="shared" si="19"/>
        <v>0</v>
      </c>
      <c r="J95" s="1432"/>
    </row>
    <row r="96" spans="1:10">
      <c r="A96" s="1397"/>
      <c r="B96" s="1428"/>
      <c r="C96" s="1429" t="s">
        <v>1163</v>
      </c>
      <c r="D96" s="1430"/>
      <c r="E96" s="1500"/>
      <c r="F96" s="1500"/>
      <c r="G96" s="1500"/>
      <c r="H96" s="1500"/>
      <c r="I96" s="1431">
        <f t="shared" si="19"/>
        <v>0</v>
      </c>
      <c r="J96" s="1432"/>
    </row>
    <row r="97" spans="1:11">
      <c r="A97" s="1397"/>
      <c r="B97" s="1428"/>
      <c r="C97" s="1429" t="s">
        <v>1164</v>
      </c>
      <c r="D97" s="1430"/>
      <c r="E97" s="1500"/>
      <c r="F97" s="1500"/>
      <c r="G97" s="1500"/>
      <c r="H97" s="1500"/>
      <c r="I97" s="1431">
        <f t="shared" si="19"/>
        <v>0</v>
      </c>
      <c r="J97" s="1432"/>
    </row>
    <row r="98" spans="1:11">
      <c r="A98" s="1397"/>
      <c r="B98" s="1428"/>
      <c r="C98" s="1429" t="s">
        <v>1357</v>
      </c>
      <c r="D98" s="1430"/>
      <c r="E98" s="1500"/>
      <c r="F98" s="1500"/>
      <c r="G98" s="1500"/>
      <c r="H98" s="1500"/>
      <c r="I98" s="1431">
        <f t="shared" si="19"/>
        <v>0</v>
      </c>
      <c r="J98" s="1432"/>
    </row>
    <row r="99" spans="1:11">
      <c r="A99" s="1397"/>
      <c r="B99" s="1428"/>
      <c r="C99" s="1429" t="s">
        <v>661</v>
      </c>
      <c r="D99" s="1430"/>
      <c r="E99" s="1500"/>
      <c r="F99" s="1500"/>
      <c r="G99" s="1500"/>
      <c r="H99" s="1500"/>
      <c r="I99" s="1431">
        <f t="shared" si="19"/>
        <v>0</v>
      </c>
      <c r="J99" s="1501"/>
    </row>
    <row r="100" spans="1:11" s="1402" customFormat="1">
      <c r="A100" s="1397"/>
      <c r="B100" s="1428"/>
      <c r="C100" s="1429" t="s">
        <v>1166</v>
      </c>
      <c r="D100" s="1430"/>
      <c r="E100" s="1500"/>
      <c r="F100" s="1500"/>
      <c r="G100" s="1500"/>
      <c r="H100" s="1500"/>
      <c r="I100" s="1431">
        <f t="shared" si="19"/>
        <v>0</v>
      </c>
      <c r="J100" s="1432"/>
      <c r="K100" s="1404"/>
    </row>
    <row r="101" spans="1:11" s="1402" customFormat="1">
      <c r="A101" s="1397"/>
      <c r="B101" s="1428"/>
      <c r="C101" s="1429" t="s">
        <v>1167</v>
      </c>
      <c r="D101" s="1430"/>
      <c r="E101" s="1500"/>
      <c r="F101" s="1500"/>
      <c r="G101" s="1500"/>
      <c r="H101" s="1500"/>
      <c r="I101" s="1431">
        <f t="shared" si="19"/>
        <v>0</v>
      </c>
      <c r="J101" s="1432"/>
      <c r="K101" s="1502"/>
    </row>
    <row r="102" spans="1:11" s="1402" customFormat="1">
      <c r="A102" s="1397"/>
      <c r="B102" s="1428"/>
      <c r="C102" s="1429" t="s">
        <v>1168</v>
      </c>
      <c r="D102" s="1430"/>
      <c r="E102" s="1500"/>
      <c r="F102" s="1500"/>
      <c r="G102" s="1500"/>
      <c r="H102" s="1500"/>
      <c r="I102" s="1431">
        <f t="shared" si="19"/>
        <v>0</v>
      </c>
      <c r="J102" s="1432"/>
      <c r="K102" s="1459"/>
    </row>
    <row r="103" spans="1:11" s="1402" customFormat="1">
      <c r="A103" s="1397"/>
      <c r="B103" s="1428"/>
      <c r="C103" s="1429" t="s">
        <v>1169</v>
      </c>
      <c r="D103" s="1430"/>
      <c r="E103" s="1500"/>
      <c r="F103" s="1500"/>
      <c r="G103" s="1500"/>
      <c r="H103" s="1500"/>
      <c r="I103" s="1431">
        <f t="shared" si="19"/>
        <v>0</v>
      </c>
      <c r="J103" s="1432"/>
      <c r="K103" s="1459"/>
    </row>
    <row r="104" spans="1:11" s="1402" customFormat="1">
      <c r="A104" s="1397"/>
      <c r="B104" s="1428"/>
      <c r="C104" s="1429" t="s">
        <v>1170</v>
      </c>
      <c r="D104" s="1430"/>
      <c r="E104" s="1500"/>
      <c r="F104" s="1500"/>
      <c r="G104" s="1500"/>
      <c r="H104" s="1500"/>
      <c r="I104" s="1431">
        <f t="shared" si="19"/>
        <v>0</v>
      </c>
      <c r="J104" s="1432"/>
      <c r="K104" s="1459"/>
    </row>
    <row r="105" spans="1:11" s="1402" customFormat="1">
      <c r="A105" s="1397"/>
      <c r="B105" s="1428"/>
      <c r="C105" s="1429" t="s">
        <v>662</v>
      </c>
      <c r="D105" s="1430"/>
      <c r="E105" s="1500"/>
      <c r="F105" s="1500"/>
      <c r="G105" s="1500"/>
      <c r="H105" s="1500"/>
      <c r="I105" s="1431">
        <f t="shared" si="19"/>
        <v>0</v>
      </c>
      <c r="J105" s="1432"/>
      <c r="K105" s="1459"/>
    </row>
    <row r="106" spans="1:11">
      <c r="A106" s="1397"/>
      <c r="B106" s="1428"/>
      <c r="C106" s="1483" t="s">
        <v>651</v>
      </c>
      <c r="D106" s="1430"/>
      <c r="E106" s="1500"/>
      <c r="F106" s="1500"/>
      <c r="G106" s="1500"/>
      <c r="H106" s="1500"/>
      <c r="I106" s="1431">
        <f t="shared" si="19"/>
        <v>0</v>
      </c>
      <c r="J106" s="1503"/>
    </row>
    <row r="107" spans="1:11">
      <c r="A107" s="1397"/>
      <c r="B107" s="1428"/>
      <c r="C107" s="1483" t="s">
        <v>651</v>
      </c>
      <c r="D107" s="1500"/>
      <c r="E107" s="1500"/>
      <c r="F107" s="1500"/>
      <c r="G107" s="1500"/>
      <c r="H107" s="1500"/>
      <c r="I107" s="1431">
        <f t="shared" si="19"/>
        <v>0</v>
      </c>
      <c r="J107" s="1503"/>
      <c r="K107" s="2273" t="s">
        <v>1180</v>
      </c>
    </row>
    <row r="108" spans="1:11">
      <c r="A108" s="1397"/>
      <c r="B108" s="1428"/>
      <c r="C108" s="1483" t="s">
        <v>651</v>
      </c>
      <c r="D108" s="1500"/>
      <c r="E108" s="1500"/>
      <c r="F108" s="1500"/>
      <c r="G108" s="1500"/>
      <c r="H108" s="1500"/>
      <c r="I108" s="1431">
        <f t="shared" si="19"/>
        <v>0</v>
      </c>
      <c r="J108" s="1503"/>
      <c r="K108" s="2274"/>
    </row>
    <row r="109" spans="1:11">
      <c r="A109" s="1402"/>
      <c r="B109" s="1402"/>
      <c r="C109" s="1470" t="s">
        <v>1171</v>
      </c>
      <c r="D109" s="1496">
        <f t="shared" ref="D109:I109" si="20">SUM(D91:D108)</f>
        <v>0</v>
      </c>
      <c r="E109" s="1496">
        <f t="shared" si="20"/>
        <v>0</v>
      </c>
      <c r="F109" s="1496">
        <f t="shared" si="20"/>
        <v>0</v>
      </c>
      <c r="G109" s="1496">
        <f t="shared" si="20"/>
        <v>0</v>
      </c>
      <c r="H109" s="1496">
        <f t="shared" si="20"/>
        <v>0</v>
      </c>
      <c r="I109" s="1497">
        <f t="shared" si="20"/>
        <v>0</v>
      </c>
      <c r="J109" s="1473"/>
      <c r="K109" s="2274"/>
    </row>
    <row r="110" spans="1:11" ht="24" customHeight="1">
      <c r="A110" s="1402"/>
      <c r="B110" s="1402" t="s">
        <v>658</v>
      </c>
      <c r="C110" s="1401"/>
      <c r="D110" s="1441"/>
      <c r="E110" s="1441"/>
      <c r="F110" s="1441"/>
      <c r="G110" s="1441"/>
      <c r="H110" s="1441"/>
      <c r="I110" s="1504"/>
      <c r="J110" s="1455"/>
      <c r="K110" s="2274"/>
    </row>
    <row r="111" spans="1:11">
      <c r="A111" s="1402"/>
      <c r="B111" s="1443"/>
      <c r="C111" s="1505" t="s">
        <v>1205</v>
      </c>
      <c r="D111" s="1430"/>
      <c r="E111" s="1430"/>
      <c r="F111" s="1430"/>
      <c r="G111" s="1430"/>
      <c r="H111" s="1430"/>
      <c r="I111" s="1431">
        <f>SUM(D111:H111)</f>
        <v>0</v>
      </c>
      <c r="J111" s="1506">
        <v>0.05</v>
      </c>
      <c r="K111" s="1507" t="str">
        <f>IFERROR(I111/(I54+I63+I80+I89+I109),"")</f>
        <v/>
      </c>
    </row>
    <row r="112" spans="1:11">
      <c r="A112" s="1402"/>
      <c r="B112" s="1402"/>
      <c r="C112" s="1437" t="s">
        <v>659</v>
      </c>
      <c r="D112" s="1438">
        <f t="shared" ref="D112:I112" si="21">D54+D63+D80+D89+D109+D111</f>
        <v>0</v>
      </c>
      <c r="E112" s="1438">
        <f t="shared" si="21"/>
        <v>0</v>
      </c>
      <c r="F112" s="1438">
        <f t="shared" si="21"/>
        <v>0</v>
      </c>
      <c r="G112" s="1438">
        <f t="shared" si="21"/>
        <v>0</v>
      </c>
      <c r="H112" s="1438">
        <f t="shared" si="21"/>
        <v>0</v>
      </c>
      <c r="I112" s="1439">
        <f t="shared" si="21"/>
        <v>0</v>
      </c>
      <c r="J112" s="1456"/>
    </row>
    <row r="113" spans="1:11">
      <c r="A113" s="1402"/>
      <c r="B113" s="1402"/>
      <c r="C113" s="1401"/>
      <c r="D113" s="1458"/>
      <c r="E113" s="1458"/>
      <c r="F113" s="1458"/>
      <c r="G113" s="1458"/>
      <c r="H113" s="1458"/>
      <c r="I113" s="1508"/>
      <c r="J113" s="1455"/>
    </row>
    <row r="114" spans="1:11" ht="14.4">
      <c r="A114" s="1443" t="s">
        <v>657</v>
      </c>
      <c r="C114" s="1509"/>
      <c r="D114" s="1448"/>
      <c r="E114" s="1510"/>
      <c r="F114" s="1510"/>
      <c r="G114" s="1510"/>
      <c r="H114" s="1510"/>
      <c r="I114" s="1511"/>
      <c r="J114" s="1462"/>
    </row>
    <row r="115" spans="1:11">
      <c r="A115" s="1397"/>
      <c r="B115" s="1428"/>
      <c r="C115" s="1429" t="s">
        <v>656</v>
      </c>
      <c r="D115" s="1430"/>
      <c r="E115" s="1484"/>
      <c r="F115" s="1484"/>
      <c r="G115" s="1484"/>
      <c r="H115" s="1484"/>
      <c r="I115" s="1431">
        <f t="shared" ref="I115:I120" si="22">SUM(D115:H115)</f>
        <v>0</v>
      </c>
      <c r="J115" s="1432"/>
    </row>
    <row r="116" spans="1:11" s="1402" customFormat="1">
      <c r="A116" s="1397"/>
      <c r="B116" s="1428"/>
      <c r="C116" s="1429" t="s">
        <v>655</v>
      </c>
      <c r="D116" s="1430"/>
      <c r="E116" s="1484"/>
      <c r="F116" s="1484"/>
      <c r="G116" s="1484"/>
      <c r="H116" s="1484"/>
      <c r="I116" s="1431">
        <f t="shared" si="22"/>
        <v>0</v>
      </c>
      <c r="J116" s="1432"/>
      <c r="K116" s="1404"/>
    </row>
    <row r="117" spans="1:11" s="1402" customFormat="1">
      <c r="A117" s="1397"/>
      <c r="B117" s="1428"/>
      <c r="C117" s="1429" t="s">
        <v>1172</v>
      </c>
      <c r="D117" s="1430"/>
      <c r="E117" s="1484"/>
      <c r="F117" s="1484"/>
      <c r="G117" s="1484"/>
      <c r="H117" s="1484"/>
      <c r="I117" s="1431">
        <f t="shared" si="22"/>
        <v>0</v>
      </c>
      <c r="J117" s="1432"/>
      <c r="K117" s="1404"/>
    </row>
    <row r="118" spans="1:11" s="1402" customFormat="1">
      <c r="A118" s="1397"/>
      <c r="B118" s="1428"/>
      <c r="C118" s="1429" t="s">
        <v>1280</v>
      </c>
      <c r="D118" s="1430"/>
      <c r="E118" s="1484"/>
      <c r="F118" s="1484"/>
      <c r="G118" s="1484"/>
      <c r="H118" s="1484"/>
      <c r="I118" s="1431">
        <f t="shared" si="22"/>
        <v>0</v>
      </c>
      <c r="J118" s="1432"/>
      <c r="K118" s="1404"/>
    </row>
    <row r="119" spans="1:11">
      <c r="A119" s="1397"/>
      <c r="B119" s="1428"/>
      <c r="C119" s="1483" t="s">
        <v>651</v>
      </c>
      <c r="D119" s="1430"/>
      <c r="E119" s="1484"/>
      <c r="F119" s="1484"/>
      <c r="G119" s="1484"/>
      <c r="H119" s="1484"/>
      <c r="I119" s="1431">
        <f t="shared" si="22"/>
        <v>0</v>
      </c>
      <c r="J119" s="1432"/>
    </row>
    <row r="120" spans="1:11">
      <c r="A120" s="1402"/>
      <c r="B120" s="1402"/>
      <c r="C120" s="1437" t="s">
        <v>654</v>
      </c>
      <c r="D120" s="1438">
        <f>SUM(D115:D119)</f>
        <v>0</v>
      </c>
      <c r="E120" s="1438">
        <f>SUM(E115:E119)</f>
        <v>0</v>
      </c>
      <c r="F120" s="1438">
        <f>SUM(F115:F119)</f>
        <v>0</v>
      </c>
      <c r="G120" s="1438">
        <f>SUM(G115:G119)</f>
        <v>0</v>
      </c>
      <c r="H120" s="1438">
        <f>SUM(H115:H119)</f>
        <v>0</v>
      </c>
      <c r="I120" s="1439">
        <f t="shared" si="22"/>
        <v>0</v>
      </c>
      <c r="J120" s="1456"/>
    </row>
    <row r="121" spans="1:11">
      <c r="A121" s="1402"/>
      <c r="B121" s="1402"/>
      <c r="C121" s="1398"/>
      <c r="D121" s="1441"/>
      <c r="E121" s="1441"/>
      <c r="F121" s="1441"/>
      <c r="G121" s="1441"/>
      <c r="H121" s="1441"/>
      <c r="I121" s="1512"/>
      <c r="J121" s="1455"/>
    </row>
    <row r="122" spans="1:11" ht="14.4">
      <c r="A122" s="1443" t="s">
        <v>653</v>
      </c>
      <c r="C122" s="1509"/>
      <c r="D122" s="1513"/>
      <c r="E122" s="1510"/>
      <c r="F122" s="1510"/>
      <c r="G122" s="1510"/>
      <c r="H122" s="1510"/>
      <c r="I122" s="1511"/>
      <c r="J122" s="1462"/>
    </row>
    <row r="123" spans="1:11">
      <c r="A123" s="1397"/>
      <c r="B123" s="1428"/>
      <c r="C123" s="1429" t="s">
        <v>1281</v>
      </c>
      <c r="D123" s="1430"/>
      <c r="E123" s="1484"/>
      <c r="F123" s="1484"/>
      <c r="G123" s="1484"/>
      <c r="H123" s="1484"/>
      <c r="I123" s="1431">
        <f t="shared" ref="I123:I126" si="23">SUM(D123:H123)</f>
        <v>0</v>
      </c>
      <c r="J123" s="1432"/>
    </row>
    <row r="124" spans="1:11">
      <c r="A124" s="1397"/>
      <c r="B124" s="1428"/>
      <c r="C124" s="1483" t="s">
        <v>651</v>
      </c>
      <c r="D124" s="1430"/>
      <c r="E124" s="1484"/>
      <c r="F124" s="1484"/>
      <c r="G124" s="1484"/>
      <c r="H124" s="1484"/>
      <c r="I124" s="1431">
        <f t="shared" si="23"/>
        <v>0</v>
      </c>
      <c r="J124" s="1432"/>
    </row>
    <row r="125" spans="1:11" s="1402" customFormat="1">
      <c r="A125" s="1397"/>
      <c r="B125" s="1428"/>
      <c r="C125" s="1483" t="s">
        <v>651</v>
      </c>
      <c r="D125" s="1430"/>
      <c r="E125" s="1484"/>
      <c r="F125" s="1484"/>
      <c r="G125" s="1484"/>
      <c r="H125" s="1484"/>
      <c r="I125" s="1431">
        <f t="shared" si="23"/>
        <v>0</v>
      </c>
      <c r="J125" s="1432"/>
      <c r="K125" s="1404"/>
    </row>
    <row r="126" spans="1:11" ht="15" customHeight="1">
      <c r="A126" s="1402"/>
      <c r="B126" s="1402"/>
      <c r="C126" s="1437" t="s">
        <v>650</v>
      </c>
      <c r="D126" s="1438">
        <f>SUM(D123:D125)</f>
        <v>0</v>
      </c>
      <c r="E126" s="1438">
        <f>SUM(E123:E125)</f>
        <v>0</v>
      </c>
      <c r="F126" s="1438">
        <f>SUM(F123:F125)</f>
        <v>0</v>
      </c>
      <c r="G126" s="1438">
        <f>SUM(G123:G125)</f>
        <v>0</v>
      </c>
      <c r="H126" s="1438">
        <f>SUM(H123:H125)</f>
        <v>0</v>
      </c>
      <c r="I126" s="1439">
        <f t="shared" si="23"/>
        <v>0</v>
      </c>
      <c r="J126" s="1456"/>
    </row>
    <row r="127" spans="1:11" ht="15" customHeight="1">
      <c r="A127" s="1402"/>
      <c r="B127" s="1402"/>
      <c r="D127" s="1513"/>
      <c r="E127" s="1510"/>
      <c r="F127" s="1510"/>
      <c r="G127" s="1510"/>
      <c r="H127" s="1510"/>
      <c r="J127" s="1422"/>
    </row>
    <row r="128" spans="1:11" ht="15" customHeight="1">
      <c r="A128" s="1443" t="s">
        <v>649</v>
      </c>
      <c r="B128" s="1402"/>
      <c r="C128" s="1477"/>
      <c r="D128" s="1514">
        <f t="shared" ref="D128:I128" si="24">D20+D42+D112+D120+D126</f>
        <v>0</v>
      </c>
      <c r="E128" s="1514">
        <f t="shared" si="24"/>
        <v>0</v>
      </c>
      <c r="F128" s="1514">
        <f t="shared" si="24"/>
        <v>0</v>
      </c>
      <c r="G128" s="1514">
        <f t="shared" si="24"/>
        <v>0</v>
      </c>
      <c r="H128" s="1514">
        <f t="shared" si="24"/>
        <v>0</v>
      </c>
      <c r="I128" s="1515">
        <f t="shared" si="24"/>
        <v>0</v>
      </c>
      <c r="J128" s="1432"/>
    </row>
    <row r="129" spans="1:10" ht="15" customHeight="1">
      <c r="A129" s="1397"/>
      <c r="C129" s="1397" t="s">
        <v>1349</v>
      </c>
      <c r="D129" s="1476" t="str">
        <f>IFERROR(D128/D8,"")</f>
        <v/>
      </c>
      <c r="E129" s="1476" t="str">
        <f>IFERROR(E128/E8,"")</f>
        <v/>
      </c>
      <c r="F129" s="1476" t="str">
        <f>IFERROR(F128/F8,"")</f>
        <v/>
      </c>
      <c r="G129" s="1476" t="str">
        <f>IFERROR(G128/G8,"")</f>
        <v/>
      </c>
      <c r="H129" s="1476" t="str">
        <f>IFERROR(H128/H8,"")</f>
        <v/>
      </c>
      <c r="I129" s="1476" t="str">
        <f>IFERROR(I128/#REF!,"")</f>
        <v/>
      </c>
      <c r="J129" s="1432"/>
    </row>
    <row r="130" spans="1:10" ht="15" customHeight="1">
      <c r="A130" s="1397"/>
      <c r="C130" s="1397" t="s">
        <v>1028</v>
      </c>
      <c r="D130" s="1516" t="str">
        <f t="shared" ref="D130:I130" si="25">IFERROR(D129/$I$129,"")</f>
        <v/>
      </c>
      <c r="E130" s="1516" t="str">
        <f t="shared" si="25"/>
        <v/>
      </c>
      <c r="F130" s="1516" t="str">
        <f t="shared" si="25"/>
        <v/>
      </c>
      <c r="G130" s="1516" t="str">
        <f t="shared" si="25"/>
        <v/>
      </c>
      <c r="H130" s="1516" t="str">
        <f t="shared" si="25"/>
        <v/>
      </c>
      <c r="I130" s="1517" t="str">
        <f t="shared" si="25"/>
        <v/>
      </c>
      <c r="J130" s="1432"/>
    </row>
    <row r="131" spans="1:10" ht="15" customHeight="1">
      <c r="A131" s="1397"/>
      <c r="D131" s="1518"/>
      <c r="E131" s="1518"/>
      <c r="F131" s="1518"/>
      <c r="G131" s="1518"/>
      <c r="H131" s="1518"/>
      <c r="I131" s="1519"/>
      <c r="J131" s="1520"/>
    </row>
    <row r="132" spans="1:10" ht="15" customHeight="1">
      <c r="A132" s="1397" t="s">
        <v>1350</v>
      </c>
      <c r="D132" s="1431" t="str">
        <f>IFERROR(D$20/D8,"")</f>
        <v/>
      </c>
      <c r="E132" s="1431" t="str">
        <f t="shared" ref="E132:I132" si="26">IFERROR(E$20/E8,"")</f>
        <v/>
      </c>
      <c r="F132" s="1431" t="str">
        <f t="shared" si="26"/>
        <v/>
      </c>
      <c r="G132" s="1431" t="str">
        <f t="shared" si="26"/>
        <v/>
      </c>
      <c r="H132" s="1431" t="str">
        <f t="shared" si="26"/>
        <v/>
      </c>
      <c r="I132" s="1431" t="str">
        <f t="shared" si="26"/>
        <v/>
      </c>
      <c r="J132" s="1432"/>
    </row>
    <row r="133" spans="1:10" ht="15" customHeight="1">
      <c r="A133" s="1397"/>
      <c r="D133" s="1460"/>
      <c r="E133" s="1460"/>
      <c r="F133" s="1460"/>
      <c r="G133" s="1460"/>
      <c r="H133" s="1460"/>
      <c r="J133" s="1422"/>
    </row>
    <row r="134" spans="1:10" ht="15" customHeight="1">
      <c r="A134" s="1397" t="s">
        <v>1351</v>
      </c>
      <c r="D134" s="1431" t="str">
        <f>IFERROR((D$42)/D8,"")</f>
        <v/>
      </c>
      <c r="E134" s="1431" t="str">
        <f>IFERROR((E$42)/E8,"")</f>
        <v/>
      </c>
      <c r="F134" s="1431" t="str">
        <f>IFERROR((F$42)/F8,"")</f>
        <v/>
      </c>
      <c r="G134" s="1431" t="str">
        <f>IFERROR((G$42)/G8,"")</f>
        <v/>
      </c>
      <c r="H134" s="1431" t="str">
        <f>IFERROR((H$42)/H8,"")</f>
        <v/>
      </c>
      <c r="I134" s="1431" t="str">
        <f>IFERROR((I$42)/#REF!,"")</f>
        <v/>
      </c>
      <c r="J134" s="1432"/>
    </row>
    <row r="135" spans="1:10" ht="15" customHeight="1">
      <c r="A135" s="1397" t="s">
        <v>1030</v>
      </c>
      <c r="D135" s="1521" t="str">
        <f>IFERROR((D$42)/D8,"")</f>
        <v/>
      </c>
      <c r="E135" s="1521" t="str">
        <f>IFERROR((E$42)/E8,"")</f>
        <v/>
      </c>
      <c r="F135" s="1521" t="str">
        <f>IFERROR((F$42)/F8,"")</f>
        <v/>
      </c>
      <c r="G135" s="1521" t="str">
        <f>IFERROR((G$42)/G8,"")</f>
        <v/>
      </c>
      <c r="H135" s="1521" t="str">
        <f>IFERROR((H$42)/H8,"")</f>
        <v/>
      </c>
      <c r="I135" s="1521" t="str">
        <f>IFERROR((I$42)/'1.GeneralProjectInfo'!$J$15,"")</f>
        <v/>
      </c>
      <c r="J135" s="1432"/>
    </row>
    <row r="136" spans="1:10" ht="15" customHeight="1">
      <c r="A136" s="1397"/>
      <c r="J136" s="1422"/>
    </row>
    <row r="137" spans="1:10" ht="18.75" customHeight="1">
      <c r="A137" s="1397"/>
      <c r="J137" s="1422"/>
    </row>
    <row r="138" spans="1:10" ht="15" customHeight="1">
      <c r="A138" s="1397" t="s">
        <v>1352</v>
      </c>
      <c r="D138" s="1522"/>
      <c r="E138" s="1409" t="str">
        <f>IF(D138="","Fill in with value or 'N/A' if not applicable.","")</f>
        <v>Fill in with value or 'N/A' if not applicable.</v>
      </c>
      <c r="J138" s="1422"/>
    </row>
    <row r="139" spans="1:10" ht="15" customHeight="1">
      <c r="A139" s="1397" t="s">
        <v>1353</v>
      </c>
      <c r="D139" s="1523"/>
      <c r="E139" s="1409" t="str">
        <f>IF(D139="","Fill in with value or 'N/A' if not applicable.","")</f>
        <v>Fill in with value or 'N/A' if not applicable.</v>
      </c>
      <c r="J139" s="1422"/>
    </row>
    <row r="140" spans="1:10" ht="15" customHeight="1">
      <c r="A140" s="1397" t="s">
        <v>1354</v>
      </c>
      <c r="D140" s="1524"/>
      <c r="E140" s="1409" t="str">
        <f>IF(D140="","Fill in with value or 'N/A' if not applicable.","")</f>
        <v>Fill in with value or 'N/A' if not applicable.</v>
      </c>
      <c r="J140" s="1422"/>
    </row>
    <row r="141" spans="1:10" ht="15" customHeight="1">
      <c r="A141" s="1397"/>
    </row>
    <row r="142" spans="1:10" ht="15" customHeight="1">
      <c r="A142" s="1402" t="s">
        <v>424</v>
      </c>
    </row>
    <row r="143" spans="1:10" ht="15" customHeight="1">
      <c r="A143" s="1397" t="str">
        <f>IF($A$142&lt;&gt;"","Combined Loan to Value Ratio:","")</f>
        <v/>
      </c>
      <c r="D143" s="1397"/>
      <c r="I143" s="1525" t="str">
        <f>IF($A$142&lt;&gt;"",IFERROR(I11/$I$16,""),"")</f>
        <v/>
      </c>
    </row>
    <row r="144" spans="1:10" ht="15" customHeight="1">
      <c r="A144" s="1397" t="str">
        <f>IF($A$142&lt;&gt;"","% of Acquisition Cost by Source","")</f>
        <v/>
      </c>
      <c r="D144" s="1026" t="str">
        <f t="shared" ref="D144:I144" si="27">IF($A$142&lt;&gt;"",IFERROR(D$16/$I$16,""),"")</f>
        <v/>
      </c>
      <c r="E144" s="1026" t="str">
        <f t="shared" si="27"/>
        <v/>
      </c>
      <c r="F144" s="1026" t="str">
        <f t="shared" si="27"/>
        <v/>
      </c>
      <c r="G144" s="1026" t="str">
        <f t="shared" si="27"/>
        <v/>
      </c>
      <c r="H144" s="1026" t="str">
        <f t="shared" si="27"/>
        <v/>
      </c>
      <c r="I144" s="1026" t="str">
        <f t="shared" si="27"/>
        <v/>
      </c>
    </row>
    <row r="145" spans="1:9" ht="15" customHeight="1">
      <c r="A145" s="1397"/>
    </row>
    <row r="146" spans="1:9" ht="15" customHeight="1">
      <c r="A146" s="1397" t="str">
        <f>IF($A$142&lt;&gt;"","Small Sites Maximum Developer Fee","")</f>
        <v/>
      </c>
      <c r="D146" s="1415" t="s">
        <v>424</v>
      </c>
      <c r="E146" s="1526" t="str">
        <f>IF($D$146="","",IF(ROUND($I$123,0)&gt;ROUND(D146,0),"Deverlop Fee exceeds the Maximum Developer Fee",""))</f>
        <v/>
      </c>
      <c r="I146" s="1397"/>
    </row>
    <row r="147" spans="1:9" ht="15" customHeight="1">
      <c r="A147" s="1397"/>
    </row>
    <row r="148" spans="1:9" ht="15" customHeight="1">
      <c r="A148" s="1397"/>
    </row>
    <row r="149" spans="1:9" ht="15" customHeight="1">
      <c r="A149" s="1397"/>
    </row>
    <row r="150" spans="1:9" ht="15" customHeight="1">
      <c r="A150" s="1397"/>
    </row>
    <row r="151" spans="1:9" ht="15" customHeight="1">
      <c r="A151" s="1397"/>
    </row>
    <row r="152" spans="1:9" ht="15" customHeight="1">
      <c r="A152" s="1397"/>
    </row>
    <row r="153" spans="1:9" ht="15" customHeight="1">
      <c r="A153" s="1397"/>
    </row>
    <row r="154" spans="1:9" ht="15" customHeight="1">
      <c r="A154" s="1397"/>
    </row>
    <row r="155" spans="1:9" ht="15" customHeight="1">
      <c r="A155" s="1397"/>
    </row>
    <row r="156" spans="1:9" ht="15" customHeight="1">
      <c r="A156" s="1397"/>
    </row>
    <row r="157" spans="1:9" ht="15" customHeight="1">
      <c r="A157" s="1397"/>
    </row>
    <row r="158" spans="1:9" ht="15" customHeight="1">
      <c r="A158" s="1397"/>
    </row>
    <row r="159" spans="1:9" ht="15" customHeight="1">
      <c r="A159" s="1397"/>
    </row>
    <row r="160" spans="1:9" ht="15" customHeight="1">
      <c r="A160" s="1397"/>
    </row>
    <row r="161" spans="1:1" ht="15" customHeight="1">
      <c r="A161" s="1397"/>
    </row>
    <row r="162" spans="1:1" ht="15" customHeight="1">
      <c r="A162" s="1397"/>
    </row>
    <row r="163" spans="1:1" ht="15" customHeight="1">
      <c r="A163" s="1397"/>
    </row>
    <row r="164" spans="1:1" ht="15" customHeight="1">
      <c r="A164" s="1397"/>
    </row>
    <row r="165" spans="1:1" ht="15" customHeight="1">
      <c r="A165" s="1397"/>
    </row>
    <row r="166" spans="1:1" ht="15" customHeight="1">
      <c r="A166" s="1397"/>
    </row>
    <row r="167" spans="1:1" ht="15" customHeight="1">
      <c r="A167" s="1397"/>
    </row>
    <row r="168" spans="1:1" ht="15" customHeight="1">
      <c r="A168" s="1397"/>
    </row>
    <row r="169" spans="1:1" ht="15" customHeight="1">
      <c r="A169" s="1397"/>
    </row>
    <row r="170" spans="1:1" ht="15" customHeight="1">
      <c r="A170" s="1397"/>
    </row>
    <row r="171" spans="1:1" ht="15" customHeight="1">
      <c r="A171" s="1397"/>
    </row>
    <row r="172" spans="1:1" ht="15" customHeight="1">
      <c r="A172" s="1397"/>
    </row>
    <row r="173" spans="1:1" ht="15" customHeight="1">
      <c r="A173" s="1397"/>
    </row>
    <row r="174" spans="1:1" ht="15" customHeight="1">
      <c r="A174" s="1397"/>
    </row>
    <row r="175" spans="1:1" ht="15" customHeight="1">
      <c r="A175" s="1397"/>
    </row>
    <row r="176" spans="1:1" ht="15" customHeight="1">
      <c r="A176" s="1397"/>
    </row>
    <row r="177" spans="1:1" ht="15" customHeight="1">
      <c r="A177" s="1397"/>
    </row>
    <row r="178" spans="1:1" ht="15" customHeight="1">
      <c r="A178" s="1397"/>
    </row>
    <row r="179" spans="1:1" ht="15" customHeight="1">
      <c r="A179" s="1397"/>
    </row>
    <row r="180" spans="1:1" ht="15" customHeight="1">
      <c r="A180" s="1397"/>
    </row>
    <row r="181" spans="1:1" ht="15" customHeight="1">
      <c r="A181" s="1397"/>
    </row>
    <row r="182" spans="1:1" ht="15" customHeight="1">
      <c r="A182" s="1397"/>
    </row>
    <row r="183" spans="1:1" ht="15" customHeight="1">
      <c r="A183" s="1397"/>
    </row>
    <row r="184" spans="1:1" ht="15" customHeight="1">
      <c r="A184" s="1397"/>
    </row>
    <row r="185" spans="1:1" ht="15" customHeight="1">
      <c r="A185" s="1397"/>
    </row>
    <row r="186" spans="1:1" ht="15" customHeight="1">
      <c r="A186" s="1397"/>
    </row>
    <row r="187" spans="1:1" ht="15" customHeight="1">
      <c r="A187" s="1397"/>
    </row>
    <row r="188" spans="1:1" ht="15" customHeight="1">
      <c r="A188" s="1397"/>
    </row>
    <row r="189" spans="1:1" ht="15" customHeight="1">
      <c r="A189" s="1397"/>
    </row>
    <row r="190" spans="1:1" ht="15" customHeight="1">
      <c r="A190" s="1397"/>
    </row>
    <row r="191" spans="1:1" ht="15" customHeight="1">
      <c r="A191" s="1397"/>
    </row>
    <row r="192" spans="1:1" ht="15" customHeight="1">
      <c r="A192" s="1397"/>
    </row>
    <row r="193" spans="1:1" ht="15" customHeight="1">
      <c r="A193" s="1397"/>
    </row>
    <row r="194" spans="1:1" ht="15" customHeight="1">
      <c r="A194" s="1397"/>
    </row>
    <row r="195" spans="1:1" ht="15" customHeight="1">
      <c r="A195" s="1397"/>
    </row>
    <row r="196" spans="1:1" ht="15" customHeight="1">
      <c r="A196" s="1397"/>
    </row>
    <row r="197" spans="1:1" ht="15" customHeight="1">
      <c r="A197" s="1397"/>
    </row>
    <row r="198" spans="1:1" ht="15" customHeight="1">
      <c r="A198" s="1397"/>
    </row>
    <row r="199" spans="1:1" ht="15" customHeight="1">
      <c r="A199" s="1397"/>
    </row>
    <row r="200" spans="1:1" ht="15" customHeight="1">
      <c r="A200" s="1397"/>
    </row>
    <row r="201" spans="1:1" ht="15" customHeight="1">
      <c r="A201" s="1397"/>
    </row>
    <row r="202" spans="1:1" ht="15" customHeight="1">
      <c r="A202" s="1397"/>
    </row>
    <row r="203" spans="1:1" ht="15" customHeight="1">
      <c r="A203" s="1397"/>
    </row>
    <row r="204" spans="1:1" ht="15" customHeight="1">
      <c r="A204" s="1397"/>
    </row>
    <row r="205" spans="1:1" ht="15" customHeight="1">
      <c r="A205" s="1397"/>
    </row>
    <row r="206" spans="1:1" ht="15" customHeight="1">
      <c r="A206" s="1397"/>
    </row>
    <row r="207" spans="1:1" ht="15" customHeight="1">
      <c r="A207" s="1397"/>
    </row>
    <row r="208" spans="1:1" ht="15" customHeight="1">
      <c r="A208" s="1397"/>
    </row>
    <row r="209" spans="1:1" ht="15" customHeight="1">
      <c r="A209" s="1397"/>
    </row>
    <row r="210" spans="1:1" ht="15" customHeight="1">
      <c r="A210" s="1397"/>
    </row>
    <row r="211" spans="1:1" ht="15" customHeight="1">
      <c r="A211" s="1397"/>
    </row>
    <row r="212" spans="1:1" ht="15" customHeight="1">
      <c r="A212" s="1397"/>
    </row>
    <row r="213" spans="1:1" ht="15" customHeight="1">
      <c r="A213" s="1397"/>
    </row>
    <row r="214" spans="1:1" ht="15" customHeight="1">
      <c r="A214" s="1397"/>
    </row>
    <row r="215" spans="1:1" ht="15" customHeight="1">
      <c r="A215" s="1397"/>
    </row>
    <row r="216" spans="1:1" ht="15" customHeight="1">
      <c r="A216" s="1397"/>
    </row>
    <row r="217" spans="1:1" ht="15" customHeight="1">
      <c r="A217" s="1397"/>
    </row>
    <row r="218" spans="1:1" ht="15" customHeight="1">
      <c r="A218" s="1397"/>
    </row>
    <row r="219" spans="1:1" ht="15" customHeight="1">
      <c r="A219" s="1397"/>
    </row>
    <row r="220" spans="1:1" ht="15" customHeight="1">
      <c r="A220" s="1397"/>
    </row>
    <row r="221" spans="1:1" ht="15" customHeight="1">
      <c r="A221" s="1397"/>
    </row>
    <row r="222" spans="1:1" ht="15" customHeight="1">
      <c r="A222" s="1397"/>
    </row>
    <row r="223" spans="1:1" ht="15" customHeight="1">
      <c r="A223" s="1397"/>
    </row>
    <row r="224" spans="1:1" ht="15" customHeight="1">
      <c r="A224" s="1397"/>
    </row>
    <row r="225" spans="1:1" ht="15" customHeight="1">
      <c r="A225" s="1397"/>
    </row>
    <row r="226" spans="1:1" ht="15" customHeight="1">
      <c r="A226" s="1397"/>
    </row>
    <row r="227" spans="1:1" ht="15" customHeight="1">
      <c r="A227" s="1397"/>
    </row>
    <row r="228" spans="1:1" ht="15" customHeight="1">
      <c r="A228" s="1397"/>
    </row>
    <row r="229" spans="1:1" ht="15" customHeight="1">
      <c r="A229" s="1397"/>
    </row>
    <row r="230" spans="1:1" ht="15" customHeight="1">
      <c r="A230" s="1397"/>
    </row>
    <row r="231" spans="1:1" ht="15" customHeight="1">
      <c r="A231" s="1397"/>
    </row>
    <row r="232" spans="1:1" ht="15" customHeight="1">
      <c r="A232" s="1397"/>
    </row>
    <row r="233" spans="1:1" ht="15" customHeight="1">
      <c r="A233" s="1397"/>
    </row>
    <row r="234" spans="1:1" ht="15" customHeight="1">
      <c r="A234" s="1397"/>
    </row>
    <row r="235" spans="1:1" ht="15" customHeight="1">
      <c r="A235" s="1397"/>
    </row>
    <row r="236" spans="1:1" ht="15" customHeight="1">
      <c r="A236" s="1397"/>
    </row>
    <row r="237" spans="1:1" ht="15" customHeight="1">
      <c r="A237" s="1397"/>
    </row>
    <row r="238" spans="1:1" ht="15" customHeight="1">
      <c r="A238" s="1397"/>
    </row>
    <row r="239" spans="1:1" ht="15" customHeight="1">
      <c r="A239" s="1397"/>
    </row>
    <row r="240" spans="1:1" ht="15" customHeight="1">
      <c r="A240" s="1397"/>
    </row>
    <row r="241" spans="1:1" ht="15" customHeight="1">
      <c r="A241" s="1397"/>
    </row>
    <row r="242" spans="1:1" ht="15" customHeight="1">
      <c r="A242" s="1397"/>
    </row>
    <row r="243" spans="1:1" ht="15" customHeight="1">
      <c r="A243" s="1397"/>
    </row>
    <row r="244" spans="1:1" ht="15" customHeight="1">
      <c r="A244" s="1397"/>
    </row>
    <row r="245" spans="1:1" ht="15" customHeight="1">
      <c r="A245" s="1397"/>
    </row>
    <row r="246" spans="1:1" ht="15" customHeight="1">
      <c r="A246" s="1397"/>
    </row>
    <row r="247" spans="1:1" ht="15" customHeight="1">
      <c r="A247" s="1397"/>
    </row>
    <row r="248" spans="1:1" ht="15" customHeight="1">
      <c r="A248" s="1397"/>
    </row>
    <row r="249" spans="1:1" ht="15" customHeight="1">
      <c r="A249" s="1397"/>
    </row>
    <row r="250" spans="1:1" ht="15" customHeight="1">
      <c r="A250" s="1397"/>
    </row>
    <row r="251" spans="1:1" ht="15" customHeight="1">
      <c r="A251" s="1397"/>
    </row>
    <row r="252" spans="1:1" ht="15" customHeight="1">
      <c r="A252" s="1397"/>
    </row>
    <row r="253" spans="1:1" ht="15" customHeight="1">
      <c r="A253" s="1397"/>
    </row>
    <row r="254" spans="1:1" ht="15" customHeight="1">
      <c r="A254" s="1397"/>
    </row>
    <row r="255" spans="1:1" ht="15" customHeight="1">
      <c r="A255" s="1397"/>
    </row>
    <row r="256" spans="1:1" ht="15" customHeight="1">
      <c r="A256" s="1397"/>
    </row>
    <row r="257" spans="1:1" ht="15" customHeight="1">
      <c r="A257" s="1397"/>
    </row>
    <row r="258" spans="1:1" ht="15" customHeight="1">
      <c r="A258" s="1397"/>
    </row>
    <row r="259" spans="1:1" ht="15" customHeight="1">
      <c r="A259" s="1397"/>
    </row>
    <row r="260" spans="1:1" ht="15" customHeight="1">
      <c r="A260" s="1397"/>
    </row>
    <row r="261" spans="1:1" ht="15" customHeight="1">
      <c r="A261" s="1397"/>
    </row>
    <row r="262" spans="1:1" ht="15" customHeight="1">
      <c r="A262" s="1397"/>
    </row>
    <row r="263" spans="1:1" ht="15" customHeight="1">
      <c r="A263" s="1397"/>
    </row>
    <row r="264" spans="1:1" ht="15" customHeight="1">
      <c r="A264" s="1397"/>
    </row>
    <row r="265" spans="1:1" ht="15" customHeight="1">
      <c r="A265" s="1397"/>
    </row>
    <row r="266" spans="1:1" ht="15" customHeight="1">
      <c r="A266" s="1397"/>
    </row>
    <row r="267" spans="1:1" ht="15" customHeight="1">
      <c r="A267" s="1397"/>
    </row>
    <row r="268" spans="1:1" ht="15" customHeight="1">
      <c r="A268" s="1397"/>
    </row>
    <row r="269" spans="1:1" ht="15" customHeight="1">
      <c r="A269" s="1397"/>
    </row>
    <row r="270" spans="1:1" ht="15" customHeight="1">
      <c r="A270" s="1397"/>
    </row>
    <row r="271" spans="1:1" ht="15" customHeight="1">
      <c r="A271" s="1397"/>
    </row>
    <row r="272" spans="1:1" ht="15" customHeight="1">
      <c r="A272" s="1397"/>
    </row>
    <row r="273" spans="1:1" ht="15" customHeight="1">
      <c r="A273" s="1397"/>
    </row>
    <row r="274" spans="1:1" ht="15" customHeight="1">
      <c r="A274" s="1397"/>
    </row>
    <row r="275" spans="1:1" ht="15" customHeight="1">
      <c r="A275" s="1397"/>
    </row>
    <row r="276" spans="1:1" ht="15" customHeight="1">
      <c r="A276" s="1397"/>
    </row>
    <row r="277" spans="1:1" ht="15" customHeight="1">
      <c r="A277" s="1397"/>
    </row>
    <row r="278" spans="1:1" ht="15" customHeight="1">
      <c r="A278" s="1397"/>
    </row>
    <row r="279" spans="1:1" ht="15" customHeight="1">
      <c r="A279" s="1397"/>
    </row>
    <row r="280" spans="1:1" ht="15" customHeight="1">
      <c r="A280" s="1397"/>
    </row>
    <row r="281" spans="1:1" ht="15" customHeight="1">
      <c r="A281" s="1397"/>
    </row>
    <row r="282" spans="1:1" ht="15" customHeight="1">
      <c r="A282" s="1397"/>
    </row>
    <row r="283" spans="1:1" ht="15" customHeight="1">
      <c r="A283" s="1397"/>
    </row>
    <row r="284" spans="1:1" ht="15" customHeight="1">
      <c r="A284" s="1397"/>
    </row>
    <row r="285" spans="1:1" ht="15" customHeight="1">
      <c r="A285" s="1397"/>
    </row>
    <row r="286" spans="1:1" ht="15" customHeight="1">
      <c r="A286" s="1397"/>
    </row>
    <row r="287" spans="1:1" ht="15" customHeight="1">
      <c r="A287" s="1397"/>
    </row>
    <row r="288" spans="1:1" ht="15" customHeight="1">
      <c r="A288" s="1397"/>
    </row>
    <row r="289" spans="1:1" ht="15" customHeight="1">
      <c r="A289" s="1397"/>
    </row>
    <row r="290" spans="1:1" ht="15" customHeight="1">
      <c r="A290" s="1397"/>
    </row>
    <row r="291" spans="1:1" ht="15" customHeight="1">
      <c r="A291" s="1397"/>
    </row>
    <row r="292" spans="1:1" ht="15" customHeight="1">
      <c r="A292" s="1397"/>
    </row>
    <row r="293" spans="1:1" ht="15" customHeight="1">
      <c r="A293" s="1397"/>
    </row>
    <row r="294" spans="1:1" ht="15" customHeight="1">
      <c r="A294" s="1397"/>
    </row>
    <row r="295" spans="1:1" ht="15" customHeight="1">
      <c r="A295" s="1397"/>
    </row>
    <row r="296" spans="1:1" ht="15" customHeight="1">
      <c r="A296" s="1397"/>
    </row>
    <row r="297" spans="1:1" ht="15" customHeight="1">
      <c r="A297" s="1397"/>
    </row>
    <row r="298" spans="1:1" ht="15" customHeight="1">
      <c r="A298" s="1397"/>
    </row>
    <row r="299" spans="1:1" ht="15" customHeight="1">
      <c r="A299" s="1397"/>
    </row>
    <row r="300" spans="1:1" ht="15" customHeight="1">
      <c r="A300" s="1397"/>
    </row>
    <row r="301" spans="1:1" ht="15" customHeight="1">
      <c r="A301" s="1397"/>
    </row>
    <row r="302" spans="1:1" ht="15" customHeight="1">
      <c r="A302" s="1397"/>
    </row>
    <row r="303" spans="1:1" ht="15" customHeight="1">
      <c r="A303" s="1397"/>
    </row>
    <row r="304" spans="1:1" ht="15" customHeight="1">
      <c r="A304" s="1397"/>
    </row>
    <row r="305" spans="1:1" ht="15" customHeight="1">
      <c r="A305" s="1397"/>
    </row>
    <row r="306" spans="1:1" ht="15" customHeight="1">
      <c r="A306" s="1397"/>
    </row>
    <row r="307" spans="1:1" ht="15" customHeight="1">
      <c r="A307" s="1397"/>
    </row>
    <row r="308" spans="1:1" ht="15" customHeight="1">
      <c r="A308" s="1397"/>
    </row>
    <row r="309" spans="1:1" ht="15" customHeight="1">
      <c r="A309" s="1397"/>
    </row>
    <row r="310" spans="1:1" ht="15" customHeight="1">
      <c r="A310" s="1397"/>
    </row>
    <row r="311" spans="1:1" ht="15" customHeight="1">
      <c r="A311" s="1397"/>
    </row>
    <row r="312" spans="1:1" ht="15" customHeight="1">
      <c r="A312" s="1397"/>
    </row>
    <row r="313" spans="1:1" ht="15" customHeight="1">
      <c r="A313" s="1397"/>
    </row>
    <row r="314" spans="1:1" ht="15" customHeight="1">
      <c r="A314" s="1397"/>
    </row>
    <row r="315" spans="1:1" ht="15" customHeight="1">
      <c r="A315" s="1397"/>
    </row>
    <row r="316" spans="1:1" ht="15" customHeight="1">
      <c r="A316" s="1397"/>
    </row>
    <row r="317" spans="1:1" ht="15" customHeight="1">
      <c r="A317" s="1397"/>
    </row>
    <row r="318" spans="1:1" ht="15" customHeight="1">
      <c r="A318" s="1397"/>
    </row>
    <row r="319" spans="1:1" ht="15" customHeight="1">
      <c r="A319" s="1397"/>
    </row>
    <row r="320" spans="1:1" ht="15" customHeight="1">
      <c r="A320" s="1397"/>
    </row>
    <row r="321" spans="1:1" ht="15" customHeight="1">
      <c r="A321" s="1397"/>
    </row>
    <row r="322" spans="1:1" ht="15" customHeight="1">
      <c r="A322" s="1397"/>
    </row>
    <row r="323" spans="1:1" ht="15" customHeight="1">
      <c r="A323" s="1397"/>
    </row>
    <row r="324" spans="1:1" ht="15" customHeight="1">
      <c r="A324" s="1397"/>
    </row>
    <row r="325" spans="1:1" ht="15" customHeight="1">
      <c r="A325" s="1397"/>
    </row>
    <row r="326" spans="1:1" ht="15" customHeight="1">
      <c r="A326" s="1397"/>
    </row>
    <row r="327" spans="1:1" ht="15" customHeight="1">
      <c r="A327" s="1397"/>
    </row>
    <row r="328" spans="1:1" ht="15" customHeight="1">
      <c r="A328" s="1397"/>
    </row>
    <row r="329" spans="1:1" ht="15" customHeight="1">
      <c r="A329" s="1397"/>
    </row>
    <row r="330" spans="1:1" ht="15" customHeight="1">
      <c r="A330" s="1397"/>
    </row>
    <row r="331" spans="1:1" ht="15" customHeight="1">
      <c r="A331" s="1397"/>
    </row>
    <row r="332" spans="1:1" ht="15" customHeight="1">
      <c r="A332" s="1397"/>
    </row>
    <row r="333" spans="1:1" ht="15" customHeight="1">
      <c r="A333" s="1397"/>
    </row>
    <row r="334" spans="1:1" ht="15" customHeight="1">
      <c r="A334" s="1397"/>
    </row>
    <row r="335" spans="1:1" ht="15" customHeight="1">
      <c r="A335" s="1397"/>
    </row>
    <row r="336" spans="1:1" ht="15" customHeight="1">
      <c r="A336" s="1397"/>
    </row>
    <row r="337" spans="1:1" ht="15" customHeight="1">
      <c r="A337" s="1397"/>
    </row>
    <row r="338" spans="1:1" ht="15" customHeight="1">
      <c r="A338" s="1397"/>
    </row>
    <row r="339" spans="1:1" ht="15" customHeight="1">
      <c r="A339" s="1397"/>
    </row>
    <row r="340" spans="1:1" ht="15" customHeight="1">
      <c r="A340" s="1397"/>
    </row>
    <row r="341" spans="1:1" ht="15" customHeight="1">
      <c r="A341" s="1397"/>
    </row>
    <row r="342" spans="1:1" ht="15" customHeight="1">
      <c r="A342" s="1397"/>
    </row>
    <row r="343" spans="1:1" ht="15" customHeight="1">
      <c r="A343" s="1397"/>
    </row>
    <row r="344" spans="1:1" ht="15" customHeight="1">
      <c r="A344" s="1397"/>
    </row>
    <row r="345" spans="1:1" ht="15" customHeight="1">
      <c r="A345" s="1397"/>
    </row>
    <row r="346" spans="1:1" ht="15" customHeight="1">
      <c r="A346" s="1397"/>
    </row>
    <row r="347" spans="1:1" ht="15" customHeight="1">
      <c r="A347" s="1397"/>
    </row>
    <row r="348" spans="1:1" ht="15" customHeight="1">
      <c r="A348" s="1397"/>
    </row>
    <row r="349" spans="1:1" ht="15" customHeight="1">
      <c r="A349" s="1397"/>
    </row>
    <row r="350" spans="1:1" ht="15" customHeight="1">
      <c r="A350" s="1397"/>
    </row>
    <row r="351" spans="1:1" ht="15" customHeight="1">
      <c r="A351" s="1397"/>
    </row>
    <row r="352" spans="1:1" ht="15" customHeight="1">
      <c r="A352" s="1397"/>
    </row>
    <row r="353" spans="1:1" ht="15" customHeight="1">
      <c r="A353" s="1397"/>
    </row>
    <row r="354" spans="1:1" ht="15" customHeight="1">
      <c r="A354" s="1397"/>
    </row>
    <row r="355" spans="1:1" ht="15" customHeight="1">
      <c r="A355" s="1397"/>
    </row>
    <row r="356" spans="1:1" ht="15" customHeight="1">
      <c r="A356" s="1397"/>
    </row>
    <row r="357" spans="1:1" ht="15" customHeight="1">
      <c r="A357" s="1397"/>
    </row>
    <row r="358" spans="1:1" ht="15" customHeight="1">
      <c r="A358" s="1397"/>
    </row>
    <row r="359" spans="1:1" ht="15" customHeight="1">
      <c r="A359" s="1397"/>
    </row>
    <row r="360" spans="1:1" ht="15" customHeight="1">
      <c r="A360" s="1397"/>
    </row>
    <row r="361" spans="1:1" ht="15" customHeight="1">
      <c r="A361" s="1397"/>
    </row>
    <row r="362" spans="1:1" ht="15" customHeight="1">
      <c r="A362" s="1397"/>
    </row>
    <row r="363" spans="1:1" ht="15" customHeight="1">
      <c r="A363" s="1397"/>
    </row>
    <row r="364" spans="1:1" ht="15" customHeight="1">
      <c r="A364" s="1397"/>
    </row>
    <row r="365" spans="1:1" ht="15" customHeight="1">
      <c r="A365" s="1397"/>
    </row>
    <row r="366" spans="1:1" ht="15" customHeight="1">
      <c r="A366" s="1397"/>
    </row>
    <row r="367" spans="1:1" ht="15" customHeight="1">
      <c r="A367" s="1397"/>
    </row>
    <row r="368" spans="1:1" ht="15" customHeight="1">
      <c r="A368" s="1397"/>
    </row>
    <row r="369" spans="1:1" ht="15" customHeight="1">
      <c r="A369" s="1397"/>
    </row>
    <row r="370" spans="1:1" ht="15" customHeight="1">
      <c r="A370" s="1397"/>
    </row>
    <row r="371" spans="1:1" ht="15" customHeight="1">
      <c r="A371" s="1397"/>
    </row>
    <row r="372" spans="1:1" ht="15" customHeight="1">
      <c r="A372" s="1397"/>
    </row>
    <row r="373" spans="1:1" ht="15" customHeight="1">
      <c r="A373" s="1397"/>
    </row>
    <row r="374" spans="1:1" ht="15" customHeight="1">
      <c r="A374" s="1397"/>
    </row>
    <row r="375" spans="1:1" ht="15" customHeight="1">
      <c r="A375" s="1397"/>
    </row>
    <row r="376" spans="1:1" ht="15" customHeight="1">
      <c r="A376" s="1397"/>
    </row>
    <row r="377" spans="1:1" ht="15" customHeight="1">
      <c r="A377" s="1397"/>
    </row>
    <row r="378" spans="1:1" ht="15" customHeight="1">
      <c r="A378" s="1397"/>
    </row>
    <row r="379" spans="1:1" ht="15" customHeight="1">
      <c r="A379" s="1397"/>
    </row>
    <row r="380" spans="1:1" ht="15" customHeight="1">
      <c r="A380" s="1397"/>
    </row>
    <row r="381" spans="1:1" ht="15" customHeight="1">
      <c r="A381" s="1397"/>
    </row>
    <row r="382" spans="1:1" ht="15" customHeight="1">
      <c r="A382" s="1397"/>
    </row>
    <row r="383" spans="1:1" ht="15" customHeight="1">
      <c r="A383" s="1397"/>
    </row>
    <row r="384" spans="1:1" ht="15" customHeight="1">
      <c r="A384" s="1397"/>
    </row>
    <row r="385" spans="1:1" ht="15" customHeight="1">
      <c r="A385" s="1397"/>
    </row>
    <row r="386" spans="1:1" ht="15" customHeight="1">
      <c r="A386" s="1397"/>
    </row>
    <row r="387" spans="1:1" ht="15" customHeight="1">
      <c r="A387" s="1397"/>
    </row>
    <row r="388" spans="1:1" ht="15" customHeight="1">
      <c r="A388" s="1397"/>
    </row>
    <row r="389" spans="1:1" ht="15" customHeight="1">
      <c r="A389" s="1397"/>
    </row>
    <row r="390" spans="1:1" ht="15" customHeight="1">
      <c r="A390" s="1397"/>
    </row>
    <row r="391" spans="1:1" ht="15" customHeight="1">
      <c r="A391" s="1397"/>
    </row>
    <row r="392" spans="1:1" ht="15" customHeight="1">
      <c r="A392" s="1397"/>
    </row>
    <row r="393" spans="1:1" ht="15" customHeight="1">
      <c r="A393" s="1397"/>
    </row>
    <row r="394" spans="1:1" ht="15" customHeight="1">
      <c r="A394" s="1397"/>
    </row>
    <row r="395" spans="1:1" ht="15" customHeight="1">
      <c r="A395" s="1397"/>
    </row>
    <row r="396" spans="1:1" ht="15" customHeight="1">
      <c r="A396" s="1397"/>
    </row>
    <row r="397" spans="1:1" ht="15" customHeight="1">
      <c r="A397" s="1397"/>
    </row>
    <row r="398" spans="1:1" ht="15" customHeight="1">
      <c r="A398" s="1397"/>
    </row>
    <row r="399" spans="1:1" ht="15" customHeight="1">
      <c r="A399" s="1397"/>
    </row>
    <row r="400" spans="1:1" ht="15" customHeight="1">
      <c r="A400" s="1397"/>
    </row>
    <row r="401" spans="1:1" ht="15" customHeight="1">
      <c r="A401" s="1397"/>
    </row>
    <row r="402" spans="1:1" ht="15" customHeight="1">
      <c r="A402" s="1397"/>
    </row>
    <row r="403" spans="1:1" ht="15" customHeight="1">
      <c r="A403" s="1397"/>
    </row>
    <row r="404" spans="1:1" ht="15" customHeight="1">
      <c r="A404" s="1397"/>
    </row>
    <row r="405" spans="1:1" ht="15" customHeight="1">
      <c r="A405" s="1397"/>
    </row>
    <row r="406" spans="1:1" ht="15" customHeight="1">
      <c r="A406" s="1397"/>
    </row>
    <row r="407" spans="1:1" ht="15" customHeight="1">
      <c r="A407" s="1397"/>
    </row>
    <row r="408" spans="1:1" ht="15" customHeight="1">
      <c r="A408" s="1397"/>
    </row>
    <row r="409" spans="1:1" ht="15" customHeight="1">
      <c r="A409" s="1397"/>
    </row>
    <row r="410" spans="1:1" ht="15" customHeight="1">
      <c r="A410" s="1397"/>
    </row>
    <row r="411" spans="1:1" ht="15" customHeight="1">
      <c r="A411" s="1397"/>
    </row>
    <row r="412" spans="1:1" ht="15" customHeight="1">
      <c r="A412" s="1397"/>
    </row>
    <row r="413" spans="1:1" ht="15" customHeight="1">
      <c r="A413" s="1397"/>
    </row>
    <row r="414" spans="1:1" ht="15" customHeight="1">
      <c r="A414" s="1397"/>
    </row>
    <row r="415" spans="1:1" ht="15" customHeight="1">
      <c r="A415" s="1397"/>
    </row>
    <row r="416" spans="1:1" ht="15" customHeight="1">
      <c r="A416" s="1397"/>
    </row>
    <row r="417" spans="1:1" ht="15" customHeight="1">
      <c r="A417" s="1397"/>
    </row>
    <row r="418" spans="1:1" ht="15" customHeight="1">
      <c r="A418" s="1397"/>
    </row>
    <row r="419" spans="1:1" ht="15" customHeight="1">
      <c r="A419" s="1397"/>
    </row>
    <row r="420" spans="1:1" ht="15" customHeight="1">
      <c r="A420" s="1397"/>
    </row>
    <row r="421" spans="1:1" ht="15" customHeight="1">
      <c r="A421" s="1397"/>
    </row>
    <row r="422" spans="1:1" ht="15" customHeight="1">
      <c r="A422" s="1397"/>
    </row>
    <row r="423" spans="1:1" ht="15" customHeight="1">
      <c r="A423" s="1397"/>
    </row>
    <row r="424" spans="1:1" ht="15" customHeight="1">
      <c r="A424" s="1397"/>
    </row>
    <row r="425" spans="1:1" ht="15" customHeight="1">
      <c r="A425" s="1397"/>
    </row>
    <row r="426" spans="1:1" ht="15" customHeight="1">
      <c r="A426" s="1397"/>
    </row>
    <row r="427" spans="1:1" ht="15" customHeight="1">
      <c r="A427" s="1397"/>
    </row>
    <row r="428" spans="1:1" ht="15" customHeight="1">
      <c r="A428" s="1397"/>
    </row>
    <row r="429" spans="1:1" ht="15" customHeight="1">
      <c r="A429" s="1397"/>
    </row>
    <row r="430" spans="1:1" ht="15" customHeight="1">
      <c r="A430" s="1397"/>
    </row>
    <row r="431" spans="1:1" ht="15" customHeight="1">
      <c r="A431" s="1397"/>
    </row>
    <row r="432" spans="1:1" ht="15" customHeight="1">
      <c r="A432" s="1397"/>
    </row>
    <row r="433" spans="1:1" ht="15" customHeight="1">
      <c r="A433" s="1397"/>
    </row>
    <row r="434" spans="1:1" ht="15" customHeight="1">
      <c r="A434" s="1397"/>
    </row>
    <row r="435" spans="1:1" ht="15" customHeight="1">
      <c r="A435" s="1397"/>
    </row>
    <row r="436" spans="1:1" ht="15" customHeight="1">
      <c r="A436" s="1397"/>
    </row>
    <row r="437" spans="1:1" ht="15" customHeight="1">
      <c r="A437" s="1397"/>
    </row>
    <row r="438" spans="1:1" ht="15" customHeight="1">
      <c r="A438" s="1397"/>
    </row>
    <row r="439" spans="1:1" ht="15" customHeight="1">
      <c r="A439" s="1397"/>
    </row>
    <row r="440" spans="1:1" ht="15" customHeight="1">
      <c r="A440" s="1397"/>
    </row>
    <row r="441" spans="1:1" ht="15" customHeight="1">
      <c r="A441" s="1397"/>
    </row>
    <row r="442" spans="1:1" ht="15" customHeight="1">
      <c r="A442" s="1397"/>
    </row>
    <row r="443" spans="1:1" ht="15" customHeight="1">
      <c r="A443" s="1397"/>
    </row>
    <row r="444" spans="1:1" ht="15" customHeight="1">
      <c r="A444" s="1397"/>
    </row>
    <row r="445" spans="1:1" ht="15" customHeight="1">
      <c r="A445" s="1397"/>
    </row>
    <row r="446" spans="1:1" ht="15" customHeight="1">
      <c r="A446" s="1397"/>
    </row>
    <row r="447" spans="1:1" ht="15" customHeight="1">
      <c r="A447" s="1397"/>
    </row>
    <row r="448" spans="1:1" ht="15" customHeight="1">
      <c r="A448" s="1397"/>
    </row>
    <row r="449" spans="1:1" ht="15" customHeight="1">
      <c r="A449" s="1397"/>
    </row>
    <row r="450" spans="1:1" ht="15" customHeight="1">
      <c r="A450" s="1397"/>
    </row>
    <row r="451" spans="1:1" ht="15" customHeight="1">
      <c r="A451" s="1397"/>
    </row>
    <row r="452" spans="1:1" ht="15" customHeight="1">
      <c r="A452" s="1397"/>
    </row>
    <row r="453" spans="1:1" ht="15" customHeight="1">
      <c r="A453" s="1397"/>
    </row>
    <row r="454" spans="1:1" ht="15" customHeight="1">
      <c r="A454" s="1397"/>
    </row>
    <row r="455" spans="1:1" ht="15" customHeight="1">
      <c r="A455" s="1397"/>
    </row>
    <row r="456" spans="1:1" ht="15" customHeight="1">
      <c r="A456" s="1397"/>
    </row>
    <row r="457" spans="1:1" ht="15" customHeight="1">
      <c r="A457" s="1397"/>
    </row>
    <row r="458" spans="1:1" ht="15" customHeight="1">
      <c r="A458" s="1397"/>
    </row>
    <row r="459" spans="1:1" ht="15" customHeight="1">
      <c r="A459" s="1397"/>
    </row>
    <row r="460" spans="1:1" ht="15" customHeight="1">
      <c r="A460" s="1397"/>
    </row>
    <row r="461" spans="1:1" ht="15" customHeight="1">
      <c r="A461" s="1397"/>
    </row>
    <row r="462" spans="1:1" ht="15" customHeight="1">
      <c r="A462" s="1397"/>
    </row>
    <row r="463" spans="1:1" ht="15" customHeight="1">
      <c r="A463" s="1397"/>
    </row>
    <row r="464" spans="1:1" ht="15" customHeight="1">
      <c r="A464" s="1397"/>
    </row>
    <row r="465" spans="1:1" ht="15" customHeight="1">
      <c r="A465" s="1397"/>
    </row>
    <row r="466" spans="1:1" ht="15" customHeight="1">
      <c r="A466" s="1397"/>
    </row>
    <row r="467" spans="1:1" ht="15" customHeight="1">
      <c r="A467" s="1397"/>
    </row>
    <row r="468" spans="1:1" ht="15" customHeight="1">
      <c r="A468" s="1397"/>
    </row>
    <row r="469" spans="1:1" ht="15" customHeight="1">
      <c r="A469" s="1397"/>
    </row>
    <row r="470" spans="1:1" ht="15" customHeight="1">
      <c r="A470" s="1397"/>
    </row>
    <row r="471" spans="1:1" ht="15" customHeight="1">
      <c r="A471" s="1397"/>
    </row>
    <row r="472" spans="1:1" ht="15" customHeight="1">
      <c r="A472" s="1397"/>
    </row>
    <row r="473" spans="1:1" ht="15" customHeight="1">
      <c r="A473" s="1397"/>
    </row>
  </sheetData>
  <sheetProtection algorithmName="SHA-512" hashValue="UrMU64hfc0gUrvNAwFokotsIYfVH2R+BPk30KCIXZGXuO7fp+5OzyGHmd8M96UknlnDVDJadJWJhl7kHZoCsIg==" saltValue="DkHHJtRcv5MOX+xlYHt7IQ==" spinCount="100000" sheet="1" objects="1" scenarios="1"/>
  <mergeCells count="2">
    <mergeCell ref="K29:K32"/>
    <mergeCell ref="K107:K110"/>
  </mergeCells>
  <pageMargins left="0.7" right="0.7" top="0.75" bottom="0.75" header="0.3" footer="0.3"/>
  <pageSetup paperSize="5" scale="4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31</vt:i4>
      </vt:variant>
      <vt:variant>
        <vt:lpstr>Excel 4.0 Macros</vt:lpstr>
      </vt:variant>
      <vt:variant>
        <vt:i4>1</vt:i4>
      </vt:variant>
      <vt:variant>
        <vt:lpstr>Named Ranges</vt:lpstr>
      </vt:variant>
      <vt:variant>
        <vt:i4>39</vt:i4>
      </vt:variant>
    </vt:vector>
  </HeadingPairs>
  <TitlesOfParts>
    <vt:vector size="71" baseType="lpstr">
      <vt:lpstr>Instructions</vt:lpstr>
      <vt:lpstr>1.GeneralProjectInfo</vt:lpstr>
      <vt:lpstr>2.Utilities&amp;OtherIncome</vt:lpstr>
      <vt:lpstr>3a.NewProj-Rent&amp;UnitMix</vt:lpstr>
      <vt:lpstr>3b.ExistingProj-RentRoll</vt:lpstr>
      <vt:lpstr>4a.PredevS&amp;U</vt:lpstr>
      <vt:lpstr>4b.PermS&amp;U</vt:lpstr>
      <vt:lpstr>CNA</vt:lpstr>
      <vt:lpstr>4c.CommS&amp;U</vt:lpstr>
      <vt:lpstr>5.CommOp.Budget</vt:lpstr>
      <vt:lpstr>6a. Staffing</vt:lpstr>
      <vt:lpstr>6.1stYrOpBudget</vt:lpstr>
      <vt:lpstr>7a.20YrDetails</vt:lpstr>
      <vt:lpstr>7b.20YrSummary</vt:lpstr>
      <vt:lpstr>8.DevFeeCalc</vt:lpstr>
      <vt:lpstr>Exhibit A</vt:lpstr>
      <vt:lpstr>SOS</vt:lpstr>
      <vt:lpstr>Lists</vt:lpstr>
      <vt:lpstr>RentsUA</vt:lpstr>
      <vt:lpstr>Fiscal Staging Area</vt:lpstr>
      <vt:lpstr>9a.PASS</vt:lpstr>
      <vt:lpstr>9b.MR_Amort</vt:lpstr>
      <vt:lpstr>9c.BMR_Amort</vt:lpstr>
      <vt:lpstr>9d.Refi</vt:lpstr>
      <vt:lpstr>LC Eval</vt:lpstr>
      <vt:lpstr>change log</vt:lpstr>
      <vt:lpstr>Sheet1</vt:lpstr>
      <vt:lpstr>Sheet2</vt:lpstr>
      <vt:lpstr>Sheet3</vt:lpstr>
      <vt:lpstr>Sheet4</vt:lpstr>
      <vt:lpstr>Sheet5</vt:lpstr>
      <vt:lpstr>Macro1</vt:lpstr>
      <vt:lpstr>AMIType</vt:lpstr>
      <vt:lpstr>ExDevtAMI</vt:lpstr>
      <vt:lpstr>Financing</vt:lpstr>
      <vt:lpstr>HAPContract</vt:lpstr>
      <vt:lpstr>HHSize</vt:lpstr>
      <vt:lpstr>LOSP</vt:lpstr>
      <vt:lpstr>'1.GeneralProjectInfo'!Print_Area</vt:lpstr>
      <vt:lpstr>'2.Utilities&amp;OtherIncome'!Print_Area</vt:lpstr>
      <vt:lpstr>'3a.NewProj-Rent&amp;UnitMix'!Print_Area</vt:lpstr>
      <vt:lpstr>'3b.ExistingProj-RentRoll'!Print_Area</vt:lpstr>
      <vt:lpstr>'4a.PredevS&amp;U'!Print_Area</vt:lpstr>
      <vt:lpstr>'4b.PermS&amp;U'!Print_Area</vt:lpstr>
      <vt:lpstr>'4c.CommS&amp;U'!Print_Area</vt:lpstr>
      <vt:lpstr>'5.CommOp.Budget'!Print_Area</vt:lpstr>
      <vt:lpstr>'6a. Staffing'!Print_Area</vt:lpstr>
      <vt:lpstr>'7a.20YrDetails'!Print_Area</vt:lpstr>
      <vt:lpstr>'7b.20YrSummary'!Print_Area</vt:lpstr>
      <vt:lpstr>'8.DevFeeCalc'!Print_Area</vt:lpstr>
      <vt:lpstr>'9a.PASS'!Print_Area</vt:lpstr>
      <vt:lpstr>CNA!Print_Area</vt:lpstr>
      <vt:lpstr>'Exhibit A'!Print_Area</vt:lpstr>
      <vt:lpstr>Instructions!Print_Area</vt:lpstr>
      <vt:lpstr>'3a.NewProj-Rent&amp;UnitMix'!Print_Titles</vt:lpstr>
      <vt:lpstr>'3b.ExistingProj-RentRoll'!Print_Titles</vt:lpstr>
      <vt:lpstr>'5.CommOp.Budget'!Print_Titles</vt:lpstr>
      <vt:lpstr>'7a.20YrDetails'!Print_Titles</vt:lpstr>
      <vt:lpstr>'7b.20YrSummary'!Print_Titles</vt:lpstr>
      <vt:lpstr>'9b.MR_Amort'!Print_Titles</vt:lpstr>
      <vt:lpstr>'9c.BMR_Amort'!Print_Titles</vt:lpstr>
      <vt:lpstr>CNA!Print_Titles</vt:lpstr>
      <vt:lpstr>ProposedRentTypes</vt:lpstr>
      <vt:lpstr>REDistricts</vt:lpstr>
      <vt:lpstr>Restriction</vt:lpstr>
      <vt:lpstr>SmallSites</vt:lpstr>
      <vt:lpstr>SupeDistrict</vt:lpstr>
      <vt:lpstr>UA</vt:lpstr>
      <vt:lpstr>UnitType</vt:lpstr>
      <vt:lpstr>UtilityType</vt:lpstr>
      <vt:lpstr>YesNo</vt:lpstr>
    </vt:vector>
  </TitlesOfParts>
  <Company>MOCD\MOH\HOMELESS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MOHCD</dc:creator>
  <cp:lastModifiedBy>Blitzer, Mara (MYR)</cp:lastModifiedBy>
  <cp:lastPrinted>2023-07-20T01:32:38Z</cp:lastPrinted>
  <dcterms:created xsi:type="dcterms:W3CDTF">2002-01-16T20:26:38Z</dcterms:created>
  <dcterms:modified xsi:type="dcterms:W3CDTF">2024-05-10T22:34:42Z</dcterms:modified>
</cp:coreProperties>
</file>