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831"/>
  <workbookPr codeName="ThisWorkbook"/>
  <mc:AlternateContent xmlns:mc="http://schemas.openxmlformats.org/markup-compatibility/2006">
    <mc:Choice Requires="x15">
      <x15ac:absPath xmlns:x15ac="http://schemas.microsoft.com/office/spreadsheetml/2010/11/ac" url="D:\MOH\Housing Development Team\NOFAs\2023 NOFAs\2023 Site Acquisition NOFA (COPs)\Attachments\"/>
    </mc:Choice>
  </mc:AlternateContent>
  <xr:revisionPtr revIDLastSave="0" documentId="8_{BF148169-8C57-4310-92D5-10E92998FE9D}" xr6:coauthVersionLast="47" xr6:coauthVersionMax="47" xr10:uidLastSave="{00000000-0000-0000-0000-000000000000}"/>
  <bookViews>
    <workbookView xWindow="-25320" yWindow="-120" windowWidth="25440" windowHeight="15390" tabRatio="863" xr2:uid="{00000000-000D-0000-FFFF-FFFF00000000}"/>
  </bookViews>
  <sheets>
    <sheet name="CDLAC Self Score Tie Breaker" sheetId="55" r:id="rId1"/>
    <sheet name="Unit Mix for Tiebreaker" sheetId="56" r:id="rId2"/>
    <sheet name="Lists" sheetId="57" state="hidden" r:id="rId3"/>
  </sheets>
  <definedNames>
    <definedName name="Average2brBL">Lists!$U$1</definedName>
    <definedName name="BasisDeltaMultiplier">'CDLAC Self Score Tie Breaker'!$H$55</definedName>
    <definedName name="BenefitComRev">'CDLAC Self Score Tie Breaker'!$H$19</definedName>
    <definedName name="BenefitHighestRes">'CDLAC Self Score Tie Breaker'!$H$16</definedName>
    <definedName name="BenefitHighRes">'CDLAC Self Score Tie Breaker'!$H$17</definedName>
    <definedName name="BenefitHqTransit">'CDLAC Self Score Tie Breaker'!$H$21</definedName>
    <definedName name="BenefitModRes">'CDLAC Self Score Tie Breaker'!$H$18</definedName>
    <definedName name="BenefitProduction">'CDLAC Self Score Tie Breaker'!$H$14</definedName>
    <definedName name="BenefitsPopulation">'CDLAC Self Score Tie Breaker'!#REF!</definedName>
    <definedName name="BenefitTodFactor">'CDLAC Self Score Tie Breaker'!$H$20</definedName>
    <definedName name="BenefitWalkable">'CDLAC Self Score Tie Breaker'!$H$22</definedName>
    <definedName name="CountyFMR">Lists!$M$3:$R$60</definedName>
    <definedName name="DataAmi">Lists!$Z$3:$AE$60</definedName>
    <definedName name="DataFmr">Lists!$N$3:$R$60</definedName>
    <definedName name="DeltaMax">Lists!$W$1</definedName>
    <definedName name="DiscountDensityI">'CDLAC Self Score Tie Breaker'!$H$27</definedName>
    <definedName name="DiscountDensityIII">'CDLAC Self Score Tie Breaker'!$H$28</definedName>
    <definedName name="DiscountPrevailing">'CDLAC Self Score Tie Breaker'!$H$26</definedName>
    <definedName name="Factor0Br">'CDLAC Self Score Tie Breaker'!$H$68</definedName>
    <definedName name="Factor1Br">'CDLAC Self Score Tie Breaker'!$H$69</definedName>
    <definedName name="Factor2Br">'CDLAC Self Score Tie Breaker'!$H$70</definedName>
    <definedName name="Factor3Br">'CDLAC Self Score Tie Breaker'!$H$71</definedName>
    <definedName name="Factor4Br">'CDLAC Self Score Tie Breaker'!$H$72</definedName>
    <definedName name="ListAmis">Lists!$A$2:$A$8</definedName>
    <definedName name="ListCounties">Lists!$C$2:$C$5</definedName>
    <definedName name="ListCounty">Lists!$M$3:$M$60</definedName>
    <definedName name="ListCountyRows">Lists!$D$2:$D$5</definedName>
    <definedName name="ListOpportunityAreas">Lists!$F$2:$F$5</definedName>
    <definedName name="PopEli">'CDLAC Self Score Tie Breaker'!$H$34</definedName>
    <definedName name="PopHom">'CDLAC Self Score Tie Breaker'!#REF!</definedName>
    <definedName name="PopSn">'CDLAC Self Score Tie Breaker'!$H$35</definedName>
    <definedName name="PopVets">'CDLAC Self Score Tie Breaker'!#REF!</definedName>
    <definedName name="_xlnm.Print_Area" localSheetId="0">'CDLAC Self Score Tie Breaker'!$A$8:$I$72</definedName>
    <definedName name="_xlnm.Print_Titles" localSheetId="0">'CDLAC Self Score Tie Breaker'!$8:$11</definedName>
    <definedName name="RentLimitFloor">'CDLAC Self Score Tie Breaker'!$H$38</definedName>
    <definedName name="RentSavingsDuration">'CDLAC Self Score Tie Breaker'!$H$37</definedName>
    <definedName name="UnitAdjFactors">'CDLAC Self Score Tie Breaker'!$H$68:$H$72</definedName>
  </definedNames>
  <calcPr calcId="191029"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A40" i="55" l="1"/>
  <c r="AA39" i="55"/>
  <c r="AA38" i="55"/>
  <c r="AA37" i="55"/>
  <c r="AA36" i="55"/>
  <c r="AA35" i="55"/>
  <c r="AA34" i="55"/>
  <c r="AA33" i="55"/>
  <c r="AA31" i="55"/>
  <c r="AA32" i="55"/>
  <c r="AA30" i="55"/>
  <c r="F53" i="55"/>
  <c r="E53" i="55"/>
  <c r="D53" i="55"/>
  <c r="C53" i="55"/>
  <c r="C49" i="55"/>
  <c r="J3" i="56"/>
  <c r="J4" i="56"/>
  <c r="J5" i="56"/>
  <c r="J6" i="56"/>
  <c r="J7" i="56"/>
  <c r="J8" i="56"/>
  <c r="J9" i="56"/>
  <c r="J10" i="56"/>
  <c r="J11" i="56"/>
  <c r="J12" i="56"/>
  <c r="J13" i="56"/>
  <c r="J14" i="56"/>
  <c r="J15" i="56"/>
  <c r="J16" i="56"/>
  <c r="J17" i="56"/>
  <c r="J18" i="56"/>
  <c r="J19" i="56"/>
  <c r="J20" i="56"/>
  <c r="J21" i="56"/>
  <c r="J22" i="56"/>
  <c r="J23" i="56"/>
  <c r="J24" i="56"/>
  <c r="J25" i="56"/>
  <c r="J26" i="56"/>
  <c r="J27" i="56"/>
  <c r="J28" i="56"/>
  <c r="J29" i="56"/>
  <c r="J30" i="56"/>
  <c r="J31" i="56"/>
  <c r="J32" i="56"/>
  <c r="J33" i="56"/>
  <c r="J34" i="56"/>
  <c r="J35" i="56"/>
  <c r="J36" i="56"/>
  <c r="J37" i="56"/>
  <c r="J38" i="56"/>
  <c r="J39" i="56"/>
  <c r="J40" i="56"/>
  <c r="J41" i="56"/>
  <c r="J42" i="56"/>
  <c r="J43" i="56"/>
  <c r="J44" i="56"/>
  <c r="J45" i="56"/>
  <c r="J46" i="56"/>
  <c r="J47" i="56"/>
  <c r="J48" i="56"/>
  <c r="J49" i="56"/>
  <c r="J50" i="56"/>
  <c r="J51" i="56"/>
  <c r="J52" i="56"/>
  <c r="J53" i="56"/>
  <c r="J54" i="56"/>
  <c r="J55" i="56"/>
  <c r="J56" i="56"/>
  <c r="J57" i="56"/>
  <c r="R13" i="56" l="1"/>
  <c r="AD19" i="55"/>
  <c r="AE19" i="55"/>
  <c r="AF19" i="55"/>
  <c r="AD20" i="55"/>
  <c r="AE20" i="55"/>
  <c r="AF20" i="55"/>
  <c r="AC20" i="55"/>
  <c r="AC19" i="55"/>
  <c r="I13" i="56" l="1"/>
  <c r="O13" i="56" a="1"/>
  <c r="O13" i="56" s="1"/>
  <c r="P13" i="56"/>
  <c r="Q13" i="56" s="1"/>
  <c r="L13" i="56" a="1"/>
  <c r="L13" i="56" s="1"/>
  <c r="M13" i="56"/>
  <c r="N13" i="56" s="1"/>
  <c r="K13" i="56" a="1"/>
  <c r="K13" i="56" s="1"/>
  <c r="AA11" i="55"/>
  <c r="C5" i="57"/>
  <c r="C4" i="57"/>
  <c r="C3" i="57"/>
  <c r="C2" i="57"/>
  <c r="D2" i="57" s="1"/>
  <c r="D49" i="55"/>
  <c r="E49" i="55"/>
  <c r="F49" i="55"/>
  <c r="AD26" i="55"/>
  <c r="AE26" i="55"/>
  <c r="AF26" i="55"/>
  <c r="AC26" i="55"/>
  <c r="AA17" i="55" l="1" a="1"/>
  <c r="AA17" i="55" s="1"/>
  <c r="AA19" i="55" a="1"/>
  <c r="AA19" i="55" s="1"/>
  <c r="AA20" i="55" a="1"/>
  <c r="AA20" i="55" s="1"/>
  <c r="D52" i="55"/>
  <c r="AD25" i="55" s="1"/>
  <c r="E52" i="55"/>
  <c r="AE25" i="55" s="1"/>
  <c r="F52" i="55"/>
  <c r="AF25" i="55" s="1"/>
  <c r="C52" i="55"/>
  <c r="AC25" i="55" s="1"/>
  <c r="T1" i="57"/>
  <c r="U1" i="57"/>
  <c r="W8" i="57" l="1"/>
  <c r="W14" i="57"/>
  <c r="W20" i="57"/>
  <c r="W26" i="57"/>
  <c r="W32" i="57"/>
  <c r="W38" i="57"/>
  <c r="W44" i="57"/>
  <c r="W50" i="57"/>
  <c r="W56" i="57"/>
  <c r="W3" i="57"/>
  <c r="W9" i="57"/>
  <c r="W15" i="57"/>
  <c r="W21" i="57"/>
  <c r="W27" i="57"/>
  <c r="W33" i="57"/>
  <c r="W39" i="57"/>
  <c r="W45" i="57"/>
  <c r="W51" i="57"/>
  <c r="W57" i="57"/>
  <c r="W4" i="57"/>
  <c r="W10" i="57"/>
  <c r="W16" i="57"/>
  <c r="W22" i="57"/>
  <c r="W28" i="57"/>
  <c r="W34" i="57"/>
  <c r="W40" i="57"/>
  <c r="W46" i="57"/>
  <c r="W52" i="57"/>
  <c r="W58" i="57"/>
  <c r="W5" i="57"/>
  <c r="W11" i="57"/>
  <c r="W17" i="57"/>
  <c r="W23" i="57"/>
  <c r="W29" i="57"/>
  <c r="W35" i="57"/>
  <c r="W41" i="57"/>
  <c r="W47" i="57"/>
  <c r="W53" i="57"/>
  <c r="W59" i="57"/>
  <c r="W6" i="57"/>
  <c r="W12" i="57"/>
  <c r="W18" i="57"/>
  <c r="W24" i="57"/>
  <c r="W30" i="57"/>
  <c r="W36" i="57"/>
  <c r="W42" i="57"/>
  <c r="W48" i="57"/>
  <c r="W54" i="57"/>
  <c r="W60" i="57"/>
  <c r="W7" i="57"/>
  <c r="W13" i="57"/>
  <c r="W19" i="57"/>
  <c r="W25" i="57"/>
  <c r="W31" i="57"/>
  <c r="W37" i="57"/>
  <c r="W43" i="57"/>
  <c r="W49" i="57"/>
  <c r="W55" i="57"/>
  <c r="V6" i="57"/>
  <c r="V12" i="57"/>
  <c r="V18" i="57"/>
  <c r="V24" i="57"/>
  <c r="V30" i="57"/>
  <c r="V36" i="57"/>
  <c r="V42" i="57"/>
  <c r="V48" i="57"/>
  <c r="V54" i="57"/>
  <c r="V60" i="57"/>
  <c r="V7" i="57"/>
  <c r="V13" i="57"/>
  <c r="V19" i="57"/>
  <c r="V25" i="57"/>
  <c r="V31" i="57"/>
  <c r="V37" i="57"/>
  <c r="V43" i="57"/>
  <c r="V49" i="57"/>
  <c r="V55" i="57"/>
  <c r="V8" i="57"/>
  <c r="V14" i="57"/>
  <c r="V20" i="57"/>
  <c r="V26" i="57"/>
  <c r="V32" i="57"/>
  <c r="V38" i="57"/>
  <c r="V44" i="57"/>
  <c r="V50" i="57"/>
  <c r="V56" i="57"/>
  <c r="V3" i="57"/>
  <c r="V9" i="57"/>
  <c r="V15" i="57"/>
  <c r="V21" i="57"/>
  <c r="V27" i="57"/>
  <c r="V33" i="57"/>
  <c r="V39" i="57"/>
  <c r="V45" i="57"/>
  <c r="V51" i="57"/>
  <c r="V57" i="57"/>
  <c r="V4" i="57"/>
  <c r="V10" i="57"/>
  <c r="V16" i="57"/>
  <c r="V22" i="57"/>
  <c r="V28" i="57"/>
  <c r="V34" i="57"/>
  <c r="V40" i="57"/>
  <c r="V46" i="57"/>
  <c r="V52" i="57"/>
  <c r="V58" i="57"/>
  <c r="V5" i="57"/>
  <c r="V11" i="57"/>
  <c r="V17" i="57"/>
  <c r="V23" i="57"/>
  <c r="V29" i="57"/>
  <c r="V35" i="57"/>
  <c r="V41" i="57"/>
  <c r="V47" i="57"/>
  <c r="V53" i="57"/>
  <c r="V59" i="57"/>
  <c r="D66" i="55"/>
  <c r="F63" i="55"/>
  <c r="F69" i="55" s="1"/>
  <c r="D63" i="55"/>
  <c r="D69" i="55" s="1"/>
  <c r="R3" i="56"/>
  <c r="C62" i="55" s="1"/>
  <c r="C68" i="55" s="1"/>
  <c r="R4" i="56"/>
  <c r="R5" i="56"/>
  <c r="R6" i="56"/>
  <c r="R7" i="56"/>
  <c r="R8" i="56"/>
  <c r="R9" i="56"/>
  <c r="R10" i="56"/>
  <c r="R11" i="56"/>
  <c r="O11" i="56" s="1" a="1"/>
  <c r="O11" i="56" s="1"/>
  <c r="R12" i="56"/>
  <c r="O12" i="56" s="1" a="1"/>
  <c r="O12" i="56" s="1"/>
  <c r="R14" i="56"/>
  <c r="D65" i="55" s="1"/>
  <c r="R15" i="56"/>
  <c r="D62" i="55" s="1"/>
  <c r="R16" i="56"/>
  <c r="R17" i="56"/>
  <c r="R18" i="56"/>
  <c r="R19" i="56"/>
  <c r="R20" i="56"/>
  <c r="R21" i="56"/>
  <c r="R22" i="56"/>
  <c r="R23" i="56"/>
  <c r="R24" i="56"/>
  <c r="R25" i="56"/>
  <c r="R26" i="56"/>
  <c r="R27" i="56"/>
  <c r="R28" i="56"/>
  <c r="R29" i="56"/>
  <c r="R30" i="56"/>
  <c r="R31" i="56"/>
  <c r="R32" i="56"/>
  <c r="R33" i="56"/>
  <c r="O33" i="56" s="1" a="1"/>
  <c r="O33" i="56" s="1"/>
  <c r="R34" i="56"/>
  <c r="O34" i="56" s="1" a="1"/>
  <c r="O34" i="56" s="1"/>
  <c r="R35" i="56"/>
  <c r="R36" i="56"/>
  <c r="F62" i="55" s="1"/>
  <c r="R37" i="56"/>
  <c r="R38" i="56"/>
  <c r="R39" i="56"/>
  <c r="R40" i="56"/>
  <c r="R41" i="56"/>
  <c r="R42" i="56"/>
  <c r="R43" i="56"/>
  <c r="F66" i="55" s="1"/>
  <c r="R44" i="56"/>
  <c r="R45" i="56"/>
  <c r="R46" i="56"/>
  <c r="R47" i="56"/>
  <c r="R48" i="56"/>
  <c r="R49" i="56"/>
  <c r="R50" i="56"/>
  <c r="R51" i="56"/>
  <c r="R52" i="56"/>
  <c r="R53" i="56"/>
  <c r="R54" i="56"/>
  <c r="R55" i="56"/>
  <c r="R56" i="56"/>
  <c r="R57" i="56"/>
  <c r="B1" i="56"/>
  <c r="O1" i="56"/>
  <c r="D4" i="57"/>
  <c r="D3" i="57"/>
  <c r="D5" i="57"/>
  <c r="R1" i="57"/>
  <c r="Q1" i="57"/>
  <c r="P1" i="57"/>
  <c r="O1" i="57"/>
  <c r="N1" i="57"/>
  <c r="D1" i="56" a="1"/>
  <c r="E56" i="55"/>
  <c r="F56" i="55"/>
  <c r="C56" i="55"/>
  <c r="D56" i="55"/>
  <c r="C54" i="55" l="1"/>
  <c r="L46" i="56" a="1"/>
  <c r="L46" i="56" s="1"/>
  <c r="O46" i="56" a="1"/>
  <c r="O46" i="56" s="1"/>
  <c r="K52" i="56" a="1"/>
  <c r="K52" i="56" s="1"/>
  <c r="O52" i="56" a="1"/>
  <c r="O52" i="56" s="1"/>
  <c r="K57" i="56" a="1"/>
  <c r="K57" i="56" s="1"/>
  <c r="O57" i="56" a="1"/>
  <c r="O57" i="56" s="1"/>
  <c r="L51" i="56" a="1"/>
  <c r="L51" i="56" s="1"/>
  <c r="O51" i="56" a="1"/>
  <c r="O51" i="56" s="1"/>
  <c r="L45" i="56" a="1"/>
  <c r="L45" i="56" s="1"/>
  <c r="O45" i="56" a="1"/>
  <c r="O45" i="56" s="1"/>
  <c r="K56" i="56" a="1"/>
  <c r="K56" i="56" s="1"/>
  <c r="O56" i="56" a="1"/>
  <c r="O56" i="56" s="1"/>
  <c r="L44" i="56" a="1"/>
  <c r="L44" i="56" s="1"/>
  <c r="O44" i="56" a="1"/>
  <c r="O44" i="56" s="1"/>
  <c r="L55" i="56" a="1"/>
  <c r="L55" i="56" s="1"/>
  <c r="O55" i="56" a="1"/>
  <c r="O55" i="56" s="1"/>
  <c r="K22" i="56" a="1"/>
  <c r="K22" i="56" s="1"/>
  <c r="O22" i="56" a="1"/>
  <c r="O22" i="56" s="1"/>
  <c r="L24" i="56" a="1"/>
  <c r="L24" i="56" s="1"/>
  <c r="O24" i="56" a="1"/>
  <c r="O24" i="56" s="1"/>
  <c r="L50" i="56" a="1"/>
  <c r="L50" i="56" s="1"/>
  <c r="O50" i="56" a="1"/>
  <c r="O50" i="56" s="1"/>
  <c r="L49" i="56" a="1"/>
  <c r="L49" i="56" s="1"/>
  <c r="O49" i="56" a="1"/>
  <c r="O49" i="56" s="1"/>
  <c r="L54" i="56" a="1"/>
  <c r="L54" i="56" s="1"/>
  <c r="O54" i="56" a="1"/>
  <c r="O54" i="56" s="1"/>
  <c r="L48" i="56" a="1"/>
  <c r="L48" i="56" s="1"/>
  <c r="O48" i="56" a="1"/>
  <c r="O48" i="56" s="1"/>
  <c r="L53" i="56" a="1"/>
  <c r="L53" i="56" s="1"/>
  <c r="O53" i="56" a="1"/>
  <c r="O53" i="56" s="1"/>
  <c r="L47" i="56" a="1"/>
  <c r="L47" i="56" s="1"/>
  <c r="O47" i="56" a="1"/>
  <c r="O47" i="56" s="1"/>
  <c r="K35" i="56" a="1"/>
  <c r="K35" i="56" s="1"/>
  <c r="O35" i="56" a="1"/>
  <c r="O35" i="56" s="1"/>
  <c r="L23" i="56" a="1"/>
  <c r="L23" i="56" s="1"/>
  <c r="O23" i="56" a="1"/>
  <c r="O23" i="56" s="1"/>
  <c r="D1" i="56"/>
  <c r="O17" i="56" a="1"/>
  <c r="O17" i="56" s="1"/>
  <c r="O16" i="56" a="1"/>
  <c r="O16" i="56" s="1"/>
  <c r="O3" i="56" a="1"/>
  <c r="O3" i="56" s="1"/>
  <c r="O7" i="56" a="1"/>
  <c r="O7" i="56" s="1"/>
  <c r="O8" i="56" a="1"/>
  <c r="O8" i="56" s="1"/>
  <c r="O9" i="56" a="1"/>
  <c r="O9" i="56" s="1"/>
  <c r="O4" i="56" a="1"/>
  <c r="O4" i="56" s="1"/>
  <c r="O5" i="56" a="1"/>
  <c r="O5" i="56" s="1"/>
  <c r="O6" i="56" a="1"/>
  <c r="O6" i="56" s="1"/>
  <c r="O10" i="56" a="1"/>
  <c r="O10" i="56" s="1"/>
  <c r="O38" i="56" a="1"/>
  <c r="O38" i="56" s="1"/>
  <c r="O40" i="56" a="1"/>
  <c r="O40" i="56" s="1"/>
  <c r="O39" i="56" a="1"/>
  <c r="O39" i="56" s="1"/>
  <c r="O41" i="56" a="1"/>
  <c r="O41" i="56" s="1"/>
  <c r="O42" i="56" a="1"/>
  <c r="O42" i="56" s="1"/>
  <c r="O43" i="56" a="1"/>
  <c r="O43" i="56" s="1"/>
  <c r="O15" i="56" a="1"/>
  <c r="O15" i="56" s="1"/>
  <c r="O20" i="56" a="1"/>
  <c r="O20" i="56" s="1"/>
  <c r="O18" i="56" a="1"/>
  <c r="O18" i="56" s="1"/>
  <c r="O21" i="56" a="1"/>
  <c r="O21" i="56" s="1"/>
  <c r="O19" i="56" a="1"/>
  <c r="O19" i="56" s="1"/>
  <c r="O14" i="56" a="1"/>
  <c r="O14" i="56" s="1"/>
  <c r="O37" i="56" a="1"/>
  <c r="O37" i="56" s="1"/>
  <c r="O29" i="56" a="1"/>
  <c r="O29" i="56" s="1"/>
  <c r="O30" i="56" a="1"/>
  <c r="O30" i="56" s="1"/>
  <c r="O31" i="56" a="1"/>
  <c r="O31" i="56" s="1"/>
  <c r="O32" i="56" a="1"/>
  <c r="O32" i="56" s="1"/>
  <c r="O26" i="56" a="1"/>
  <c r="O26" i="56" s="1"/>
  <c r="O27" i="56" a="1"/>
  <c r="O27" i="56" s="1"/>
  <c r="O28" i="56" a="1"/>
  <c r="O28" i="56" s="1"/>
  <c r="O25" i="56" a="1"/>
  <c r="O25" i="56" s="1"/>
  <c r="O36" i="56" a="1"/>
  <c r="O36" i="56" s="1"/>
  <c r="H1" i="56"/>
  <c r="L43" i="56" a="1"/>
  <c r="L43" i="56" s="1"/>
  <c r="K42" i="56" a="1"/>
  <c r="K42" i="56" s="1"/>
  <c r="K41" i="56" a="1"/>
  <c r="K41" i="56" s="1"/>
  <c r="K40" i="56" a="1"/>
  <c r="K40" i="56" s="1"/>
  <c r="K39" i="56" a="1"/>
  <c r="K39" i="56" s="1"/>
  <c r="K38" i="56" a="1"/>
  <c r="K38" i="56" s="1"/>
  <c r="L25" i="56" a="1"/>
  <c r="L25" i="56" s="1"/>
  <c r="K21" i="56" a="1"/>
  <c r="K21" i="56" s="1"/>
  <c r="K20" i="56" a="1"/>
  <c r="K20" i="56" s="1"/>
  <c r="K19" i="56" a="1"/>
  <c r="K19" i="56" s="1"/>
  <c r="K18" i="56" a="1"/>
  <c r="K18" i="56" s="1"/>
  <c r="K17" i="56" a="1"/>
  <c r="K17" i="56" s="1"/>
  <c r="K16" i="56" a="1"/>
  <c r="K16" i="56" s="1"/>
  <c r="K14" i="56" a="1"/>
  <c r="K14" i="56" s="1"/>
  <c r="L5" i="56" a="1"/>
  <c r="L5" i="56" s="1"/>
  <c r="E62" i="55"/>
  <c r="E68" i="55" s="1"/>
  <c r="D68" i="55"/>
  <c r="F68" i="55"/>
  <c r="L4" i="56" a="1"/>
  <c r="L4" i="56" s="1"/>
  <c r="L3" i="56" a="1"/>
  <c r="L3" i="56" s="1"/>
  <c r="K37" i="56" a="1"/>
  <c r="K37" i="56" s="1"/>
  <c r="K36" i="56" a="1"/>
  <c r="K36" i="56" s="1"/>
  <c r="K15" i="56" a="1"/>
  <c r="K15" i="56" s="1"/>
  <c r="K34" i="56" a="1"/>
  <c r="K34" i="56" s="1"/>
  <c r="L33" i="56" a="1"/>
  <c r="L33" i="56" s="1"/>
  <c r="L32" i="56" a="1"/>
  <c r="L32" i="56" s="1"/>
  <c r="L12" i="56" a="1"/>
  <c r="L12" i="56" s="1"/>
  <c r="L31" i="56" a="1"/>
  <c r="L31" i="56" s="1"/>
  <c r="L11" i="56" a="1"/>
  <c r="L11" i="56" s="1"/>
  <c r="L30" i="56" a="1"/>
  <c r="L30" i="56" s="1"/>
  <c r="L10" i="56" a="1"/>
  <c r="L10" i="56" s="1"/>
  <c r="L29" i="56" a="1"/>
  <c r="L29" i="56" s="1"/>
  <c r="L9" i="56" a="1"/>
  <c r="L9" i="56" s="1"/>
  <c r="L28" i="56" a="1"/>
  <c r="L28" i="56" s="1"/>
  <c r="L8" i="56" a="1"/>
  <c r="L8" i="56" s="1"/>
  <c r="L27" i="56" a="1"/>
  <c r="L27" i="56" s="1"/>
  <c r="L7" i="56" a="1"/>
  <c r="L7" i="56" s="1"/>
  <c r="L26" i="56" a="1"/>
  <c r="L26" i="56" s="1"/>
  <c r="L6" i="56" a="1"/>
  <c r="L6" i="56" s="1"/>
  <c r="C66" i="55"/>
  <c r="D64" i="55"/>
  <c r="D13" i="55" s="1"/>
  <c r="C65" i="55"/>
  <c r="C64" i="55"/>
  <c r="C63" i="55"/>
  <c r="C69" i="55" s="1"/>
  <c r="E63" i="55"/>
  <c r="E64" i="55"/>
  <c r="F64" i="55"/>
  <c r="E65" i="55"/>
  <c r="F65" i="55"/>
  <c r="E66" i="55"/>
  <c r="P22" i="56"/>
  <c r="Q22" i="56" s="1"/>
  <c r="I55" i="56"/>
  <c r="I42" i="56"/>
  <c r="I41" i="56"/>
  <c r="I36" i="56"/>
  <c r="I35" i="56"/>
  <c r="I34" i="56"/>
  <c r="I22" i="56"/>
  <c r="I21" i="56"/>
  <c r="I16" i="56"/>
  <c r="I15" i="56"/>
  <c r="I14" i="56"/>
  <c r="I4" i="56"/>
  <c r="I40" i="56"/>
  <c r="I20" i="56"/>
  <c r="I39" i="56"/>
  <c r="I19" i="56"/>
  <c r="I38" i="56"/>
  <c r="I18" i="56"/>
  <c r="I57" i="56"/>
  <c r="I37" i="56"/>
  <c r="I17" i="56"/>
  <c r="I56" i="56"/>
  <c r="I54" i="56"/>
  <c r="I53" i="56"/>
  <c r="I33" i="56"/>
  <c r="I52" i="56"/>
  <c r="I32" i="56"/>
  <c r="I12" i="56"/>
  <c r="I51" i="56"/>
  <c r="I31" i="56"/>
  <c r="I11" i="56"/>
  <c r="I50" i="56"/>
  <c r="I30" i="56"/>
  <c r="I10" i="56"/>
  <c r="I49" i="56"/>
  <c r="I29" i="56"/>
  <c r="I9" i="56"/>
  <c r="I48" i="56"/>
  <c r="I28" i="56"/>
  <c r="I8" i="56"/>
  <c r="I47" i="56"/>
  <c r="I27" i="56"/>
  <c r="I7" i="56"/>
  <c r="I46" i="56"/>
  <c r="I26" i="56"/>
  <c r="I6" i="56"/>
  <c r="I45" i="56"/>
  <c r="I25" i="56"/>
  <c r="I5" i="56"/>
  <c r="I44" i="56"/>
  <c r="I24" i="56"/>
  <c r="I43" i="56"/>
  <c r="I23" i="56"/>
  <c r="I3" i="56"/>
  <c r="P57" i="56"/>
  <c r="Q57" i="56" s="1"/>
  <c r="P56" i="56"/>
  <c r="Q56" i="56" s="1"/>
  <c r="P55" i="56"/>
  <c r="Q55" i="56" s="1"/>
  <c r="P35" i="56"/>
  <c r="Q35" i="56" s="1"/>
  <c r="P54" i="56"/>
  <c r="Q54" i="56" s="1"/>
  <c r="P53" i="56"/>
  <c r="Q53" i="56" s="1"/>
  <c r="P52" i="56"/>
  <c r="Q52" i="56" s="1"/>
  <c r="P51" i="56"/>
  <c r="Q51" i="56" s="1"/>
  <c r="P50" i="56"/>
  <c r="Q50" i="56" s="1"/>
  <c r="P49" i="56"/>
  <c r="Q49" i="56" s="1"/>
  <c r="P48" i="56"/>
  <c r="Q48" i="56" s="1"/>
  <c r="P47" i="56"/>
  <c r="Q47" i="56" s="1"/>
  <c r="P46" i="56"/>
  <c r="Q46" i="56" s="1"/>
  <c r="P45" i="56"/>
  <c r="Q45" i="56" s="1"/>
  <c r="P44" i="56"/>
  <c r="Q44" i="56" s="1"/>
  <c r="P24" i="56"/>
  <c r="Q24" i="56" s="1"/>
  <c r="P23" i="56"/>
  <c r="Q23" i="56" s="1"/>
  <c r="M48" i="56"/>
  <c r="N48" i="56" s="1"/>
  <c r="L22" i="56" a="1"/>
  <c r="L22" i="56" s="1"/>
  <c r="L21" i="56" a="1"/>
  <c r="L21" i="56" s="1"/>
  <c r="P33" i="56"/>
  <c r="Q33" i="56" s="1"/>
  <c r="M57" i="56"/>
  <c r="N57" i="56" s="1"/>
  <c r="M56" i="56"/>
  <c r="N56" i="56" s="1"/>
  <c r="M55" i="56"/>
  <c r="N55" i="56" s="1"/>
  <c r="M35" i="56"/>
  <c r="N35" i="56" s="1"/>
  <c r="M54" i="56"/>
  <c r="N54" i="56" s="1"/>
  <c r="M53" i="56"/>
  <c r="N53" i="56" s="1"/>
  <c r="K51" i="56" a="1"/>
  <c r="K51" i="56" s="1"/>
  <c r="M52" i="56"/>
  <c r="N52" i="56" s="1"/>
  <c r="K49" i="56" a="1"/>
  <c r="K49" i="56" s="1"/>
  <c r="M51" i="56"/>
  <c r="N51" i="56" s="1"/>
  <c r="K32" i="56" a="1"/>
  <c r="K32" i="56" s="1"/>
  <c r="M50" i="56"/>
  <c r="N50" i="56" s="1"/>
  <c r="K31" i="56" a="1"/>
  <c r="K31" i="56" s="1"/>
  <c r="M49" i="56"/>
  <c r="N49" i="56" s="1"/>
  <c r="M47" i="56"/>
  <c r="N47" i="56" s="1"/>
  <c r="K10" i="56" a="1"/>
  <c r="K10" i="56" s="1"/>
  <c r="M46" i="56"/>
  <c r="N46" i="56" s="1"/>
  <c r="M45" i="56"/>
  <c r="N45" i="56" s="1"/>
  <c r="M44" i="56"/>
  <c r="N44" i="56" s="1"/>
  <c r="M24" i="56"/>
  <c r="N24" i="56" s="1"/>
  <c r="L42" i="56" a="1"/>
  <c r="L42" i="56" s="1"/>
  <c r="M23" i="56"/>
  <c r="N23" i="56" s="1"/>
  <c r="K29" i="56" a="1"/>
  <c r="K29" i="56" s="1"/>
  <c r="L41" i="56" a="1"/>
  <c r="L41" i="56" s="1"/>
  <c r="M22" i="56"/>
  <c r="N22" i="56" s="1"/>
  <c r="K12" i="56" a="1"/>
  <c r="K12" i="56" s="1"/>
  <c r="L52" i="56" a="1"/>
  <c r="L52" i="56" s="1"/>
  <c r="K50" i="56" a="1"/>
  <c r="K50" i="56" s="1"/>
  <c r="K30" i="56" a="1"/>
  <c r="K30" i="56" s="1"/>
  <c r="K11" i="56" a="1"/>
  <c r="K11" i="56" s="1"/>
  <c r="K48" i="56" a="1"/>
  <c r="K48" i="56" s="1"/>
  <c r="K28" i="56" a="1"/>
  <c r="K28" i="56" s="1"/>
  <c r="K9" i="56" a="1"/>
  <c r="K9" i="56" s="1"/>
  <c r="K47" i="56" a="1"/>
  <c r="K47" i="56" s="1"/>
  <c r="K27" i="56" a="1"/>
  <c r="K27" i="56" s="1"/>
  <c r="K8" i="56" a="1"/>
  <c r="K8" i="56" s="1"/>
  <c r="L40" i="56" a="1"/>
  <c r="L40" i="56" s="1"/>
  <c r="L20" i="56" a="1"/>
  <c r="L20" i="56" s="1"/>
  <c r="K46" i="56" a="1"/>
  <c r="K46" i="56" s="1"/>
  <c r="K26" i="56" a="1"/>
  <c r="K26" i="56" s="1"/>
  <c r="K7" i="56" a="1"/>
  <c r="K7" i="56" s="1"/>
  <c r="K45" i="56" a="1"/>
  <c r="K45" i="56" s="1"/>
  <c r="K25" i="56" a="1"/>
  <c r="K25" i="56" s="1"/>
  <c r="K6" i="56" a="1"/>
  <c r="K6" i="56" s="1"/>
  <c r="L39" i="56" a="1"/>
  <c r="L39" i="56" s="1"/>
  <c r="L19" i="56" a="1"/>
  <c r="L19" i="56" s="1"/>
  <c r="K44" i="56" a="1"/>
  <c r="K44" i="56" s="1"/>
  <c r="K24" i="56" a="1"/>
  <c r="K24" i="56" s="1"/>
  <c r="K5" i="56" a="1"/>
  <c r="K5" i="56" s="1"/>
  <c r="K43" i="56" a="1"/>
  <c r="K43" i="56" s="1"/>
  <c r="K23" i="56" a="1"/>
  <c r="K23" i="56" s="1"/>
  <c r="K4" i="56" a="1"/>
  <c r="K4" i="56" s="1"/>
  <c r="L38" i="56" a="1"/>
  <c r="L38" i="56" s="1"/>
  <c r="L18" i="56" a="1"/>
  <c r="L18" i="56" s="1"/>
  <c r="L57" i="56" a="1"/>
  <c r="L57" i="56" s="1"/>
  <c r="L37" i="56" a="1"/>
  <c r="L37" i="56" s="1"/>
  <c r="L17" i="56" a="1"/>
  <c r="L17" i="56" s="1"/>
  <c r="L56" i="56" a="1"/>
  <c r="L56" i="56" s="1"/>
  <c r="L36" i="56" a="1"/>
  <c r="L36" i="56" s="1"/>
  <c r="L16" i="56" a="1"/>
  <c r="L16" i="56" s="1"/>
  <c r="K55" i="56" a="1"/>
  <c r="K55" i="56" s="1"/>
  <c r="L35" i="56" a="1"/>
  <c r="L35" i="56" s="1"/>
  <c r="L15" i="56" a="1"/>
  <c r="L15" i="56" s="1"/>
  <c r="K54" i="56" a="1"/>
  <c r="K54" i="56" s="1"/>
  <c r="K53" i="56" a="1"/>
  <c r="K53" i="56" s="1"/>
  <c r="L34" i="56" a="1"/>
  <c r="L34" i="56" s="1"/>
  <c r="M34" i="56" s="1"/>
  <c r="N34" i="56" s="1"/>
  <c r="L14" i="56" a="1"/>
  <c r="L14" i="56" s="1"/>
  <c r="K33" i="56" a="1"/>
  <c r="K33" i="56" s="1"/>
  <c r="M33" i="56" s="1"/>
  <c r="N33" i="56" s="1"/>
  <c r="K3" i="56" a="1"/>
  <c r="K3" i="56" s="1"/>
  <c r="G1" i="56"/>
  <c r="F1" i="56"/>
  <c r="I1" i="56" l="1"/>
  <c r="M3" i="56"/>
  <c r="N3" i="56" s="1"/>
  <c r="D60" i="55"/>
  <c r="D59" i="55"/>
  <c r="C50" i="55"/>
  <c r="M21" i="56"/>
  <c r="N21" i="56" s="1"/>
  <c r="M25" i="56"/>
  <c r="N25" i="56" s="1"/>
  <c r="M4" i="56"/>
  <c r="N4" i="56" s="1"/>
  <c r="M37" i="56"/>
  <c r="N37" i="56" s="1"/>
  <c r="M20" i="56"/>
  <c r="N20" i="56" s="1"/>
  <c r="M40" i="56"/>
  <c r="N40" i="56" s="1"/>
  <c r="P25" i="56"/>
  <c r="Q25" i="56" s="1"/>
  <c r="M42" i="56"/>
  <c r="N42" i="56" s="1"/>
  <c r="M18" i="56"/>
  <c r="N18" i="56" s="1"/>
  <c r="M43" i="56"/>
  <c r="N43" i="56" s="1"/>
  <c r="P43" i="56"/>
  <c r="Q43" i="56" s="1"/>
  <c r="M38" i="56"/>
  <c r="N38" i="56" s="1"/>
  <c r="M5" i="56"/>
  <c r="N5" i="56" s="1"/>
  <c r="P4" i="56"/>
  <c r="Q4" i="56" s="1"/>
  <c r="P14" i="56"/>
  <c r="Q14" i="56" s="1"/>
  <c r="P6" i="56"/>
  <c r="Q6" i="56" s="1"/>
  <c r="M6" i="56"/>
  <c r="N6" i="56" s="1"/>
  <c r="P32" i="56"/>
  <c r="Q32" i="56" s="1"/>
  <c r="P19" i="56"/>
  <c r="Q19" i="56" s="1"/>
  <c r="P42" i="56"/>
  <c r="Q42" i="56" s="1"/>
  <c r="P41" i="56"/>
  <c r="Q41" i="56" s="1"/>
  <c r="P16" i="56"/>
  <c r="Q16" i="56" s="1"/>
  <c r="P39" i="56"/>
  <c r="Q39" i="56" s="1"/>
  <c r="P21" i="56"/>
  <c r="Q21" i="56" s="1"/>
  <c r="P38" i="56"/>
  <c r="Q38" i="56" s="1"/>
  <c r="P40" i="56"/>
  <c r="Q40" i="56" s="1"/>
  <c r="M41" i="56"/>
  <c r="N41" i="56" s="1"/>
  <c r="M39" i="56"/>
  <c r="N39" i="56" s="1"/>
  <c r="P17" i="56"/>
  <c r="Q17" i="56" s="1"/>
  <c r="M19" i="56"/>
  <c r="N19" i="56" s="1"/>
  <c r="M14" i="56"/>
  <c r="N14" i="56" s="1"/>
  <c r="M16" i="56"/>
  <c r="N16" i="56" s="1"/>
  <c r="P18" i="56"/>
  <c r="Q18" i="56" s="1"/>
  <c r="M17" i="56"/>
  <c r="N17" i="56" s="1"/>
  <c r="P20" i="56"/>
  <c r="Q20" i="56" s="1"/>
  <c r="P29" i="56"/>
  <c r="Q29" i="56" s="1"/>
  <c r="D54" i="55"/>
  <c r="AD27" i="55" s="1"/>
  <c r="E54" i="55"/>
  <c r="AE27" i="55" s="1"/>
  <c r="F54" i="55"/>
  <c r="P9" i="56"/>
  <c r="Q9" i="56" s="1"/>
  <c r="M28" i="56"/>
  <c r="N28" i="56" s="1"/>
  <c r="P28" i="56"/>
  <c r="Q28" i="56" s="1"/>
  <c r="M9" i="56"/>
  <c r="N9" i="56" s="1"/>
  <c r="F71" i="55"/>
  <c r="E72" i="55"/>
  <c r="M31" i="56"/>
  <c r="N31" i="56" s="1"/>
  <c r="P31" i="56"/>
  <c r="Q31" i="56" s="1"/>
  <c r="M32" i="56"/>
  <c r="N32" i="56" s="1"/>
  <c r="F72" i="55"/>
  <c r="E71" i="55"/>
  <c r="F13" i="55"/>
  <c r="D72" i="55"/>
  <c r="D71" i="55"/>
  <c r="E13" i="55"/>
  <c r="E69" i="55"/>
  <c r="P11" i="56"/>
  <c r="Q11" i="56" s="1"/>
  <c r="P30" i="56"/>
  <c r="Q30" i="56" s="1"/>
  <c r="M10" i="56"/>
  <c r="N10" i="56" s="1"/>
  <c r="M11" i="56"/>
  <c r="N11" i="56" s="1"/>
  <c r="P10" i="56"/>
  <c r="Q10" i="56" s="1"/>
  <c r="M30" i="56"/>
  <c r="N30" i="56" s="1"/>
  <c r="C13" i="55"/>
  <c r="C72" i="55"/>
  <c r="C71" i="55"/>
  <c r="M29" i="56"/>
  <c r="N29" i="56" s="1"/>
  <c r="M8" i="56"/>
  <c r="N8" i="56" s="1"/>
  <c r="P8" i="56"/>
  <c r="Q8" i="56" s="1"/>
  <c r="M12" i="56"/>
  <c r="N12" i="56" s="1"/>
  <c r="P12" i="56"/>
  <c r="Q12" i="56" s="1"/>
  <c r="M27" i="56"/>
  <c r="N27" i="56" s="1"/>
  <c r="P27" i="56"/>
  <c r="Q27" i="56" s="1"/>
  <c r="M7" i="56"/>
  <c r="N7" i="56" s="1"/>
  <c r="M26" i="56"/>
  <c r="N26" i="56" s="1"/>
  <c r="P26" i="56"/>
  <c r="Q26" i="56" s="1"/>
  <c r="P15" i="56"/>
  <c r="Q15" i="56" s="1"/>
  <c r="P7" i="56"/>
  <c r="Q7" i="56" s="1"/>
  <c r="M15" i="56"/>
  <c r="N15" i="56" s="1"/>
  <c r="P37" i="56"/>
  <c r="Q37" i="56" s="1"/>
  <c r="P36" i="56"/>
  <c r="Q36" i="56" s="1"/>
  <c r="P34" i="56"/>
  <c r="Q34" i="56" s="1"/>
  <c r="P3" i="56"/>
  <c r="Q3" i="56" s="1"/>
  <c r="P5" i="56"/>
  <c r="Q5" i="56" s="1"/>
  <c r="M36" i="56"/>
  <c r="N36" i="56" s="1"/>
  <c r="D34" i="55" l="1"/>
  <c r="AD15" i="55" s="1"/>
  <c r="AC27" i="55"/>
  <c r="E60" i="55"/>
  <c r="E59" i="55"/>
  <c r="F60" i="55"/>
  <c r="F59" i="55"/>
  <c r="C60" i="55"/>
  <c r="C59" i="55"/>
  <c r="F38" i="55"/>
  <c r="F50" i="55"/>
  <c r="F47" i="55" s="1"/>
  <c r="AF27" i="55"/>
  <c r="F37" i="55"/>
  <c r="D37" i="55"/>
  <c r="D38" i="55"/>
  <c r="F70" i="55"/>
  <c r="F14" i="55" s="1"/>
  <c r="F44" i="55" s="1"/>
  <c r="E50" i="55"/>
  <c r="AE28" i="55" s="1"/>
  <c r="AE21" i="55" s="1"/>
  <c r="D50" i="55"/>
  <c r="AD28" i="55" s="1"/>
  <c r="AD21" i="55" s="1"/>
  <c r="C37" i="55"/>
  <c r="E38" i="55"/>
  <c r="C38" i="55"/>
  <c r="E37" i="55"/>
  <c r="N1" i="56"/>
  <c r="E70" i="55"/>
  <c r="E14" i="55" s="1"/>
  <c r="C70" i="55"/>
  <c r="C14" i="55" s="1"/>
  <c r="D70" i="55"/>
  <c r="D14" i="55" s="1"/>
  <c r="Q1" i="56"/>
  <c r="E34" i="55" l="1"/>
  <c r="AE15" i="55" s="1"/>
  <c r="C34" i="55"/>
  <c r="AC15" i="55" s="1"/>
  <c r="F34" i="55"/>
  <c r="AF15" i="55" s="1"/>
  <c r="F33" i="55"/>
  <c r="AF14" i="55" s="1"/>
  <c r="F9" i="55"/>
  <c r="AF18" i="55" s="1"/>
  <c r="AF28" i="55"/>
  <c r="AF21" i="55" s="1"/>
  <c r="C47" i="55"/>
  <c r="C9" i="55" s="1"/>
  <c r="AC18" i="55" s="1"/>
  <c r="AC28" i="55"/>
  <c r="AC21" i="55" s="1"/>
  <c r="F42" i="55"/>
  <c r="E41" i="55"/>
  <c r="E40" i="55"/>
  <c r="F43" i="55"/>
  <c r="F32" i="55"/>
  <c r="AF13" i="55" s="1"/>
  <c r="F41" i="55"/>
  <c r="F40" i="55"/>
  <c r="D41" i="55"/>
  <c r="D40" i="55"/>
  <c r="C40" i="55"/>
  <c r="C41" i="55"/>
  <c r="D33" i="55"/>
  <c r="AD14" i="55" s="1"/>
  <c r="E33" i="55"/>
  <c r="AE14" i="55" s="1"/>
  <c r="C33" i="55"/>
  <c r="AC14" i="55" s="1"/>
  <c r="AA14" i="55" s="1" a="1"/>
  <c r="AA14" i="55" s="1"/>
  <c r="D47" i="55"/>
  <c r="D9" i="55" s="1"/>
  <c r="AD18" i="55" s="1"/>
  <c r="E47" i="55"/>
  <c r="E9" i="55" s="1"/>
  <c r="AE18" i="55" s="1"/>
  <c r="D44" i="55"/>
  <c r="D43" i="55"/>
  <c r="D42" i="55"/>
  <c r="C43" i="55"/>
  <c r="C44" i="55"/>
  <c r="C42" i="55"/>
  <c r="E43" i="55"/>
  <c r="E42" i="55"/>
  <c r="E44" i="55"/>
  <c r="D32" i="55"/>
  <c r="AD13" i="55" s="1"/>
  <c r="C32" i="55"/>
  <c r="AC13" i="55" s="1"/>
  <c r="E32" i="55"/>
  <c r="AE13" i="55" s="1"/>
  <c r="AA15" i="55" l="1" a="1"/>
  <c r="AA15" i="55" s="1"/>
  <c r="E35" i="55"/>
  <c r="AE16" i="55" s="1"/>
  <c r="D35" i="55"/>
  <c r="C35" i="55"/>
  <c r="F35" i="55"/>
  <c r="AA13" i="55" a="1"/>
  <c r="AA13" i="55" s="1"/>
  <c r="AA21" i="55" a="1"/>
  <c r="AA21" i="55" s="1"/>
  <c r="AA18" i="55" a="1"/>
  <c r="AA18" i="55" s="1"/>
  <c r="D30" i="55" l="1"/>
  <c r="D8" i="55" s="1"/>
  <c r="D11" i="55" s="1"/>
  <c r="AD22" i="55" s="1"/>
  <c r="AD16" i="55"/>
  <c r="C30" i="55"/>
  <c r="C8" i="55" s="1"/>
  <c r="AC12" i="55" s="1"/>
  <c r="AC16" i="55"/>
  <c r="F30" i="55"/>
  <c r="F8" i="55" s="1"/>
  <c r="F11" i="55" s="1"/>
  <c r="AF22" i="55" s="1"/>
  <c r="AF16" i="55"/>
  <c r="E30" i="55"/>
  <c r="E8" i="55" s="1"/>
  <c r="AA16" i="55" l="1" a="1"/>
  <c r="AA16" i="55" s="1"/>
  <c r="AF12" i="55"/>
  <c r="C11" i="55"/>
  <c r="AC22" i="55" s="1"/>
  <c r="AD12" i="55"/>
  <c r="E11" i="55"/>
  <c r="AE22" i="55" s="1"/>
  <c r="AE12" i="55"/>
  <c r="AA12" i="55" l="1" a="1"/>
  <c r="AA12" i="55" s="1"/>
  <c r="AA22" i="55" a="1"/>
  <c r="AA22" i="55"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<sst xmlns="http://schemas.openxmlformats.org/spreadsheetml/2006/main" count="345" uniqueCount="185">
  <si>
    <t>1-Bedroom</t>
  </si>
  <si>
    <t>2-Bedroom</t>
  </si>
  <si>
    <t>3-Bedroom</t>
  </si>
  <si>
    <t>High Resource Area</t>
  </si>
  <si>
    <t>Studio</t>
  </si>
  <si>
    <t>4-Bedroom or larger</t>
  </si>
  <si>
    <t>County</t>
  </si>
  <si>
    <t>Alameda</t>
  </si>
  <si>
    <t>Alpine</t>
  </si>
  <si>
    <t>Amador</t>
  </si>
  <si>
    <t>Butte</t>
  </si>
  <si>
    <t>Calaveras</t>
  </si>
  <si>
    <t>Colusa</t>
  </si>
  <si>
    <t>Contra Costa</t>
  </si>
  <si>
    <t>Del Norte</t>
  </si>
  <si>
    <t>El Dorado</t>
  </si>
  <si>
    <t>Fresno</t>
  </si>
  <si>
    <t>Humboldt</t>
  </si>
  <si>
    <t>Imperial</t>
  </si>
  <si>
    <t>Inyo</t>
  </si>
  <si>
    <t>Kern</t>
  </si>
  <si>
    <t>Kings</t>
  </si>
  <si>
    <t>Lake</t>
  </si>
  <si>
    <t>Lassen</t>
  </si>
  <si>
    <t>Los Angeles</t>
  </si>
  <si>
    <t>Madera</t>
  </si>
  <si>
    <t>Marin</t>
  </si>
  <si>
    <t>Mariposa</t>
  </si>
  <si>
    <t>Mendocino</t>
  </si>
  <si>
    <t>Merced</t>
  </si>
  <si>
    <t>Modoc</t>
  </si>
  <si>
    <t>Mono</t>
  </si>
  <si>
    <t>Monterey</t>
  </si>
  <si>
    <t>Napa</t>
  </si>
  <si>
    <t>Nevada</t>
  </si>
  <si>
    <t>Orange</t>
  </si>
  <si>
    <t>Placer</t>
  </si>
  <si>
    <t>Plumas</t>
  </si>
  <si>
    <t>Riverside</t>
  </si>
  <si>
    <t>Sacramento</t>
  </si>
  <si>
    <t>San Benito</t>
  </si>
  <si>
    <t>San Bernardino</t>
  </si>
  <si>
    <t>San Diego</t>
  </si>
  <si>
    <t>San Francisco</t>
  </si>
  <si>
    <t>San Joaquin</t>
  </si>
  <si>
    <t>San Luis Obispo</t>
  </si>
  <si>
    <t>San Mateo</t>
  </si>
  <si>
    <t>Santa Barbara</t>
  </si>
  <si>
    <t>Santa Clara</t>
  </si>
  <si>
    <t>Santa Cruz</t>
  </si>
  <si>
    <t>Shasta</t>
  </si>
  <si>
    <t>Sierra</t>
  </si>
  <si>
    <t>Siskiyou</t>
  </si>
  <si>
    <t>Solano</t>
  </si>
  <si>
    <t>Sonoma</t>
  </si>
  <si>
    <t>Stanislaus</t>
  </si>
  <si>
    <t>Sutter</t>
  </si>
  <si>
    <t>Tehama</t>
  </si>
  <si>
    <t>Trinity</t>
  </si>
  <si>
    <t>Tulare</t>
  </si>
  <si>
    <t>Tuolumne</t>
  </si>
  <si>
    <t>Ventura</t>
  </si>
  <si>
    <t>Yolo</t>
  </si>
  <si>
    <t>Yuba</t>
  </si>
  <si>
    <t>Veterans</t>
  </si>
  <si>
    <t>Homeless</t>
  </si>
  <si>
    <t>Highest Resource Area</t>
  </si>
  <si>
    <t>Other</t>
  </si>
  <si>
    <t>State Tax Credits</t>
  </si>
  <si>
    <t>Prevailing Wage</t>
  </si>
  <si>
    <t>1BR</t>
  </si>
  <si>
    <t>2BR</t>
  </si>
  <si>
    <t>3BR</t>
  </si>
  <si>
    <t>4BR</t>
  </si>
  <si>
    <t>Glenn</t>
  </si>
  <si>
    <t>AMI</t>
  </si>
  <si>
    <t>Special Needs</t>
  </si>
  <si>
    <t>Population</t>
  </si>
  <si>
    <t>Housing Type</t>
  </si>
  <si>
    <t>Resource Area</t>
  </si>
  <si>
    <t>Production Benefit</t>
  </si>
  <si>
    <t>Description</t>
  </si>
  <si>
    <t>TOD Emphasis (per point)</t>
  </si>
  <si>
    <t>Location</t>
  </si>
  <si>
    <t>Tax-Exempt Bonds</t>
  </si>
  <si>
    <t>Bedrooms</t>
  </si>
  <si>
    <t>Adjusted Units</t>
  </si>
  <si>
    <t>County FMR - 2022</t>
  </si>
  <si>
    <t>2-BR BL</t>
  </si>
  <si>
    <t>Settings</t>
  </si>
  <si>
    <t>4-Bedroom+</t>
  </si>
  <si>
    <t>Project</t>
  </si>
  <si>
    <t>Quantity</t>
  </si>
  <si>
    <t>Rent Limit</t>
  </si>
  <si>
    <t>ELI</t>
  </si>
  <si>
    <t>Rent Savings</t>
  </si>
  <si>
    <t>Rent Limit Floor</t>
  </si>
  <si>
    <t>RLF Savings</t>
  </si>
  <si>
    <t>ListAmis</t>
  </si>
  <si>
    <t>Fair Market Rent</t>
  </si>
  <si>
    <t>ListCounties</t>
  </si>
  <si>
    <t>ListCountyRows</t>
  </si>
  <si>
    <t>ListCounty</t>
  </si>
  <si>
    <t>ListOpportunityAreas</t>
  </si>
  <si>
    <t>Average AMI Floor</t>
  </si>
  <si>
    <t>RS * Q</t>
  </si>
  <si>
    <t>RLFS * Q</t>
  </si>
  <si>
    <t>Min Inputs</t>
  </si>
  <si>
    <t>=0</t>
  </si>
  <si>
    <t>=1</t>
  </si>
  <si>
    <t>=2</t>
  </si>
  <si>
    <t>=3</t>
  </si>
  <si>
    <t>&gt;=4</t>
  </si>
  <si>
    <t>Highest</t>
  </si>
  <si>
    <t>High</t>
  </si>
  <si>
    <t>Moderate</t>
  </si>
  <si>
    <t>TCAC Transit Score</t>
  </si>
  <si>
    <t>High Qual. Transit</t>
  </si>
  <si>
    <t>Walkable Amenities</t>
  </si>
  <si>
    <t>Com. Rev. Area</t>
  </si>
  <si>
    <t>PW Adjustment</t>
  </si>
  <si>
    <t>Basis Delta Adj.</t>
  </si>
  <si>
    <t>Basis Delta Comparison</t>
  </si>
  <si>
    <t>Median</t>
  </si>
  <si>
    <t>Basis Delta Multiplier</t>
  </si>
  <si>
    <t>Minimum Delta</t>
  </si>
  <si>
    <t>Median Delta</t>
  </si>
  <si>
    <t>Statewide Basis Delta</t>
  </si>
  <si>
    <t>Com. Revitalization Area</t>
  </si>
  <si>
    <t>Moderate Resource Area</t>
  </si>
  <si>
    <t>High Quality Transit</t>
  </si>
  <si>
    <t>Extremely Low Income</t>
  </si>
  <si>
    <t>Units &lt;= 80% AMI</t>
  </si>
  <si>
    <t>Units Capped</t>
  </si>
  <si>
    <t>Numerator</t>
  </si>
  <si>
    <t>Denominator</t>
  </si>
  <si>
    <t>Tiebreaker</t>
  </si>
  <si>
    <t>General Info (please enter units on Units tab)</t>
  </si>
  <si>
    <t>Numerator Calculations (Public Benefit)</t>
  </si>
  <si>
    <t>Production</t>
  </si>
  <si>
    <t>Rent Savings Duration</t>
  </si>
  <si>
    <t>Rent Savings Max</t>
  </si>
  <si>
    <t>Com. Revitalization</t>
  </si>
  <si>
    <t>TOD Emphasis</t>
  </si>
  <si>
    <t>Unit Tallies</t>
  </si>
  <si>
    <t>Denominator Calculations (Allocated Resources)</t>
  </si>
  <si>
    <t>Prev. Wage Adj.</t>
  </si>
  <si>
    <t>State Resources</t>
  </si>
  <si>
    <t>Discount</t>
  </si>
  <si>
    <t>Units Entered</t>
  </si>
  <si>
    <t>Allocated Resources</t>
  </si>
  <si>
    <t>Depict:</t>
  </si>
  <si>
    <t>Project 1</t>
  </si>
  <si>
    <t>Project 3</t>
  </si>
  <si>
    <t>Project 2</t>
  </si>
  <si>
    <t>Project 4</t>
  </si>
  <si>
    <t xml:space="preserve">(100%       
</t>
  </si>
  <si>
    <t>AMI - 2021</t>
  </si>
  <si>
    <t>PBV Units</t>
  </si>
  <si>
    <t>PBV = 30%</t>
  </si>
  <si>
    <t>Special Population</t>
  </si>
  <si>
    <t>Maximum percentage of restricted units</t>
  </si>
  <si>
    <t>Type I Con. Adjustment</t>
  </si>
  <si>
    <t>Type III Con. Adjustment</t>
  </si>
  <si>
    <t>Walkability (per amenity)</t>
  </si>
  <si>
    <t>Con. Type Adj.</t>
  </si>
  <si>
    <t>(100%
-P.W. Adj.
-Con. Adj.
-SWBD Adj.)
= Multiplier</t>
  </si>
  <si>
    <t>Public Benefits</t>
  </si>
  <si>
    <t>Existing sited regulations:</t>
  </si>
  <si>
    <t>10302(vv)</t>
  </si>
  <si>
    <t xml:space="preserve">5230(g)(1) </t>
  </si>
  <si>
    <t xml:space="preserve">10325(g)(1) </t>
  </si>
  <si>
    <t xml:space="preserve">10325(g)(3) </t>
  </si>
  <si>
    <t>CRA Definition</t>
  </si>
  <si>
    <t xml:space="preserve">10325(c)(4)(A)(ii) </t>
  </si>
  <si>
    <t xml:space="preserve">10325(c)(4)(A)(i) </t>
  </si>
  <si>
    <t>10327(c)(5)(A)p7</t>
  </si>
  <si>
    <t>10327(c)(5)(A)p8</t>
  </si>
  <si>
    <t>10327(c)(5)(A)p2</t>
  </si>
  <si>
    <t>Con. Adjustment</t>
  </si>
  <si>
    <t>San Francisco Mayor's Office of Housing and Community Development</t>
  </si>
  <si>
    <t xml:space="preserve">If you have any questions about how to complete this sheet - please </t>
  </si>
  <si>
    <t>Tiebreaker as of April 1, 2022</t>
  </si>
  <si>
    <t>Attachment I - CDLAC Scoring Worksheet</t>
  </si>
  <si>
    <t>Name of Project: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</si>
</sst>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_);_(* \(#,##0.00\);_(* &quot;-&quot;??_);_(@_)"/>
    <numFmt numFmtId="164" formatCode="_(* #,##0_);_(* \(#,##0\);_(* &quot;-&quot;??_);_(@_)"/>
    <numFmt numFmtId="165" formatCode="&quot;Project &quot;0"/>
    <numFmt numFmtId="166" formatCode="0&quot; yrs&quot;"/>
    <numFmt numFmtId="167" formatCode="0.0%"/>
  </numFmts>
  <fonts count="30"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scheme val="minor"/>
    </font>
    <font>
      <sz val="11"/>
      <color rgb="FFFF0000"/>
      <name val="Calibri"/>
      <family val="2"/>
      <scheme val="minor"/>
    </font>
    <font>
      <sz val="11"/>
      <color theme="0"/>
      <name val="Calibri"/>
      <family val="2"/>
      <scheme val="minor"/>
    </font>
    <font>
      <sz val="11"/>
      <color rgb="FF000000"/>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i/>
      <sz val="11"/>
      <color rgb="FF7F7F7F"/>
      <name val="Calibri"/>
      <family val="2"/>
      <scheme val="minor"/>
    </font>
    <font>
      <sz val="11"/>
      <color rgb="FF9C5700"/>
      <name val="Calibri"/>
      <family val="2"/>
      <scheme val="minor"/>
    </font>
    <font>
      <sz val="11"/>
      <color rgb="FF0070C0"/>
      <name val="Calibri"/>
      <family val="2"/>
      <scheme val="minor"/>
    </font>
    <font>
      <sz val="11"/>
      <color rgb="FF7030A0"/>
      <name val="Calibri"/>
      <family val="2"/>
      <scheme val="minor"/>
    </font>
    <font>
      <sz val="11"/>
      <color theme="0" tint="-0.499984740745262"/>
      <name val="Calibri"/>
      <family val="2"/>
      <scheme val="minor"/>
    </font>
    <font>
      <sz val="11"/>
      <color theme="4" tint="0.39997558519241921"/>
      <name val="Calibri"/>
      <family val="2"/>
      <scheme val="minor"/>
    </font>
    <font>
      <u val="singleAccounting"/>
      <sz val="11"/>
      <color theme="1"/>
      <name val="Calibri"/>
      <family val="2"/>
      <scheme val="minor"/>
    </font>
    <font>
      <sz val="11"/>
      <color theme="0" tint="-0.249977111117893"/>
      <name val="Calibri"/>
      <family val="2"/>
      <scheme val="minor"/>
    </font>
    <font>
      <u/>
      <sz val="11"/>
      <color theme="10"/>
      <name val="Calibri"/>
      <family val="2"/>
      <scheme val="minor"/>
    </font>
    <font>
      <sz val="12"/>
      <color theme="1"/>
      <name val="Calibri"/>
      <family val="2"/>
      <scheme val="minor"/>
    </font>
    <font>
      <b/>
      <sz val="12"/>
      <color theme="1"/>
      <name val="Calibri"/>
      <family val="2"/>
      <scheme val="minor"/>
    </font>
    <font>
      <sz val="16"/>
      <color theme="1"/>
      <name val="Calibri"/>
      <family val="2"/>
      <scheme val="minor"/>
    </font>
  </fonts>
  <fills count="37">
    <fill>
      <patternFill patternType="none"/>
    </fill>
    <fill>
      <patternFill patternType="gray125"/>
    </fill>
    <fill>
      <patternFill patternType="solid">
        <fgColor theme="9" tint="0.59999389629810485"/>
        <bgColor indexed="64"/>
      </patternFill>
    </fill>
    <fill>
      <patternFill patternType="solid">
        <fgColor theme="0" tint="-4.9989318521683403E-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99"/>
        <bgColor indexed="64"/>
      </patternFill>
    </fill>
    <fill>
      <patternFill patternType="solid">
        <fgColor theme="0"/>
        <bgColor indexed="64"/>
      </patternFill>
    </fill>
  </fills>
  <borders count="18">
    <border>
      <left/>
      <right/>
      <top/>
      <bottom/>
      <diagonal/>
    </border>
    <border>
      <left/>
      <right/>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theme="4" tint="-0.499984740745262"/>
      </left>
      <right/>
      <top/>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s>
  <cellStyleXfs count="47">
    <xf numFmtId="0" fontId="0" fillId="0" borderId="0"/>
    <xf numFmtId="43" fontId="1" fillId="0" borderId="0" applyFont="0" applyFill="0" applyBorder="0" applyAlignment="0" applyProtection="0"/>
    <xf numFmtId="9" fontId="1" fillId="0" borderId="0" applyFont="0" applyFill="0" applyBorder="0" applyAlignment="0" applyProtection="0"/>
    <xf numFmtId="0" fontId="6" fillId="0" borderId="0"/>
    <xf numFmtId="0" fontId="7" fillId="0" borderId="0" applyNumberFormat="0" applyFill="0" applyBorder="0" applyAlignment="0" applyProtection="0"/>
    <xf numFmtId="0" fontId="8" fillId="0" borderId="2" applyNumberFormat="0" applyFill="0" applyAlignment="0" applyProtection="0"/>
    <xf numFmtId="0" fontId="9" fillId="0" borderId="3" applyNumberFormat="0" applyFill="0" applyAlignment="0" applyProtection="0"/>
    <xf numFmtId="0" fontId="10" fillId="0" borderId="4" applyNumberFormat="0" applyFill="0" applyAlignment="0" applyProtection="0"/>
    <xf numFmtId="0" fontId="10" fillId="0" borderId="0" applyNumberFormat="0" applyFill="0" applyBorder="0" applyAlignment="0" applyProtection="0"/>
    <xf numFmtId="0" fontId="11" fillId="4" borderId="0" applyNumberFormat="0" applyBorder="0" applyAlignment="0" applyProtection="0"/>
    <xf numFmtId="0" fontId="12" fillId="5" borderId="0" applyNumberFormat="0" applyBorder="0" applyAlignment="0" applyProtection="0"/>
    <xf numFmtId="0" fontId="13" fillId="7" borderId="5" applyNumberFormat="0" applyAlignment="0" applyProtection="0"/>
    <xf numFmtId="0" fontId="14" fillId="8" borderId="6" applyNumberFormat="0" applyAlignment="0" applyProtection="0"/>
    <xf numFmtId="0" fontId="15" fillId="8" borderId="5" applyNumberFormat="0" applyAlignment="0" applyProtection="0"/>
    <xf numFmtId="0" fontId="16" fillId="0" borderId="7" applyNumberFormat="0" applyFill="0" applyAlignment="0" applyProtection="0"/>
    <xf numFmtId="0" fontId="17" fillId="9" borderId="8" applyNumberFormat="0" applyAlignment="0" applyProtection="0"/>
    <xf numFmtId="0" fontId="4" fillId="0" borderId="0" applyNumberFormat="0" applyFill="0" applyBorder="0" applyAlignment="0" applyProtection="0"/>
    <xf numFmtId="0" fontId="1" fillId="10" borderId="9" applyNumberFormat="0" applyFont="0" applyAlignment="0" applyProtection="0"/>
    <xf numFmtId="0" fontId="18" fillId="0" borderId="0" applyNumberFormat="0" applyFill="0" applyBorder="0" applyAlignment="0" applyProtection="0"/>
    <xf numFmtId="0" fontId="2" fillId="0" borderId="10" applyNumberFormat="0" applyFill="0" applyAlignment="0" applyProtection="0"/>
    <xf numFmtId="0" fontId="5"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5" fillId="15"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5" fillId="19"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5" fillId="23"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5" fillId="27" borderId="0" applyNumberFormat="0" applyBorder="0" applyAlignment="0" applyProtection="0"/>
    <xf numFmtId="0" fontId="1" fillId="28" borderId="0" applyNumberFormat="0" applyBorder="0" applyAlignment="0" applyProtection="0"/>
    <xf numFmtId="0" fontId="1" fillId="29" borderId="0" applyNumberFormat="0" applyBorder="0" applyAlignment="0" applyProtection="0"/>
    <xf numFmtId="0" fontId="5" fillId="31" borderId="0" applyNumberFormat="0" applyBorder="0" applyAlignment="0" applyProtection="0"/>
    <xf numFmtId="0" fontId="1" fillId="32" borderId="0" applyNumberFormat="0" applyBorder="0" applyAlignment="0" applyProtection="0"/>
    <xf numFmtId="0" fontId="1" fillId="33" borderId="0" applyNumberFormat="0" applyBorder="0" applyAlignment="0" applyProtection="0"/>
    <xf numFmtId="0" fontId="19" fillId="6"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34" borderId="0" applyNumberFormat="0" applyBorder="0" applyAlignment="0" applyProtection="0"/>
    <xf numFmtId="0" fontId="26" fillId="0" borderId="0" applyNumberFormat="0" applyFill="0" applyBorder="0" applyAlignment="0" applyProtection="0"/>
    <xf numFmtId="0" fontId="27" fillId="0" borderId="0"/>
  </cellStyleXfs>
  <cellXfs count="69">
    <xf numFmtId="0" fontId="0" fillId="0" borderId="0" xfId="0"/>
    <xf numFmtId="164" fontId="0" fillId="0" borderId="0" xfId="1" applyNumberFormat="1" applyFont="1"/>
    <xf numFmtId="0" fontId="2" fillId="0" borderId="0" xfId="0" applyFont="1"/>
    <xf numFmtId="3" fontId="0" fillId="0" borderId="0" xfId="0" applyNumberFormat="1"/>
    <xf numFmtId="9" fontId="0" fillId="0" borderId="0" xfId="2" applyFont="1"/>
    <xf numFmtId="0" fontId="0" fillId="0" borderId="0" xfId="0" applyAlignment="1">
      <alignment horizontal="center"/>
    </xf>
    <xf numFmtId="0" fontId="0" fillId="0" borderId="0" xfId="0" applyAlignment="1">
      <alignment horizontal="left"/>
    </xf>
    <xf numFmtId="43" fontId="3" fillId="0" borderId="0" xfId="1" applyFont="1"/>
    <xf numFmtId="164" fontId="3" fillId="0" borderId="0" xfId="1" applyNumberFormat="1" applyFont="1"/>
    <xf numFmtId="43" fontId="0" fillId="0" borderId="0" xfId="1" applyFont="1"/>
    <xf numFmtId="0" fontId="2" fillId="0" borderId="0" xfId="0" applyFont="1" applyAlignment="1">
      <alignment horizontal="center"/>
    </xf>
    <xf numFmtId="0" fontId="0" fillId="0" borderId="0" xfId="0" applyAlignment="1">
      <alignment horizontal="right"/>
    </xf>
    <xf numFmtId="0" fontId="0" fillId="0" borderId="0" xfId="0" applyAlignment="1">
      <alignment horizontal="left" indent="1"/>
    </xf>
    <xf numFmtId="0" fontId="21" fillId="0" borderId="0" xfId="0" applyFont="1"/>
    <xf numFmtId="0" fontId="20" fillId="0" borderId="0" xfId="0" applyFont="1" applyProtection="1">
      <protection locked="0"/>
    </xf>
    <xf numFmtId="0" fontId="0" fillId="0" borderId="0" xfId="0" applyProtection="1">
      <protection locked="0"/>
    </xf>
    <xf numFmtId="9" fontId="20" fillId="0" borderId="0" xfId="2" applyFont="1" applyProtection="1">
      <protection locked="0"/>
    </xf>
    <xf numFmtId="9" fontId="0" fillId="0" borderId="0" xfId="0" applyNumberFormat="1"/>
    <xf numFmtId="9" fontId="3" fillId="0" borderId="0" xfId="2" applyFont="1" applyFill="1" applyProtection="1">
      <protection locked="0"/>
    </xf>
    <xf numFmtId="165" fontId="0" fillId="0" borderId="0" xfId="0" applyNumberFormat="1"/>
    <xf numFmtId="0" fontId="0" fillId="0" borderId="0" xfId="0" applyAlignment="1">
      <alignment wrapText="1"/>
    </xf>
    <xf numFmtId="0" fontId="0" fillId="0" borderId="0" xfId="0" applyAlignment="1">
      <alignment horizontal="center" vertical="center" wrapText="1"/>
    </xf>
    <xf numFmtId="0" fontId="22" fillId="0" borderId="0" xfId="0" applyFont="1"/>
    <xf numFmtId="9" fontId="22" fillId="0" borderId="0" xfId="2" applyFont="1"/>
    <xf numFmtId="164" fontId="0" fillId="0" borderId="0" xfId="0" applyNumberFormat="1"/>
    <xf numFmtId="164" fontId="22" fillId="0" borderId="0" xfId="1" applyNumberFormat="1" applyFont="1"/>
    <xf numFmtId="0" fontId="22" fillId="0" borderId="0" xfId="0" applyFont="1" applyAlignment="1">
      <alignment horizontal="center"/>
    </xf>
    <xf numFmtId="164" fontId="23" fillId="0" borderId="0" xfId="1" applyNumberFormat="1" applyFont="1"/>
    <xf numFmtId="2" fontId="0" fillId="0" borderId="0" xfId="0" applyNumberFormat="1" applyAlignment="1">
      <alignment horizontal="center"/>
    </xf>
    <xf numFmtId="165" fontId="2" fillId="3" borderId="11" xfId="0" applyNumberFormat="1" applyFont="1" applyFill="1" applyBorder="1" applyAlignment="1">
      <alignment horizontal="center"/>
    </xf>
    <xf numFmtId="165" fontId="2" fillId="3" borderId="13" xfId="0" applyNumberFormat="1" applyFont="1" applyFill="1" applyBorder="1" applyAlignment="1">
      <alignment horizontal="center"/>
    </xf>
    <xf numFmtId="165" fontId="2" fillId="3" borderId="12" xfId="0" applyNumberFormat="1" applyFont="1" applyFill="1" applyBorder="1" applyAlignment="1">
      <alignment horizontal="center"/>
    </xf>
    <xf numFmtId="0" fontId="3" fillId="0" borderId="0" xfId="0" applyFont="1" applyAlignment="1" applyProtection="1">
      <alignment horizontal="center"/>
      <protection locked="0"/>
    </xf>
    <xf numFmtId="164" fontId="0" fillId="0" borderId="1" xfId="1" applyNumberFormat="1" applyFont="1" applyBorder="1" applyAlignment="1">
      <alignment vertical="center"/>
    </xf>
    <xf numFmtId="164" fontId="24" fillId="0" borderId="0" xfId="1" applyNumberFormat="1" applyFont="1" applyAlignment="1">
      <alignment vertical="center"/>
    </xf>
    <xf numFmtId="0" fontId="2" fillId="3" borderId="11" xfId="0" applyFont="1" applyFill="1" applyBorder="1" applyAlignment="1">
      <alignment horizontal="left"/>
    </xf>
    <xf numFmtId="0" fontId="0" fillId="3" borderId="13" xfId="0" applyFill="1" applyBorder="1" applyAlignment="1">
      <alignment horizontal="center"/>
    </xf>
    <xf numFmtId="0" fontId="0" fillId="3" borderId="12" xfId="0" applyFill="1" applyBorder="1" applyAlignment="1">
      <alignment horizontal="center"/>
    </xf>
    <xf numFmtId="167" fontId="0" fillId="0" borderId="0" xfId="2" applyNumberFormat="1" applyFont="1" applyAlignment="1">
      <alignment horizontal="center"/>
    </xf>
    <xf numFmtId="165" fontId="20" fillId="0" borderId="0" xfId="0" applyNumberFormat="1" applyFont="1" applyProtection="1">
      <protection locked="0"/>
    </xf>
    <xf numFmtId="0" fontId="25" fillId="0" borderId="0" xfId="0" quotePrefix="1" applyFont="1"/>
    <xf numFmtId="9" fontId="0" fillId="0" borderId="0" xfId="0" applyNumberFormat="1" applyAlignment="1">
      <alignment wrapText="1"/>
    </xf>
    <xf numFmtId="167" fontId="0" fillId="0" borderId="0" xfId="0" applyNumberFormat="1"/>
    <xf numFmtId="167" fontId="0" fillId="0" borderId="0" xfId="2" applyNumberFormat="1" applyFont="1" applyBorder="1"/>
    <xf numFmtId="0" fontId="0" fillId="0" borderId="14" xfId="0" applyBorder="1" applyAlignment="1">
      <alignment horizontal="center" vertical="center" wrapText="1"/>
    </xf>
    <xf numFmtId="1" fontId="0" fillId="0" borderId="14" xfId="0" applyNumberFormat="1" applyBorder="1" applyAlignment="1">
      <alignment horizontal="center"/>
    </xf>
    <xf numFmtId="166" fontId="3" fillId="2" borderId="15" xfId="2" applyNumberFormat="1" applyFont="1" applyFill="1" applyBorder="1" applyProtection="1">
      <protection locked="0"/>
    </xf>
    <xf numFmtId="9" fontId="3" fillId="2" borderId="15" xfId="2" applyFont="1" applyFill="1" applyBorder="1" applyAlignment="1" applyProtection="1">
      <alignment horizontal="right"/>
      <protection locked="0"/>
    </xf>
    <xf numFmtId="3" fontId="3" fillId="2" borderId="15" xfId="0" applyNumberFormat="1" applyFont="1" applyFill="1" applyBorder="1" applyProtection="1">
      <protection locked="0"/>
    </xf>
    <xf numFmtId="0" fontId="3" fillId="0" borderId="0" xfId="0" applyFont="1" applyProtection="1">
      <protection locked="0"/>
    </xf>
    <xf numFmtId="0" fontId="3" fillId="0" borderId="0" xfId="0" applyFont="1"/>
    <xf numFmtId="9" fontId="3" fillId="2" borderId="15" xfId="2" applyFont="1" applyFill="1" applyBorder="1" applyProtection="1">
      <protection locked="0"/>
    </xf>
    <xf numFmtId="3" fontId="3" fillId="2" borderId="15" xfId="0" applyNumberFormat="1" applyFont="1" applyFill="1" applyBorder="1" applyAlignment="1" applyProtection="1">
      <alignment horizontal="right"/>
      <protection locked="0"/>
    </xf>
    <xf numFmtId="4" fontId="3" fillId="2" borderId="15" xfId="0" applyNumberFormat="1" applyFont="1" applyFill="1" applyBorder="1" applyProtection="1">
      <protection locked="0"/>
    </xf>
    <xf numFmtId="0" fontId="3" fillId="35" borderId="15" xfId="0" applyFont="1" applyFill="1" applyBorder="1" applyAlignment="1" applyProtection="1">
      <alignment horizontal="center"/>
      <protection locked="0"/>
    </xf>
    <xf numFmtId="3" fontId="3" fillId="35" borderId="15" xfId="0" applyNumberFormat="1" applyFont="1" applyFill="1" applyBorder="1" applyProtection="1">
      <protection locked="0"/>
    </xf>
    <xf numFmtId="0" fontId="3" fillId="0" borderId="0" xfId="0" applyFont="1" applyAlignment="1">
      <alignment horizontal="left" indent="1"/>
    </xf>
    <xf numFmtId="0" fontId="26" fillId="0" borderId="0" xfId="45"/>
    <xf numFmtId="0" fontId="3" fillId="35" borderId="16" xfId="0" applyFont="1" applyFill="1" applyBorder="1"/>
    <xf numFmtId="0" fontId="3" fillId="35" borderId="17" xfId="0" applyFont="1" applyFill="1" applyBorder="1"/>
    <xf numFmtId="0" fontId="2" fillId="3" borderId="11" xfId="0" applyFont="1" applyFill="1" applyBorder="1" applyAlignment="1">
      <alignment horizontal="center"/>
    </xf>
    <xf numFmtId="0" fontId="2" fillId="3" borderId="12" xfId="0" applyFont="1" applyFill="1" applyBorder="1" applyAlignment="1">
      <alignment horizontal="center"/>
    </xf>
    <xf numFmtId="0" fontId="28" fillId="36" borderId="0" xfId="46" applyFont="1" applyFill="1" applyBorder="1"/>
    <xf numFmtId="0" fontId="27" fillId="36" borderId="0" xfId="46" applyFill="1" applyBorder="1" applyAlignment="1">
      <alignment wrapText="1"/>
    </xf>
    <xf numFmtId="17" fontId="27" fillId="36" borderId="0" xfId="46" applyNumberFormat="1" applyFill="1" applyBorder="1" applyAlignment="1">
      <alignment wrapText="1"/>
    </xf>
    <xf numFmtId="0" fontId="29" fillId="36" borderId="0" xfId="46" applyFont="1" applyFill="1" applyBorder="1" applyAlignment="1">
      <alignment wrapText="1"/>
    </xf>
    <xf numFmtId="17" fontId="0" fillId="0" borderId="0" xfId="0" applyNumberFormat="1" applyAlignment="1">
      <alignment horizontal="center" wrapText="1"/>
    </xf>
    <xf numFmtId="17" fontId="2" fillId="0" borderId="0" xfId="0" applyNumberFormat="1" applyFont="1" applyAlignment="1">
      <alignment horizontal="center" wrapText="1"/>
    </xf>
    <xf numFmtId="17" fontId="2" fillId="0" borderId="0" xfId="0" applyNumberFormat="1" applyFont="1" applyAlignment="1">
      <alignment horizontal="right" wrapText="1"/>
    </xf>
  </cellXfs>
  <cellStyles count="47">
    <cellStyle name="20% - Accent1" xfId="21" builtinId="30" customBuiltin="1"/>
    <cellStyle name="20% - Accent2" xfId="24" builtinId="34" customBuiltin="1"/>
    <cellStyle name="20% - Accent3" xfId="27" builtinId="38" customBuiltin="1"/>
    <cellStyle name="20% - Accent4" xfId="30" builtinId="42" customBuiltin="1"/>
    <cellStyle name="20% - Accent5" xfId="33" builtinId="46" customBuiltin="1"/>
    <cellStyle name="20% - Accent6" xfId="36" builtinId="50" customBuiltin="1"/>
    <cellStyle name="40% - Accent1" xfId="22" builtinId="31" customBuiltin="1"/>
    <cellStyle name="40% - Accent2" xfId="25" builtinId="35" customBuiltin="1"/>
    <cellStyle name="40% - Accent3" xfId="28" builtinId="39" customBuiltin="1"/>
    <cellStyle name="40% - Accent4" xfId="31" builtinId="43" customBuiltin="1"/>
    <cellStyle name="40% - Accent5" xfId="34" builtinId="47" customBuiltin="1"/>
    <cellStyle name="40% - Accent6" xfId="37" builtinId="51" customBuiltin="1"/>
    <cellStyle name="60% - Accent1 2" xfId="39" xr:uid="{00000000-0005-0000-0000-00000C000000}"/>
    <cellStyle name="60% - Accent2 2" xfId="40" xr:uid="{00000000-0005-0000-0000-00000D000000}"/>
    <cellStyle name="60% - Accent3 2" xfId="41" xr:uid="{00000000-0005-0000-0000-00000E000000}"/>
    <cellStyle name="60% - Accent4 2" xfId="42" xr:uid="{00000000-0005-0000-0000-00000F000000}"/>
    <cellStyle name="60% - Accent5 2" xfId="43" xr:uid="{00000000-0005-0000-0000-000010000000}"/>
    <cellStyle name="60% - Accent6 2" xfId="44" xr:uid="{00000000-0005-0000-0000-000011000000}"/>
    <cellStyle name="Accent1" xfId="20" builtinId="29" customBuiltin="1"/>
    <cellStyle name="Accent2" xfId="23" builtinId="33" customBuiltin="1"/>
    <cellStyle name="Accent3" xfId="26" builtinId="37" customBuiltin="1"/>
    <cellStyle name="Accent4" xfId="29" builtinId="41" customBuiltin="1"/>
    <cellStyle name="Accent5" xfId="32" builtinId="45" customBuiltin="1"/>
    <cellStyle name="Accent6" xfId="35" builtinId="49" customBuiltin="1"/>
    <cellStyle name="Bad" xfId="10" builtinId="27" customBuiltin="1"/>
    <cellStyle name="Calculation" xfId="13" builtinId="22" customBuiltin="1"/>
    <cellStyle name="Check Cell" xfId="15" builtinId="23" customBuiltin="1"/>
    <cellStyle name="Comma" xfId="1" builtinId="3"/>
    <cellStyle name="Explanatory Text" xfId="18" builtinId="53" customBuiltin="1"/>
    <cellStyle name="Good" xfId="9" builtinId="26" customBuiltin="1"/>
    <cellStyle name="Heading 1" xfId="5" builtinId="16" customBuiltin="1"/>
    <cellStyle name="Heading 2" xfId="6" builtinId="17" customBuiltin="1"/>
    <cellStyle name="Heading 3" xfId="7" builtinId="18" customBuiltin="1"/>
    <cellStyle name="Heading 4" xfId="8" builtinId="19" customBuiltin="1"/>
    <cellStyle name="Hyperlink" xfId="45" builtinId="8"/>
    <cellStyle name="Input" xfId="11" builtinId="20" customBuiltin="1"/>
    <cellStyle name="Linked Cell" xfId="14" builtinId="24" customBuiltin="1"/>
    <cellStyle name="Neutral 2" xfId="38" xr:uid="{00000000-0005-0000-0000-000024000000}"/>
    <cellStyle name="Normal" xfId="0" builtinId="0"/>
    <cellStyle name="Normal 2" xfId="46" xr:uid="{17D17073-861F-4879-9434-4EB0731CE902}"/>
    <cellStyle name="Normal 3" xfId="3" xr:uid="{00000000-0005-0000-0000-000026000000}"/>
    <cellStyle name="Note" xfId="17" builtinId="10" customBuiltin="1"/>
    <cellStyle name="Output" xfId="12" builtinId="21" customBuiltin="1"/>
    <cellStyle name="Percent" xfId="2" builtinId="5"/>
    <cellStyle name="Title" xfId="4" builtinId="15" customBuiltin="1"/>
    <cellStyle name="Total" xfId="19" builtinId="25" customBuiltin="1"/>
    <cellStyle name="Warning Text" xfId="16" builtinId="11" customBuiltin="1"/>
  </cellStyles>
  <dxfs count="32">
    <dxf>
      <fill>
        <patternFill>
          <bgColor theme="0" tint="-0.24994659260841701"/>
        </patternFill>
      </fill>
    </dxf>
    <dxf>
      <font>
        <color theme="4" tint="0.59996337778862885"/>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font>
        <color theme="0" tint="-0.24994659260841701"/>
      </font>
    </dxf>
    <dxf>
      <numFmt numFmtId="13" formatCode="0%"/>
    </dxf>
    <dxf>
      <font>
        <b val="0"/>
        <i val="0"/>
        <strike val="0"/>
        <condense val="0"/>
        <extend val="0"/>
        <outline val="0"/>
        <shadow val="0"/>
        <u val="none"/>
        <vertAlign val="baseline"/>
        <sz val="11"/>
        <color theme="1"/>
        <name val="Calibri"/>
        <family val="2"/>
        <scheme val="minor"/>
      </font>
      <numFmt numFmtId="13" formatCode="0%"/>
    </dxf>
    <dxf>
      <numFmt numFmtId="164" formatCode="_(* #,##0_);_(* \(#,##0\);_(* &quot;-&quot;??_);_(@_)"/>
    </dxf>
    <dxf>
      <alignment horizontal="center" vertical="bottom" textRotation="0" wrapText="0" indent="0" justifyLastLine="0" shrinkToFit="0" readingOrder="0"/>
    </dxf>
    <dxf>
      <font>
        <strike val="0"/>
        <outline val="0"/>
        <shadow val="0"/>
        <u val="none"/>
        <vertAlign val="baseline"/>
        <sz val="11"/>
        <color theme="4" tint="0.39997558519241921"/>
        <name val="Calibri"/>
        <family val="2"/>
        <scheme val="minor"/>
      </font>
      <numFmt numFmtId="164" formatCode="_(* #,##0_);_(* \(#,##0\);_(* &quot;-&quot;??_);_(@_)"/>
    </dxf>
    <dxf>
      <numFmt numFmtId="164" formatCode="_(* #,##0_);_(* \(#,##0\);_(* &quot;-&quot;??_);_(@_)"/>
    </dxf>
    <dxf>
      <numFmt numFmtId="164" formatCode="_(* #,##0_);_(* \(#,##0\);_(* &quot;-&quot;??_);_(@_)"/>
    </dxf>
    <dxf>
      <numFmt numFmtId="164" formatCode="_(* #,##0_);_(* \(#,##0\);_(* &quot;-&quot;??_);_(@_)"/>
    </dxf>
    <dxf>
      <numFmt numFmtId="164" formatCode="_(* #,##0_);_(* \(#,##0\);_(* &quot;-&quot;??_);_(@_)"/>
    </dxf>
    <dxf>
      <numFmt numFmtId="164" formatCode="_(* #,##0_);_(* \(#,##0\);_(* &quot;-&quot;??_);_(@_)"/>
    </dxf>
    <dxf>
      <numFmt numFmtId="164" formatCode="_(* #,##0_);_(* \(#,##0\);_(* &quot;-&quot;??_);_(@_)"/>
    </dxf>
    <dxf>
      <numFmt numFmtId="164" formatCode="_(* #,##0_);_(* \(#,##0\);_(* &quot;-&quot;??_);_(@_)"/>
    </dxf>
    <dxf>
      <numFmt numFmtId="0" formatCode="General"/>
    </dxf>
    <dxf>
      <numFmt numFmtId="1" formatCode="0"/>
      <alignment horizontal="center" vertical="bottom" textRotation="0" wrapText="0" indent="0" justifyLastLine="0" shrinkToFit="0" readingOrder="0"/>
      <border diagonalUp="0" diagonalDown="0">
        <left style="medium">
          <color theme="4" tint="-0.499984740745262"/>
        </left>
        <right/>
        <top/>
        <bottom/>
        <vertical/>
        <horizontal/>
      </border>
    </dxf>
    <dxf>
      <font>
        <strike val="0"/>
        <outline val="0"/>
        <shadow val="0"/>
        <u val="none"/>
        <vertAlign val="baseline"/>
        <sz val="11"/>
        <color rgb="FF0070C0"/>
        <name val="Calibri"/>
        <family val="2"/>
        <scheme val="minor"/>
      </font>
      <protection locked="0" hidden="0"/>
    </dxf>
    <dxf>
      <font>
        <strike val="0"/>
        <outline val="0"/>
        <shadow val="0"/>
        <u val="none"/>
        <vertAlign val="baseline"/>
        <sz val="11"/>
        <color rgb="FF0070C0"/>
        <name val="Calibri"/>
        <family val="2"/>
        <scheme val="minor"/>
      </font>
      <protection locked="0" hidden="0"/>
    </dxf>
    <dxf>
      <font>
        <strike val="0"/>
        <outline val="0"/>
        <shadow val="0"/>
        <u val="none"/>
        <vertAlign val="baseline"/>
        <sz val="11"/>
        <color rgb="FF0070C0"/>
        <name val="Calibri"/>
        <family val="2"/>
        <scheme val="minor"/>
      </font>
      <protection locked="0" hidden="0"/>
    </dxf>
    <dxf>
      <font>
        <b val="0"/>
        <i val="0"/>
        <strike val="0"/>
        <condense val="0"/>
        <extend val="0"/>
        <outline val="0"/>
        <shadow val="0"/>
        <u val="none"/>
        <vertAlign val="baseline"/>
        <sz val="11"/>
        <color rgb="FF0070C0"/>
        <name val="Calibri"/>
        <family val="2"/>
        <scheme val="minor"/>
      </font>
      <protection locked="0" hidden="0"/>
    </dxf>
    <dxf>
      <font>
        <strike val="0"/>
        <outline val="0"/>
        <shadow val="0"/>
        <u val="none"/>
        <vertAlign val="baseline"/>
        <sz val="11"/>
        <color rgb="FF0070C0"/>
        <name val="Calibri"/>
        <family val="2"/>
        <scheme val="minor"/>
      </font>
      <protection locked="0" hidden="0"/>
    </dxf>
    <dxf>
      <font>
        <strike val="0"/>
        <outline val="0"/>
        <shadow val="0"/>
        <u val="none"/>
        <vertAlign val="baseline"/>
        <sz val="11"/>
        <color rgb="FF0070C0"/>
        <name val="Calibri"/>
        <family val="2"/>
        <scheme val="minor"/>
      </font>
      <protection locked="0" hidden="0"/>
    </dxf>
    <dxf>
      <font>
        <strike val="0"/>
        <outline val="0"/>
        <shadow val="0"/>
        <u val="none"/>
        <vertAlign val="baseline"/>
        <sz val="11"/>
        <color rgb="FF0070C0"/>
        <name val="Calibri"/>
        <family val="2"/>
        <scheme val="minor"/>
      </font>
      <protection locked="0" hidden="0"/>
    </dxf>
    <dxf>
      <font>
        <strike val="0"/>
        <outline val="0"/>
        <shadow val="0"/>
        <u val="none"/>
        <vertAlign val="baseline"/>
        <sz val="11"/>
        <color rgb="FF0070C0"/>
        <name val="Calibri"/>
        <family val="2"/>
        <scheme val="minor"/>
      </font>
      <numFmt numFmtId="165" formatCode="&quot;Project &quot;0"/>
      <protection locked="0" hidden="0"/>
    </dxf>
    <dxf>
      <alignment horizontal="center" vertical="center" textRotation="0" wrapText="1" indent="0" justifyLastLine="0" shrinkToFit="0" readingOrder="0"/>
    </dxf>
  </dxfs>
  <tableStyles count="0" defaultTableStyle="TableStyleMedium2" defaultPivotStyle="PivotStyleLight16"/>
  <colors>
    <mruColors>
      <color rgb="FFFDFAF5"/>
      <color rgb="FFF7ECDD"/>
      <color rgb="FF0000FF"/>
      <color rgb="FFFFFF99"/>
      <color rgb="FFFFCCFF"/>
      <color rgb="FFCCFF99"/>
      <color rgb="FFFFFF00"/>
      <color rgb="FFCCFF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drawings/drawing1.xml><?xml version="1.0" encoding="utf-8"?>
<xdr:wsDr xmlns:xdr="http://schemas.openxmlformats.org/drawingml/2006/spreadsheetDrawing" xmlns:a="http://schemas.openxmlformats.org/drawingml/2006/main">
  <xdr:twoCellAnchor>
    <xdr:from>
      <xdr:col>8</xdr:col>
      <xdr:colOff>2076450</xdr:colOff>
      <xdr:row>10</xdr:row>
      <xdr:rowOff>164856</xdr:rowOff>
    </xdr:from>
    <xdr:to>
      <xdr:col>19</xdr:col>
      <xdr:colOff>314325</xdr:colOff>
      <xdr:row>31</xdr:row>
      <xdr:rowOff>164857</xdr:rowOff>
    </xdr:to>
    <xdr:grpSp>
      <xdr:nvGrpSpPr>
        <xdr:cNvPr id="4" name="Group 3">
          <a:extLst>
            <a:ext uri="{FF2B5EF4-FFF2-40B4-BE49-F238E27FC236}">
              <a16:creationId xmlns:a16="http://schemas.microsoft.com/office/drawing/2014/main" id="{EA834DD8-197E-494E-B243-0998279A87EF}"/>
            </a:ext>
          </a:extLst>
        </xdr:cNvPr>
        <xdr:cNvGrpSpPr/>
      </xdr:nvGrpSpPr>
      <xdr:grpSpPr>
        <a:xfrm>
          <a:off x="5205046" y="2143125"/>
          <a:ext cx="6019067" cy="4000501"/>
          <a:chOff x="7943850" y="838199"/>
          <a:chExt cx="6038850" cy="4000501"/>
        </a:xfrm>
      </xdr:grpSpPr>
      <xdr:sp macro="" textlink="">
        <xdr:nvSpPr>
          <xdr:cNvPr id="45" name="Rectangle 44">
            <a:extLst>
              <a:ext uri="{FF2B5EF4-FFF2-40B4-BE49-F238E27FC236}">
                <a16:creationId xmlns:a16="http://schemas.microsoft.com/office/drawing/2014/main" id="{88AC9D92-6923-47D7-A7C8-F0631380160F}"/>
              </a:ext>
            </a:extLst>
          </xdr:cNvPr>
          <xdr:cNvSpPr/>
        </xdr:nvSpPr>
        <xdr:spPr>
          <a:xfrm>
            <a:off x="7943850" y="838199"/>
            <a:ext cx="5029200" cy="4000501"/>
          </a:xfrm>
          <a:prstGeom prst="rect">
            <a:avLst/>
          </a:prstGeom>
          <a:solidFill>
            <a:schemeClr val="bg1"/>
          </a:solidFill>
          <a:ln>
            <a:noFill/>
          </a:ln>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l"/>
            <a:endParaRPr lang="en-US" sz="1100" b="0" i="0" u="none" strike="noStrike">
              <a:solidFill>
                <a:schemeClr val="bg1"/>
              </a:solidFill>
              <a:latin typeface="Calibri"/>
              <a:cs typeface="Calibri"/>
            </a:endParaRPr>
          </a:p>
        </xdr:txBody>
      </xdr:sp>
      <xdr:sp macro="" textlink="$AA$12">
        <xdr:nvSpPr>
          <xdr:cNvPr id="16" name="Rectangle 15">
            <a:extLst>
              <a:ext uri="{FF2B5EF4-FFF2-40B4-BE49-F238E27FC236}">
                <a16:creationId xmlns:a16="http://schemas.microsoft.com/office/drawing/2014/main" id="{72B896CF-806B-4519-B5DE-A8B0D98B5920}"/>
              </a:ext>
            </a:extLst>
          </xdr:cNvPr>
          <xdr:cNvSpPr/>
        </xdr:nvSpPr>
        <xdr:spPr>
          <a:xfrm>
            <a:off x="8213507" y="902144"/>
            <a:ext cx="3379913" cy="1725618"/>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fld id="{AB6E8ABE-B3A1-4C42-842B-76ABA3D48A94}" type="TxLink">
              <a:rPr lang="en-US" sz="1100" b="0" i="0" u="none" strike="noStrike">
                <a:solidFill>
                  <a:schemeClr val="bg1"/>
                </a:solidFill>
                <a:latin typeface="Calibri"/>
                <a:cs typeface="Calibri"/>
              </a:rPr>
              <a:pPr algn="ctr"/>
              <a:t>Public Benefits</a:t>
            </a:fld>
            <a:endParaRPr lang="en-US" sz="1100">
              <a:solidFill>
                <a:schemeClr val="bg1"/>
              </a:solidFill>
            </a:endParaRPr>
          </a:p>
        </xdr:txBody>
      </xdr:sp>
      <xdr:sp macro="" textlink="$AA$13">
        <xdr:nvSpPr>
          <xdr:cNvPr id="17" name="Rectangle 16">
            <a:extLst>
              <a:ext uri="{FF2B5EF4-FFF2-40B4-BE49-F238E27FC236}">
                <a16:creationId xmlns:a16="http://schemas.microsoft.com/office/drawing/2014/main" id="{A4C4B3BF-0D38-4E77-96DA-0933A4C190FC}"/>
              </a:ext>
            </a:extLst>
          </xdr:cNvPr>
          <xdr:cNvSpPr/>
        </xdr:nvSpPr>
        <xdr:spPr>
          <a:xfrm>
            <a:off x="8422036" y="1249664"/>
            <a:ext cx="1398884" cy="507996"/>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algn="ctr"/>
            <a:fld id="{7B63BEBD-09A8-4217-9D86-E5835DE37779}" type="TxLink">
              <a:rPr lang="en-US" sz="1100" b="0" i="0" u="none" strike="noStrike">
                <a:solidFill>
                  <a:schemeClr val="bg1"/>
                </a:solidFill>
                <a:latin typeface="Calibri"/>
                <a:cs typeface="Calibri"/>
              </a:rPr>
              <a:pPr algn="ctr"/>
              <a:t>Production</a:t>
            </a:fld>
            <a:endParaRPr lang="en-US" sz="1100">
              <a:solidFill>
                <a:schemeClr val="bg1"/>
              </a:solidFill>
            </a:endParaRPr>
          </a:p>
        </xdr:txBody>
      </xdr:sp>
      <xdr:sp macro="" textlink="$AA$15">
        <xdr:nvSpPr>
          <xdr:cNvPr id="18" name="Rectangle 17">
            <a:extLst>
              <a:ext uri="{FF2B5EF4-FFF2-40B4-BE49-F238E27FC236}">
                <a16:creationId xmlns:a16="http://schemas.microsoft.com/office/drawing/2014/main" id="{BCAEB957-EF11-4E92-9D55-72B6D1578CB5}"/>
              </a:ext>
            </a:extLst>
          </xdr:cNvPr>
          <xdr:cNvSpPr/>
        </xdr:nvSpPr>
        <xdr:spPr>
          <a:xfrm>
            <a:off x="8430725" y="1920737"/>
            <a:ext cx="1398884" cy="5152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marL="0" indent="0" algn="ctr"/>
            <a:fld id="{0156EB35-85EF-4804-90FB-9F1F2860EF4C}" type="TxLink">
              <a:rPr lang="en-US" sz="1100" b="0" i="0" u="none" strike="noStrike">
                <a:solidFill>
                  <a:schemeClr val="bg1"/>
                </a:solidFill>
                <a:latin typeface="Calibri"/>
                <a:ea typeface="+mn-ea"/>
                <a:cs typeface="Calibri"/>
              </a:rPr>
              <a:pPr marL="0" indent="0" algn="ctr"/>
              <a:t>Population</a:t>
            </a:fld>
            <a:endParaRPr lang="en-US" sz="1100" b="0" i="0" u="none" strike="noStrike">
              <a:solidFill>
                <a:schemeClr val="bg1"/>
              </a:solidFill>
              <a:latin typeface="Calibri"/>
              <a:ea typeface="+mn-ea"/>
              <a:cs typeface="Calibri"/>
            </a:endParaRPr>
          </a:p>
        </xdr:txBody>
      </xdr:sp>
      <xdr:sp macro="" textlink="$AA$14">
        <xdr:nvSpPr>
          <xdr:cNvPr id="19" name="Rectangle 18">
            <a:extLst>
              <a:ext uri="{FF2B5EF4-FFF2-40B4-BE49-F238E27FC236}">
                <a16:creationId xmlns:a16="http://schemas.microsoft.com/office/drawing/2014/main" id="{832E1926-D687-458C-ADD9-C0291C4CFE90}"/>
              </a:ext>
            </a:extLst>
          </xdr:cNvPr>
          <xdr:cNvSpPr/>
        </xdr:nvSpPr>
        <xdr:spPr>
          <a:xfrm>
            <a:off x="10012073" y="1237680"/>
            <a:ext cx="1398884" cy="5152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marL="0" indent="0" algn="ctr"/>
            <a:fld id="{71BED20E-4676-4D93-8A2F-78D9B01B09A8}" type="TxLink">
              <a:rPr lang="en-US" sz="1100" b="0" i="0" u="none" strike="noStrike">
                <a:solidFill>
                  <a:schemeClr val="bg1"/>
                </a:solidFill>
                <a:latin typeface="Calibri"/>
                <a:ea typeface="+mn-ea"/>
                <a:cs typeface="Calibri"/>
              </a:rPr>
              <a:pPr marL="0" indent="0" algn="ctr"/>
              <a:t>Rent Savings</a:t>
            </a:fld>
            <a:endParaRPr lang="en-US" sz="1100" b="0" i="0" u="none" strike="noStrike">
              <a:solidFill>
                <a:schemeClr val="bg1"/>
              </a:solidFill>
              <a:latin typeface="Calibri"/>
              <a:ea typeface="+mn-ea"/>
              <a:cs typeface="Calibri"/>
            </a:endParaRPr>
          </a:p>
        </xdr:txBody>
      </xdr:sp>
      <xdr:sp macro="" textlink="$AA$16">
        <xdr:nvSpPr>
          <xdr:cNvPr id="20" name="Rectangle 19">
            <a:extLst>
              <a:ext uri="{FF2B5EF4-FFF2-40B4-BE49-F238E27FC236}">
                <a16:creationId xmlns:a16="http://schemas.microsoft.com/office/drawing/2014/main" id="{3B87B081-CCF3-4AF0-A880-4C34F374A58D}"/>
              </a:ext>
            </a:extLst>
          </xdr:cNvPr>
          <xdr:cNvSpPr/>
        </xdr:nvSpPr>
        <xdr:spPr>
          <a:xfrm>
            <a:off x="10020761" y="1908753"/>
            <a:ext cx="1398884" cy="515288"/>
          </a:xfrm>
          <a:prstGeom prst="rect">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ctr"/>
          <a:lstStyle/>
          <a:p>
            <a:pPr marL="0" indent="0" algn="ctr"/>
            <a:fld id="{D38B563B-CEB9-4190-9293-2640FAA8F84B}" type="TxLink">
              <a:rPr lang="en-US" sz="1100" b="0" i="0" u="none" strike="noStrike">
                <a:solidFill>
                  <a:schemeClr val="bg1"/>
                </a:solidFill>
                <a:latin typeface="Calibri"/>
                <a:ea typeface="+mn-ea"/>
                <a:cs typeface="Calibri"/>
              </a:rPr>
              <a:pPr marL="0" indent="0" algn="ctr"/>
              <a:t>Location</a:t>
            </a:fld>
            <a:endParaRPr lang="en-US" sz="1100" b="0" i="0" u="none" strike="noStrike">
              <a:solidFill>
                <a:schemeClr val="bg1"/>
              </a:solidFill>
              <a:latin typeface="Calibri"/>
              <a:ea typeface="+mn-ea"/>
              <a:cs typeface="Calibri"/>
            </a:endParaRPr>
          </a:p>
        </xdr:txBody>
      </xdr:sp>
      <xdr:sp macro="" textlink="">
        <xdr:nvSpPr>
          <xdr:cNvPr id="21" name="Rectangle 20">
            <a:extLst>
              <a:ext uri="{FF2B5EF4-FFF2-40B4-BE49-F238E27FC236}">
                <a16:creationId xmlns:a16="http://schemas.microsoft.com/office/drawing/2014/main" id="{A89ECBC1-75B3-48CB-9221-A5BBDDDC2443}"/>
              </a:ext>
            </a:extLst>
          </xdr:cNvPr>
          <xdr:cNvSpPr/>
        </xdr:nvSpPr>
        <xdr:spPr>
          <a:xfrm>
            <a:off x="8004978" y="2735613"/>
            <a:ext cx="3796972" cy="179752"/>
          </a:xfrm>
          <a:prstGeom prst="rect">
            <a:avLst/>
          </a:prstGeom>
        </xdr:spPr>
        <xdr:style>
          <a:lnRef idx="2">
            <a:schemeClr val="dk1">
              <a:shade val="50000"/>
            </a:schemeClr>
          </a:lnRef>
          <a:fillRef idx="1">
            <a:schemeClr val="dk1"/>
          </a:fillRef>
          <a:effectRef idx="0">
            <a:schemeClr val="dk1"/>
          </a:effectRef>
          <a:fontRef idx="minor">
            <a:schemeClr val="lt1"/>
          </a:fontRef>
        </xdr:style>
        <xdr:txBody>
          <a:bodyPr vertOverflow="clip" horzOverflow="clip" rtlCol="0" anchor="t"/>
          <a:lstStyle/>
          <a:p>
            <a:pPr algn="l"/>
            <a:endParaRPr lang="en-US" sz="1100">
              <a:solidFill>
                <a:schemeClr val="bg1"/>
              </a:solidFill>
            </a:endParaRPr>
          </a:p>
        </xdr:txBody>
      </xdr:sp>
      <xdr:sp macro="" textlink="$AA$18">
        <xdr:nvSpPr>
          <xdr:cNvPr id="22" name="Rectangle 21">
            <a:extLst>
              <a:ext uri="{FF2B5EF4-FFF2-40B4-BE49-F238E27FC236}">
                <a16:creationId xmlns:a16="http://schemas.microsoft.com/office/drawing/2014/main" id="{294A93CE-BC6A-4690-88A7-2FADC03BB17C}"/>
              </a:ext>
            </a:extLst>
          </xdr:cNvPr>
          <xdr:cNvSpPr/>
        </xdr:nvSpPr>
        <xdr:spPr>
          <a:xfrm>
            <a:off x="8222196" y="3059165"/>
            <a:ext cx="3379913" cy="1725618"/>
          </a:xfrm>
          <a:prstGeom prst="rect">
            <a:avLst/>
          </a:prstGeom>
        </xdr:spPr>
        <xdr:style>
          <a:lnRef idx="2">
            <a:schemeClr val="accent3">
              <a:shade val="50000"/>
            </a:schemeClr>
          </a:lnRef>
          <a:fillRef idx="1">
            <a:schemeClr val="accent3"/>
          </a:fillRef>
          <a:effectRef idx="0">
            <a:schemeClr val="accent3"/>
          </a:effectRef>
          <a:fontRef idx="minor">
            <a:schemeClr val="lt1"/>
          </a:fontRef>
        </xdr:style>
        <xdr:txBody>
          <a:bodyPr vertOverflow="clip" horzOverflow="clip" rtlCol="0" anchor="t"/>
          <a:lstStyle/>
          <a:p>
            <a:pPr algn="ctr"/>
            <a:fld id="{5410E338-9FE7-40F7-ABCE-6B78C5C77A33}" type="TxLink">
              <a:rPr lang="en-US" sz="1100" b="0" i="0" u="none" strike="noStrike">
                <a:solidFill>
                  <a:schemeClr val="bg1"/>
                </a:solidFill>
                <a:latin typeface="Calibri"/>
                <a:cs typeface="Calibri"/>
              </a:rPr>
              <a:pPr algn="ctr"/>
              <a:t>Allocated Resources</a:t>
            </a:fld>
            <a:endParaRPr lang="en-US" sz="1100">
              <a:solidFill>
                <a:schemeClr val="bg1"/>
              </a:solidFill>
            </a:endParaRPr>
          </a:p>
        </xdr:txBody>
      </xdr:sp>
      <xdr:sp macro="" textlink="$AA$19">
        <xdr:nvSpPr>
          <xdr:cNvPr id="23" name="Rectangle 22">
            <a:extLst>
              <a:ext uri="{FF2B5EF4-FFF2-40B4-BE49-F238E27FC236}">
                <a16:creationId xmlns:a16="http://schemas.microsoft.com/office/drawing/2014/main" id="{69A32B54-62D3-4DF5-BA34-057374A4E83C}"/>
              </a:ext>
            </a:extLst>
          </xdr:cNvPr>
          <xdr:cNvSpPr/>
        </xdr:nvSpPr>
        <xdr:spPr>
          <a:xfrm>
            <a:off x="8430725" y="3406685"/>
            <a:ext cx="1398884" cy="515288"/>
          </a:xfrm>
          <a:prstGeom prst="rect">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tIns="0" bIns="0" rtlCol="0" anchor="ctr"/>
          <a:lstStyle/>
          <a:p>
            <a:pPr marL="0" indent="0" algn="ctr"/>
            <a:fld id="{1A02A220-1E75-439B-AE4F-52C2DCF93F79}" type="TxLink">
              <a:rPr lang="en-US" sz="1100" b="0" i="0" u="none" strike="noStrike">
                <a:solidFill>
                  <a:schemeClr val="bg1"/>
                </a:solidFill>
                <a:latin typeface="Calibri"/>
                <a:ea typeface="+mn-ea"/>
                <a:cs typeface="Calibri"/>
              </a:rPr>
              <a:pPr marL="0" indent="0" algn="ctr"/>
              <a:t>Tax-Exempt Bonds</a:t>
            </a:fld>
            <a:endParaRPr lang="en-US" sz="1100" b="0" i="0" u="none" strike="noStrike">
              <a:solidFill>
                <a:schemeClr val="bg1"/>
              </a:solidFill>
              <a:latin typeface="Calibri"/>
              <a:ea typeface="+mn-ea"/>
              <a:cs typeface="Calibri"/>
            </a:endParaRPr>
          </a:p>
        </xdr:txBody>
      </xdr:sp>
      <xdr:sp macro="" textlink="$AA$20">
        <xdr:nvSpPr>
          <xdr:cNvPr id="24" name="Rectangle 23">
            <a:extLst>
              <a:ext uri="{FF2B5EF4-FFF2-40B4-BE49-F238E27FC236}">
                <a16:creationId xmlns:a16="http://schemas.microsoft.com/office/drawing/2014/main" id="{246AAF25-C024-44E5-A9AA-22DFD7CC7B4A}"/>
              </a:ext>
            </a:extLst>
          </xdr:cNvPr>
          <xdr:cNvSpPr/>
        </xdr:nvSpPr>
        <xdr:spPr>
          <a:xfrm>
            <a:off x="8439414" y="4077758"/>
            <a:ext cx="1398884" cy="515288"/>
          </a:xfrm>
          <a:prstGeom prst="rect">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tIns="0" bIns="0" rtlCol="0" anchor="ctr"/>
          <a:lstStyle/>
          <a:p>
            <a:pPr marL="0" indent="0" algn="ctr"/>
            <a:fld id="{F21857FB-DA01-45C7-A149-C31D1FEC77A3}" type="TxLink">
              <a:rPr lang="en-US" sz="1100" b="0" i="0" u="none" strike="noStrike">
                <a:solidFill>
                  <a:schemeClr val="bg1"/>
                </a:solidFill>
                <a:latin typeface="Calibri"/>
                <a:ea typeface="+mn-ea"/>
                <a:cs typeface="Calibri"/>
              </a:rPr>
              <a:pPr marL="0" indent="0" algn="ctr"/>
              <a:t>State Tax Credits</a:t>
            </a:fld>
            <a:endParaRPr lang="en-US" sz="1100" b="0" i="0" u="none" strike="noStrike">
              <a:solidFill>
                <a:schemeClr val="bg1"/>
              </a:solidFill>
              <a:latin typeface="Calibri"/>
              <a:ea typeface="+mn-ea"/>
              <a:cs typeface="Calibri"/>
            </a:endParaRPr>
          </a:p>
        </xdr:txBody>
      </xdr:sp>
      <xdr:sp macro="" textlink="$AA$21">
        <xdr:nvSpPr>
          <xdr:cNvPr id="25" name="Rectangle 24">
            <a:extLst>
              <a:ext uri="{FF2B5EF4-FFF2-40B4-BE49-F238E27FC236}">
                <a16:creationId xmlns:a16="http://schemas.microsoft.com/office/drawing/2014/main" id="{3385CC32-E427-4F4D-B702-80E097A7080D}"/>
              </a:ext>
            </a:extLst>
          </xdr:cNvPr>
          <xdr:cNvSpPr/>
        </xdr:nvSpPr>
        <xdr:spPr>
          <a:xfrm>
            <a:off x="10020761" y="3394700"/>
            <a:ext cx="1398884" cy="1186826"/>
          </a:xfrm>
          <a:prstGeom prst="rect">
            <a:avLst/>
          </a:prstGeom>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tIns="0" bIns="0" rtlCol="0" anchor="ctr"/>
          <a:lstStyle/>
          <a:p>
            <a:pPr marL="0" indent="0" algn="ctr"/>
            <a:fld id="{38668664-63AC-4021-A49F-54E764F87E44}" type="TxLink">
              <a:rPr lang="en-US" sz="1100" b="0" i="0" u="none" strike="noStrike">
                <a:solidFill>
                  <a:schemeClr val="bg1"/>
                </a:solidFill>
                <a:latin typeface="Calibri"/>
                <a:ea typeface="+mn-ea"/>
                <a:cs typeface="Calibri"/>
              </a:rPr>
              <a:pPr marL="0" indent="0" algn="ctr"/>
              <a:t>(100%
-P.W. Adj.
-Con. Adj.
-SWBD Adj.)
= Multiplier</a:t>
            </a:fld>
            <a:endParaRPr lang="en-US" sz="1100" b="0" i="0" u="none" strike="noStrike">
              <a:solidFill>
                <a:schemeClr val="bg1"/>
              </a:solidFill>
              <a:latin typeface="Calibri"/>
              <a:ea typeface="+mn-ea"/>
              <a:cs typeface="Calibri"/>
            </a:endParaRPr>
          </a:p>
        </xdr:txBody>
      </xdr:sp>
      <xdr:sp macro="" textlink="$AA$22">
        <xdr:nvSpPr>
          <xdr:cNvPr id="41" name="TextBox 40">
            <a:extLst>
              <a:ext uri="{FF2B5EF4-FFF2-40B4-BE49-F238E27FC236}">
                <a16:creationId xmlns:a16="http://schemas.microsoft.com/office/drawing/2014/main" id="{E23B7076-F984-41BE-BF91-FA891294E403}"/>
              </a:ext>
            </a:extLst>
          </xdr:cNvPr>
          <xdr:cNvSpPr txBox="1"/>
        </xdr:nvSpPr>
        <xdr:spPr>
          <a:xfrm>
            <a:off x="11854025" y="2304208"/>
            <a:ext cx="2128675" cy="9946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fld id="{2FE53AED-0FBA-4D02-9526-29FCA438A3D8}" type="TxLink">
              <a:rPr lang="en-US" sz="2400" b="0" i="0" u="none" strike="noStrike">
                <a:solidFill>
                  <a:srgbClr val="000000"/>
                </a:solidFill>
                <a:latin typeface="Calibri"/>
                <a:cs typeface="Calibri"/>
              </a:rPr>
              <a:pPr algn="l"/>
              <a:t>Tiebreaker</a:t>
            </a:fld>
            <a:endParaRPr lang="en-US" sz="13800">
              <a:solidFill>
                <a:schemeClr val="tx1"/>
              </a:solidFill>
            </a:endParaRPr>
          </a:p>
        </xdr:txBody>
      </xdr:sp>
      <xdr:sp macro="" textlink="">
        <xdr:nvSpPr>
          <xdr:cNvPr id="27" name="TextBox 26">
            <a:extLst>
              <a:ext uri="{FF2B5EF4-FFF2-40B4-BE49-F238E27FC236}">
                <a16:creationId xmlns:a16="http://schemas.microsoft.com/office/drawing/2014/main" id="{C902D182-BDD4-48DC-A41C-26E02817CDCE}"/>
              </a:ext>
            </a:extLst>
          </xdr:cNvPr>
          <xdr:cNvSpPr txBox="1"/>
        </xdr:nvSpPr>
        <xdr:spPr>
          <a:xfrm>
            <a:off x="9003195" y="3498573"/>
            <a:ext cx="283680" cy="9946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400" b="0" i="0" u="none" strike="noStrike">
                <a:solidFill>
                  <a:srgbClr val="000000"/>
                </a:solidFill>
                <a:latin typeface="Calibri"/>
                <a:cs typeface="Calibri"/>
              </a:rPr>
              <a:t>+</a:t>
            </a:r>
          </a:p>
        </xdr:txBody>
      </xdr:sp>
      <xdr:sp macro="" textlink="">
        <xdr:nvSpPr>
          <xdr:cNvPr id="28" name="TextBox 27">
            <a:extLst>
              <a:ext uri="{FF2B5EF4-FFF2-40B4-BE49-F238E27FC236}">
                <a16:creationId xmlns:a16="http://schemas.microsoft.com/office/drawing/2014/main" id="{596DE8D1-FBB8-4EE8-BE06-A56675B0910A}"/>
              </a:ext>
            </a:extLst>
          </xdr:cNvPr>
          <xdr:cNvSpPr txBox="1"/>
        </xdr:nvSpPr>
        <xdr:spPr>
          <a:xfrm>
            <a:off x="9793770" y="3536673"/>
            <a:ext cx="283680" cy="9946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600" b="0" i="0" u="none" strike="noStrike">
                <a:solidFill>
                  <a:srgbClr val="000000"/>
                </a:solidFill>
                <a:latin typeface="Calibri"/>
                <a:cs typeface="Calibri"/>
              </a:rPr>
              <a:t>*</a:t>
            </a:r>
          </a:p>
        </xdr:txBody>
      </xdr:sp>
      <xdr:sp macro="" textlink="">
        <xdr:nvSpPr>
          <xdr:cNvPr id="30" name="TextBox 29">
            <a:extLst>
              <a:ext uri="{FF2B5EF4-FFF2-40B4-BE49-F238E27FC236}">
                <a16:creationId xmlns:a16="http://schemas.microsoft.com/office/drawing/2014/main" id="{E7AAD511-9BD9-4E56-8F0C-935463498F84}"/>
              </a:ext>
            </a:extLst>
          </xdr:cNvPr>
          <xdr:cNvSpPr txBox="1"/>
        </xdr:nvSpPr>
        <xdr:spPr>
          <a:xfrm>
            <a:off x="9784245" y="1336398"/>
            <a:ext cx="283680" cy="99462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l"/>
            <a:r>
              <a:rPr lang="en-US" sz="1600" b="0" i="0" u="none" strike="noStrike">
                <a:solidFill>
                  <a:srgbClr val="000000"/>
                </a:solidFill>
                <a:latin typeface="Calibri"/>
                <a:cs typeface="Calibri"/>
              </a:rPr>
              <a:t>+</a:t>
            </a:r>
          </a:p>
        </xdr:txBody>
      </xdr:sp>
      <xdr:sp macro="" textlink="$AA$30">
        <xdr:nvSpPr>
          <xdr:cNvPr id="26" name="Rectangle 25">
            <a:extLst>
              <a:ext uri="{FF2B5EF4-FFF2-40B4-BE49-F238E27FC236}">
                <a16:creationId xmlns:a16="http://schemas.microsoft.com/office/drawing/2014/main" id="{B5A8F61E-27FD-4386-9850-B0EAA4B8D7E3}"/>
              </a:ext>
            </a:extLst>
          </xdr:cNvPr>
          <xdr:cNvSpPr/>
        </xdr:nvSpPr>
        <xdr:spPr>
          <a:xfrm>
            <a:off x="8200896" y="934917"/>
            <a:ext cx="1137267" cy="22933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l"/>
            <a:fld id="{38B9BFE8-7BD4-4D19-9C04-3FFA18BEA779}" type="TxLink">
              <a:rPr lang="en-US" sz="1100" b="0" i="0" u="none" strike="noStrike">
                <a:solidFill>
                  <a:schemeClr val="bg1"/>
                </a:solidFill>
                <a:latin typeface="Calibri"/>
                <a:cs typeface="Calibri"/>
              </a:rPr>
              <a:pPr algn="l"/>
              <a:t> </a:t>
            </a:fld>
            <a:endParaRPr lang="en-US" sz="1100">
              <a:solidFill>
                <a:schemeClr val="bg1"/>
              </a:solidFill>
            </a:endParaRPr>
          </a:p>
        </xdr:txBody>
      </xdr:sp>
      <xdr:sp macro="" textlink="$AA$31">
        <xdr:nvSpPr>
          <xdr:cNvPr id="29" name="Rectangle 28">
            <a:extLst>
              <a:ext uri="{FF2B5EF4-FFF2-40B4-BE49-F238E27FC236}">
                <a16:creationId xmlns:a16="http://schemas.microsoft.com/office/drawing/2014/main" id="{F79F40D1-01CE-406D-B0D4-840FA7177EE2}"/>
              </a:ext>
            </a:extLst>
          </xdr:cNvPr>
          <xdr:cNvSpPr/>
        </xdr:nvSpPr>
        <xdr:spPr>
          <a:xfrm>
            <a:off x="8360623" y="1270490"/>
            <a:ext cx="551113" cy="22933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l"/>
            <a:fld id="{0EC66A07-9B5C-4347-83E0-0A0E0C30FCD2}" type="TxLink">
              <a:rPr lang="en-US" sz="1100" b="0" i="0" u="none" strike="noStrike">
                <a:solidFill>
                  <a:schemeClr val="bg1"/>
                </a:solidFill>
                <a:latin typeface="Calibri"/>
                <a:cs typeface="Calibri"/>
              </a:rPr>
              <a:pPr algn="l"/>
              <a:t> </a:t>
            </a:fld>
            <a:endParaRPr lang="en-US" sz="1100">
              <a:solidFill>
                <a:schemeClr val="bg1"/>
              </a:solidFill>
            </a:endParaRPr>
          </a:p>
        </xdr:txBody>
      </xdr:sp>
      <xdr:sp macro="" textlink="$AA$32">
        <xdr:nvSpPr>
          <xdr:cNvPr id="31" name="Rectangle 30">
            <a:extLst>
              <a:ext uri="{FF2B5EF4-FFF2-40B4-BE49-F238E27FC236}">
                <a16:creationId xmlns:a16="http://schemas.microsoft.com/office/drawing/2014/main" id="{C9A1C219-0353-48CE-A40E-6621EA718A90}"/>
              </a:ext>
            </a:extLst>
          </xdr:cNvPr>
          <xdr:cNvSpPr/>
        </xdr:nvSpPr>
        <xdr:spPr>
          <a:xfrm>
            <a:off x="9953496" y="1254371"/>
            <a:ext cx="647829" cy="22933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l"/>
            <a:fld id="{009F904C-AC1B-4653-AFC8-B2A06EC9908B}" type="TxLink">
              <a:rPr lang="en-US" sz="1100" b="0" i="0" u="none" strike="noStrike">
                <a:solidFill>
                  <a:schemeClr val="bg1"/>
                </a:solidFill>
                <a:latin typeface="Calibri"/>
                <a:cs typeface="Calibri"/>
              </a:rPr>
              <a:pPr algn="l"/>
              <a:t> </a:t>
            </a:fld>
            <a:endParaRPr lang="en-US" sz="1100">
              <a:solidFill>
                <a:schemeClr val="bg1"/>
              </a:solidFill>
            </a:endParaRPr>
          </a:p>
        </xdr:txBody>
      </xdr:sp>
      <xdr:sp macro="" textlink="$AA$33">
        <xdr:nvSpPr>
          <xdr:cNvPr id="32" name="Rectangle 31">
            <a:extLst>
              <a:ext uri="{FF2B5EF4-FFF2-40B4-BE49-F238E27FC236}">
                <a16:creationId xmlns:a16="http://schemas.microsoft.com/office/drawing/2014/main" id="{24CF500B-4355-4AD5-A8DD-81C4ECA84DD1}"/>
              </a:ext>
            </a:extLst>
          </xdr:cNvPr>
          <xdr:cNvSpPr/>
        </xdr:nvSpPr>
        <xdr:spPr>
          <a:xfrm>
            <a:off x="8373812" y="1935774"/>
            <a:ext cx="647829" cy="22933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l"/>
            <a:fld id="{3D45AAAF-F986-4A57-9120-29F005A71EF0}" type="TxLink">
              <a:rPr lang="en-US" sz="1100" b="0" i="0" u="none" strike="noStrike">
                <a:solidFill>
                  <a:schemeClr val="bg1"/>
                </a:solidFill>
                <a:latin typeface="Calibri"/>
                <a:cs typeface="Calibri"/>
              </a:rPr>
              <a:pPr algn="l"/>
              <a:t> </a:t>
            </a:fld>
            <a:endParaRPr lang="en-US" sz="1100">
              <a:solidFill>
                <a:schemeClr val="bg1"/>
              </a:solidFill>
            </a:endParaRPr>
          </a:p>
        </xdr:txBody>
      </xdr:sp>
      <xdr:sp macro="" textlink="$AA$34">
        <xdr:nvSpPr>
          <xdr:cNvPr id="33" name="Rectangle 32">
            <a:extLst>
              <a:ext uri="{FF2B5EF4-FFF2-40B4-BE49-F238E27FC236}">
                <a16:creationId xmlns:a16="http://schemas.microsoft.com/office/drawing/2014/main" id="{63116BD0-B278-45C0-B57B-0FC69E68AD72}"/>
              </a:ext>
            </a:extLst>
          </xdr:cNvPr>
          <xdr:cNvSpPr/>
        </xdr:nvSpPr>
        <xdr:spPr>
          <a:xfrm>
            <a:off x="9975477" y="1935774"/>
            <a:ext cx="647829" cy="22933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l"/>
            <a:fld id="{1CD4E079-E3B5-4822-9F79-4468D84DDF39}" type="TxLink">
              <a:rPr lang="en-US" sz="1100" b="0" i="0" u="none" strike="noStrike">
                <a:solidFill>
                  <a:schemeClr val="bg1"/>
                </a:solidFill>
                <a:latin typeface="Calibri"/>
                <a:cs typeface="Calibri"/>
              </a:rPr>
              <a:pPr algn="l"/>
              <a:t> </a:t>
            </a:fld>
            <a:endParaRPr lang="en-US" sz="1100">
              <a:solidFill>
                <a:schemeClr val="bg1"/>
              </a:solidFill>
            </a:endParaRPr>
          </a:p>
        </xdr:txBody>
      </xdr:sp>
      <xdr:sp macro="" textlink="$AA$35">
        <xdr:nvSpPr>
          <xdr:cNvPr id="34" name="Rectangle 33">
            <a:extLst>
              <a:ext uri="{FF2B5EF4-FFF2-40B4-BE49-F238E27FC236}">
                <a16:creationId xmlns:a16="http://schemas.microsoft.com/office/drawing/2014/main" id="{8C50661C-ABDE-4331-A7BA-05279532C32D}"/>
              </a:ext>
            </a:extLst>
          </xdr:cNvPr>
          <xdr:cNvSpPr/>
        </xdr:nvSpPr>
        <xdr:spPr>
          <a:xfrm>
            <a:off x="8183311" y="3100755"/>
            <a:ext cx="1389314" cy="22933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l"/>
            <a:fld id="{A15B4E37-F799-4B4A-9B69-729263CA6830}" type="TxLink">
              <a:rPr lang="en-US" sz="1100" b="0" i="0" u="none" strike="noStrike">
                <a:solidFill>
                  <a:schemeClr val="bg1"/>
                </a:solidFill>
                <a:latin typeface="Calibri"/>
                <a:cs typeface="Calibri"/>
              </a:rPr>
              <a:pPr algn="l"/>
              <a:t> </a:t>
            </a:fld>
            <a:endParaRPr lang="en-US" sz="1100">
              <a:solidFill>
                <a:schemeClr val="bg1"/>
              </a:solidFill>
            </a:endParaRPr>
          </a:p>
        </xdr:txBody>
      </xdr:sp>
      <xdr:sp macro="" textlink="$AA$36">
        <xdr:nvSpPr>
          <xdr:cNvPr id="35" name="Rectangle 34">
            <a:extLst>
              <a:ext uri="{FF2B5EF4-FFF2-40B4-BE49-F238E27FC236}">
                <a16:creationId xmlns:a16="http://schemas.microsoft.com/office/drawing/2014/main" id="{E9C0A7CF-9841-4711-863D-4FF6E0D8DC61}"/>
              </a:ext>
            </a:extLst>
          </xdr:cNvPr>
          <xdr:cNvSpPr/>
        </xdr:nvSpPr>
        <xdr:spPr>
          <a:xfrm>
            <a:off x="8381138" y="3423140"/>
            <a:ext cx="889618" cy="22933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l"/>
            <a:fld id="{9DD9051A-ADB4-44C4-96F9-03768FEEABE9}" type="TxLink">
              <a:rPr lang="en-US" sz="1100" b="0" i="0" u="none" strike="noStrike">
                <a:solidFill>
                  <a:schemeClr val="bg1"/>
                </a:solidFill>
                <a:latin typeface="Calibri"/>
                <a:cs typeface="Calibri"/>
              </a:rPr>
              <a:pPr algn="l"/>
              <a:t> </a:t>
            </a:fld>
            <a:endParaRPr lang="en-US" sz="1100">
              <a:solidFill>
                <a:schemeClr val="bg1"/>
              </a:solidFill>
            </a:endParaRPr>
          </a:p>
        </xdr:txBody>
      </xdr:sp>
      <xdr:sp macro="" textlink="$AA$37">
        <xdr:nvSpPr>
          <xdr:cNvPr id="36" name="Rectangle 35">
            <a:extLst>
              <a:ext uri="{FF2B5EF4-FFF2-40B4-BE49-F238E27FC236}">
                <a16:creationId xmlns:a16="http://schemas.microsoft.com/office/drawing/2014/main" id="{70445F0B-1680-4E06-98B3-25AB79EDA2F4}"/>
              </a:ext>
            </a:extLst>
          </xdr:cNvPr>
          <xdr:cNvSpPr/>
        </xdr:nvSpPr>
        <xdr:spPr>
          <a:xfrm>
            <a:off x="8381138" y="4104544"/>
            <a:ext cx="889618" cy="22933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l"/>
            <a:fld id="{E44B121D-AF41-46E1-9F59-E299C9C061CE}" type="TxLink">
              <a:rPr lang="en-US" sz="1100" b="0" i="0" u="none" strike="noStrike">
                <a:solidFill>
                  <a:schemeClr val="bg1"/>
                </a:solidFill>
                <a:latin typeface="Calibri"/>
                <a:cs typeface="Calibri"/>
              </a:rPr>
              <a:pPr algn="l"/>
              <a:t> </a:t>
            </a:fld>
            <a:endParaRPr lang="en-US" sz="1100">
              <a:solidFill>
                <a:schemeClr val="bg1"/>
              </a:solidFill>
            </a:endParaRPr>
          </a:p>
        </xdr:txBody>
      </xdr:sp>
      <xdr:sp macro="" textlink="$AA$38">
        <xdr:nvSpPr>
          <xdr:cNvPr id="37" name="Rectangle 36">
            <a:extLst>
              <a:ext uri="{FF2B5EF4-FFF2-40B4-BE49-F238E27FC236}">
                <a16:creationId xmlns:a16="http://schemas.microsoft.com/office/drawing/2014/main" id="{858C5B2F-1A61-4D3D-B5A9-B4FA27D20A5B}"/>
              </a:ext>
            </a:extLst>
          </xdr:cNvPr>
          <xdr:cNvSpPr/>
        </xdr:nvSpPr>
        <xdr:spPr>
          <a:xfrm>
            <a:off x="9975476" y="3738198"/>
            <a:ext cx="889618" cy="22933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l"/>
            <a:fld id="{C0A36BAC-1C17-466D-A01F-8B092E094AFC}" type="TxLink">
              <a:rPr lang="en-US" sz="1100" b="0" i="0" u="none" strike="noStrike">
                <a:solidFill>
                  <a:schemeClr val="bg1"/>
                </a:solidFill>
                <a:latin typeface="Calibri"/>
                <a:cs typeface="Calibri"/>
              </a:rPr>
              <a:pPr algn="l"/>
              <a:t> </a:t>
            </a:fld>
            <a:endParaRPr lang="en-US" sz="1100">
              <a:solidFill>
                <a:schemeClr val="bg1"/>
              </a:solidFill>
            </a:endParaRPr>
          </a:p>
        </xdr:txBody>
      </xdr:sp>
      <xdr:sp macro="" textlink="$AA$39">
        <xdr:nvSpPr>
          <xdr:cNvPr id="38" name="Rectangle 37">
            <a:extLst>
              <a:ext uri="{FF2B5EF4-FFF2-40B4-BE49-F238E27FC236}">
                <a16:creationId xmlns:a16="http://schemas.microsoft.com/office/drawing/2014/main" id="{AD924DB1-9A4A-4097-8823-1216B04F8618}"/>
              </a:ext>
            </a:extLst>
          </xdr:cNvPr>
          <xdr:cNvSpPr/>
        </xdr:nvSpPr>
        <xdr:spPr>
          <a:xfrm>
            <a:off x="9975476" y="3884736"/>
            <a:ext cx="889618" cy="22933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l"/>
            <a:fld id="{A1C41154-78A4-455E-8428-91880EC83E30}" type="TxLink">
              <a:rPr lang="en-US" sz="1100" b="0" i="0" u="none" strike="noStrike">
                <a:solidFill>
                  <a:schemeClr val="bg1"/>
                </a:solidFill>
                <a:latin typeface="Calibri"/>
                <a:cs typeface="Calibri"/>
              </a:rPr>
              <a:pPr algn="l"/>
              <a:t> </a:t>
            </a:fld>
            <a:endParaRPr lang="en-US" sz="1100">
              <a:solidFill>
                <a:schemeClr val="bg1"/>
              </a:solidFill>
            </a:endParaRPr>
          </a:p>
        </xdr:txBody>
      </xdr:sp>
      <xdr:sp macro="" textlink="$AA$40">
        <xdr:nvSpPr>
          <xdr:cNvPr id="39" name="Rectangle 38">
            <a:extLst>
              <a:ext uri="{FF2B5EF4-FFF2-40B4-BE49-F238E27FC236}">
                <a16:creationId xmlns:a16="http://schemas.microsoft.com/office/drawing/2014/main" id="{19543396-EDBB-484B-8152-5C3AD53B35C4}"/>
              </a:ext>
            </a:extLst>
          </xdr:cNvPr>
          <xdr:cNvSpPr/>
        </xdr:nvSpPr>
        <xdr:spPr>
          <a:xfrm>
            <a:off x="9975476" y="4060582"/>
            <a:ext cx="889618" cy="229331"/>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tIns="0" bIns="0" rtlCol="0" anchor="t"/>
          <a:lstStyle/>
          <a:p>
            <a:pPr algn="l"/>
            <a:fld id="{04A36C28-81DD-4074-AED8-B2F0D3B41005}" type="TxLink">
              <a:rPr lang="en-US" sz="1100" b="0" i="0" u="none" strike="noStrike">
                <a:solidFill>
                  <a:schemeClr val="bg1"/>
                </a:solidFill>
                <a:latin typeface="Calibri"/>
                <a:cs typeface="Calibri"/>
              </a:rPr>
              <a:pPr algn="l"/>
              <a:t> </a:t>
            </a:fld>
            <a:endParaRPr lang="en-US" sz="1100">
              <a:solidFill>
                <a:schemeClr val="bg1"/>
              </a:solidFill>
            </a:endParaRPr>
          </a:p>
        </xdr:txBody>
      </xdr:sp>
    </xdr:grpSp>
    <xdr:clientData/>
  </xdr:twoCellAnchor>
  <xdr:twoCellAnchor>
    <xdr:from>
      <xdr:col>10</xdr:col>
      <xdr:colOff>28575</xdr:colOff>
      <xdr:row>32</xdr:row>
      <xdr:rowOff>102577</xdr:rowOff>
    </xdr:from>
    <xdr:to>
      <xdr:col>22</xdr:col>
      <xdr:colOff>314325</xdr:colOff>
      <xdr:row>146</xdr:row>
      <xdr:rowOff>74002</xdr:rowOff>
    </xdr:to>
    <xdr:sp macro="" textlink="">
      <xdr:nvSpPr>
        <xdr:cNvPr id="3" name="Rectangle 2">
          <a:extLst>
            <a:ext uri="{FF2B5EF4-FFF2-40B4-BE49-F238E27FC236}">
              <a16:creationId xmlns:a16="http://schemas.microsoft.com/office/drawing/2014/main" id="{C9E6A4E2-7E34-4100-9314-C824271B9FA5}"/>
            </a:ext>
          </a:extLst>
        </xdr:cNvPr>
        <xdr:cNvSpPr/>
      </xdr:nvSpPr>
      <xdr:spPr>
        <a:xfrm>
          <a:off x="8110171" y="4894385"/>
          <a:ext cx="7817827" cy="21688425"/>
        </a:xfrm>
        <a:prstGeom prst="rect">
          <a:avLst/>
        </a:prstGeom>
        <a:solidFill>
          <a:srgbClr val="FDFAF5"/>
        </a:solidFill>
        <a:ln>
          <a:solidFill>
            <a:schemeClr val="accent4">
              <a:lumMod val="50000"/>
            </a:schemeClr>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r>
            <a:rPr lang="en-US" sz="1400">
              <a:solidFill>
                <a:srgbClr val="C00000"/>
              </a:solidFill>
              <a:effectLst/>
              <a:latin typeface="+mn-lt"/>
              <a:ea typeface="+mn-ea"/>
              <a:cs typeface="+mn-cs"/>
            </a:rPr>
            <a:t>Very preliminary</a:t>
          </a:r>
          <a:r>
            <a:rPr lang="en-US" sz="1400" baseline="0">
              <a:solidFill>
                <a:srgbClr val="C00000"/>
              </a:solidFill>
              <a:effectLst/>
              <a:latin typeface="+mn-lt"/>
              <a:ea typeface="+mn-ea"/>
              <a:cs typeface="+mn-cs"/>
            </a:rPr>
            <a:t> unofficial draft regulation language</a:t>
          </a:r>
          <a:endParaRPr lang="en-US" sz="1400">
            <a:solidFill>
              <a:srgbClr val="C00000"/>
            </a:solidFill>
            <a:effectLst/>
            <a:latin typeface="+mn-lt"/>
            <a:ea typeface="+mn-ea"/>
            <a:cs typeface="+mn-cs"/>
          </a:endParaRPr>
        </a:p>
        <a:p>
          <a:pPr>
            <a:spcAft>
              <a:spcPts val="600"/>
            </a:spcAft>
          </a:pPr>
          <a:r>
            <a:rPr lang="en-US" sz="1400">
              <a:solidFill>
                <a:sysClr val="windowText" lastClr="000000"/>
              </a:solidFill>
              <a:effectLst/>
              <a:latin typeface="+mn-lt"/>
              <a:ea typeface="+mn-ea"/>
              <a:cs typeface="+mn-cs"/>
            </a:rPr>
            <a:t>§5232</a:t>
          </a:r>
        </a:p>
        <a:p>
          <a:pPr>
            <a:spcAft>
              <a:spcPts val="600"/>
            </a:spcAft>
          </a:pPr>
          <a:r>
            <a:rPr lang="en-US" sz="1400">
              <a:solidFill>
                <a:sysClr val="windowText" lastClr="000000"/>
              </a:solidFill>
              <a:effectLst/>
              <a:latin typeface="+mn-lt"/>
              <a:ea typeface="+mn-ea"/>
              <a:cs typeface="+mn-cs"/>
            </a:rPr>
            <a:t>(g) If two or more Applications are awarded the same total number of points, these Applications will be ranked according to the highest ratio of </a:t>
          </a:r>
          <a:r>
            <a:rPr lang="en-US" sz="1400" b="1">
              <a:solidFill>
                <a:srgbClr val="0070C0"/>
              </a:solidFill>
              <a:effectLst/>
              <a:latin typeface="+mn-lt"/>
              <a:ea typeface="+mn-ea"/>
              <a:cs typeface="+mn-cs"/>
            </a:rPr>
            <a:t>Public Benefits</a:t>
          </a:r>
          <a:r>
            <a:rPr lang="en-US" sz="1400">
              <a:solidFill>
                <a:srgbClr val="0070C0"/>
              </a:solidFill>
              <a:effectLst/>
              <a:latin typeface="+mn-lt"/>
              <a:ea typeface="+mn-ea"/>
              <a:cs typeface="+mn-cs"/>
            </a:rPr>
            <a:t> </a:t>
          </a:r>
          <a:r>
            <a:rPr lang="en-US" sz="1400">
              <a:solidFill>
                <a:sysClr val="windowText" lastClr="000000"/>
              </a:solidFill>
              <a:effectLst/>
              <a:latin typeface="+mn-lt"/>
              <a:ea typeface="+mn-ea"/>
              <a:cs typeface="+mn-cs"/>
            </a:rPr>
            <a:t>to </a:t>
          </a:r>
          <a:r>
            <a:rPr lang="en-US" sz="1400" b="1">
              <a:solidFill>
                <a:schemeClr val="accent6">
                  <a:lumMod val="75000"/>
                </a:schemeClr>
              </a:solidFill>
              <a:effectLst/>
              <a:latin typeface="+mn-lt"/>
              <a:ea typeface="+mn-ea"/>
              <a:cs typeface="+mn-cs"/>
            </a:rPr>
            <a:t>Allocated Resources</a:t>
          </a:r>
          <a:r>
            <a:rPr lang="en-US" sz="1400">
              <a:solidFill>
                <a:sysClr val="windowText" lastClr="000000"/>
              </a:solidFill>
              <a:effectLst/>
              <a:latin typeface="+mn-lt"/>
              <a:ea typeface="+mn-ea"/>
              <a:cs typeface="+mn-cs"/>
            </a:rPr>
            <a:t>.</a:t>
          </a:r>
        </a:p>
        <a:p>
          <a:pPr marL="182880">
            <a:spcAft>
              <a:spcPts val="600"/>
            </a:spcAft>
          </a:pPr>
          <a:r>
            <a:rPr lang="en-US" sz="1400">
              <a:solidFill>
                <a:sysClr val="windowText" lastClr="000000"/>
              </a:solidFill>
              <a:effectLst/>
              <a:latin typeface="+mn-lt"/>
              <a:ea typeface="+mn-ea"/>
              <a:cs typeface="+mn-cs"/>
            </a:rPr>
            <a:t>(1) </a:t>
          </a:r>
          <a:r>
            <a:rPr lang="en-US" sz="1400" b="1">
              <a:solidFill>
                <a:srgbClr val="0070C0"/>
              </a:solidFill>
              <a:effectLst/>
              <a:latin typeface="+mn-lt"/>
              <a:ea typeface="+mn-ea"/>
              <a:cs typeface="+mn-cs"/>
            </a:rPr>
            <a:t>Public Benefits</a:t>
          </a:r>
          <a:r>
            <a:rPr lang="en-US" sz="1400">
              <a:solidFill>
                <a:srgbClr val="0070C0"/>
              </a:solidFill>
              <a:effectLst/>
              <a:latin typeface="+mn-lt"/>
              <a:ea typeface="+mn-ea"/>
              <a:cs typeface="+mn-cs"/>
            </a:rPr>
            <a:t> </a:t>
          </a:r>
          <a:r>
            <a:rPr lang="en-US" sz="1400">
              <a:solidFill>
                <a:sysClr val="windowText" lastClr="000000"/>
              </a:solidFill>
              <a:effectLst/>
              <a:latin typeface="+mn-lt"/>
              <a:ea typeface="+mn-ea"/>
              <a:cs typeface="+mn-cs"/>
            </a:rPr>
            <a:t>shall be the sum of the following benefit measures.</a:t>
          </a:r>
        </a:p>
        <a:p>
          <a:pPr marL="365760">
            <a:spcAft>
              <a:spcPts val="600"/>
            </a:spcAft>
          </a:pPr>
          <a:r>
            <a:rPr lang="en-US" sz="1400">
              <a:solidFill>
                <a:sysClr val="windowText" lastClr="000000"/>
              </a:solidFill>
              <a:effectLst/>
              <a:latin typeface="+mn-lt"/>
              <a:ea typeface="+mn-ea"/>
              <a:cs typeface="+mn-cs"/>
            </a:rPr>
            <a:t>(A) The </a:t>
          </a:r>
          <a:r>
            <a:rPr lang="en-US" sz="1400">
              <a:solidFill>
                <a:srgbClr val="0070C0"/>
              </a:solidFill>
              <a:effectLst/>
              <a:latin typeface="+mn-lt"/>
              <a:ea typeface="+mn-ea"/>
              <a:cs typeface="+mn-cs"/>
            </a:rPr>
            <a:t>Production Benefit Measure </a:t>
          </a:r>
          <a:r>
            <a:rPr lang="en-US" sz="1400">
              <a:solidFill>
                <a:sysClr val="windowText" lastClr="000000"/>
              </a:solidFill>
              <a:effectLst/>
              <a:latin typeface="+mn-lt"/>
              <a:ea typeface="+mn-ea"/>
              <a:cs typeface="+mn-cs"/>
            </a:rPr>
            <a:t>shall be the product of a project’s </a:t>
          </a:r>
          <a:r>
            <a:rPr lang="en-US" sz="1400">
              <a:solidFill>
                <a:srgbClr val="7030A0"/>
              </a:solidFill>
              <a:effectLst/>
              <a:latin typeface="+mn-lt"/>
              <a:ea typeface="+mn-ea"/>
              <a:cs typeface="+mn-cs"/>
            </a:rPr>
            <a:t>Per-Bedroom Adjusted Units </a:t>
          </a:r>
          <a:r>
            <a:rPr lang="en-US" sz="1400">
              <a:solidFill>
                <a:sysClr val="windowText" lastClr="000000"/>
              </a:solidFill>
              <a:effectLst/>
              <a:latin typeface="+mn-lt"/>
              <a:ea typeface="+mn-ea"/>
              <a:cs typeface="+mn-cs"/>
            </a:rPr>
            <a:t>and fifty thousand (50,000).</a:t>
          </a:r>
        </a:p>
        <a:p>
          <a:pPr marL="548640">
            <a:spcAft>
              <a:spcPts val="600"/>
            </a:spcAft>
          </a:pPr>
          <a:r>
            <a:rPr lang="en-US" sz="1400">
              <a:solidFill>
                <a:sysClr val="windowText" lastClr="000000"/>
              </a:solidFill>
              <a:effectLst/>
              <a:latin typeface="+mn-lt"/>
              <a:ea typeface="+mn-ea"/>
              <a:cs typeface="+mn-cs"/>
            </a:rPr>
            <a:t>(i) A project's </a:t>
          </a:r>
          <a:r>
            <a:rPr lang="en-US" sz="1400">
              <a:solidFill>
                <a:srgbClr val="7030A0"/>
              </a:solidFill>
              <a:effectLst/>
              <a:latin typeface="+mn-lt"/>
              <a:ea typeface="+mn-ea"/>
              <a:cs typeface="+mn-cs"/>
            </a:rPr>
            <a:t>Per-Bedroom Adjusted Units </a:t>
          </a:r>
          <a:r>
            <a:rPr lang="en-US" sz="1400">
              <a:solidFill>
                <a:sysClr val="windowText" lastClr="000000"/>
              </a:solidFill>
              <a:effectLst/>
              <a:latin typeface="+mn-lt"/>
              <a:ea typeface="+mn-ea"/>
              <a:cs typeface="+mn-cs"/>
            </a:rPr>
            <a:t>shall be the sum of the resulting products of (a) the quantity of units at each bedroom count and (b) the adjustment factor for that bedroom count as specified in subparagraph (ii), provided the units will be subject to a regulatory agreement for a period of no less than 30 years, which restricts rents and household incomes to no greater than 80% of AMI.</a:t>
          </a:r>
        </a:p>
        <a:p>
          <a:pPr marL="548640">
            <a:spcAft>
              <a:spcPts val="600"/>
            </a:spcAft>
          </a:pPr>
          <a:r>
            <a:rPr lang="en-US" sz="1400">
              <a:solidFill>
                <a:sysClr val="windowText" lastClr="000000"/>
              </a:solidFill>
              <a:effectLst/>
              <a:latin typeface="+mn-lt"/>
              <a:ea typeface="+mn-ea"/>
              <a:cs typeface="+mn-cs"/>
            </a:rPr>
            <a:t>(ii) The adjustment factor shall be:</a:t>
          </a:r>
        </a:p>
        <a:p>
          <a:pPr marL="731520">
            <a:spcAft>
              <a:spcPts val="600"/>
            </a:spcAft>
          </a:pPr>
          <a:r>
            <a:rPr lang="en-US" sz="1400">
              <a:solidFill>
                <a:sysClr val="windowText" lastClr="000000"/>
              </a:solidFill>
              <a:effectLst/>
              <a:latin typeface="+mn-lt"/>
              <a:ea typeface="+mn-ea"/>
              <a:cs typeface="+mn-cs"/>
            </a:rPr>
            <a:t>(a) 0.90 for a studio unit,</a:t>
          </a:r>
        </a:p>
        <a:p>
          <a:pPr marL="731520">
            <a:spcAft>
              <a:spcPts val="600"/>
            </a:spcAft>
          </a:pPr>
          <a:r>
            <a:rPr lang="en-US" sz="1400">
              <a:solidFill>
                <a:sysClr val="windowText" lastClr="000000"/>
              </a:solidFill>
              <a:effectLst/>
              <a:latin typeface="+mn-lt"/>
              <a:ea typeface="+mn-ea"/>
              <a:cs typeface="+mn-cs"/>
            </a:rPr>
            <a:t>(b) 1.00 for a 1-bedroom unit,</a:t>
          </a:r>
        </a:p>
        <a:p>
          <a:pPr marL="731520">
            <a:spcAft>
              <a:spcPts val="600"/>
            </a:spcAft>
          </a:pPr>
          <a:r>
            <a:rPr lang="en-US" sz="1400">
              <a:solidFill>
                <a:sysClr val="windowText" lastClr="000000"/>
              </a:solidFill>
              <a:effectLst/>
              <a:latin typeface="+mn-lt"/>
              <a:ea typeface="+mn-ea"/>
              <a:cs typeface="+mn-cs"/>
            </a:rPr>
            <a:t>(c) 1.25 for a 2-bedroom unit,</a:t>
          </a:r>
        </a:p>
        <a:p>
          <a:pPr marL="731520">
            <a:spcAft>
              <a:spcPts val="600"/>
            </a:spcAft>
          </a:pPr>
          <a:r>
            <a:rPr lang="en-US" sz="1400">
              <a:solidFill>
                <a:sysClr val="windowText" lastClr="000000"/>
              </a:solidFill>
              <a:effectLst/>
              <a:latin typeface="+mn-lt"/>
              <a:ea typeface="+mn-ea"/>
              <a:cs typeface="+mn-cs"/>
            </a:rPr>
            <a:t>(d) 1.50 for a 3-bedroom unit up to no more than 30% of total rental units, with the remaining 3-bedroom units counted as 2-bedroom units, and</a:t>
          </a:r>
        </a:p>
        <a:p>
          <a:pPr marL="731520">
            <a:spcAft>
              <a:spcPts val="600"/>
            </a:spcAft>
          </a:pPr>
          <a:r>
            <a:rPr lang="en-US" sz="1400">
              <a:solidFill>
                <a:sysClr val="windowText" lastClr="000000"/>
              </a:solidFill>
              <a:effectLst/>
              <a:latin typeface="+mn-lt"/>
              <a:ea typeface="+mn-ea"/>
              <a:cs typeface="+mn-cs"/>
            </a:rPr>
            <a:t>(e) 1.75 for a 4-bedroom unit up to no more than 10% of total rental units, with the remaining 4-bedroom units counted as 2-bedroom units.</a:t>
          </a:r>
        </a:p>
        <a:p>
          <a:pPr marL="365760">
            <a:spcAft>
              <a:spcPts val="600"/>
            </a:spcAft>
          </a:pPr>
          <a:r>
            <a:rPr lang="en-US" sz="1400">
              <a:solidFill>
                <a:sysClr val="windowText" lastClr="000000"/>
              </a:solidFill>
              <a:effectLst/>
              <a:latin typeface="+mn-lt"/>
              <a:ea typeface="+mn-ea"/>
              <a:cs typeface="+mn-cs"/>
            </a:rPr>
            <a:t>(B) The </a:t>
          </a:r>
          <a:r>
            <a:rPr lang="en-US" sz="1400">
              <a:solidFill>
                <a:srgbClr val="0070C0"/>
              </a:solidFill>
              <a:effectLst/>
              <a:latin typeface="+mn-lt"/>
              <a:ea typeface="+mn-ea"/>
              <a:cs typeface="+mn-cs"/>
            </a:rPr>
            <a:t>Rent Savings Benefit Measure </a:t>
          </a:r>
          <a:r>
            <a:rPr lang="en-US" sz="1400">
              <a:solidFill>
                <a:sysClr val="windowText" lastClr="000000"/>
              </a:solidFill>
              <a:effectLst/>
              <a:latin typeface="+mn-lt"/>
              <a:ea typeface="+mn-ea"/>
              <a:cs typeface="+mn-cs"/>
            </a:rPr>
            <a:t>shall be the lesser of the project’s Total Rent Savings and the project’s Total Rent Savings Maximum.</a:t>
          </a:r>
        </a:p>
        <a:p>
          <a:pPr marL="548640">
            <a:spcAft>
              <a:spcPts val="600"/>
            </a:spcAft>
          </a:pPr>
          <a:r>
            <a:rPr lang="en-US" sz="1400">
              <a:solidFill>
                <a:sysClr val="windowText" lastClr="000000"/>
              </a:solidFill>
              <a:effectLst/>
              <a:latin typeface="+mn-lt"/>
              <a:ea typeface="+mn-ea"/>
              <a:cs typeface="+mn-cs"/>
            </a:rPr>
            <a:t>(i) A project's Total Rent Savings shall be the sum of the Rent Savings for each unit meeting the requirements of 5231(g)(1)(A)(i). </a:t>
          </a:r>
        </a:p>
        <a:p>
          <a:pPr marL="548640">
            <a:spcAft>
              <a:spcPts val="600"/>
            </a:spcAft>
          </a:pPr>
          <a:r>
            <a:rPr lang="en-US" sz="1400">
              <a:solidFill>
                <a:sysClr val="windowText" lastClr="000000"/>
              </a:solidFill>
              <a:effectLst/>
              <a:latin typeface="+mn-lt"/>
              <a:ea typeface="+mn-ea"/>
              <a:cs typeface="+mn-cs"/>
            </a:rPr>
            <a:t>(ii) A unit’s Rent Savings shall be the product of (a) fifteen, (b) twelve, and (c) the difference between (1) the county fair market rent for the unit’s bedroom count and (2) the gross rent limit for the unit’s regulated percentage of AMI, which shall be counted as no less than 20% and expressed in a multiple of five percent (5%).</a:t>
          </a:r>
        </a:p>
        <a:p>
          <a:pPr marL="548640">
            <a:spcAft>
              <a:spcPts val="600"/>
            </a:spcAft>
          </a:pPr>
          <a:r>
            <a:rPr lang="en-US" sz="1400">
              <a:solidFill>
                <a:sysClr val="windowText" lastClr="000000"/>
              </a:solidFill>
              <a:effectLst/>
              <a:latin typeface="+mn-lt"/>
              <a:ea typeface="+mn-ea"/>
              <a:cs typeface="+mn-cs"/>
            </a:rPr>
            <a:t>(iii) A project’s Total Rent Savings Maximum shall be the sum of the Rent Savings Maximum for each unit meeting the requirements of 5231(g)(1)(A)(i).</a:t>
          </a:r>
        </a:p>
        <a:p>
          <a:pPr marL="548640">
            <a:spcAft>
              <a:spcPts val="600"/>
            </a:spcAft>
          </a:pPr>
          <a:r>
            <a:rPr lang="en-US" sz="1400">
              <a:solidFill>
                <a:sysClr val="windowText" lastClr="000000"/>
              </a:solidFill>
              <a:effectLst/>
              <a:latin typeface="+mn-lt"/>
              <a:ea typeface="+mn-ea"/>
              <a:cs typeface="+mn-cs"/>
            </a:rPr>
            <a:t>(iv) A unit’s Rent Savings Maximum shall be the product of (a) fifteen, (b) twelve, and (c) the difference between (1) the county fair market rent for the unit’s bedroom count and (2) the gross rent limit for the unit as if restricted at 40% of AMI, except that units restricted at 30% AMI or less that are supported by a Project-Based Voucher, which shall be committed at the time of application, shall use a gross rent limit for the unit as if restricted at 30% of AMI.</a:t>
          </a:r>
        </a:p>
        <a:p>
          <a:pPr marL="365760">
            <a:spcAft>
              <a:spcPts val="600"/>
            </a:spcAft>
          </a:pPr>
          <a:r>
            <a:rPr lang="en-US" sz="1400">
              <a:solidFill>
                <a:sysClr val="windowText" lastClr="000000"/>
              </a:solidFill>
              <a:effectLst/>
              <a:latin typeface="+mn-lt"/>
              <a:ea typeface="+mn-ea"/>
              <a:cs typeface="+mn-cs"/>
            </a:rPr>
            <a:t>(C) The </a:t>
          </a:r>
          <a:r>
            <a:rPr lang="en-US" sz="1400">
              <a:solidFill>
                <a:srgbClr val="0070C0"/>
              </a:solidFill>
              <a:effectLst/>
              <a:latin typeface="+mn-lt"/>
              <a:ea typeface="+mn-ea"/>
              <a:cs typeface="+mn-cs"/>
            </a:rPr>
            <a:t>Population Benefit Measure </a:t>
          </a:r>
          <a:r>
            <a:rPr lang="en-US" sz="1400">
              <a:solidFill>
                <a:sysClr val="windowText" lastClr="000000"/>
              </a:solidFill>
              <a:effectLst/>
              <a:latin typeface="+mn-lt"/>
              <a:ea typeface="+mn-ea"/>
              <a:cs typeface="+mn-cs"/>
            </a:rPr>
            <a:t>shall be the product of ten thousand (10,000) and a project’s units that either (i) are reserved for households with special needs, (ii) will be rented with a veterans preference, or (iii) are operated as permanent supportive housing for homeless households, which in total shall not exceed 50% of the units meeting the requirements of 5231(g)(1)(A)(i).</a:t>
          </a:r>
        </a:p>
        <a:p>
          <a:pPr marL="365760">
            <a:spcAft>
              <a:spcPts val="600"/>
            </a:spcAft>
          </a:pPr>
          <a:r>
            <a:rPr lang="en-US" sz="1400">
              <a:solidFill>
                <a:sysClr val="windowText" lastClr="000000"/>
              </a:solidFill>
              <a:effectLst/>
              <a:latin typeface="+mn-lt"/>
              <a:ea typeface="+mn-ea"/>
              <a:cs typeface="+mn-cs"/>
            </a:rPr>
            <a:t>(D) The </a:t>
          </a:r>
          <a:r>
            <a:rPr lang="en-US" sz="1400">
              <a:solidFill>
                <a:srgbClr val="0070C0"/>
              </a:solidFill>
              <a:effectLst/>
              <a:latin typeface="+mn-lt"/>
              <a:ea typeface="+mn-ea"/>
              <a:cs typeface="+mn-cs"/>
            </a:rPr>
            <a:t>Location Benefit Measure </a:t>
          </a:r>
          <a:r>
            <a:rPr lang="en-US" sz="1400">
              <a:solidFill>
                <a:sysClr val="windowText" lastClr="000000"/>
              </a:solidFill>
              <a:effectLst/>
              <a:latin typeface="+mn-lt"/>
              <a:ea typeface="+mn-ea"/>
              <a:cs typeface="+mn-cs"/>
            </a:rPr>
            <a:t>shall be the sum of the following sub-measures:</a:t>
          </a:r>
        </a:p>
        <a:p>
          <a:pPr marL="548640">
            <a:spcAft>
              <a:spcPts val="600"/>
            </a:spcAft>
          </a:pPr>
          <a:r>
            <a:rPr lang="en-US" sz="1400">
              <a:solidFill>
                <a:sysClr val="windowText" lastClr="000000"/>
              </a:solidFill>
              <a:effectLst/>
              <a:latin typeface="+mn-lt"/>
              <a:ea typeface="+mn-ea"/>
              <a:cs typeface="+mn-cs"/>
            </a:rPr>
            <a:t>(i) The </a:t>
          </a:r>
          <a:r>
            <a:rPr lang="en-US" sz="1400">
              <a:solidFill>
                <a:schemeClr val="accent5">
                  <a:lumMod val="50000"/>
                </a:schemeClr>
              </a:solidFill>
              <a:effectLst/>
              <a:latin typeface="+mn-lt"/>
              <a:ea typeface="+mn-ea"/>
              <a:cs typeface="+mn-cs"/>
            </a:rPr>
            <a:t>Area Sub-Measure </a:t>
          </a:r>
          <a:r>
            <a:rPr lang="en-US" sz="1400">
              <a:solidFill>
                <a:sysClr val="windowText" lastClr="000000"/>
              </a:solidFill>
              <a:effectLst/>
              <a:latin typeface="+mn-lt"/>
              <a:ea typeface="+mn-ea"/>
              <a:cs typeface="+mn-cs"/>
            </a:rPr>
            <a:t>shall be the product of the project’s </a:t>
          </a:r>
          <a:r>
            <a:rPr lang="en-US" sz="1400">
              <a:solidFill>
                <a:srgbClr val="7030A0"/>
              </a:solidFill>
              <a:effectLst/>
              <a:latin typeface="+mn-lt"/>
              <a:ea typeface="+mn-ea"/>
              <a:cs typeface="+mn-cs"/>
            </a:rPr>
            <a:t>Per-Bedroom Adjusted Units </a:t>
          </a:r>
          <a:r>
            <a:rPr lang="en-US" sz="1400">
              <a:solidFill>
                <a:sysClr val="windowText" lastClr="000000"/>
              </a:solidFill>
              <a:effectLst/>
              <a:latin typeface="+mn-lt"/>
              <a:ea typeface="+mn-ea"/>
              <a:cs typeface="+mn-cs"/>
            </a:rPr>
            <a:t>and the greater of:</a:t>
          </a:r>
        </a:p>
        <a:p>
          <a:pPr marL="731520">
            <a:spcAft>
              <a:spcPts val="600"/>
            </a:spcAft>
          </a:pPr>
          <a:r>
            <a:rPr lang="en-US" sz="1400">
              <a:solidFill>
                <a:sysClr val="windowText" lastClr="000000"/>
              </a:solidFill>
              <a:effectLst/>
              <a:latin typeface="+mn-lt"/>
              <a:ea typeface="+mn-ea"/>
              <a:cs typeface="+mn-cs"/>
            </a:rPr>
            <a:t>(a) thirty thousand (30,000) if the project is located in a Highest Resource Area as specified on the CTCAC/HCD Opportunity Area Map, provided:</a:t>
          </a:r>
        </a:p>
        <a:p>
          <a:pPr marL="914400">
            <a:spcAft>
              <a:spcPts val="600"/>
            </a:spcAft>
          </a:pPr>
          <a:r>
            <a:rPr lang="en-US" sz="1400">
              <a:solidFill>
                <a:sysClr val="windowText" lastClr="000000"/>
              </a:solidFill>
              <a:effectLst/>
              <a:latin typeface="+mn-lt"/>
              <a:ea typeface="+mn-ea"/>
              <a:cs typeface="+mn-cs"/>
            </a:rPr>
            <a:t>(1) the project earns ten (10) points in 5230(g)(1) for meeting the Additional Threshold Requirements of 10325(g)(1) pertaining to the Large Family housing type or 10325(g)(3) pertaining to the Special Needs housing type,</a:t>
          </a:r>
        </a:p>
        <a:p>
          <a:pPr marL="731520">
            <a:spcAft>
              <a:spcPts val="600"/>
            </a:spcAft>
          </a:pPr>
          <a:r>
            <a:rPr lang="en-US" sz="1400">
              <a:solidFill>
                <a:sysClr val="windowText" lastClr="000000"/>
              </a:solidFill>
              <a:effectLst/>
              <a:latin typeface="+mn-lt"/>
              <a:ea typeface="+mn-ea"/>
              <a:cs typeface="+mn-cs"/>
            </a:rPr>
            <a:t>(b) twenty thousand (20,000) if the project is located in a High Resource Area as specified on the CTCAC/HCD Opportunity Area Map, provided it meets the requirements of 5231(g)(1)(D)(i)(a)(1),</a:t>
          </a:r>
        </a:p>
        <a:p>
          <a:pPr marL="731520">
            <a:spcAft>
              <a:spcPts val="600"/>
            </a:spcAft>
          </a:pPr>
          <a:r>
            <a:rPr lang="en-US" sz="1400">
              <a:solidFill>
                <a:sysClr val="windowText" lastClr="000000"/>
              </a:solidFill>
              <a:effectLst/>
              <a:latin typeface="+mn-lt"/>
              <a:ea typeface="+mn-ea"/>
              <a:cs typeface="+mn-cs"/>
            </a:rPr>
            <a:t>(c) ten thousand (10,000) if the project is located in a Moderate Resource Area as specified on the CTCAC/HCD Opportunity Area, provided it meets the requirements of 5231(g)(1)(D)(i)(a)(1), and</a:t>
          </a:r>
        </a:p>
        <a:p>
          <a:pPr marL="731520">
            <a:spcAft>
              <a:spcPts val="600"/>
            </a:spcAft>
          </a:pPr>
          <a:r>
            <a:rPr lang="en-US" sz="1400">
              <a:solidFill>
                <a:sysClr val="windowText" lastClr="000000"/>
              </a:solidFill>
              <a:effectLst/>
              <a:latin typeface="+mn-lt"/>
              <a:ea typeface="+mn-ea"/>
              <a:cs typeface="+mn-cs"/>
            </a:rPr>
            <a:t>(d) twenty thousand (20,000) if the project is located in a Community Revitalization Area.</a:t>
          </a:r>
        </a:p>
        <a:p>
          <a:pPr marL="548640">
            <a:spcAft>
              <a:spcPts val="600"/>
            </a:spcAft>
          </a:pPr>
          <a:r>
            <a:rPr lang="en-US" sz="1400">
              <a:solidFill>
                <a:sysClr val="windowText" lastClr="000000"/>
              </a:solidFill>
              <a:effectLst/>
              <a:latin typeface="+mn-lt"/>
              <a:ea typeface="+mn-ea"/>
              <a:cs typeface="+mn-cs"/>
            </a:rPr>
            <a:t>(ii) The </a:t>
          </a:r>
          <a:r>
            <a:rPr lang="en-US" sz="1400">
              <a:solidFill>
                <a:schemeClr val="accent5">
                  <a:lumMod val="50000"/>
                </a:schemeClr>
              </a:solidFill>
              <a:effectLst/>
              <a:latin typeface="+mn-lt"/>
              <a:ea typeface="+mn-ea"/>
              <a:cs typeface="+mn-cs"/>
            </a:rPr>
            <a:t>TOD Sub-Measure </a:t>
          </a:r>
          <a:r>
            <a:rPr lang="en-US" sz="1400">
              <a:solidFill>
                <a:sysClr val="windowText" lastClr="000000"/>
              </a:solidFill>
              <a:effectLst/>
              <a:latin typeface="+mn-lt"/>
              <a:ea typeface="+mn-ea"/>
              <a:cs typeface="+mn-cs"/>
            </a:rPr>
            <a:t>shall be the product of (a) four thousand (4,000), (b) the amount of points the project qualifies for under 10325(c)(4)(A)(i) paragraphs 1-5 Transit Amenities, the options of which are not cumulative, and (c) the project’s </a:t>
          </a:r>
          <a:r>
            <a:rPr lang="en-US" sz="1400">
              <a:solidFill>
                <a:srgbClr val="7030A0"/>
              </a:solidFill>
              <a:effectLst/>
              <a:latin typeface="+mn-lt"/>
              <a:ea typeface="+mn-ea"/>
              <a:cs typeface="+mn-cs"/>
            </a:rPr>
            <a:t>Per-Bedroom Adjusted Units</a:t>
          </a:r>
          <a:r>
            <a:rPr lang="en-US" sz="1400">
              <a:solidFill>
                <a:sysClr val="windowText" lastClr="000000"/>
              </a:solidFill>
              <a:effectLst/>
              <a:latin typeface="+mn-lt"/>
              <a:ea typeface="+mn-ea"/>
              <a:cs typeface="+mn-cs"/>
            </a:rPr>
            <a:t>.</a:t>
          </a:r>
        </a:p>
        <a:p>
          <a:pPr marL="548640">
            <a:spcAft>
              <a:spcPts val="600"/>
            </a:spcAft>
          </a:pPr>
          <a:r>
            <a:rPr lang="en-US" sz="1400">
              <a:solidFill>
                <a:sysClr val="windowText" lastClr="000000"/>
              </a:solidFill>
              <a:effectLst/>
              <a:latin typeface="+mn-lt"/>
              <a:ea typeface="+mn-ea"/>
              <a:cs typeface="+mn-cs"/>
            </a:rPr>
            <a:t>(iii) A project’s </a:t>
          </a:r>
          <a:r>
            <a:rPr lang="en-US" sz="1400">
              <a:solidFill>
                <a:schemeClr val="accent5">
                  <a:lumMod val="50000"/>
                </a:schemeClr>
              </a:solidFill>
              <a:effectLst/>
              <a:latin typeface="+mn-lt"/>
              <a:ea typeface="+mn-ea"/>
              <a:cs typeface="+mn-cs"/>
            </a:rPr>
            <a:t>High-Quality Transit Sub-Measure </a:t>
          </a:r>
          <a:r>
            <a:rPr lang="en-US" sz="1400">
              <a:solidFill>
                <a:sysClr val="windowText" lastClr="000000"/>
              </a:solidFill>
              <a:effectLst/>
              <a:latin typeface="+mn-lt"/>
              <a:ea typeface="+mn-ea"/>
              <a:cs typeface="+mn-cs"/>
            </a:rPr>
            <a:t>shall be the product of twenty-five thousand (25,000) and the project’s </a:t>
          </a:r>
          <a:r>
            <a:rPr lang="en-US" sz="1400">
              <a:solidFill>
                <a:srgbClr val="7030A0"/>
              </a:solidFill>
              <a:effectLst/>
              <a:latin typeface="+mn-lt"/>
              <a:ea typeface="+mn-ea"/>
              <a:cs typeface="+mn-cs"/>
            </a:rPr>
            <a:t>Per-Bedroom Adjusted Units</a:t>
          </a:r>
          <a:r>
            <a:rPr lang="en-US" sz="1400">
              <a:solidFill>
                <a:sysClr val="windowText" lastClr="000000"/>
              </a:solidFill>
              <a:effectLst/>
              <a:latin typeface="+mn-lt"/>
              <a:ea typeface="+mn-ea"/>
              <a:cs typeface="+mn-cs"/>
            </a:rPr>
            <a:t>, provided the project:</a:t>
          </a:r>
        </a:p>
        <a:p>
          <a:pPr marL="731520">
            <a:spcAft>
              <a:spcPts val="600"/>
            </a:spcAft>
          </a:pPr>
          <a:r>
            <a:rPr lang="en-US" sz="1400">
              <a:solidFill>
                <a:sysClr val="windowText" lastClr="000000"/>
              </a:solidFill>
              <a:effectLst/>
              <a:latin typeface="+mn-lt"/>
              <a:ea typeface="+mn-ea"/>
              <a:cs typeface="+mn-cs"/>
            </a:rPr>
            <a:t>(a) is within one quarter (1/4) mile of high-speed transit or</a:t>
          </a:r>
        </a:p>
        <a:p>
          <a:pPr marL="731520">
            <a:spcAft>
              <a:spcPts val="600"/>
            </a:spcAft>
          </a:pPr>
          <a:r>
            <a:rPr lang="en-US" sz="1400">
              <a:solidFill>
                <a:sysClr val="windowText" lastClr="000000"/>
              </a:solidFill>
              <a:effectLst/>
              <a:latin typeface="+mn-lt"/>
              <a:ea typeface="+mn-ea"/>
              <a:cs typeface="+mn-cs"/>
            </a:rPr>
            <a:t>(b) has received an award of no less than one million dollars ($1,000,000) of either TOD or AHSC funding from the California department of Housing and Community Development.</a:t>
          </a:r>
        </a:p>
        <a:p>
          <a:pPr marL="548640">
            <a:spcAft>
              <a:spcPts val="600"/>
            </a:spcAft>
          </a:pPr>
          <a:r>
            <a:rPr lang="en-US" sz="1400">
              <a:solidFill>
                <a:sysClr val="windowText" lastClr="000000"/>
              </a:solidFill>
              <a:effectLst/>
              <a:latin typeface="+mn-lt"/>
              <a:ea typeface="+mn-ea"/>
              <a:cs typeface="+mn-cs"/>
            </a:rPr>
            <a:t>(iv) A project’s </a:t>
          </a:r>
          <a:r>
            <a:rPr lang="en-US" sz="1400">
              <a:solidFill>
                <a:schemeClr val="accent5">
                  <a:lumMod val="50000"/>
                </a:schemeClr>
              </a:solidFill>
              <a:effectLst/>
              <a:latin typeface="+mn-lt"/>
              <a:ea typeface="+mn-ea"/>
              <a:cs typeface="+mn-cs"/>
            </a:rPr>
            <a:t>Walkability Sub-Measure </a:t>
          </a:r>
          <a:r>
            <a:rPr lang="en-US" sz="1400">
              <a:solidFill>
                <a:sysClr val="windowText" lastClr="000000"/>
              </a:solidFill>
              <a:effectLst/>
              <a:latin typeface="+mn-lt"/>
              <a:ea typeface="+mn-ea"/>
              <a:cs typeface="+mn-cs"/>
            </a:rPr>
            <a:t>shall be the product of (a) four thousand (4,000), (b) the amount of amenities described in 10325(c)(4)(A)(ii) through (ix) for which the project qualifies for the greatest available points by virtue of being within the amenity’s smallest applicable distance, and (c) the project’s </a:t>
          </a:r>
          <a:r>
            <a:rPr lang="en-US" sz="1400">
              <a:solidFill>
                <a:srgbClr val="7030A0"/>
              </a:solidFill>
              <a:effectLst/>
              <a:latin typeface="+mn-lt"/>
              <a:ea typeface="+mn-ea"/>
              <a:cs typeface="+mn-cs"/>
            </a:rPr>
            <a:t>Per-Bedroom Adjusted Units</a:t>
          </a:r>
          <a:r>
            <a:rPr lang="en-US" sz="1400">
              <a:solidFill>
                <a:sysClr val="windowText" lastClr="000000"/>
              </a:solidFill>
              <a:effectLst/>
              <a:latin typeface="+mn-lt"/>
              <a:ea typeface="+mn-ea"/>
              <a:cs typeface="+mn-cs"/>
            </a:rPr>
            <a:t>.</a:t>
          </a:r>
        </a:p>
        <a:p>
          <a:pPr marL="182880">
            <a:spcAft>
              <a:spcPts val="600"/>
            </a:spcAft>
          </a:pPr>
          <a:r>
            <a:rPr lang="en-US" sz="1400">
              <a:solidFill>
                <a:sysClr val="windowText" lastClr="000000"/>
              </a:solidFill>
              <a:effectLst/>
              <a:latin typeface="+mn-lt"/>
              <a:ea typeface="+mn-ea"/>
              <a:cs typeface="+mn-cs"/>
            </a:rPr>
            <a:t>(2) </a:t>
          </a:r>
          <a:r>
            <a:rPr lang="en-US" sz="1400" b="1">
              <a:solidFill>
                <a:schemeClr val="accent6">
                  <a:lumMod val="50000"/>
                </a:schemeClr>
              </a:solidFill>
              <a:effectLst/>
              <a:latin typeface="+mn-lt"/>
              <a:ea typeface="+mn-ea"/>
              <a:cs typeface="+mn-cs"/>
            </a:rPr>
            <a:t>Allocated Resources</a:t>
          </a:r>
          <a:r>
            <a:rPr lang="en-US" sz="1400">
              <a:solidFill>
                <a:schemeClr val="accent6">
                  <a:lumMod val="50000"/>
                </a:schemeClr>
              </a:solidFill>
              <a:effectLst/>
              <a:latin typeface="+mn-lt"/>
              <a:ea typeface="+mn-ea"/>
              <a:cs typeface="+mn-cs"/>
            </a:rPr>
            <a:t> </a:t>
          </a:r>
          <a:r>
            <a:rPr lang="en-US" sz="1400">
              <a:solidFill>
                <a:sysClr val="windowText" lastClr="000000"/>
              </a:solidFill>
              <a:effectLst/>
              <a:latin typeface="+mn-lt"/>
              <a:ea typeface="+mn-ea"/>
              <a:cs typeface="+mn-cs"/>
            </a:rPr>
            <a:t>shall be the product of (i) the sum of the project’s (a) tax-exempt bond request and (b) state tax credit request, and (ii) a project’s Resource Discount Factor.</a:t>
          </a:r>
        </a:p>
        <a:p>
          <a:pPr marL="365760">
            <a:spcAft>
              <a:spcPts val="600"/>
            </a:spcAft>
          </a:pPr>
          <a:r>
            <a:rPr lang="en-US" sz="1400">
              <a:solidFill>
                <a:sysClr val="windowText" lastClr="000000"/>
              </a:solidFill>
              <a:effectLst/>
              <a:latin typeface="+mn-lt"/>
              <a:ea typeface="+mn-ea"/>
              <a:cs typeface="+mn-cs"/>
            </a:rPr>
            <a:t>(A) The Resource Discount Factor shall be the sum of:</a:t>
          </a:r>
        </a:p>
        <a:p>
          <a:pPr marL="548640">
            <a:spcBef>
              <a:spcPts val="0"/>
            </a:spcBef>
            <a:spcAft>
              <a:spcPts val="600"/>
            </a:spcAft>
          </a:pPr>
          <a:r>
            <a:rPr lang="en-US" sz="1400">
              <a:solidFill>
                <a:sysClr val="windowText" lastClr="000000"/>
              </a:solidFill>
              <a:effectLst/>
              <a:latin typeface="+mn-lt"/>
              <a:ea typeface="+mn-ea"/>
              <a:cs typeface="+mn-cs"/>
            </a:rPr>
            <a:t>(i) One hundred percent (100%),</a:t>
          </a:r>
        </a:p>
        <a:p>
          <a:pPr marL="548640">
            <a:spcBef>
              <a:spcPts val="0"/>
            </a:spcBef>
            <a:spcAft>
              <a:spcPts val="600"/>
            </a:spcAft>
          </a:pPr>
          <a:r>
            <a:rPr lang="en-US" sz="1400">
              <a:solidFill>
                <a:sysClr val="windowText" lastClr="000000"/>
              </a:solidFill>
              <a:effectLst/>
              <a:latin typeface="+mn-lt"/>
              <a:ea typeface="+mn-ea"/>
              <a:cs typeface="+mn-cs"/>
            </a:rPr>
            <a:t>(ii) Negative fifteen percent (-15%) if the project is eligible for the prevailing wage threshold basis limit increase provided in 10327(c)(5)(A) paragraph 2,</a:t>
          </a:r>
        </a:p>
        <a:p>
          <a:pPr marL="548640">
            <a:spcBef>
              <a:spcPts val="0"/>
            </a:spcBef>
            <a:spcAft>
              <a:spcPts val="600"/>
            </a:spcAft>
          </a:pPr>
          <a:r>
            <a:rPr lang="en-US" sz="1400">
              <a:solidFill>
                <a:sysClr val="windowText" lastClr="000000"/>
              </a:solidFill>
              <a:effectLst/>
              <a:latin typeface="+mn-lt"/>
              <a:ea typeface="+mn-ea"/>
              <a:cs typeface="+mn-cs"/>
            </a:rPr>
            <a:t>(iii) Negative ten percent (-10%) if the project is eligible for the Type I construction threshold basis limit increase provided in 10327(c)(5)(A) paragraph 7,</a:t>
          </a:r>
        </a:p>
        <a:p>
          <a:pPr marL="548640">
            <a:spcBef>
              <a:spcPts val="0"/>
            </a:spcBef>
            <a:spcAft>
              <a:spcPts val="600"/>
            </a:spcAft>
          </a:pPr>
          <a:r>
            <a:rPr lang="en-US" sz="1400">
              <a:solidFill>
                <a:sysClr val="windowText" lastClr="000000"/>
              </a:solidFill>
              <a:effectLst/>
              <a:latin typeface="+mn-lt"/>
              <a:ea typeface="+mn-ea"/>
              <a:cs typeface="+mn-cs"/>
            </a:rPr>
            <a:t>(iv) Negative five percent (-5%) if not eligible for the threshold basis limit increase provided in 10327(c)(5)(A) paragraph 7, but instead eligible for the Type III construction threshold basis limit increase provided in 10327(c)(5)(A) paragraph 8, and </a:t>
          </a:r>
        </a:p>
        <a:p>
          <a:pPr marL="548640">
            <a:spcBef>
              <a:spcPts val="0"/>
            </a:spcBef>
            <a:spcAft>
              <a:spcPts val="600"/>
            </a:spcAft>
          </a:pPr>
          <a:r>
            <a:rPr lang="en-US" sz="1400">
              <a:solidFill>
                <a:sysClr val="windowText" lastClr="000000"/>
              </a:solidFill>
              <a:effectLst/>
              <a:latin typeface="+mn-lt"/>
              <a:ea typeface="+mn-ea"/>
              <a:cs typeface="+mn-cs"/>
            </a:rPr>
            <a:t>(v) A negative or positive percentage equal to the product of (a) 25% and (b) the quotient of (1) the median two-bedroom 4% tax credit threshold basis limit of all counties in the state minus the two-bedroom 4% tax credit threshold basis limit for the project’s county, and (2) the median two-bedroom 4% tax credit threshold basis limit of all counties in the state.</a:t>
          </a:r>
        </a:p>
        <a:p>
          <a:pPr marL="731520">
            <a:spcBef>
              <a:spcPts val="0"/>
            </a:spcBef>
            <a:spcAft>
              <a:spcPts val="600"/>
            </a:spcAft>
          </a:pPr>
          <a:r>
            <a:rPr lang="en-US" sz="1400">
              <a:solidFill>
                <a:sysClr val="windowText" lastClr="000000"/>
              </a:solidFill>
              <a:effectLst/>
              <a:latin typeface="+mn-lt"/>
              <a:ea typeface="+mn-ea"/>
              <a:cs typeface="+mn-cs"/>
            </a:rPr>
            <a:t>(a) At least ten days prior to the first application deadline of each calendar year, the Committee shall publish the threshold basis limits for each county in the state as determined by CTCAC pursuant to Section 10302(vv) of the CTCAC regulations.</a:t>
          </a:r>
        </a:p>
        <a:p>
          <a:pPr algn="l"/>
          <a:endParaRPr lang="en-US" sz="1400">
            <a:solidFill>
              <a:sysClr val="windowText" lastClr="000000"/>
            </a:solidFill>
          </a:endParaRPr>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9911EB8-CEF2-45D4-9E75-774329A529F5}" name="Units" displayName="Units" ref="A2:R57" totalsRowShown="0" headerRowDxfId="31">
  <autoFilter ref="A2:R57" xr:uid="{79911EB8-CEF2-45D4-9E75-774329A529F5}">
    <filterColumn colId="0" hiddenButton="1"/>
    <filterColumn colId="1" hiddenButton="1"/>
    <filterColumn colId="2" hiddenButton="1"/>
    <filterColumn colId="3" hiddenButton="1"/>
    <filterColumn colId="4" hiddenButton="1"/>
    <filterColumn colId="5" hiddenButton="1"/>
    <filterColumn colId="6" hiddenButton="1"/>
    <filterColumn colId="7" hiddenButton="1"/>
    <filterColumn colId="8" hiddenButton="1"/>
    <filterColumn colId="9" hiddenButton="1"/>
    <filterColumn colId="10" hiddenButton="1"/>
    <filterColumn colId="11" hiddenButton="1"/>
    <filterColumn colId="12" hiddenButton="1"/>
    <filterColumn colId="13" hiddenButton="1"/>
    <filterColumn colId="14" hiddenButton="1"/>
    <filterColumn colId="15" hiddenButton="1"/>
    <filterColumn colId="16" hiddenButton="1"/>
    <filterColumn colId="17" hiddenButton="1"/>
  </autoFilter>
  <tableColumns count="18">
    <tableColumn id="1" xr3:uid="{F7177E95-50AD-48F6-8070-28D56CCBE69F}" name="Project" dataDxfId="30"/>
    <tableColumn id="2" xr3:uid="{22BE572A-3237-4FB5-852A-A5CE95DDE84E}" name="Quantity" dataDxfId="29"/>
    <tableColumn id="3" xr3:uid="{5B252C42-4D71-4297-B4E8-853B6655DFB1}" name="Bedrooms" dataDxfId="28"/>
    <tableColumn id="4" xr3:uid="{D882AAC6-3678-40C0-839B-137DD338B234}" name="AMI" dataDxfId="27" dataCellStyle="Percent"/>
    <tableColumn id="9" xr3:uid="{95A5223D-C818-40B1-AE16-9E07CFE713CC}" name="PBV Units" dataDxfId="26" dataCellStyle="Percent"/>
    <tableColumn id="5" xr3:uid="{E3281096-E522-474C-9860-87D36503CB79}" name="Special Needs" dataDxfId="25"/>
    <tableColumn id="6" xr3:uid="{52BBE62D-D4D4-48D5-89CB-B93021C7C7B3}" name="Veterans" dataDxfId="24"/>
    <tableColumn id="7" xr3:uid="{7AE19F6E-B4D7-4391-A24F-39ABD9D74BC3}" name="Homeless" dataDxfId="23"/>
    <tableColumn id="8" xr3:uid="{7D0112ED-59EB-4191-B432-1F827C4D150F}" name="ELI" dataDxfId="22">
      <calculatedColumnFormula>Units[[#This Row],[Quantity]]*(Units[[#This Row],[Min Inputs]])*(Units[[#This Row],[AMI]]&lt;=30%)</calculatedColumnFormula>
    </tableColumn>
    <tableColumn id="10" xr3:uid="{DE2EABA2-AC76-44EC-8F3E-C0565D151727}" name="Special Population" dataDxfId="21">
      <calculatedColumnFormula>IF(OR(Units[[#This Row],[Special Needs]]=TRUE,Units[[#This Row],[Veterans]]=TRUE,Units[[#This Row],[Homeless]]=TRUE),TRUE,"")</calculatedColumnFormula>
    </tableColumn>
    <tableColumn id="14" xr3:uid="{FE45F328-2023-49DE-8435-0B239B203DA7}" name="Rent Limit" dataDxfId="20" dataCellStyle="Comma">
      <calculatedColumnFormula array="1">IF(Units[[#This Row],[Min Inputs]],INDEX(DataAmi,INDEX(ListCountyRows,Units[[#This Row],[Project]]),MIN(Units[[#This Row],[Bedrooms]]+1,5))*Units[[#This Row],[AMI]]/12*30%,"")</calculatedColumnFormula>
    </tableColumn>
    <tableColumn id="15" xr3:uid="{E9012201-5F12-400A-91DC-17EA5045F8FA}" name="Fair Market Rent" dataDxfId="19" dataCellStyle="Comma">
      <calculatedColumnFormula array="1">IF(Units[[#This Row],[Min Inputs]],INDEX(DataFmr,INDEX(ListCountyRows,Units[[#This Row],[Project]]),MIN(Units[[#This Row],[Bedrooms]]+1,5)),"")</calculatedColumnFormula>
    </tableColumn>
    <tableColumn id="11" xr3:uid="{B4367F69-C87C-46A8-8598-ACE18F98C923}" name="Rent Savings" dataDxfId="18" dataCellStyle="Comma">
      <calculatedColumnFormula>IF(Units[[#This Row],[Min Inputs]],IFERROR(Units[[#This Row],[Fair Market Rent]]-Units[[#This Row],[Rent Limit]],""),"")</calculatedColumnFormula>
    </tableColumn>
    <tableColumn id="16" xr3:uid="{9E55EA70-6AAA-4B7B-B234-5EB14F3FAB92}" name="RS * Q" dataDxfId="17" dataCellStyle="Comma">
      <calculatedColumnFormula>IFERROR(Units[[#This Row],[Rent Savings]]*Units[[#This Row],[Quantity]],"")</calculatedColumnFormula>
    </tableColumn>
    <tableColumn id="12" xr3:uid="{B6401E3D-7B47-472C-BF4E-84265FCF1B5E}" name="Rent Limit Floor" dataDxfId="16" dataCellStyle="Comma">
      <calculatedColumnFormula array="1">IF(Units[[#This Row],[Min Inputs]],INDEX(DataAmi,INDEX(ListCountyRows,Units[[#This Row],[Project]]),MIN(Units[[#This Row],[Bedrooms]]+1,5))*IF(AND(Units[[#This Row],[PBV Units]]=TRUE,Units[[#This Row],[AMI]]&lt;=30%),30%,RentLimitFloor)/12*30%,"")</calculatedColumnFormula>
    </tableColumn>
    <tableColumn id="13" xr3:uid="{F9631016-70CF-458D-BB3E-41E94B3BE7F9}" name="RLF Savings" dataDxfId="15" dataCellStyle="Comma">
      <calculatedColumnFormula>IF(Units[[#This Row],[Min Inputs]],IFERROR(Units[[#This Row],[Fair Market Rent]]-Units[[#This Row],[Rent Limit Floor]],""),"")</calculatedColumnFormula>
    </tableColumn>
    <tableColumn id="17" xr3:uid="{A3C68EC0-6E63-4CA1-9158-AF6A4A929608}" name="RLFS * Q" dataDxfId="14" dataCellStyle="Comma">
      <calculatedColumnFormula>IFERROR(Units[[#This Row],[RLF Savings]]*Units[[#This Row],[Quantity]],"")</calculatedColumnFormula>
    </tableColumn>
    <tableColumn id="18" xr3:uid="{C01F47B5-21C2-4651-98E8-A5CD70517ABB}" name="Min Inputs" dataDxfId="13" dataCellStyle="Comma">
      <calculatedColumnFormula>AND(Units[[#This Row],[Project]]&gt;0,Units[[#This Row],[Quantity]]&gt;0,Units[[#This Row],[Bedrooms]]&gt;-1,Units[[#This Row],[AMI]]&gt;=20%,Units[[#This Row],[AMI]]&lt;=80%)</calculatedColumnFormula>
    </tableColumn>
  </tableColumns>
  <tableStyleInfo name="TableStyleMedium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BasisDelta" displayName="BasisDelta" ref="T2:W60" totalsRowShown="0" headerRowDxfId="12">
  <autoFilter ref="T2:W60" xr:uid="{00000000-0009-0000-0100-000002000000}"/>
  <tableColumns count="4">
    <tableColumn id="1" xr3:uid="{00000000-0010-0000-0100-000001000000}" name="County"/>
    <tableColumn id="2" xr3:uid="{00000000-0010-0000-0100-000002000000}" name="2-BR BL" dataDxfId="11" dataCellStyle="Comma"/>
    <tableColumn id="4" xr3:uid="{2E7B65F5-9CBE-446B-B9A6-30AF39BCEEEE}" name="Minimum Delta" dataDxfId="10" dataCellStyle="Percent">
      <calculatedColumnFormula>BasisDelta[[#This Row],[2-BR BL]]/$T$1-100%</calculatedColumnFormula>
    </tableColumn>
    <tableColumn id="3" xr3:uid="{00000000-0010-0000-0100-000003000000}" name="Median Delta" dataDxfId="9" dataCellStyle="Percent">
      <calculatedColumnFormula>BasisDelta[[#This Row],[2-BR BL]]/Average2brBL-100%</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caguidancerepository.org/tiki-index.php?page=ctcac-regs" TargetMode="External"/><Relationship Id="rId3" Type="http://schemas.openxmlformats.org/officeDocument/2006/relationships/hyperlink" Target="https://caguidancerepository.org/tiki-index.php?page=ctcac-regs" TargetMode="External"/><Relationship Id="rId7" Type="http://schemas.openxmlformats.org/officeDocument/2006/relationships/hyperlink" Target="http://caguidancerepository.org/tiki-index.php?page=ctcac-regs" TargetMode="External"/><Relationship Id="rId12" Type="http://schemas.openxmlformats.org/officeDocument/2006/relationships/drawing" Target="../drawings/drawing1.xml"/><Relationship Id="rId2" Type="http://schemas.openxmlformats.org/officeDocument/2006/relationships/hyperlink" Target="http://caguidancerepository.org/tiki-index.php?page=cdlac-regs" TargetMode="External"/><Relationship Id="rId1" Type="http://schemas.openxmlformats.org/officeDocument/2006/relationships/hyperlink" Target="https://caguidancerepository.org/tiki-index.php?page=ctcac-regs" TargetMode="External"/><Relationship Id="rId6" Type="http://schemas.openxmlformats.org/officeDocument/2006/relationships/hyperlink" Target="http://caguidancerepository.org/tiki-index.php?page=ctcac-regs" TargetMode="External"/><Relationship Id="rId11" Type="http://schemas.openxmlformats.org/officeDocument/2006/relationships/printerSettings" Target="../printerSettings/printerSettings1.bin"/><Relationship Id="rId5" Type="http://schemas.openxmlformats.org/officeDocument/2006/relationships/hyperlink" Target="https://caguidancerepository.org/tiki-index.php?page=cdlac-regs" TargetMode="External"/><Relationship Id="rId10" Type="http://schemas.openxmlformats.org/officeDocument/2006/relationships/hyperlink" Target="http://caguidancerepository.org/tiki-index.php?page=ctcac-regs" TargetMode="External"/><Relationship Id="rId4" Type="http://schemas.openxmlformats.org/officeDocument/2006/relationships/hyperlink" Target="https://caguidancerepository.org/tiki-index.php?page=ctcac-regs" TargetMode="External"/><Relationship Id="rId9" Type="http://schemas.openxmlformats.org/officeDocument/2006/relationships/hyperlink" Target="http://caguidancerepository.org/tiki-index.php?page=ctcac-regs" TargetMode="External"/></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table" Target="../tables/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AF147"/>
  <sheetViews>
    <sheetView showGridLines="0" tabSelected="1" zoomScale="130" zoomScaleNormal="130" workbookViewId="0">
      <pane ySplit="11" topLeftCell="A12" activePane="bottomLeft" state="frozen"/>
      <selection activeCell="E12" sqref="E12"/>
      <selection pane="bottomLeft" activeCell="P7" sqref="P7"/>
    </sheetView>
  </sheetViews>
  <sheetFormatPr defaultColWidth="8.85546875" defaultRowHeight="15" x14ac:dyDescent="0.25"/>
  <cols>
    <col min="1" max="1" width="3.28515625" customWidth="1"/>
    <col min="2" max="2" width="18.140625" customWidth="1"/>
    <col min="3" max="3" width="13.140625" customWidth="1"/>
    <col min="4" max="6" width="13.140625" hidden="1" customWidth="1"/>
    <col min="7" max="7" width="3.140625" customWidth="1"/>
    <col min="8" max="8" width="9.140625" customWidth="1"/>
    <col min="9" max="9" width="31.42578125" customWidth="1"/>
    <col min="10" max="10" width="3.140625" customWidth="1"/>
    <col min="11" max="20" width="9.140625" customWidth="1"/>
    <col min="21" max="21" width="3.42578125" customWidth="1"/>
    <col min="22" max="22" width="18.140625" customWidth="1"/>
    <col min="23" max="26" width="9.140625" customWidth="1"/>
    <col min="27" max="27" width="12.7109375" hidden="1" customWidth="1"/>
    <col min="28" max="28" width="0" hidden="1" customWidth="1"/>
    <col min="29" max="32" width="11.7109375" hidden="1" customWidth="1"/>
  </cols>
  <sheetData>
    <row r="1" spans="1:32" s="65" customFormat="1" ht="18" customHeight="1" x14ac:dyDescent="0.35">
      <c r="A1" s="62" t="s">
        <v>180</v>
      </c>
      <c r="B1" s="63"/>
      <c r="D1" s="63"/>
      <c r="I1" s="64"/>
    </row>
    <row r="2" spans="1:32" s="65" customFormat="1" ht="15.75" customHeight="1" x14ac:dyDescent="0.35">
      <c r="A2" s="62" t="s">
        <v>183</v>
      </c>
      <c r="B2" s="63"/>
      <c r="D2" s="63"/>
      <c r="I2" s="64"/>
    </row>
    <row r="3" spans="1:32" x14ac:dyDescent="0.25">
      <c r="A3" s="67">
        <v>44927</v>
      </c>
      <c r="B3" s="67"/>
    </row>
    <row r="4" spans="1:32" x14ac:dyDescent="0.25">
      <c r="A4" s="68" t="s">
        <v>184</v>
      </c>
      <c r="B4" s="68"/>
    </row>
    <row r="5" spans="1:32" x14ac:dyDescent="0.25">
      <c r="A5" s="66"/>
      <c r="B5" s="66"/>
    </row>
    <row r="8" spans="1:32" ht="17.25" x14ac:dyDescent="0.25">
      <c r="B8" s="11" t="s">
        <v>134</v>
      </c>
      <c r="C8" s="34">
        <f>C30</f>
        <v>0</v>
      </c>
      <c r="D8" s="34">
        <f t="shared" ref="D8:F8" si="0">D30</f>
        <v>0</v>
      </c>
      <c r="E8" s="34">
        <f t="shared" si="0"/>
        <v>0</v>
      </c>
      <c r="F8" s="34">
        <f t="shared" si="0"/>
        <v>0</v>
      </c>
      <c r="I8" t="s">
        <v>182</v>
      </c>
    </row>
    <row r="9" spans="1:32" ht="15" customHeight="1" x14ac:dyDescent="0.25">
      <c r="B9" s="11" t="s">
        <v>135</v>
      </c>
      <c r="C9" s="33">
        <f ca="1">C47</f>
        <v>0</v>
      </c>
      <c r="D9" s="33">
        <f t="shared" ref="D9:F9" ca="1" si="1">D47</f>
        <v>0</v>
      </c>
      <c r="E9" s="33">
        <f t="shared" ca="1" si="1"/>
        <v>0</v>
      </c>
      <c r="F9" s="33">
        <f t="shared" ca="1" si="1"/>
        <v>0</v>
      </c>
      <c r="H9" s="11"/>
    </row>
    <row r="10" spans="1:32" x14ac:dyDescent="0.25">
      <c r="B10" s="11"/>
      <c r="C10" s="29">
        <v>1</v>
      </c>
      <c r="D10" s="30">
        <v>2</v>
      </c>
      <c r="E10" s="30">
        <v>3</v>
      </c>
      <c r="F10" s="31">
        <v>4</v>
      </c>
      <c r="H10" s="60" t="s">
        <v>89</v>
      </c>
      <c r="I10" s="61"/>
      <c r="K10" t="s">
        <v>151</v>
      </c>
      <c r="L10" s="58" t="s">
        <v>81</v>
      </c>
      <c r="M10" s="59"/>
    </row>
    <row r="11" spans="1:32" x14ac:dyDescent="0.25">
      <c r="B11" s="11" t="s">
        <v>136</v>
      </c>
      <c r="C11" s="38" t="str">
        <f ca="1">IFERROR(C8/C9,"")</f>
        <v/>
      </c>
      <c r="D11" s="38" t="str">
        <f t="shared" ref="D11:F11" ca="1" si="2">IFERROR(D8/D9,"")</f>
        <v/>
      </c>
      <c r="E11" s="38" t="str">
        <f t="shared" ca="1" si="2"/>
        <v/>
      </c>
      <c r="F11" s="38" t="str">
        <f t="shared" ca="1" si="2"/>
        <v/>
      </c>
      <c r="AA11">
        <f>MATCH(L10,AB11:AF11)</f>
        <v>1</v>
      </c>
      <c r="AB11" t="s">
        <v>81</v>
      </c>
      <c r="AC11" t="s">
        <v>152</v>
      </c>
      <c r="AD11" t="s">
        <v>154</v>
      </c>
      <c r="AE11" t="s">
        <v>153</v>
      </c>
      <c r="AF11" t="s">
        <v>155</v>
      </c>
    </row>
    <row r="12" spans="1:32" x14ac:dyDescent="0.25">
      <c r="B12" s="35" t="s">
        <v>137</v>
      </c>
      <c r="C12" s="36"/>
      <c r="D12" s="36"/>
      <c r="E12" s="36"/>
      <c r="F12" s="37"/>
      <c r="AA12" s="3" t="str" cm="1">
        <f t="array" ref="AA12">INDEX(AB12:AF12,1,$AA$11)</f>
        <v>Public Benefits</v>
      </c>
      <c r="AB12" t="s">
        <v>167</v>
      </c>
      <c r="AC12" s="24">
        <f>C8</f>
        <v>0</v>
      </c>
      <c r="AD12" s="24">
        <f t="shared" ref="AD12:AF12" si="3">D8</f>
        <v>0</v>
      </c>
      <c r="AE12" s="24">
        <f t="shared" si="3"/>
        <v>0</v>
      </c>
      <c r="AF12" s="24">
        <f t="shared" si="3"/>
        <v>0</v>
      </c>
    </row>
    <row r="13" spans="1:32" x14ac:dyDescent="0.25">
      <c r="B13" s="11" t="s">
        <v>132</v>
      </c>
      <c r="C13" s="5">
        <f>SUM(C62:C66)</f>
        <v>0</v>
      </c>
      <c r="D13" s="5">
        <f>SUM(D62:D66)</f>
        <v>0</v>
      </c>
      <c r="E13" s="5">
        <f>SUM(E62:E66)</f>
        <v>0</v>
      </c>
      <c r="F13" s="5">
        <f>SUM(F62:F66)</f>
        <v>0</v>
      </c>
      <c r="AA13" s="3" t="str" cm="1">
        <f t="array" ref="AA13">INDEX(AB13:AF13,1,$AA$11)</f>
        <v>Production</v>
      </c>
      <c r="AB13" t="s">
        <v>139</v>
      </c>
      <c r="AC13" s="24">
        <f>C32</f>
        <v>0</v>
      </c>
      <c r="AD13" s="24">
        <f t="shared" ref="AD13:AF13" si="4">D32</f>
        <v>0</v>
      </c>
      <c r="AE13" s="24">
        <f t="shared" si="4"/>
        <v>0</v>
      </c>
      <c r="AF13" s="24">
        <f t="shared" si="4"/>
        <v>0</v>
      </c>
    </row>
    <row r="14" spans="1:32" x14ac:dyDescent="0.25">
      <c r="B14" s="11" t="s">
        <v>86</v>
      </c>
      <c r="C14" s="28">
        <f>SUMPRODUCT(C68:C72,UnitAdjFactors)</f>
        <v>0</v>
      </c>
      <c r="D14" s="28">
        <f>SUMPRODUCT(D68:D72,UnitAdjFactors)</f>
        <v>0</v>
      </c>
      <c r="E14" s="28">
        <f>SUMPRODUCT(E68:E72,UnitAdjFactors)</f>
        <v>0</v>
      </c>
      <c r="F14" s="28">
        <f>SUMPRODUCT(F68:F72,UnitAdjFactors)</f>
        <v>0</v>
      </c>
      <c r="H14" s="48">
        <v>50000</v>
      </c>
      <c r="I14" s="12" t="s">
        <v>80</v>
      </c>
      <c r="AA14" s="3" t="str" cm="1">
        <f t="array" ref="AA14">INDEX(AB14:AF14,1,$AA$11)</f>
        <v>Rent Savings</v>
      </c>
      <c r="AB14" t="s">
        <v>95</v>
      </c>
      <c r="AC14" s="24">
        <f>C33</f>
        <v>0</v>
      </c>
      <c r="AD14" s="24">
        <f t="shared" ref="AD14:AF14" si="5">D33</f>
        <v>0</v>
      </c>
      <c r="AE14" s="24">
        <f t="shared" si="5"/>
        <v>0</v>
      </c>
      <c r="AF14" s="24">
        <f t="shared" si="5"/>
        <v>0</v>
      </c>
    </row>
    <row r="15" spans="1:32" x14ac:dyDescent="0.25">
      <c r="B15" s="11" t="s">
        <v>6</v>
      </c>
      <c r="C15" s="54" t="s">
        <v>43</v>
      </c>
      <c r="D15" s="54" t="s">
        <v>43</v>
      </c>
      <c r="E15" s="54" t="s">
        <v>43</v>
      </c>
      <c r="F15" s="54" t="s">
        <v>43</v>
      </c>
      <c r="H15" s="49"/>
      <c r="I15" s="12"/>
      <c r="AA15" s="3" t="str" cm="1">
        <f t="array" ref="AA15">INDEX(AB15:AF15,1,$AA$11)</f>
        <v>Population</v>
      </c>
      <c r="AB15" t="s">
        <v>77</v>
      </c>
      <c r="AC15" s="24">
        <f>C34</f>
        <v>0</v>
      </c>
      <c r="AD15" s="24">
        <f t="shared" ref="AD15:AF15" si="6">D34</f>
        <v>0</v>
      </c>
      <c r="AE15" s="24">
        <f t="shared" si="6"/>
        <v>0</v>
      </c>
      <c r="AF15" s="24">
        <f t="shared" si="6"/>
        <v>0</v>
      </c>
    </row>
    <row r="16" spans="1:32" x14ac:dyDescent="0.25">
      <c r="B16" s="11" t="s">
        <v>79</v>
      </c>
      <c r="C16" s="54"/>
      <c r="D16" s="54"/>
      <c r="E16" s="54"/>
      <c r="F16" s="54"/>
      <c r="H16" s="48">
        <v>30000</v>
      </c>
      <c r="I16" s="12" t="s">
        <v>66</v>
      </c>
      <c r="AA16" s="3" t="str" cm="1">
        <f t="array" ref="AA16">INDEX(AB16:AF16,1,$AA$11)</f>
        <v>Location</v>
      </c>
      <c r="AB16" t="s">
        <v>83</v>
      </c>
      <c r="AC16" s="24">
        <f>C35</f>
        <v>0</v>
      </c>
      <c r="AD16" s="24">
        <f t="shared" ref="AD16:AF16" si="7">D35</f>
        <v>0</v>
      </c>
      <c r="AE16" s="24">
        <f t="shared" si="7"/>
        <v>0</v>
      </c>
      <c r="AF16" s="24">
        <f t="shared" si="7"/>
        <v>0</v>
      </c>
    </row>
    <row r="17" spans="2:32" x14ac:dyDescent="0.25">
      <c r="B17" s="11" t="s">
        <v>78</v>
      </c>
      <c r="C17" s="54"/>
      <c r="D17" s="54"/>
      <c r="E17" s="54"/>
      <c r="F17" s="54"/>
      <c r="H17" s="48">
        <v>20000</v>
      </c>
      <c r="I17" s="12" t="s">
        <v>3</v>
      </c>
      <c r="J17" s="13"/>
      <c r="AA17" cm="1">
        <f t="array" ref="AA17">INDEX(AB17:AF17,1,$AA$11)</f>
        <v>0</v>
      </c>
      <c r="AC17">
        <v>6</v>
      </c>
      <c r="AD17">
        <v>6</v>
      </c>
      <c r="AE17">
        <v>6</v>
      </c>
      <c r="AF17">
        <v>6</v>
      </c>
    </row>
    <row r="18" spans="2:32" x14ac:dyDescent="0.25">
      <c r="C18" s="50"/>
      <c r="D18" s="50"/>
      <c r="E18" s="50"/>
      <c r="F18" s="50"/>
      <c r="H18" s="48">
        <v>10000</v>
      </c>
      <c r="I18" s="12" t="s">
        <v>129</v>
      </c>
      <c r="J18" s="13"/>
      <c r="AA18" s="3" t="str" cm="1">
        <f t="array" ref="AA18">INDEX(AB18:AF18,1,$AA$11)</f>
        <v>Allocated Resources</v>
      </c>
      <c r="AB18" t="s">
        <v>150</v>
      </c>
      <c r="AC18" s="24">
        <f ca="1">C9</f>
        <v>0</v>
      </c>
      <c r="AD18" s="24">
        <f t="shared" ref="AD18:AF18" ca="1" si="8">D9</f>
        <v>0</v>
      </c>
      <c r="AE18" s="24">
        <f t="shared" ca="1" si="8"/>
        <v>0</v>
      </c>
      <c r="AF18" s="24">
        <f t="shared" ca="1" si="8"/>
        <v>0</v>
      </c>
    </row>
    <row r="19" spans="2:32" x14ac:dyDescent="0.25">
      <c r="B19" s="11" t="s">
        <v>119</v>
      </c>
      <c r="C19" s="54"/>
      <c r="D19" s="54"/>
      <c r="E19" s="54"/>
      <c r="F19" s="54"/>
      <c r="H19" s="48">
        <v>20000</v>
      </c>
      <c r="I19" s="12" t="s">
        <v>128</v>
      </c>
      <c r="J19" s="13"/>
      <c r="AA19" s="3" t="str" cm="1">
        <f t="array" ref="AA19">INDEX(AB19:AF19,1,$AA$11)</f>
        <v>Tax-Exempt Bonds</v>
      </c>
      <c r="AB19" t="s">
        <v>84</v>
      </c>
      <c r="AC19" s="24">
        <f>C24</f>
        <v>0</v>
      </c>
      <c r="AD19" s="24">
        <f t="shared" ref="AD19:AF19" si="9">D24</f>
        <v>0</v>
      </c>
      <c r="AE19" s="24">
        <f t="shared" si="9"/>
        <v>0</v>
      </c>
      <c r="AF19" s="24">
        <f t="shared" si="9"/>
        <v>0</v>
      </c>
    </row>
    <row r="20" spans="2:32" ht="15" customHeight="1" x14ac:dyDescent="0.25">
      <c r="B20" s="11" t="s">
        <v>116</v>
      </c>
      <c r="C20" s="54"/>
      <c r="D20" s="54"/>
      <c r="E20" s="54"/>
      <c r="F20" s="54"/>
      <c r="H20" s="48">
        <v>4000</v>
      </c>
      <c r="I20" s="12" t="s">
        <v>82</v>
      </c>
      <c r="J20" s="13"/>
      <c r="AA20" s="3" t="str" cm="1">
        <f t="array" ref="AA20">INDEX(AB20:AF20,1,$AA$11)</f>
        <v>State Tax Credits</v>
      </c>
      <c r="AB20" s="41" t="s">
        <v>68</v>
      </c>
      <c r="AC20" s="24">
        <f>C25</f>
        <v>0</v>
      </c>
      <c r="AD20" s="24">
        <f t="shared" ref="AD20:AF20" si="10">D25</f>
        <v>0</v>
      </c>
      <c r="AE20" s="24">
        <f t="shared" si="10"/>
        <v>0</v>
      </c>
      <c r="AF20" s="24">
        <f t="shared" si="10"/>
        <v>0</v>
      </c>
    </row>
    <row r="21" spans="2:32" ht="15" customHeight="1" x14ac:dyDescent="0.25">
      <c r="B21" s="11" t="s">
        <v>117</v>
      </c>
      <c r="C21" s="54"/>
      <c r="D21" s="54"/>
      <c r="E21" s="54"/>
      <c r="F21" s="54"/>
      <c r="H21" s="48">
        <v>25000</v>
      </c>
      <c r="I21" s="12" t="s">
        <v>130</v>
      </c>
      <c r="J21" s="13"/>
      <c r="AA21" t="str" cm="1">
        <f t="array" ref="AA21">INDEX(AB21:AF21,1,$AA$11)</f>
        <v>(100%
-P.W. Adj.
-Con. Adj.
-SWBD Adj.)
= Multiplier</v>
      </c>
      <c r="AB21" s="20" t="s">
        <v>166</v>
      </c>
      <c r="AC21" t="str">
        <f ca="1">_xlfn.CONCAT(AC24:AC28)</f>
        <v>(100%       
-  0%
-  0%
-  24%)
 = 76%</v>
      </c>
      <c r="AD21" t="str">
        <f t="shared" ref="AD21:AF21" ca="1" si="11">_xlfn.CONCAT(AD24:AD28)</f>
        <v>(100%       
-  0%
-  0%
-  24%)
 = 76%</v>
      </c>
      <c r="AE21" t="str">
        <f t="shared" ca="1" si="11"/>
        <v>(100%       
-  0%
-  0%
-  24%)
 = 76%</v>
      </c>
      <c r="AF21" t="str">
        <f t="shared" ca="1" si="11"/>
        <v>(100%       
-  0%
-  0%
-  24%)
 = 76%</v>
      </c>
    </row>
    <row r="22" spans="2:32" x14ac:dyDescent="0.25">
      <c r="B22" s="11" t="s">
        <v>118</v>
      </c>
      <c r="C22" s="54"/>
      <c r="D22" s="54"/>
      <c r="E22" s="54"/>
      <c r="F22" s="54"/>
      <c r="H22" s="48">
        <v>4000</v>
      </c>
      <c r="I22" s="12" t="s">
        <v>164</v>
      </c>
      <c r="J22" s="13"/>
      <c r="AA22" s="43" t="str" cm="1">
        <f t="array" ref="AA22">INDEX(AB22:AF22,1,$AA$11)</f>
        <v>Tiebreaker</v>
      </c>
      <c r="AB22" t="s">
        <v>136</v>
      </c>
      <c r="AC22" s="42" t="str">
        <f ca="1">C11</f>
        <v/>
      </c>
      <c r="AD22" s="42" t="str">
        <f t="shared" ref="AD22:AF22" ca="1" si="12">D11</f>
        <v/>
      </c>
      <c r="AE22" s="42" t="str">
        <f t="shared" ca="1" si="12"/>
        <v/>
      </c>
      <c r="AF22" s="42" t="str">
        <f t="shared" ca="1" si="12"/>
        <v/>
      </c>
    </row>
    <row r="23" spans="2:32" x14ac:dyDescent="0.25">
      <c r="B23" s="11"/>
      <c r="C23" s="50"/>
      <c r="D23" s="50"/>
      <c r="E23" s="50"/>
      <c r="F23" s="50"/>
      <c r="J23" s="13"/>
    </row>
    <row r="24" spans="2:32" ht="15" customHeight="1" x14ac:dyDescent="0.25">
      <c r="B24" s="11" t="s">
        <v>84</v>
      </c>
      <c r="C24" s="55"/>
      <c r="D24" s="55"/>
      <c r="E24" s="55"/>
      <c r="F24" s="55"/>
      <c r="J24" s="13"/>
      <c r="AC24" s="20" t="s">
        <v>156</v>
      </c>
      <c r="AD24" s="20" t="s">
        <v>156</v>
      </c>
      <c r="AE24" s="20" t="s">
        <v>156</v>
      </c>
      <c r="AF24" s="20" t="s">
        <v>156</v>
      </c>
    </row>
    <row r="25" spans="2:32" x14ac:dyDescent="0.25">
      <c r="B25" s="11" t="s">
        <v>68</v>
      </c>
      <c r="C25" s="55"/>
      <c r="D25" s="55"/>
      <c r="E25" s="55"/>
      <c r="F25" s="55"/>
      <c r="J25" s="13"/>
      <c r="AC25" s="17" t="str">
        <f>"-  "&amp;TEXT(C52,"0%")&amp;"
"</f>
        <v xml:space="preserve">-  0%
</v>
      </c>
      <c r="AD25" s="17" t="str">
        <f t="shared" ref="AD25:AF25" si="13">"-  "&amp;TEXT(D52,"0%")&amp;"
"</f>
        <v xml:space="preserve">-  0%
</v>
      </c>
      <c r="AE25" s="17" t="str">
        <f t="shared" si="13"/>
        <v xml:space="preserve">-  0%
</v>
      </c>
      <c r="AF25" s="17" t="str">
        <f t="shared" si="13"/>
        <v xml:space="preserve">-  0%
</v>
      </c>
    </row>
    <row r="26" spans="2:32" x14ac:dyDescent="0.25">
      <c r="B26" s="11" t="s">
        <v>120</v>
      </c>
      <c r="C26" s="54"/>
      <c r="D26" s="54"/>
      <c r="E26" s="54"/>
      <c r="F26" s="54"/>
      <c r="H26" s="51">
        <v>0.15</v>
      </c>
      <c r="I26" s="12" t="s">
        <v>69</v>
      </c>
      <c r="J26" s="13"/>
      <c r="AC26" t="str">
        <f>"-  "&amp;TEXT(C53,"0%")&amp;"
"</f>
        <v xml:space="preserve">-  0%
</v>
      </c>
      <c r="AD26" t="str">
        <f t="shared" ref="AD26:AF26" si="14">"-  "&amp;TEXT(D53,"0%")&amp;"
"</f>
        <v xml:space="preserve">-  0%
</v>
      </c>
      <c r="AE26" t="str">
        <f t="shared" si="14"/>
        <v xml:space="preserve">-  0%
</v>
      </c>
      <c r="AF26" t="str">
        <f t="shared" si="14"/>
        <v xml:space="preserve">-  0%
</v>
      </c>
    </row>
    <row r="27" spans="2:32" x14ac:dyDescent="0.25">
      <c r="B27" s="11" t="s">
        <v>179</v>
      </c>
      <c r="C27" s="54"/>
      <c r="D27" s="54"/>
      <c r="E27" s="54"/>
      <c r="F27" s="54"/>
      <c r="H27" s="51">
        <v>0.1</v>
      </c>
      <c r="I27" s="56" t="s">
        <v>162</v>
      </c>
      <c r="J27" s="13"/>
      <c r="AC27" t="str">
        <f ca="1">IF(C54&gt;0,"-","+")&amp;"  "&amp;TEXT(ABS(C54),"#%")&amp;")
"</f>
        <v xml:space="preserve">-  24%)
</v>
      </c>
      <c r="AD27" t="str">
        <f t="shared" ref="AD27:AF27" ca="1" si="15">IF(D54&gt;0,"-","+")&amp;"  "&amp;TEXT(ABS(D54),"#%")&amp;")
"</f>
        <v xml:space="preserve">-  24%)
</v>
      </c>
      <c r="AE27" t="str">
        <f t="shared" ca="1" si="15"/>
        <v xml:space="preserve">-  24%)
</v>
      </c>
      <c r="AF27" t="str">
        <f t="shared" ca="1" si="15"/>
        <v xml:space="preserve">-  24%)
</v>
      </c>
    </row>
    <row r="28" spans="2:32" x14ac:dyDescent="0.25">
      <c r="B28" s="11"/>
      <c r="H28" s="51">
        <v>0.05</v>
      </c>
      <c r="I28" s="12" t="s">
        <v>163</v>
      </c>
      <c r="J28" s="13"/>
      <c r="AC28" t="str">
        <f ca="1">" = "&amp;TEXT(C50,"#%")</f>
        <v xml:space="preserve"> = 76%</v>
      </c>
      <c r="AD28" t="str">
        <f t="shared" ref="AD28:AF28" ca="1" si="16">" = "&amp;TEXT(D50,"#%")</f>
        <v xml:space="preserve"> = 76%</v>
      </c>
      <c r="AE28" t="str">
        <f t="shared" ca="1" si="16"/>
        <v xml:space="preserve"> = 76%</v>
      </c>
      <c r="AF28" t="str">
        <f t="shared" ca="1" si="16"/>
        <v xml:space="preserve"> = 76%</v>
      </c>
    </row>
    <row r="29" spans="2:32" x14ac:dyDescent="0.25">
      <c r="B29" s="35" t="s">
        <v>138</v>
      </c>
      <c r="C29" s="36"/>
      <c r="D29" s="36"/>
      <c r="E29" s="36"/>
      <c r="F29" s="37"/>
      <c r="H29" s="50"/>
      <c r="I29" s="12"/>
      <c r="J29" s="13"/>
    </row>
    <row r="30" spans="2:32" x14ac:dyDescent="0.25">
      <c r="B30" s="11" t="s">
        <v>134</v>
      </c>
      <c r="C30" s="3">
        <f>SUM(C32:C35)</f>
        <v>0</v>
      </c>
      <c r="D30" s="3">
        <f>SUM(D32:D35)</f>
        <v>0</v>
      </c>
      <c r="E30" s="3">
        <f>SUM(E32:E35)</f>
        <v>0</v>
      </c>
      <c r="F30" s="3">
        <f>SUM(F32:F35)</f>
        <v>0</v>
      </c>
      <c r="J30" s="13"/>
      <c r="AA30" t="str">
        <f>IF($L$10="Description","","Public Benefit:")</f>
        <v/>
      </c>
    </row>
    <row r="31" spans="2:32" x14ac:dyDescent="0.25">
      <c r="J31" s="13"/>
      <c r="AA31" t="str">
        <f>IF($L$10="Description","","Prod.")</f>
        <v/>
      </c>
    </row>
    <row r="32" spans="2:32" x14ac:dyDescent="0.25">
      <c r="B32" s="11" t="s">
        <v>139</v>
      </c>
      <c r="C32" s="3">
        <f>BenefitProduction*C14</f>
        <v>0</v>
      </c>
      <c r="D32" s="3">
        <f>BenefitProduction*D14</f>
        <v>0</v>
      </c>
      <c r="E32" s="3">
        <f>BenefitProduction*E14</f>
        <v>0</v>
      </c>
      <c r="F32" s="3">
        <f>BenefitProduction*F14</f>
        <v>0</v>
      </c>
      <c r="J32" s="13"/>
      <c r="AA32" t="str">
        <f>IF($L$10="Description","","R.S.")</f>
        <v/>
      </c>
    </row>
    <row r="33" spans="2:27" x14ac:dyDescent="0.25">
      <c r="B33" s="11" t="s">
        <v>95</v>
      </c>
      <c r="C33" s="3">
        <f>MIN(C37,C38)</f>
        <v>0</v>
      </c>
      <c r="D33" s="3">
        <f>MIN(D37,D38)</f>
        <v>0</v>
      </c>
      <c r="E33" s="3">
        <f>MIN(E37,E38)</f>
        <v>0</v>
      </c>
      <c r="F33" s="3">
        <f>MIN(F37,F38)</f>
        <v>0</v>
      </c>
      <c r="H33" s="50"/>
      <c r="J33" s="13"/>
      <c r="AA33" t="str">
        <f>IF($L$10="Description","","Pop.")</f>
        <v/>
      </c>
    </row>
    <row r="34" spans="2:27" x14ac:dyDescent="0.25">
      <c r="B34" s="11" t="s">
        <v>77</v>
      </c>
      <c r="C34" s="3">
        <f>C59*PopEli+C60*PopSn</f>
        <v>0</v>
      </c>
      <c r="D34" s="3">
        <f>D59*PopEli+D60*PopSn</f>
        <v>0</v>
      </c>
      <c r="E34" s="3">
        <f>E59*PopEli+E60*PopSn</f>
        <v>0</v>
      </c>
      <c r="F34" s="3">
        <f>F59*PopEli+F60*PopSn</f>
        <v>0</v>
      </c>
      <c r="H34" s="48">
        <v>20000</v>
      </c>
      <c r="I34" s="12" t="s">
        <v>131</v>
      </c>
      <c r="J34" s="13"/>
      <c r="AA34" t="str">
        <f>IF($L$10="Description","","Loc.")</f>
        <v/>
      </c>
    </row>
    <row r="35" spans="2:27" x14ac:dyDescent="0.25">
      <c r="B35" s="11" t="s">
        <v>83</v>
      </c>
      <c r="C35" s="3">
        <f t="shared" ref="C35:E35" si="17">MAX(C40,C41)+SUM(C42:C44)</f>
        <v>0</v>
      </c>
      <c r="D35" s="3">
        <f>MAX(D40,D41)+SUM(D42:D44)</f>
        <v>0</v>
      </c>
      <c r="E35" s="3">
        <f t="shared" si="17"/>
        <v>0</v>
      </c>
      <c r="F35" s="3">
        <f>MAX(F40,F41)+SUM(F42:F44)</f>
        <v>0</v>
      </c>
      <c r="H35" s="48">
        <v>10000</v>
      </c>
      <c r="I35" s="12" t="s">
        <v>160</v>
      </c>
      <c r="J35" s="13"/>
      <c r="AA35" t="str">
        <f>IF($L$10="Description","","Allocated Resources:")</f>
        <v/>
      </c>
    </row>
    <row r="36" spans="2:27" x14ac:dyDescent="0.25">
      <c r="J36" s="13"/>
      <c r="AA36" t="str">
        <f>IF($L$10="Description","","Bonds")</f>
        <v/>
      </c>
    </row>
    <row r="37" spans="2:27" x14ac:dyDescent="0.25">
      <c r="B37" s="11" t="s">
        <v>95</v>
      </c>
      <c r="C37" s="3">
        <f>SUMIFS(Units[RS * Q],Units[Project],C10)*12*RentSavingsDuration</f>
        <v>0</v>
      </c>
      <c r="D37" s="3">
        <f>SUMIFS(Units[RS * Q],Units[Project],D10)*12*RentSavingsDuration</f>
        <v>0</v>
      </c>
      <c r="E37" s="3">
        <f>SUMIFS(Units[RS * Q],Units[Project],E10)*12*RentSavingsDuration</f>
        <v>0</v>
      </c>
      <c r="F37" s="3">
        <f>SUMIFS(Units[RS * Q],Units[Project],F10)*12*RentSavingsDuration</f>
        <v>0</v>
      </c>
      <c r="H37" s="46">
        <v>15</v>
      </c>
      <c r="I37" s="12" t="s">
        <v>140</v>
      </c>
      <c r="J37" s="13"/>
      <c r="V37" s="1"/>
      <c r="AA37" t="str">
        <f>IF($L$10="Description","","CA Credits")</f>
        <v/>
      </c>
    </row>
    <row r="38" spans="2:27" x14ac:dyDescent="0.25">
      <c r="B38" s="11" t="s">
        <v>141</v>
      </c>
      <c r="C38" s="3">
        <f>SUMIFS(Units[RLFS * Q],Units[Project],C10)*12*RentSavingsDuration</f>
        <v>0</v>
      </c>
      <c r="D38" s="3">
        <f>SUMIFS(Units[RLFS * Q],Units[Project],D10)*12*RentSavingsDuration</f>
        <v>0</v>
      </c>
      <c r="E38" s="3">
        <f>SUMIFS(Units[RLFS * Q],Units[Project],E10)*12*RentSavingsDuration</f>
        <v>0</v>
      </c>
      <c r="F38" s="3">
        <f>SUMIFS(Units[RLFS * Q],Units[Project],F10)*12*RentSavingsDuration</f>
        <v>0</v>
      </c>
      <c r="H38" s="47">
        <v>0.4</v>
      </c>
      <c r="I38" s="12" t="s">
        <v>104</v>
      </c>
      <c r="J38" s="13"/>
      <c r="V38" s="1"/>
      <c r="AA38" t="str">
        <f>IF($L$10="Description","","P.W.")</f>
        <v/>
      </c>
    </row>
    <row r="39" spans="2:27" x14ac:dyDescent="0.25">
      <c r="B39" s="11"/>
      <c r="J39" s="13"/>
      <c r="V39" s="1"/>
      <c r="AA39" t="str">
        <f>IF($L$10="Description","","Con.")</f>
        <v/>
      </c>
    </row>
    <row r="40" spans="2:27" x14ac:dyDescent="0.25">
      <c r="B40" s="11" t="s">
        <v>79</v>
      </c>
      <c r="C40" s="3">
        <f>C14*IF(OR(C17="Family",C17="Special Needs"),IF(C16="Highest",BenefitHighestRes,IF(C16="High",BenefitHighRes,IF(C16="Moderate",BenefitModRes,0))),0)</f>
        <v>0</v>
      </c>
      <c r="D40" s="3">
        <f>D14*IF(OR(D17="Family",D17="Special Needs"),IF(D16="Highest",BenefitHighestRes,IF(D16="High",BenefitHighRes,IF(D16="Moderate",BenefitModRes,0))),0)</f>
        <v>0</v>
      </c>
      <c r="E40" s="3">
        <f>E14*IF(OR(E17="Family",E17="Special Needs"),IF(E16="Highest",BenefitHighestRes,IF(E16="High",BenefitHighRes,IF(E16="Moderate",BenefitModRes,0))),0)</f>
        <v>0</v>
      </c>
      <c r="F40" s="3">
        <f>F14*IF(OR(F17="Family",F17="Special Needs"),IF(F16="Highest",BenefitHighestRes,IF(F16="High",BenefitHighRes,IF(F16="Moderate",BenefitModRes,0))),0)</f>
        <v>0</v>
      </c>
      <c r="J40" s="13"/>
      <c r="V40" s="1"/>
      <c r="AA40" t="str">
        <f>IF($L$10="Description","","SWBD.")</f>
        <v/>
      </c>
    </row>
    <row r="41" spans="2:27" x14ac:dyDescent="0.25">
      <c r="B41" s="11" t="s">
        <v>142</v>
      </c>
      <c r="C41" s="3">
        <f>C14*BenefitComRev*C19</f>
        <v>0</v>
      </c>
      <c r="D41" s="3">
        <f>D14*BenefitComRev*D19</f>
        <v>0</v>
      </c>
      <c r="E41" s="3">
        <f>E14*BenefitComRev*E19</f>
        <v>0</v>
      </c>
      <c r="F41" s="3">
        <f>F14*BenefitComRev*F19</f>
        <v>0</v>
      </c>
      <c r="J41" s="13"/>
      <c r="V41" s="1"/>
    </row>
    <row r="42" spans="2:27" x14ac:dyDescent="0.25">
      <c r="B42" s="11" t="s">
        <v>143</v>
      </c>
      <c r="C42" s="3">
        <f>C14*C20*BenefitTodFactor</f>
        <v>0</v>
      </c>
      <c r="D42" s="3">
        <f>D14*D20*BenefitTodFactor</f>
        <v>0</v>
      </c>
      <c r="E42" s="3">
        <f>E14*E20*BenefitTodFactor</f>
        <v>0</v>
      </c>
      <c r="F42" s="3">
        <f>F14*F20*BenefitTodFactor</f>
        <v>0</v>
      </c>
      <c r="J42" s="13"/>
      <c r="V42" s="1"/>
    </row>
    <row r="43" spans="2:27" x14ac:dyDescent="0.25">
      <c r="B43" s="11" t="s">
        <v>130</v>
      </c>
      <c r="C43" s="3">
        <f>C21*C14*BenefitHqTransit</f>
        <v>0</v>
      </c>
      <c r="D43" s="3">
        <f>D21*D14*BenefitHqTransit</f>
        <v>0</v>
      </c>
      <c r="E43" s="3">
        <f>E21*E14*BenefitHqTransit</f>
        <v>0</v>
      </c>
      <c r="F43" s="3">
        <f>F21*F14*BenefitHqTransit</f>
        <v>0</v>
      </c>
      <c r="J43" s="13"/>
      <c r="V43" s="1"/>
    </row>
    <row r="44" spans="2:27" x14ac:dyDescent="0.25">
      <c r="B44" s="11" t="s">
        <v>118</v>
      </c>
      <c r="C44" s="3">
        <f>C14*C22*BenefitWalkable</f>
        <v>0</v>
      </c>
      <c r="D44" s="3">
        <f>D14*D22*BenefitWalkable</f>
        <v>0</v>
      </c>
      <c r="E44" s="3">
        <f>E14*E22*BenefitWalkable</f>
        <v>0</v>
      </c>
      <c r="F44" s="3">
        <f>F14*F22*BenefitWalkable</f>
        <v>0</v>
      </c>
      <c r="J44" s="13"/>
    </row>
    <row r="45" spans="2:27" x14ac:dyDescent="0.25">
      <c r="J45" s="13"/>
    </row>
    <row r="46" spans="2:27" x14ac:dyDescent="0.25">
      <c r="B46" s="35" t="s">
        <v>145</v>
      </c>
      <c r="C46" s="36"/>
      <c r="D46" s="36"/>
      <c r="E46" s="36"/>
      <c r="F46" s="37"/>
      <c r="J46" s="13"/>
    </row>
    <row r="47" spans="2:27" x14ac:dyDescent="0.25">
      <c r="B47" s="11" t="s">
        <v>135</v>
      </c>
      <c r="C47" s="3">
        <f ca="1">IFERROR(C49*C50,"")</f>
        <v>0</v>
      </c>
      <c r="D47" s="3">
        <f t="shared" ref="D47:E47" ca="1" si="18">IFERROR(D49*D50,"")</f>
        <v>0</v>
      </c>
      <c r="E47" s="3">
        <f t="shared" ca="1" si="18"/>
        <v>0</v>
      </c>
      <c r="F47" s="3">
        <f ca="1">IFERROR(F49*F50,"")</f>
        <v>0</v>
      </c>
      <c r="J47" s="13"/>
    </row>
    <row r="48" spans="2:27" x14ac:dyDescent="0.25">
      <c r="J48" s="13"/>
    </row>
    <row r="49" spans="2:10" x14ac:dyDescent="0.25">
      <c r="B49" s="11" t="s">
        <v>147</v>
      </c>
      <c r="C49" s="3">
        <f>(C24+C25)</f>
        <v>0</v>
      </c>
      <c r="D49" s="3">
        <f t="shared" ref="D49:F49" si="19">(D24+D25)</f>
        <v>0</v>
      </c>
      <c r="E49" s="3">
        <f t="shared" si="19"/>
        <v>0</v>
      </c>
      <c r="F49" s="3">
        <f t="shared" si="19"/>
        <v>0</v>
      </c>
      <c r="H49" s="12"/>
      <c r="I49" s="12"/>
      <c r="J49" s="13"/>
    </row>
    <row r="50" spans="2:10" x14ac:dyDescent="0.25">
      <c r="B50" s="11" t="s">
        <v>148</v>
      </c>
      <c r="C50" s="4">
        <f ca="1">100%-SUM(C52:C54)</f>
        <v>0.76206140350877194</v>
      </c>
      <c r="D50" s="4">
        <f t="shared" ref="D50:E50" ca="1" si="20">100%-SUM(D52:D54)</f>
        <v>0.76206140350877194</v>
      </c>
      <c r="E50" s="4">
        <f t="shared" ca="1" si="20"/>
        <v>0.76206140350877194</v>
      </c>
      <c r="F50" s="4">
        <f ca="1">100%-SUM(F52:F54)</f>
        <v>0.76206140350877194</v>
      </c>
      <c r="H50" s="12"/>
      <c r="I50" s="12"/>
      <c r="J50" s="13"/>
    </row>
    <row r="51" spans="2:10" x14ac:dyDescent="0.25">
      <c r="J51" s="13"/>
    </row>
    <row r="52" spans="2:10" x14ac:dyDescent="0.25">
      <c r="B52" s="11" t="s">
        <v>146</v>
      </c>
      <c r="C52" s="4">
        <f>DiscountPrevailing*C26</f>
        <v>0</v>
      </c>
      <c r="D52" s="4">
        <f>DiscountPrevailing*D26</f>
        <v>0</v>
      </c>
      <c r="E52" s="4">
        <f>DiscountPrevailing*E26</f>
        <v>0</v>
      </c>
      <c r="F52" s="4">
        <f>DiscountPrevailing*F26</f>
        <v>0</v>
      </c>
      <c r="J52" s="13"/>
    </row>
    <row r="53" spans="2:10" x14ac:dyDescent="0.25">
      <c r="B53" s="11" t="s">
        <v>165</v>
      </c>
      <c r="C53" s="4">
        <f>IF(C27="Type I Con.",DiscountDensityI,IF(C27="Type III Con.",DiscountDensityIII,0))</f>
        <v>0</v>
      </c>
      <c r="D53" s="4">
        <f>IF(D27="Type I Con.",DiscountDensityI,IF(D27="Type III Con.",DiscountDensityIII,0))</f>
        <v>0</v>
      </c>
      <c r="E53" s="4">
        <f>IF(E27="Type I Con.",DiscountDensityI,IF(E27="Type III Con.",DiscountDensityIII,0))</f>
        <v>0</v>
      </c>
      <c r="F53" s="4">
        <f>IF(F27="Type I Con.",DiscountDensityI,IF(F27="Type III Con.",DiscountDensityIII,0))</f>
        <v>0</v>
      </c>
      <c r="J53" s="13"/>
    </row>
    <row r="54" spans="2:10" x14ac:dyDescent="0.25">
      <c r="B54" s="11" t="s">
        <v>121</v>
      </c>
      <c r="C54" s="4">
        <f ca="1">C56*BasisDeltaMultiplier</f>
        <v>0.23793859649122806</v>
      </c>
      <c r="D54" s="4">
        <f ca="1">D56*BasisDeltaMultiplier</f>
        <v>0.23793859649122806</v>
      </c>
      <c r="E54" s="4">
        <f ca="1">E56*BasisDeltaMultiplier</f>
        <v>0.23793859649122806</v>
      </c>
      <c r="F54" s="4">
        <f ca="1">F56*BasisDeltaMultiplier</f>
        <v>0.23793859649122806</v>
      </c>
      <c r="J54" s="13"/>
    </row>
    <row r="55" spans="2:10" x14ac:dyDescent="0.25">
      <c r="H55" s="47">
        <v>0.25</v>
      </c>
      <c r="I55" s="12" t="s">
        <v>124</v>
      </c>
      <c r="J55" s="13"/>
    </row>
    <row r="56" spans="2:10" x14ac:dyDescent="0.25">
      <c r="B56" s="11" t="s">
        <v>127</v>
      </c>
      <c r="C56" s="18">
        <f ca="1">INDEX(INDIRECT("BasisDelta["&amp;$H$56&amp;" Delta]"),MATCH(C15,BasisDelta[County],0))</f>
        <v>0.95175438596491224</v>
      </c>
      <c r="D56" s="18">
        <f ca="1">INDEX(INDIRECT("BasisDelta["&amp;$H$56&amp;" Delta]"),MATCH(D15,BasisDelta[County],0))</f>
        <v>0.95175438596491224</v>
      </c>
      <c r="E56" s="18">
        <f ca="1">INDEX(INDIRECT("BasisDelta["&amp;$H$56&amp;" Delta]"),MATCH(E15,BasisDelta[County],0))</f>
        <v>0.95175438596491224</v>
      </c>
      <c r="F56" s="18">
        <f ca="1">INDEX(INDIRECT("BasisDelta["&amp;$H$56&amp;" Delta]"),MATCH(F15,BasisDelta[County],0))</f>
        <v>0.95175438596491224</v>
      </c>
      <c r="H56" s="52" t="s">
        <v>123</v>
      </c>
      <c r="I56" s="12" t="s">
        <v>122</v>
      </c>
    </row>
    <row r="58" spans="2:10" x14ac:dyDescent="0.25">
      <c r="B58" s="35" t="s">
        <v>144</v>
      </c>
      <c r="C58" s="36"/>
      <c r="D58" s="36"/>
      <c r="E58" s="36"/>
      <c r="F58" s="37"/>
    </row>
    <row r="59" spans="2:10" x14ac:dyDescent="0.25">
      <c r="B59" s="11" t="s">
        <v>131</v>
      </c>
      <c r="C59" s="32">
        <f>MIN(SUMIFS(Units[ELI],Units[Project],C$10,Units[Min Inputs],"=" &amp; TRUE),C13*$H59)</f>
        <v>0</v>
      </c>
      <c r="D59" s="32">
        <f>MIN(SUMIFS(Units[ELI],Units[Project],D$10,Units[Min Inputs],"=" &amp; TRUE),D13*$H59)</f>
        <v>0</v>
      </c>
      <c r="E59" s="32">
        <f>MIN(SUMIFS(Units[ELI],Units[Project],E$10,Units[Min Inputs],"=" &amp; TRUE),E13*$H59)</f>
        <v>0</v>
      </c>
      <c r="F59" s="32">
        <f>MIN(SUMIFS(Units[ELI],Units[Project],F$10,Units[Min Inputs],"=" &amp; TRUE),F13*$H59)</f>
        <v>0</v>
      </c>
      <c r="H59" s="47">
        <v>0.5</v>
      </c>
      <c r="I59" t="s">
        <v>161</v>
      </c>
    </row>
    <row r="60" spans="2:10" x14ac:dyDescent="0.25">
      <c r="B60" s="11" t="s">
        <v>160</v>
      </c>
      <c r="C60" s="32">
        <f>MIN(SUMIFS(Units[Quantity],Units[Project],C$10,Units[Special Population],"="&amp;TRUE,Units[Min Inputs],"=" &amp; TRUE),C13*$H60)</f>
        <v>0</v>
      </c>
      <c r="D60" s="32">
        <f>MIN(SUMIFS(Units[Quantity],Units[Project],D$10,Units[Special Population],"="&amp;TRUE,Units[Min Inputs],"=" &amp; TRUE),D13*$H60)</f>
        <v>0</v>
      </c>
      <c r="E60" s="32">
        <f>MIN(SUMIFS(Units[Quantity],Units[Project],E$10,Units[Special Population],"="&amp;TRUE,Units[Min Inputs],"=" &amp; TRUE),E13*$H60)</f>
        <v>0</v>
      </c>
      <c r="F60" s="32">
        <f>MIN(SUMIFS(Units[Quantity],Units[Project],F$10,Units[Special Population],"="&amp;TRUE,Units[Min Inputs],"=" &amp; TRUE),F13*$H60)</f>
        <v>0</v>
      </c>
      <c r="H60" s="47">
        <v>0.5</v>
      </c>
      <c r="I60" t="s">
        <v>161</v>
      </c>
    </row>
    <row r="61" spans="2:10" x14ac:dyDescent="0.25">
      <c r="C61" s="2"/>
      <c r="D61" s="5" t="s">
        <v>149</v>
      </c>
      <c r="E61" s="2"/>
      <c r="F61" s="2"/>
      <c r="J61" s="13"/>
    </row>
    <row r="62" spans="2:10" x14ac:dyDescent="0.25">
      <c r="B62" s="11" t="s">
        <v>4</v>
      </c>
      <c r="C62" s="32">
        <f>SUMIFS(Units[Quantity],Units[Project],C$10,Units[Bedrooms],$H62,Units[Min Inputs],"=" &amp; TRUE)</f>
        <v>0</v>
      </c>
      <c r="D62" s="32">
        <f>SUMIFS(Units[Quantity],Units[Project],D$10,Units[Bedrooms],$H62,Units[Min Inputs],"=" &amp; TRUE)</f>
        <v>0</v>
      </c>
      <c r="E62" s="32">
        <f>SUMIFS(Units[Quantity],Units[Project],E$10,Units[Bedrooms],$H62,Units[Min Inputs],"=" &amp; TRUE)</f>
        <v>0</v>
      </c>
      <c r="F62" s="32">
        <f>SUMIFS(Units[Quantity],Units[Project],F$10,Units[Bedrooms],$H62,Units[Min Inputs],"=" &amp; TRUE)</f>
        <v>0</v>
      </c>
      <c r="H62" s="40" t="s">
        <v>108</v>
      </c>
      <c r="J62" s="13"/>
    </row>
    <row r="63" spans="2:10" x14ac:dyDescent="0.25">
      <c r="B63" s="11" t="s">
        <v>0</v>
      </c>
      <c r="C63" s="32">
        <f>SUMIFS(Units[Quantity],Units[Project],C$10,Units[Bedrooms],$H63,Units[Min Inputs],"=" &amp; TRUE)</f>
        <v>0</v>
      </c>
      <c r="D63" s="32">
        <f>SUMIFS(Units[Quantity],Units[Project],D$10,Units[Bedrooms],$H63,Units[Min Inputs],"=" &amp; TRUE)</f>
        <v>0</v>
      </c>
      <c r="E63" s="32">
        <f>SUMIFS(Units[Quantity],Units[Project],E$10,Units[Bedrooms],$H63,Units[Min Inputs],"=" &amp; TRUE)</f>
        <v>0</v>
      </c>
      <c r="F63" s="32">
        <f>SUMIFS(Units[Quantity],Units[Project],F$10,Units[Bedrooms],$H63,Units[Min Inputs],"=" &amp; TRUE)</f>
        <v>0</v>
      </c>
      <c r="H63" s="40" t="s">
        <v>109</v>
      </c>
      <c r="J63" s="13"/>
    </row>
    <row r="64" spans="2:10" x14ac:dyDescent="0.25">
      <c r="B64" s="11" t="s">
        <v>1</v>
      </c>
      <c r="C64" s="32">
        <f>SUMIFS(Units[Quantity],Units[Project],C$10,Units[Bedrooms],$H64,Units[Min Inputs],"=" &amp; TRUE)</f>
        <v>0</v>
      </c>
      <c r="D64" s="32">
        <f>SUMIFS(Units[Quantity],Units[Project],D$10,Units[Bedrooms],$H64,Units[Min Inputs],"=" &amp; TRUE)</f>
        <v>0</v>
      </c>
      <c r="E64" s="32">
        <f>SUMIFS(Units[Quantity],Units[Project],E$10,Units[Bedrooms],$H64,Units[Min Inputs],"=" &amp; TRUE)</f>
        <v>0</v>
      </c>
      <c r="F64" s="32">
        <f>SUMIFS(Units[Quantity],Units[Project],F$10,Units[Bedrooms],$H64,Units[Min Inputs],"=" &amp; TRUE)</f>
        <v>0</v>
      </c>
      <c r="H64" s="40" t="s">
        <v>110</v>
      </c>
      <c r="J64" s="13"/>
    </row>
    <row r="65" spans="2:9" x14ac:dyDescent="0.25">
      <c r="B65" s="11" t="s">
        <v>2</v>
      </c>
      <c r="C65" s="32">
        <f>SUMIFS(Units[Quantity],Units[Project],C$10,Units[Bedrooms],$H65,Units[Min Inputs],"=" &amp; TRUE)</f>
        <v>0</v>
      </c>
      <c r="D65" s="32">
        <f>SUMIFS(Units[Quantity],Units[Project],D$10,Units[Bedrooms],$H65,Units[Min Inputs],"=" &amp; TRUE)</f>
        <v>0</v>
      </c>
      <c r="E65" s="32">
        <f>SUMIFS(Units[Quantity],Units[Project],E$10,Units[Bedrooms],$H65,Units[Min Inputs],"=" &amp; TRUE)</f>
        <v>0</v>
      </c>
      <c r="F65" s="32">
        <f>SUMIFS(Units[Quantity],Units[Project],F$10,Units[Bedrooms],$H65,Units[Min Inputs],"=" &amp; TRUE)</f>
        <v>0</v>
      </c>
      <c r="H65" s="40" t="s">
        <v>111</v>
      </c>
    </row>
    <row r="66" spans="2:9" x14ac:dyDescent="0.25">
      <c r="B66" s="11" t="s">
        <v>90</v>
      </c>
      <c r="C66" s="32">
        <f>SUMIFS(Units[Quantity],Units[Project],C$10,Units[Bedrooms],$H66,Units[Min Inputs],"=" &amp; TRUE)</f>
        <v>0</v>
      </c>
      <c r="D66" s="32">
        <f>SUMIFS(Units[Quantity],Units[Project],D$10,Units[Bedrooms],$H66,Units[Min Inputs],"=" &amp; TRUE)</f>
        <v>0</v>
      </c>
      <c r="E66" s="32">
        <f>SUMIFS(Units[Quantity],Units[Project],E$10,Units[Bedrooms],$H66,Units[Min Inputs],"=" &amp; TRUE)</f>
        <v>0</v>
      </c>
      <c r="F66" s="32">
        <f>SUMIFS(Units[Quantity],Units[Project],F$10,Units[Bedrooms],$H66,Units[Min Inputs],"=" &amp; TRUE)</f>
        <v>0</v>
      </c>
      <c r="H66" s="40" t="s">
        <v>112</v>
      </c>
    </row>
    <row r="67" spans="2:9" x14ac:dyDescent="0.25">
      <c r="C67" s="15"/>
      <c r="D67" s="5" t="s">
        <v>133</v>
      </c>
      <c r="E67" s="15"/>
      <c r="F67" s="15"/>
    </row>
    <row r="68" spans="2:9" x14ac:dyDescent="0.25">
      <c r="B68" s="11" t="s">
        <v>4</v>
      </c>
      <c r="C68" s="32">
        <f>C62</f>
        <v>0</v>
      </c>
      <c r="D68" s="32">
        <f t="shared" ref="D68:F68" si="21">D62</f>
        <v>0</v>
      </c>
      <c r="E68" s="32">
        <f t="shared" si="21"/>
        <v>0</v>
      </c>
      <c r="F68" s="32">
        <f t="shared" si="21"/>
        <v>0</v>
      </c>
      <c r="H68" s="53">
        <v>0.9</v>
      </c>
      <c r="I68" s="12" t="s">
        <v>4</v>
      </c>
    </row>
    <row r="69" spans="2:9" x14ac:dyDescent="0.25">
      <c r="B69" s="11" t="s">
        <v>0</v>
      </c>
      <c r="C69" s="32">
        <f>C63</f>
        <v>0</v>
      </c>
      <c r="D69" s="32">
        <f t="shared" ref="D69:F69" si="22">D63</f>
        <v>0</v>
      </c>
      <c r="E69" s="32">
        <f t="shared" si="22"/>
        <v>0</v>
      </c>
      <c r="F69" s="32">
        <f t="shared" si="22"/>
        <v>0</v>
      </c>
      <c r="H69" s="53">
        <v>1</v>
      </c>
      <c r="I69" s="12" t="s">
        <v>0</v>
      </c>
    </row>
    <row r="70" spans="2:9" x14ac:dyDescent="0.25">
      <c r="B70" s="11" t="s">
        <v>1</v>
      </c>
      <c r="C70" s="5">
        <f>C64+SUM(C65:C66)-SUM(C71:C72)</f>
        <v>0</v>
      </c>
      <c r="D70" s="5">
        <f t="shared" ref="D70:F70" si="23">D64+SUM(D65:D66)-SUM(D71:D72)</f>
        <v>0</v>
      </c>
      <c r="E70" s="5">
        <f t="shared" si="23"/>
        <v>0</v>
      </c>
      <c r="F70" s="5">
        <f t="shared" si="23"/>
        <v>0</v>
      </c>
      <c r="H70" s="53">
        <v>1.25</v>
      </c>
      <c r="I70" s="12" t="s">
        <v>1</v>
      </c>
    </row>
    <row r="71" spans="2:9" x14ac:dyDescent="0.25">
      <c r="B71" s="11" t="s">
        <v>2</v>
      </c>
      <c r="C71" s="5">
        <f>MIN(C65,ROUNDDOWN(SUM(C62:C66)*30%,0))</f>
        <v>0</v>
      </c>
      <c r="D71" s="5">
        <f t="shared" ref="D71:F71" si="24">MIN(D65,ROUNDDOWN(SUM(D62:D66)*30%,0))</f>
        <v>0</v>
      </c>
      <c r="E71" s="5">
        <f t="shared" si="24"/>
        <v>0</v>
      </c>
      <c r="F71" s="5">
        <f t="shared" si="24"/>
        <v>0</v>
      </c>
      <c r="H71" s="53">
        <v>1.5</v>
      </c>
      <c r="I71" s="12" t="s">
        <v>2</v>
      </c>
    </row>
    <row r="72" spans="2:9" x14ac:dyDescent="0.25">
      <c r="B72" s="11" t="s">
        <v>90</v>
      </c>
      <c r="C72" s="5">
        <f>MIN(C66,ROUNDDOWN(SUM(C62:C66)*10%,0))</f>
        <v>0</v>
      </c>
      <c r="D72" s="5">
        <f t="shared" ref="D72:F72" si="25">MIN(D66,ROUNDDOWN(SUM(D62:D66)*10%,0))</f>
        <v>0</v>
      </c>
      <c r="E72" s="5">
        <f t="shared" si="25"/>
        <v>0</v>
      </c>
      <c r="F72" s="5">
        <f t="shared" si="25"/>
        <v>0</v>
      </c>
      <c r="H72" s="53">
        <v>1.75</v>
      </c>
      <c r="I72" s="12" t="s">
        <v>5</v>
      </c>
    </row>
    <row r="90" spans="8:8" x14ac:dyDescent="0.25">
      <c r="H90" t="s">
        <v>168</v>
      </c>
    </row>
    <row r="91" spans="8:8" x14ac:dyDescent="0.25">
      <c r="H91" s="57" t="s">
        <v>170</v>
      </c>
    </row>
    <row r="92" spans="8:8" x14ac:dyDescent="0.25">
      <c r="H92" s="57" t="s">
        <v>171</v>
      </c>
    </row>
    <row r="93" spans="8:8" x14ac:dyDescent="0.25">
      <c r="H93" s="57" t="s">
        <v>172</v>
      </c>
    </row>
    <row r="103" spans="8:8" x14ac:dyDescent="0.25">
      <c r="H103" s="57" t="s">
        <v>173</v>
      </c>
    </row>
    <row r="106" spans="8:8" x14ac:dyDescent="0.25">
      <c r="H106" s="57" t="s">
        <v>175</v>
      </c>
    </row>
    <row r="116" spans="8:8" x14ac:dyDescent="0.25">
      <c r="H116" s="57" t="s">
        <v>174</v>
      </c>
    </row>
    <row r="126" spans="8:8" x14ac:dyDescent="0.25">
      <c r="H126" s="57" t="s">
        <v>178</v>
      </c>
    </row>
    <row r="129" spans="8:8" x14ac:dyDescent="0.25">
      <c r="H129" s="57" t="s">
        <v>176</v>
      </c>
    </row>
    <row r="133" spans="8:8" x14ac:dyDescent="0.25">
      <c r="H133" s="57" t="s">
        <v>177</v>
      </c>
    </row>
    <row r="141" spans="8:8" x14ac:dyDescent="0.25">
      <c r="H141" s="57" t="s">
        <v>169</v>
      </c>
    </row>
    <row r="147" spans="2:2" x14ac:dyDescent="0.25">
      <c r="B147" t="s">
        <v>181</v>
      </c>
    </row>
  </sheetData>
  <sheetProtection formatColumns="0"/>
  <mergeCells count="4">
    <mergeCell ref="L10:M10"/>
    <mergeCell ref="H10:I10"/>
    <mergeCell ref="A3:B3"/>
    <mergeCell ref="A4:B4"/>
  </mergeCells>
  <conditionalFormatting sqref="H68:H72 H37 H26:H28 H35 H14:H21">
    <cfRule type="expression" dxfId="8" priority="8">
      <formula>#REF!="Rule Set B"</formula>
    </cfRule>
  </conditionalFormatting>
  <conditionalFormatting sqref="H38">
    <cfRule type="expression" dxfId="7" priority="7">
      <formula>#REF!="Rule Set B"</formula>
    </cfRule>
  </conditionalFormatting>
  <conditionalFormatting sqref="H56">
    <cfRule type="expression" dxfId="6" priority="5">
      <formula>#REF!="Rule Set B"</formula>
    </cfRule>
  </conditionalFormatting>
  <conditionalFormatting sqref="H55">
    <cfRule type="expression" dxfId="5" priority="4">
      <formula>#REF!="Rule Set B"</formula>
    </cfRule>
  </conditionalFormatting>
  <conditionalFormatting sqref="H22">
    <cfRule type="expression" dxfId="4" priority="3">
      <formula>#REF!="Rule Set B"</formula>
    </cfRule>
  </conditionalFormatting>
  <conditionalFormatting sqref="H34">
    <cfRule type="expression" dxfId="3" priority="2">
      <formula>#REF!="Rule Set B"</formula>
    </cfRule>
  </conditionalFormatting>
  <conditionalFormatting sqref="H59:H60">
    <cfRule type="expression" dxfId="2" priority="1">
      <formula>#REF!="Rule Set B"</formula>
    </cfRule>
  </conditionalFormatting>
  <dataValidations count="9">
    <dataValidation type="list" allowBlank="1" showInputMessage="1" showErrorMessage="1" sqref="C17:F17" xr:uid="{00000000-0002-0000-0100-000002000000}">
      <formula1>"Family,Senior,Special Needs,Other"</formula1>
    </dataValidation>
    <dataValidation type="list" allowBlank="1" showInputMessage="1" showErrorMessage="1" sqref="C15:F15" xr:uid="{00000000-0002-0000-0100-000005000000}">
      <formula1>ListCounty</formula1>
    </dataValidation>
    <dataValidation type="list" allowBlank="1" showInputMessage="1" showErrorMessage="1" sqref="C16:F16" xr:uid="{89CDB443-F355-4450-ACF3-088C654F1CC0}">
      <formula1>ListOpportunityAreas</formula1>
    </dataValidation>
    <dataValidation type="whole" allowBlank="1" showInputMessage="1" showErrorMessage="1" sqref="C20:F20 C22:F22" xr:uid="{2FDCB6A9-8269-4DF6-8656-7425A5B06637}">
      <formula1>0</formula1>
      <formula2>7</formula2>
    </dataValidation>
    <dataValidation type="list" allowBlank="1" showInputMessage="1" showErrorMessage="1" sqref="C21:F21 C19:F19 C26:F26" xr:uid="{16AA1688-EB01-4066-8B35-F2039DE87781}">
      <formula1>"TRUE"</formula1>
    </dataValidation>
    <dataValidation type="decimal" allowBlank="1" showInputMessage="1" showErrorMessage="1" sqref="C56:F56" xr:uid="{00000000-0002-0000-0100-000006000000}">
      <formula1>-1</formula1>
      <formula2>1</formula2>
    </dataValidation>
    <dataValidation type="list" allowBlank="1" showInputMessage="1" showErrorMessage="1" sqref="C27:F27" xr:uid="{6EABE8AA-EC0C-43DB-BBEB-505B300A283F}">
      <formula1>"Type I Con., Type III Con."</formula1>
    </dataValidation>
    <dataValidation type="list" allowBlank="1" showInputMessage="1" showErrorMessage="1" sqref="H56" xr:uid="{2558149A-B715-4A00-A876-D75077A5219F}">
      <formula1>"Minimum,Median"</formula1>
    </dataValidation>
    <dataValidation type="list" allowBlank="1" showInputMessage="1" showErrorMessage="1" sqref="L10:M10" xr:uid="{F03BD0B2-B312-4C23-BC0C-51D370F5722F}">
      <formula1>"Description,Project 1,Project 2,Project 3,Project 4"</formula1>
    </dataValidation>
  </dataValidations>
  <hyperlinks>
    <hyperlink ref="H141" r:id="rId1" location="s10302(vv)" xr:uid="{7DECE44A-5387-4431-B15F-F51B17DF70A8}"/>
    <hyperlink ref="H103" r:id="rId2" location="s5170(p9)" xr:uid="{63646341-A5B7-4241-BC5C-D76AB1106D5A}"/>
    <hyperlink ref="H93" r:id="rId3" location="s10325(g)(3)" xr:uid="{85E3358E-9F4A-4CDD-A4B9-BF5D5DB25B1A}"/>
    <hyperlink ref="H92" r:id="rId4" location="s10325(g)(1)" xr:uid="{75D9BA43-6770-42FB-B8A5-6BD0BD49E8E7}"/>
    <hyperlink ref="H91" r:id="rId5" location="s5230(g)" xr:uid="{C2C05F62-1881-4474-9E7D-48F1BE5F535D}"/>
    <hyperlink ref="H116" r:id="rId6" location="s10325(c)(4)(A)(ii)" xr:uid="{16327C7F-F2F5-48A0-8CD1-7A4B4CEB4038}"/>
    <hyperlink ref="H106" r:id="rId7" location="s10325(c)(4)(A)(i)" xr:uid="{D104F619-FCA5-478A-9954-222F6CACFCF5}"/>
    <hyperlink ref="H126" r:id="rId8" location="s10327(c)(5)(A)p2" xr:uid="{71BDED44-1B45-47C8-9620-B84EB4E5E4C7}"/>
    <hyperlink ref="H129" r:id="rId9" location="s10327(c)(5)(A)p7" xr:uid="{AB925991-7136-4162-94B8-050073945312}"/>
    <hyperlink ref="H133" r:id="rId10" location="s10327(c)(5)(A)p8" xr:uid="{F36A3D95-BD3D-4C58-8530-F76C4593D6AA}"/>
  </hyperlinks>
  <pageMargins left="0.25" right="0.25" top="0.75" bottom="0.75" header="0.3" footer="0.3"/>
  <pageSetup scale="85" orientation="portrait" horizontalDpi="0" verticalDpi="0" r:id="rId11"/>
  <rowBreaks count="1" manualBreakCount="1">
    <brk id="57" max="8" man="1"/>
  </rowBreaks>
  <drawing r:id="rId1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DD96D4-84BE-4DB8-94F8-8621F7026631}">
  <sheetPr codeName="Sheet1"/>
  <dimension ref="A1:R148"/>
  <sheetViews>
    <sheetView zoomScale="115" zoomScaleNormal="115" workbookViewId="0">
      <pane ySplit="2" topLeftCell="A27" activePane="bottomLeft" state="frozen"/>
      <selection activeCell="E12" sqref="E12"/>
      <selection pane="bottomLeft" activeCell="D50" sqref="D50"/>
    </sheetView>
  </sheetViews>
  <sheetFormatPr defaultColWidth="8.85546875" defaultRowHeight="15" x14ac:dyDescent="0.25"/>
  <cols>
    <col min="1" max="1" width="9.7109375" customWidth="1"/>
    <col min="2" max="2" width="10.85546875" customWidth="1"/>
    <col min="3" max="3" width="12.140625" customWidth="1"/>
    <col min="5" max="5" width="9.140625"/>
    <col min="6" max="6" width="12.140625" customWidth="1"/>
    <col min="7" max="7" width="11.140625" customWidth="1"/>
    <col min="8" max="8" width="11.85546875" customWidth="1"/>
    <col min="9" max="9" width="10" customWidth="1"/>
    <col min="10" max="10" width="12.85546875" customWidth="1"/>
    <col min="11" max="17" width="10.28515625" customWidth="1"/>
  </cols>
  <sheetData>
    <row r="1" spans="1:18" x14ac:dyDescent="0.25">
      <c r="A1" s="39">
        <v>1</v>
      </c>
      <c r="B1" s="22">
        <f>SUMIFS(Units[Quantity],Units[Project],$A$1)</f>
        <v>0</v>
      </c>
      <c r="C1" s="22"/>
      <c r="D1" s="23" t="e" cm="1">
        <f t="array" ref="D1">SUMPRODUCT(--(Units[Project]=$A$1),Units[Quantity],Units[AMI])/B1</f>
        <v>#DIV/0!</v>
      </c>
      <c r="E1" s="23"/>
      <c r="F1" s="26">
        <f>SUMIFS(Units[Quantity],Units[Special Population],Units[[#Headers],[Special Needs]],Units[Project],A1)</f>
        <v>0</v>
      </c>
      <c r="G1" s="26">
        <f>SUMIFS(Units[Quantity],Units[Special Population],Units[[#Headers],[Veterans]],Units[Project],A1)</f>
        <v>0</v>
      </c>
      <c r="H1" s="26">
        <f>SUMIFS(Units[Quantity],Units[Special Population],Units[[#Headers],[Homeless]],Units[Project],A1)</f>
        <v>0</v>
      </c>
      <c r="I1" s="26">
        <f>MIN(SUMIFS(Units[ELI],Units[Project],$A$1),B1*'CDLAC Self Score Tie Breaker'!H59)</f>
        <v>0</v>
      </c>
      <c r="J1" s="22"/>
      <c r="K1" s="22"/>
      <c r="L1" s="22"/>
      <c r="M1" s="22"/>
      <c r="N1" s="25">
        <f>SUMIFS(Units[RS * Q],Units[Project],$A$1)</f>
        <v>0</v>
      </c>
      <c r="O1" s="23">
        <f>RentLimitFloor</f>
        <v>0.4</v>
      </c>
      <c r="P1" s="22" t="s">
        <v>159</v>
      </c>
      <c r="Q1" s="25">
        <f>SUMIFS(Units[RLFS * Q],Units[Project],$A$1)</f>
        <v>0</v>
      </c>
    </row>
    <row r="2" spans="1:18" ht="30" customHeight="1" x14ac:dyDescent="0.25">
      <c r="A2" s="21" t="s">
        <v>91</v>
      </c>
      <c r="B2" s="21" t="s">
        <v>92</v>
      </c>
      <c r="C2" s="21" t="s">
        <v>85</v>
      </c>
      <c r="D2" s="21" t="s">
        <v>75</v>
      </c>
      <c r="E2" s="21" t="s">
        <v>158</v>
      </c>
      <c r="F2" s="21" t="s">
        <v>76</v>
      </c>
      <c r="G2" s="21" t="s">
        <v>64</v>
      </c>
      <c r="H2" s="21" t="s">
        <v>65</v>
      </c>
      <c r="I2" s="44" t="s">
        <v>94</v>
      </c>
      <c r="J2" s="21" t="s">
        <v>160</v>
      </c>
      <c r="K2" s="21" t="s">
        <v>93</v>
      </c>
      <c r="L2" s="21" t="s">
        <v>99</v>
      </c>
      <c r="M2" s="21" t="s">
        <v>95</v>
      </c>
      <c r="N2" s="21" t="s">
        <v>105</v>
      </c>
      <c r="O2" s="21" t="s">
        <v>96</v>
      </c>
      <c r="P2" s="21" t="s">
        <v>97</v>
      </c>
      <c r="Q2" s="21" t="s">
        <v>106</v>
      </c>
      <c r="R2" s="21" t="s">
        <v>107</v>
      </c>
    </row>
    <row r="3" spans="1:18" x14ac:dyDescent="0.25">
      <c r="A3" s="39">
        <v>1</v>
      </c>
      <c r="B3" s="14"/>
      <c r="C3" s="14"/>
      <c r="D3" s="16"/>
      <c r="E3" s="16"/>
      <c r="F3" s="14"/>
      <c r="G3" s="14"/>
      <c r="H3" s="14"/>
      <c r="I3" s="45">
        <f>Units[[#This Row],[Quantity]]*(Units[[#This Row],[Min Inputs]])*(Units[[#This Row],[AMI]]&lt;=30%)</f>
        <v>0</v>
      </c>
      <c r="J3" t="str">
        <f>IF(OR(Units[[#This Row],[Special Needs]]=TRUE,Units[[#This Row],[Veterans]]=TRUE,Units[[#This Row],[Homeless]]=TRUE),TRUE,"")</f>
        <v/>
      </c>
      <c r="K3" s="1" t="str" cm="1">
        <f t="array" ref="K3">IF(Units[[#This Row],[Min Inputs]],INDEX(DataAmi,INDEX(ListCountyRows,Units[[#This Row],[Project]]),MIN(Units[[#This Row],[Bedrooms]]+1,5))*Units[[#This Row],[AMI]]/12*30%,"")</f>
        <v/>
      </c>
      <c r="L3" s="1" t="str" cm="1">
        <f t="array" ref="L3">IF(Units[[#This Row],[Min Inputs]],INDEX(DataFmr,INDEX(ListCountyRows,Units[[#This Row],[Project]]),MIN(Units[[#This Row],[Bedrooms]]+1,5)),"")</f>
        <v/>
      </c>
      <c r="M3" s="1" t="str">
        <f>IF(Units[[#This Row],[Min Inputs]],IFERROR(Units[[#This Row],[Fair Market Rent]]-Units[[#This Row],[Rent Limit]],""),"")</f>
        <v/>
      </c>
      <c r="N3" s="1" t="str">
        <f>IFERROR(Units[[#This Row],[Rent Savings]]*Units[[#This Row],[Quantity]],"")</f>
        <v/>
      </c>
      <c r="O3" s="1" t="str" cm="1">
        <f t="array" ref="O3">IF(Units[[#This Row],[Min Inputs]],INDEX(DataAmi,INDEX(ListCountyRows,Units[[#This Row],[Project]]),MIN(Units[[#This Row],[Bedrooms]]+1,5))*IF(AND(Units[[#This Row],[PBV Units]]=TRUE,Units[[#This Row],[AMI]]&lt;=30%),30%,RentLimitFloor)/12*30%,"")</f>
        <v/>
      </c>
      <c r="P3" s="1" t="str">
        <f>IF(Units[[#This Row],[Min Inputs]],IFERROR(Units[[#This Row],[Fair Market Rent]]-Units[[#This Row],[Rent Limit Floor]],""),"")</f>
        <v/>
      </c>
      <c r="Q3" s="1" t="str">
        <f>IFERROR(Units[[#This Row],[RLF Savings]]*Units[[#This Row],[Quantity]],"")</f>
        <v/>
      </c>
      <c r="R3" s="27" t="b">
        <f>AND(Units[[#This Row],[Project]]&gt;0,Units[[#This Row],[Quantity]]&gt;0,Units[[#This Row],[Bedrooms]]&gt;-1,Units[[#This Row],[AMI]]&gt;=20%,Units[[#This Row],[AMI]]&lt;=80%)</f>
        <v>0</v>
      </c>
    </row>
    <row r="4" spans="1:18" x14ac:dyDescent="0.25">
      <c r="A4" s="39">
        <v>1</v>
      </c>
      <c r="B4" s="14"/>
      <c r="C4" s="14"/>
      <c r="D4" s="16"/>
      <c r="E4" s="16"/>
      <c r="F4" s="14"/>
      <c r="G4" s="14"/>
      <c r="H4" s="14"/>
      <c r="I4" s="45">
        <f>Units[[#This Row],[Quantity]]*(Units[[#This Row],[Min Inputs]])*(Units[[#This Row],[AMI]]&lt;=30%)</f>
        <v>0</v>
      </c>
      <c r="J4" t="str">
        <f>IF(OR(Units[[#This Row],[Special Needs]]=TRUE,Units[[#This Row],[Veterans]]=TRUE,Units[[#This Row],[Homeless]]=TRUE),TRUE,"")</f>
        <v/>
      </c>
      <c r="K4" s="1" t="str" cm="1">
        <f t="array" ref="K4">IF(Units[[#This Row],[Min Inputs]],INDEX(DataAmi,INDEX(ListCountyRows,Units[[#This Row],[Project]]),MIN(Units[[#This Row],[Bedrooms]]+1,5))*Units[[#This Row],[AMI]]/12*30%,"")</f>
        <v/>
      </c>
      <c r="L4" s="1" t="str" cm="1">
        <f t="array" ref="L4">IF(Units[[#This Row],[Min Inputs]],INDEX(DataFmr,INDEX(ListCountyRows,Units[[#This Row],[Project]]),MIN(Units[[#This Row],[Bedrooms]]+1,5)),"")</f>
        <v/>
      </c>
      <c r="M4" s="1" t="str">
        <f>IF(Units[[#This Row],[Min Inputs]],IFERROR(Units[[#This Row],[Fair Market Rent]]-Units[[#This Row],[Rent Limit]],""),"")</f>
        <v/>
      </c>
      <c r="N4" s="1" t="str">
        <f>IFERROR(Units[[#This Row],[Rent Savings]]*Units[[#This Row],[Quantity]],"")</f>
        <v/>
      </c>
      <c r="O4" s="1" t="str" cm="1">
        <f t="array" ref="O4">IF(Units[[#This Row],[Min Inputs]],INDEX(DataAmi,INDEX(ListCountyRows,Units[[#This Row],[Project]]),MIN(Units[[#This Row],[Bedrooms]]+1,5))*IF(AND(Units[[#This Row],[PBV Units]]=TRUE,Units[[#This Row],[AMI]]&lt;=30%),30%,RentLimitFloor)/12*30%,"")</f>
        <v/>
      </c>
      <c r="P4" s="1" t="str">
        <f>IF(Units[[#This Row],[Min Inputs]],IFERROR(Units[[#This Row],[Fair Market Rent]]-Units[[#This Row],[Rent Limit Floor]],""),"")</f>
        <v/>
      </c>
      <c r="Q4" s="1" t="str">
        <f>IFERROR(Units[[#This Row],[RLF Savings]]*Units[[#This Row],[Quantity]],"")</f>
        <v/>
      </c>
      <c r="R4" s="27" t="b">
        <f>AND(Units[[#This Row],[Project]]&gt;0,Units[[#This Row],[Quantity]]&gt;0,Units[[#This Row],[Bedrooms]]&gt;-1,Units[[#This Row],[AMI]]&gt;=20%,Units[[#This Row],[AMI]]&lt;=80%)</f>
        <v>0</v>
      </c>
    </row>
    <row r="5" spans="1:18" x14ac:dyDescent="0.25">
      <c r="A5" s="39">
        <v>1</v>
      </c>
      <c r="B5" s="14"/>
      <c r="C5" s="14"/>
      <c r="D5" s="16"/>
      <c r="E5" s="16"/>
      <c r="F5" s="14"/>
      <c r="G5" s="14"/>
      <c r="H5" s="14"/>
      <c r="I5" s="45">
        <f>Units[[#This Row],[Quantity]]*(Units[[#This Row],[Min Inputs]])*(Units[[#This Row],[AMI]]&lt;=30%)</f>
        <v>0</v>
      </c>
      <c r="J5" t="str">
        <f>IF(OR(Units[[#This Row],[Special Needs]]=TRUE,Units[[#This Row],[Veterans]]=TRUE,Units[[#This Row],[Homeless]]=TRUE),TRUE,"")</f>
        <v/>
      </c>
      <c r="K5" s="1" t="str" cm="1">
        <f t="array" ref="K5">IF(Units[[#This Row],[Min Inputs]],INDEX(DataAmi,INDEX(ListCountyRows,Units[[#This Row],[Project]]),MIN(Units[[#This Row],[Bedrooms]]+1,5))*Units[[#This Row],[AMI]]/12*30%,"")</f>
        <v/>
      </c>
      <c r="L5" s="1" t="str" cm="1">
        <f t="array" ref="L5">IF(Units[[#This Row],[Min Inputs]],INDEX(DataFmr,INDEX(ListCountyRows,Units[[#This Row],[Project]]),MIN(Units[[#This Row],[Bedrooms]]+1,5)),"")</f>
        <v/>
      </c>
      <c r="M5" s="1" t="str">
        <f>IF(Units[[#This Row],[Min Inputs]],IFERROR(Units[[#This Row],[Fair Market Rent]]-Units[[#This Row],[Rent Limit]],""),"")</f>
        <v/>
      </c>
      <c r="N5" s="1" t="str">
        <f>IFERROR(Units[[#This Row],[Rent Savings]]*Units[[#This Row],[Quantity]],"")</f>
        <v/>
      </c>
      <c r="O5" s="1" t="str" cm="1">
        <f t="array" ref="O5">IF(Units[[#This Row],[Min Inputs]],INDEX(DataAmi,INDEX(ListCountyRows,Units[[#This Row],[Project]]),MIN(Units[[#This Row],[Bedrooms]]+1,5))*IF(AND(Units[[#This Row],[PBV Units]]=TRUE,Units[[#This Row],[AMI]]&lt;=30%),30%,RentLimitFloor)/12*30%,"")</f>
        <v/>
      </c>
      <c r="P5" s="1" t="str">
        <f>IF(Units[[#This Row],[Min Inputs]],IFERROR(Units[[#This Row],[Fair Market Rent]]-Units[[#This Row],[Rent Limit Floor]],""),"")</f>
        <v/>
      </c>
      <c r="Q5" s="1" t="str">
        <f>IFERROR(Units[[#This Row],[RLF Savings]]*Units[[#This Row],[Quantity]],"")</f>
        <v/>
      </c>
      <c r="R5" s="27" t="b">
        <f>AND(Units[[#This Row],[Project]]&gt;0,Units[[#This Row],[Quantity]]&gt;0,Units[[#This Row],[Bedrooms]]&gt;-1,Units[[#This Row],[AMI]]&gt;=20%,Units[[#This Row],[AMI]]&lt;=80%)</f>
        <v>0</v>
      </c>
    </row>
    <row r="6" spans="1:18" x14ac:dyDescent="0.25">
      <c r="A6" s="39">
        <v>1</v>
      </c>
      <c r="B6" s="14"/>
      <c r="C6" s="14"/>
      <c r="D6" s="16"/>
      <c r="E6" s="16"/>
      <c r="F6" s="14"/>
      <c r="G6" s="14"/>
      <c r="H6" s="14"/>
      <c r="I6" s="45">
        <f>Units[[#This Row],[Quantity]]*(Units[[#This Row],[Min Inputs]])*(Units[[#This Row],[AMI]]&lt;=30%)</f>
        <v>0</v>
      </c>
      <c r="J6" t="str">
        <f>IF(OR(Units[[#This Row],[Special Needs]]=TRUE,Units[[#This Row],[Veterans]]=TRUE,Units[[#This Row],[Homeless]]=TRUE),TRUE,"")</f>
        <v/>
      </c>
      <c r="K6" s="1" t="str" cm="1">
        <f t="array" ref="K6">IF(Units[[#This Row],[Min Inputs]],INDEX(DataAmi,INDEX(ListCountyRows,Units[[#This Row],[Project]]),MIN(Units[[#This Row],[Bedrooms]]+1,5))*Units[[#This Row],[AMI]]/12*30%,"")</f>
        <v/>
      </c>
      <c r="L6" s="1" t="str" cm="1">
        <f t="array" ref="L6">IF(Units[[#This Row],[Min Inputs]],INDEX(DataFmr,INDEX(ListCountyRows,Units[[#This Row],[Project]]),MIN(Units[[#This Row],[Bedrooms]]+1,5)),"")</f>
        <v/>
      </c>
      <c r="M6" s="1" t="str">
        <f>IF(Units[[#This Row],[Min Inputs]],IFERROR(Units[[#This Row],[Fair Market Rent]]-Units[[#This Row],[Rent Limit]],""),"")</f>
        <v/>
      </c>
      <c r="N6" s="1" t="str">
        <f>IFERROR(Units[[#This Row],[Rent Savings]]*Units[[#This Row],[Quantity]],"")</f>
        <v/>
      </c>
      <c r="O6" s="1" t="str" cm="1">
        <f t="array" ref="O6">IF(Units[[#This Row],[Min Inputs]],INDEX(DataAmi,INDEX(ListCountyRows,Units[[#This Row],[Project]]),MIN(Units[[#This Row],[Bedrooms]]+1,5))*IF(AND(Units[[#This Row],[PBV Units]]=TRUE,Units[[#This Row],[AMI]]&lt;=30%),30%,RentLimitFloor)/12*30%,"")</f>
        <v/>
      </c>
      <c r="P6" s="1" t="str">
        <f>IF(Units[[#This Row],[Min Inputs]],IFERROR(Units[[#This Row],[Fair Market Rent]]-Units[[#This Row],[Rent Limit Floor]],""),"")</f>
        <v/>
      </c>
      <c r="Q6" s="1" t="str">
        <f>IFERROR(Units[[#This Row],[RLF Savings]]*Units[[#This Row],[Quantity]],"")</f>
        <v/>
      </c>
      <c r="R6" s="27" t="b">
        <f>AND(Units[[#This Row],[Project]]&gt;0,Units[[#This Row],[Quantity]]&gt;0,Units[[#This Row],[Bedrooms]]&gt;-1,Units[[#This Row],[AMI]]&gt;=20%,Units[[#This Row],[AMI]]&lt;=80%)</f>
        <v>0</v>
      </c>
    </row>
    <row r="7" spans="1:18" x14ac:dyDescent="0.25">
      <c r="A7" s="39">
        <v>1</v>
      </c>
      <c r="B7" s="14"/>
      <c r="C7" s="14"/>
      <c r="D7" s="16"/>
      <c r="E7" s="16"/>
      <c r="F7" s="14"/>
      <c r="G7" s="14"/>
      <c r="H7" s="14"/>
      <c r="I7" s="45">
        <f>Units[[#This Row],[Quantity]]*(Units[[#This Row],[Min Inputs]])*(Units[[#This Row],[AMI]]&lt;=30%)</f>
        <v>0</v>
      </c>
      <c r="J7" t="str">
        <f>IF(OR(Units[[#This Row],[Special Needs]]=TRUE,Units[[#This Row],[Veterans]]=TRUE,Units[[#This Row],[Homeless]]=TRUE),TRUE,"")</f>
        <v/>
      </c>
      <c r="K7" s="1" t="str" cm="1">
        <f t="array" ref="K7">IF(Units[[#This Row],[Min Inputs]],INDEX(DataAmi,INDEX(ListCountyRows,Units[[#This Row],[Project]]),MIN(Units[[#This Row],[Bedrooms]]+1,5))*Units[[#This Row],[AMI]]/12*30%,"")</f>
        <v/>
      </c>
      <c r="L7" s="1" t="str" cm="1">
        <f t="array" ref="L7">IF(Units[[#This Row],[Min Inputs]],INDEX(DataFmr,INDEX(ListCountyRows,Units[[#This Row],[Project]]),MIN(Units[[#This Row],[Bedrooms]]+1,5)),"")</f>
        <v/>
      </c>
      <c r="M7" s="1" t="str">
        <f>IF(Units[[#This Row],[Min Inputs]],IFERROR(Units[[#This Row],[Fair Market Rent]]-Units[[#This Row],[Rent Limit]],""),"")</f>
        <v/>
      </c>
      <c r="N7" s="1" t="str">
        <f>IFERROR(Units[[#This Row],[Rent Savings]]*Units[[#This Row],[Quantity]],"")</f>
        <v/>
      </c>
      <c r="O7" s="1" t="str" cm="1">
        <f t="array" ref="O7">IF(Units[[#This Row],[Min Inputs]],INDEX(DataAmi,INDEX(ListCountyRows,Units[[#This Row],[Project]]),MIN(Units[[#This Row],[Bedrooms]]+1,5))*IF(AND(Units[[#This Row],[PBV Units]]=TRUE,Units[[#This Row],[AMI]]&lt;=30%),30%,RentLimitFloor)/12*30%,"")</f>
        <v/>
      </c>
      <c r="P7" s="1" t="str">
        <f>IF(Units[[#This Row],[Min Inputs]],IFERROR(Units[[#This Row],[Fair Market Rent]]-Units[[#This Row],[Rent Limit Floor]],""),"")</f>
        <v/>
      </c>
      <c r="Q7" s="1" t="str">
        <f>IFERROR(Units[[#This Row],[RLF Savings]]*Units[[#This Row],[Quantity]],"")</f>
        <v/>
      </c>
      <c r="R7" s="27" t="b">
        <f>AND(Units[[#This Row],[Project]]&gt;0,Units[[#This Row],[Quantity]]&gt;0,Units[[#This Row],[Bedrooms]]&gt;-1,Units[[#This Row],[AMI]]&gt;=20%,Units[[#This Row],[AMI]]&lt;=80%)</f>
        <v>0</v>
      </c>
    </row>
    <row r="8" spans="1:18" x14ac:dyDescent="0.25">
      <c r="A8" s="39">
        <v>1</v>
      </c>
      <c r="B8" s="14"/>
      <c r="C8" s="14"/>
      <c r="D8" s="16"/>
      <c r="E8" s="16"/>
      <c r="F8" s="14"/>
      <c r="G8" s="14"/>
      <c r="H8" s="14"/>
      <c r="I8" s="45">
        <f>Units[[#This Row],[Quantity]]*(Units[[#This Row],[Min Inputs]])*(Units[[#This Row],[AMI]]&lt;=30%)</f>
        <v>0</v>
      </c>
      <c r="J8" t="str">
        <f>IF(OR(Units[[#This Row],[Special Needs]]=TRUE,Units[[#This Row],[Veterans]]=TRUE,Units[[#This Row],[Homeless]]=TRUE),TRUE,"")</f>
        <v/>
      </c>
      <c r="K8" s="1" t="str" cm="1">
        <f t="array" ref="K8">IF(Units[[#This Row],[Min Inputs]],INDEX(DataAmi,INDEX(ListCountyRows,Units[[#This Row],[Project]]),MIN(Units[[#This Row],[Bedrooms]]+1,5))*Units[[#This Row],[AMI]]/12*30%,"")</f>
        <v/>
      </c>
      <c r="L8" s="1" t="str" cm="1">
        <f t="array" ref="L8">IF(Units[[#This Row],[Min Inputs]],INDEX(DataFmr,INDEX(ListCountyRows,Units[[#This Row],[Project]]),MIN(Units[[#This Row],[Bedrooms]]+1,5)),"")</f>
        <v/>
      </c>
      <c r="M8" s="1" t="str">
        <f>IF(Units[[#This Row],[Min Inputs]],IFERROR(Units[[#This Row],[Fair Market Rent]]-Units[[#This Row],[Rent Limit]],""),"")</f>
        <v/>
      </c>
      <c r="N8" s="1" t="str">
        <f>IFERROR(Units[[#This Row],[Rent Savings]]*Units[[#This Row],[Quantity]],"")</f>
        <v/>
      </c>
      <c r="O8" s="1" t="str" cm="1">
        <f t="array" ref="O8">IF(Units[[#This Row],[Min Inputs]],INDEX(DataAmi,INDEX(ListCountyRows,Units[[#This Row],[Project]]),MIN(Units[[#This Row],[Bedrooms]]+1,5))*IF(AND(Units[[#This Row],[PBV Units]]=TRUE,Units[[#This Row],[AMI]]&lt;=30%),30%,RentLimitFloor)/12*30%,"")</f>
        <v/>
      </c>
      <c r="P8" s="1" t="str">
        <f>IF(Units[[#This Row],[Min Inputs]],IFERROR(Units[[#This Row],[Fair Market Rent]]-Units[[#This Row],[Rent Limit Floor]],""),"")</f>
        <v/>
      </c>
      <c r="Q8" s="1" t="str">
        <f>IFERROR(Units[[#This Row],[RLF Savings]]*Units[[#This Row],[Quantity]],"")</f>
        <v/>
      </c>
      <c r="R8" s="27" t="b">
        <f>AND(Units[[#This Row],[Project]]&gt;0,Units[[#This Row],[Quantity]]&gt;0,Units[[#This Row],[Bedrooms]]&gt;-1,Units[[#This Row],[AMI]]&gt;=20%,Units[[#This Row],[AMI]]&lt;=80%)</f>
        <v>0</v>
      </c>
    </row>
    <row r="9" spans="1:18" x14ac:dyDescent="0.25">
      <c r="A9" s="39">
        <v>1</v>
      </c>
      <c r="B9" s="14"/>
      <c r="C9" s="14"/>
      <c r="D9" s="16"/>
      <c r="E9" s="16"/>
      <c r="F9" s="14"/>
      <c r="G9" s="14"/>
      <c r="H9" s="14"/>
      <c r="I9" s="45">
        <f>Units[[#This Row],[Quantity]]*(Units[[#This Row],[Min Inputs]])*(Units[[#This Row],[AMI]]&lt;=30%)</f>
        <v>0</v>
      </c>
      <c r="J9" t="str">
        <f>IF(OR(Units[[#This Row],[Special Needs]]=TRUE,Units[[#This Row],[Veterans]]=TRUE,Units[[#This Row],[Homeless]]=TRUE),TRUE,"")</f>
        <v/>
      </c>
      <c r="K9" s="1" t="str" cm="1">
        <f t="array" ref="K9">IF(Units[[#This Row],[Min Inputs]],INDEX(DataAmi,INDEX(ListCountyRows,Units[[#This Row],[Project]]),MIN(Units[[#This Row],[Bedrooms]]+1,5))*Units[[#This Row],[AMI]]/12*30%,"")</f>
        <v/>
      </c>
      <c r="L9" s="1" t="str" cm="1">
        <f t="array" ref="L9">IF(Units[[#This Row],[Min Inputs]],INDEX(DataFmr,INDEX(ListCountyRows,Units[[#This Row],[Project]]),MIN(Units[[#This Row],[Bedrooms]]+1,5)),"")</f>
        <v/>
      </c>
      <c r="M9" s="1" t="str">
        <f>IF(Units[[#This Row],[Min Inputs]],IFERROR(Units[[#This Row],[Fair Market Rent]]-Units[[#This Row],[Rent Limit]],""),"")</f>
        <v/>
      </c>
      <c r="N9" s="1" t="str">
        <f>IFERROR(Units[[#This Row],[Rent Savings]]*Units[[#This Row],[Quantity]],"")</f>
        <v/>
      </c>
      <c r="O9" s="1" t="str" cm="1">
        <f t="array" ref="O9">IF(Units[[#This Row],[Min Inputs]],INDEX(DataAmi,INDEX(ListCountyRows,Units[[#This Row],[Project]]),MIN(Units[[#This Row],[Bedrooms]]+1,5))*IF(AND(Units[[#This Row],[PBV Units]]=TRUE,Units[[#This Row],[AMI]]&lt;=30%),30%,RentLimitFloor)/12*30%,"")</f>
        <v/>
      </c>
      <c r="P9" s="1" t="str">
        <f>IF(Units[[#This Row],[Min Inputs]],IFERROR(Units[[#This Row],[Fair Market Rent]]-Units[[#This Row],[Rent Limit Floor]],""),"")</f>
        <v/>
      </c>
      <c r="Q9" s="1" t="str">
        <f>IFERROR(Units[[#This Row],[RLF Savings]]*Units[[#This Row],[Quantity]],"")</f>
        <v/>
      </c>
      <c r="R9" s="27" t="b">
        <f>AND(Units[[#This Row],[Project]]&gt;0,Units[[#This Row],[Quantity]]&gt;0,Units[[#This Row],[Bedrooms]]&gt;-1,Units[[#This Row],[AMI]]&gt;=20%,Units[[#This Row],[AMI]]&lt;=80%)</f>
        <v>0</v>
      </c>
    </row>
    <row r="10" spans="1:18" x14ac:dyDescent="0.25">
      <c r="A10" s="39">
        <v>1</v>
      </c>
      <c r="B10" s="14"/>
      <c r="C10" s="14"/>
      <c r="D10" s="16"/>
      <c r="E10" s="16"/>
      <c r="F10" s="14"/>
      <c r="G10" s="14"/>
      <c r="H10" s="14"/>
      <c r="I10" s="45">
        <f>Units[[#This Row],[Quantity]]*(Units[[#This Row],[Min Inputs]])*(Units[[#This Row],[AMI]]&lt;=30%)</f>
        <v>0</v>
      </c>
      <c r="J10" t="str">
        <f>IF(OR(Units[[#This Row],[Special Needs]]=TRUE,Units[[#This Row],[Veterans]]=TRUE,Units[[#This Row],[Homeless]]=TRUE),TRUE,"")</f>
        <v/>
      </c>
      <c r="K10" s="1" t="str" cm="1">
        <f t="array" ref="K10">IF(Units[[#This Row],[Min Inputs]],INDEX(DataAmi,INDEX(ListCountyRows,Units[[#This Row],[Project]]),MIN(Units[[#This Row],[Bedrooms]]+1,5))*Units[[#This Row],[AMI]]/12*30%,"")</f>
        <v/>
      </c>
      <c r="L10" s="1" t="str" cm="1">
        <f t="array" ref="L10">IF(Units[[#This Row],[Min Inputs]],INDEX(DataFmr,INDEX(ListCountyRows,Units[[#This Row],[Project]]),MIN(Units[[#This Row],[Bedrooms]]+1,5)),"")</f>
        <v/>
      </c>
      <c r="M10" s="1" t="str">
        <f>IF(Units[[#This Row],[Min Inputs]],IFERROR(Units[[#This Row],[Fair Market Rent]]-Units[[#This Row],[Rent Limit]],""),"")</f>
        <v/>
      </c>
      <c r="N10" s="1" t="str">
        <f>IFERROR(Units[[#This Row],[Rent Savings]]*Units[[#This Row],[Quantity]],"")</f>
        <v/>
      </c>
      <c r="O10" s="1" t="str" cm="1">
        <f t="array" ref="O10">IF(Units[[#This Row],[Min Inputs]],INDEX(DataAmi,INDEX(ListCountyRows,Units[[#This Row],[Project]]),MIN(Units[[#This Row],[Bedrooms]]+1,5))*IF(AND(Units[[#This Row],[PBV Units]]=TRUE,Units[[#This Row],[AMI]]&lt;=30%),30%,RentLimitFloor)/12*30%,"")</f>
        <v/>
      </c>
      <c r="P10" s="1" t="str">
        <f>IF(Units[[#This Row],[Min Inputs]],IFERROR(Units[[#This Row],[Fair Market Rent]]-Units[[#This Row],[Rent Limit Floor]],""),"")</f>
        <v/>
      </c>
      <c r="Q10" s="1" t="str">
        <f>IFERROR(Units[[#This Row],[RLF Savings]]*Units[[#This Row],[Quantity]],"")</f>
        <v/>
      </c>
      <c r="R10" s="27" t="b">
        <f>AND(Units[[#This Row],[Project]]&gt;0,Units[[#This Row],[Quantity]]&gt;0,Units[[#This Row],[Bedrooms]]&gt;-1,Units[[#This Row],[AMI]]&gt;=20%,Units[[#This Row],[AMI]]&lt;=80%)</f>
        <v>0</v>
      </c>
    </row>
    <row r="11" spans="1:18" x14ac:dyDescent="0.25">
      <c r="A11" s="39">
        <v>1</v>
      </c>
      <c r="B11" s="14"/>
      <c r="C11" s="14"/>
      <c r="D11" s="16"/>
      <c r="E11" s="16"/>
      <c r="F11" s="14"/>
      <c r="G11" s="14"/>
      <c r="H11" s="14"/>
      <c r="I11" s="45">
        <f>Units[[#This Row],[Quantity]]*(Units[[#This Row],[Min Inputs]])*(Units[[#This Row],[AMI]]&lt;=30%)</f>
        <v>0</v>
      </c>
      <c r="J11" t="str">
        <f>IF(OR(Units[[#This Row],[Special Needs]]=TRUE,Units[[#This Row],[Veterans]]=TRUE,Units[[#This Row],[Homeless]]=TRUE),TRUE,"")</f>
        <v/>
      </c>
      <c r="K11" s="1" t="str" cm="1">
        <f t="array" ref="K11">IF(Units[[#This Row],[Min Inputs]],INDEX(DataAmi,INDEX(ListCountyRows,Units[[#This Row],[Project]]),MIN(Units[[#This Row],[Bedrooms]]+1,5))*Units[[#This Row],[AMI]]/12*30%,"")</f>
        <v/>
      </c>
      <c r="L11" s="1" t="str" cm="1">
        <f t="array" ref="L11">IF(Units[[#This Row],[Min Inputs]],INDEX(DataFmr,INDEX(ListCountyRows,Units[[#This Row],[Project]]),MIN(Units[[#This Row],[Bedrooms]]+1,5)),"")</f>
        <v/>
      </c>
      <c r="M11" s="1" t="str">
        <f>IF(Units[[#This Row],[Min Inputs]],IFERROR(Units[[#This Row],[Fair Market Rent]]-Units[[#This Row],[Rent Limit]],""),"")</f>
        <v/>
      </c>
      <c r="N11" s="1" t="str">
        <f>IFERROR(Units[[#This Row],[Rent Savings]]*Units[[#This Row],[Quantity]],"")</f>
        <v/>
      </c>
      <c r="O11" s="1" t="str" cm="1">
        <f t="array" ref="O11">IF(Units[[#This Row],[Min Inputs]],INDEX(DataAmi,INDEX(ListCountyRows,Units[[#This Row],[Project]]),MIN(Units[[#This Row],[Bedrooms]]+1,5))*IF(AND(Units[[#This Row],[PBV Units]]=TRUE,Units[[#This Row],[AMI]]&lt;=30%),30%,RentLimitFloor)/12*30%,"")</f>
        <v/>
      </c>
      <c r="P11" s="1" t="str">
        <f>IF(Units[[#This Row],[Min Inputs]],IFERROR(Units[[#This Row],[Fair Market Rent]]-Units[[#This Row],[Rent Limit Floor]],""),"")</f>
        <v/>
      </c>
      <c r="Q11" s="1" t="str">
        <f>IFERROR(Units[[#This Row],[RLF Savings]]*Units[[#This Row],[Quantity]],"")</f>
        <v/>
      </c>
      <c r="R11" s="27" t="b">
        <f>AND(Units[[#This Row],[Project]]&gt;0,Units[[#This Row],[Quantity]]&gt;0,Units[[#This Row],[Bedrooms]]&gt;-1,Units[[#This Row],[AMI]]&gt;=20%,Units[[#This Row],[AMI]]&lt;=80%)</f>
        <v>0</v>
      </c>
    </row>
    <row r="12" spans="1:18" x14ac:dyDescent="0.25">
      <c r="A12" s="39">
        <v>1</v>
      </c>
      <c r="B12" s="14"/>
      <c r="C12" s="14"/>
      <c r="D12" s="16"/>
      <c r="E12" s="16"/>
      <c r="F12" s="14"/>
      <c r="G12" s="14"/>
      <c r="H12" s="14"/>
      <c r="I12" s="45">
        <f>Units[[#This Row],[Quantity]]*(Units[[#This Row],[Min Inputs]])*(Units[[#This Row],[AMI]]&lt;=30%)</f>
        <v>0</v>
      </c>
      <c r="J12" t="str">
        <f>IF(OR(Units[[#This Row],[Special Needs]]=TRUE,Units[[#This Row],[Veterans]]=TRUE,Units[[#This Row],[Homeless]]=TRUE),TRUE,"")</f>
        <v/>
      </c>
      <c r="K12" s="1" t="str" cm="1">
        <f t="array" ref="K12">IF(Units[[#This Row],[Min Inputs]],INDEX(DataAmi,INDEX(ListCountyRows,Units[[#This Row],[Project]]),MIN(Units[[#This Row],[Bedrooms]]+1,5))*Units[[#This Row],[AMI]]/12*30%,"")</f>
        <v/>
      </c>
      <c r="L12" s="1" t="str" cm="1">
        <f t="array" ref="L12">IF(Units[[#This Row],[Min Inputs]],INDEX(DataFmr,INDEX(ListCountyRows,Units[[#This Row],[Project]]),MIN(Units[[#This Row],[Bedrooms]]+1,5)),"")</f>
        <v/>
      </c>
      <c r="M12" s="1" t="str">
        <f>IF(Units[[#This Row],[Min Inputs]],IFERROR(Units[[#This Row],[Fair Market Rent]]-Units[[#This Row],[Rent Limit]],""),"")</f>
        <v/>
      </c>
      <c r="N12" s="1" t="str">
        <f>IFERROR(Units[[#This Row],[Rent Savings]]*Units[[#This Row],[Quantity]],"")</f>
        <v/>
      </c>
      <c r="O12" s="1" t="str" cm="1">
        <f t="array" ref="O12">IF(Units[[#This Row],[Min Inputs]],INDEX(DataAmi,INDEX(ListCountyRows,Units[[#This Row],[Project]]),MIN(Units[[#This Row],[Bedrooms]]+1,5))*IF(AND(Units[[#This Row],[PBV Units]]=TRUE,Units[[#This Row],[AMI]]&lt;=30%),30%,RentLimitFloor)/12*30%,"")</f>
        <v/>
      </c>
      <c r="P12" s="1" t="str">
        <f>IF(Units[[#This Row],[Min Inputs]],IFERROR(Units[[#This Row],[Fair Market Rent]]-Units[[#This Row],[Rent Limit Floor]],""),"")</f>
        <v/>
      </c>
      <c r="Q12" s="1" t="str">
        <f>IFERROR(Units[[#This Row],[RLF Savings]]*Units[[#This Row],[Quantity]],"")</f>
        <v/>
      </c>
      <c r="R12" s="27" t="b">
        <f>AND(Units[[#This Row],[Project]]&gt;0,Units[[#This Row],[Quantity]]&gt;0,Units[[#This Row],[Bedrooms]]&gt;-1,Units[[#This Row],[AMI]]&gt;=20%,Units[[#This Row],[AMI]]&lt;=80%)</f>
        <v>0</v>
      </c>
    </row>
    <row r="13" spans="1:18" x14ac:dyDescent="0.25">
      <c r="A13" s="39"/>
      <c r="B13" s="14"/>
      <c r="C13" s="14"/>
      <c r="D13" s="16"/>
      <c r="E13" s="16"/>
      <c r="F13" s="14"/>
      <c r="G13" s="14"/>
      <c r="H13" s="14"/>
      <c r="I13" s="45">
        <f>Units[[#This Row],[Quantity]]*(Units[[#This Row],[Min Inputs]])*(Units[[#This Row],[AMI]]&lt;=30%)</f>
        <v>0</v>
      </c>
      <c r="J13" t="str">
        <f>IF(OR(Units[[#This Row],[Special Needs]]=TRUE,Units[[#This Row],[Veterans]]=TRUE,Units[[#This Row],[Homeless]]=TRUE),TRUE,"")</f>
        <v/>
      </c>
      <c r="K13" s="1" t="str" cm="1">
        <f t="array" ref="K13">IF(Units[[#This Row],[Min Inputs]],INDEX(DataAmi,INDEX(ListCountyRows,Units[[#This Row],[Project]]),MIN(Units[[#This Row],[Bedrooms]]+1,5))*Units[[#This Row],[AMI]]/12*30%,"")</f>
        <v/>
      </c>
      <c r="L13" s="1" t="str" cm="1">
        <f t="array" ref="L13">IF(Units[[#This Row],[Min Inputs]],INDEX(DataFmr,INDEX(ListCountyRows,Units[[#This Row],[Project]]),MIN(Units[[#This Row],[Bedrooms]]+1,5)),"")</f>
        <v/>
      </c>
      <c r="M13" s="1" t="str">
        <f>IF(Units[[#This Row],[Min Inputs]],IFERROR(Units[[#This Row],[Fair Market Rent]]-Units[[#This Row],[Rent Limit]],""),"")</f>
        <v/>
      </c>
      <c r="N13" s="1" t="str">
        <f>IFERROR(Units[[#This Row],[Rent Savings]]*Units[[#This Row],[Quantity]],"")</f>
        <v/>
      </c>
      <c r="O13" s="1" t="str" cm="1">
        <f t="array" ref="O13">IF(Units[[#This Row],[Min Inputs]],INDEX(DataAmi,INDEX(ListCountyRows,Units[[#This Row],[Project]]),MIN(Units[[#This Row],[Bedrooms]]+1,5))*IF(AND(Units[[#This Row],[PBV Units]]=TRUE,Units[[#This Row],[AMI]]&lt;=30%),30%,RentLimitFloor)/12*30%,"")</f>
        <v/>
      </c>
      <c r="P13" s="1" t="str">
        <f>IF(Units[[#This Row],[Min Inputs]],IFERROR(Units[[#This Row],[Fair Market Rent]]-Units[[#This Row],[Rent Limit Floor]],""),"")</f>
        <v/>
      </c>
      <c r="Q13" s="1" t="str">
        <f>IFERROR(Units[[#This Row],[RLF Savings]]*Units[[#This Row],[Quantity]],"")</f>
        <v/>
      </c>
      <c r="R13" s="27" t="b">
        <f>AND(Units[[#This Row],[Project]]&gt;0,Units[[#This Row],[Quantity]]&gt;0,Units[[#This Row],[Bedrooms]]&gt;-1,Units[[#This Row],[AMI]]&gt;=20%,Units[[#This Row],[AMI]]&lt;=80%)</f>
        <v>0</v>
      </c>
    </row>
    <row r="14" spans="1:18" x14ac:dyDescent="0.25">
      <c r="A14" s="39">
        <v>2</v>
      </c>
      <c r="B14" s="14"/>
      <c r="C14" s="14"/>
      <c r="D14" s="16"/>
      <c r="E14" s="16"/>
      <c r="F14" s="14"/>
      <c r="G14" s="14"/>
      <c r="H14" s="14"/>
      <c r="I14" s="45">
        <f>Units[[#This Row],[Quantity]]*(Units[[#This Row],[Min Inputs]])*(Units[[#This Row],[AMI]]&lt;=30%)</f>
        <v>0</v>
      </c>
      <c r="J14" t="str">
        <f>IF(OR(Units[[#This Row],[Special Needs]]=TRUE,Units[[#This Row],[Veterans]]=TRUE,Units[[#This Row],[Homeless]]=TRUE),TRUE,"")</f>
        <v/>
      </c>
      <c r="K14" s="1" t="str" cm="1">
        <f t="array" ref="K14">IF(Units[[#This Row],[Min Inputs]],INDEX(DataAmi,INDEX(ListCountyRows,Units[[#This Row],[Project]]),MIN(Units[[#This Row],[Bedrooms]]+1,5))*Units[[#This Row],[AMI]]/12*30%,"")</f>
        <v/>
      </c>
      <c r="L14" s="1" t="str" cm="1">
        <f t="array" ref="L14">IF(Units[[#This Row],[Min Inputs]],INDEX(DataFmr,INDEX(ListCountyRows,Units[[#This Row],[Project]]),MIN(Units[[#This Row],[Bedrooms]]+1,5)),"")</f>
        <v/>
      </c>
      <c r="M14" s="1" t="str">
        <f>IF(Units[[#This Row],[Min Inputs]],IFERROR(Units[[#This Row],[Fair Market Rent]]-Units[[#This Row],[Rent Limit]],""),"")</f>
        <v/>
      </c>
      <c r="N14" s="1" t="str">
        <f>IFERROR(Units[[#This Row],[Rent Savings]]*Units[[#This Row],[Quantity]],"")</f>
        <v/>
      </c>
      <c r="O14" s="1" t="str" cm="1">
        <f t="array" ref="O14">IF(Units[[#This Row],[Min Inputs]],INDEX(DataAmi,INDEX(ListCountyRows,Units[[#This Row],[Project]]),MIN(Units[[#This Row],[Bedrooms]]+1,5))*IF(AND(Units[[#This Row],[PBV Units]]=TRUE,Units[[#This Row],[AMI]]&lt;=30%),30%,RentLimitFloor)/12*30%,"")</f>
        <v/>
      </c>
      <c r="P14" s="1" t="str">
        <f>IF(Units[[#This Row],[Min Inputs]],IFERROR(Units[[#This Row],[Fair Market Rent]]-Units[[#This Row],[Rent Limit Floor]],""),"")</f>
        <v/>
      </c>
      <c r="Q14" s="1" t="str">
        <f>IFERROR(Units[[#This Row],[RLF Savings]]*Units[[#This Row],[Quantity]],"")</f>
        <v/>
      </c>
      <c r="R14" s="27" t="b">
        <f>AND(Units[[#This Row],[Project]]&gt;0,Units[[#This Row],[Quantity]]&gt;0,Units[[#This Row],[Bedrooms]]&gt;-1,Units[[#This Row],[AMI]]&gt;=20%,Units[[#This Row],[AMI]]&lt;=80%)</f>
        <v>0</v>
      </c>
    </row>
    <row r="15" spans="1:18" x14ac:dyDescent="0.25">
      <c r="A15" s="39">
        <v>2</v>
      </c>
      <c r="B15" s="14"/>
      <c r="C15" s="14"/>
      <c r="D15" s="16"/>
      <c r="E15" s="16"/>
      <c r="F15" s="14"/>
      <c r="G15" s="14"/>
      <c r="H15" s="14"/>
      <c r="I15" s="45">
        <f>Units[[#This Row],[Quantity]]*(Units[[#This Row],[Min Inputs]])*(Units[[#This Row],[AMI]]&lt;=30%)</f>
        <v>0</v>
      </c>
      <c r="J15" t="str">
        <f>IF(OR(Units[[#This Row],[Special Needs]]=TRUE,Units[[#This Row],[Veterans]]=TRUE,Units[[#This Row],[Homeless]]=TRUE),TRUE,"")</f>
        <v/>
      </c>
      <c r="K15" s="1" t="str" cm="1">
        <f t="array" ref="K15">IF(Units[[#This Row],[Min Inputs]],INDEX(DataAmi,INDEX(ListCountyRows,Units[[#This Row],[Project]]),MIN(Units[[#This Row],[Bedrooms]]+1,5))*Units[[#This Row],[AMI]]/12*30%,"")</f>
        <v/>
      </c>
      <c r="L15" s="1" t="str" cm="1">
        <f t="array" ref="L15">IF(Units[[#This Row],[Min Inputs]],INDEX(DataFmr,INDEX(ListCountyRows,Units[[#This Row],[Project]]),MIN(Units[[#This Row],[Bedrooms]]+1,5)),"")</f>
        <v/>
      </c>
      <c r="M15" s="1" t="str">
        <f>IF(Units[[#This Row],[Min Inputs]],IFERROR(Units[[#This Row],[Fair Market Rent]]-Units[[#This Row],[Rent Limit]],""),"")</f>
        <v/>
      </c>
      <c r="N15" s="1" t="str">
        <f>IFERROR(Units[[#This Row],[Rent Savings]]*Units[[#This Row],[Quantity]],"")</f>
        <v/>
      </c>
      <c r="O15" s="1" t="str" cm="1">
        <f t="array" ref="O15">IF(Units[[#This Row],[Min Inputs]],INDEX(DataAmi,INDEX(ListCountyRows,Units[[#This Row],[Project]]),MIN(Units[[#This Row],[Bedrooms]]+1,5))*IF(AND(Units[[#This Row],[PBV Units]]=TRUE,Units[[#This Row],[AMI]]&lt;=30%),30%,RentLimitFloor)/12*30%,"")</f>
        <v/>
      </c>
      <c r="P15" s="1" t="str">
        <f>IF(Units[[#This Row],[Min Inputs]],IFERROR(Units[[#This Row],[Fair Market Rent]]-Units[[#This Row],[Rent Limit Floor]],""),"")</f>
        <v/>
      </c>
      <c r="Q15" s="1" t="str">
        <f>IFERROR(Units[[#This Row],[RLF Savings]]*Units[[#This Row],[Quantity]],"")</f>
        <v/>
      </c>
      <c r="R15" s="27" t="b">
        <f>AND(Units[[#This Row],[Project]]&gt;0,Units[[#This Row],[Quantity]]&gt;0,Units[[#This Row],[Bedrooms]]&gt;-1,Units[[#This Row],[AMI]]&gt;=20%,Units[[#This Row],[AMI]]&lt;=80%)</f>
        <v>0</v>
      </c>
    </row>
    <row r="16" spans="1:18" x14ac:dyDescent="0.25">
      <c r="A16" s="39">
        <v>2</v>
      </c>
      <c r="B16" s="14"/>
      <c r="C16" s="14"/>
      <c r="D16" s="16"/>
      <c r="E16" s="16"/>
      <c r="F16" s="14"/>
      <c r="G16" s="14"/>
      <c r="H16" s="14"/>
      <c r="I16" s="45">
        <f>Units[[#This Row],[Quantity]]*(Units[[#This Row],[Min Inputs]])*(Units[[#This Row],[AMI]]&lt;=30%)</f>
        <v>0</v>
      </c>
      <c r="J16" t="str">
        <f>IF(OR(Units[[#This Row],[Special Needs]]=TRUE,Units[[#This Row],[Veterans]]=TRUE,Units[[#This Row],[Homeless]]=TRUE),TRUE,"")</f>
        <v/>
      </c>
      <c r="K16" s="1" t="str" cm="1">
        <f t="array" ref="K16">IF(Units[[#This Row],[Min Inputs]],INDEX(DataAmi,INDEX(ListCountyRows,Units[[#This Row],[Project]]),MIN(Units[[#This Row],[Bedrooms]]+1,5))*Units[[#This Row],[AMI]]/12*30%,"")</f>
        <v/>
      </c>
      <c r="L16" s="1" t="str" cm="1">
        <f t="array" ref="L16">IF(Units[[#This Row],[Min Inputs]],INDEX(DataFmr,INDEX(ListCountyRows,Units[[#This Row],[Project]]),MIN(Units[[#This Row],[Bedrooms]]+1,5)),"")</f>
        <v/>
      </c>
      <c r="M16" s="1" t="str">
        <f>IF(Units[[#This Row],[Min Inputs]],IFERROR(Units[[#This Row],[Fair Market Rent]]-Units[[#This Row],[Rent Limit]],""),"")</f>
        <v/>
      </c>
      <c r="N16" s="1" t="str">
        <f>IFERROR(Units[[#This Row],[Rent Savings]]*Units[[#This Row],[Quantity]],"")</f>
        <v/>
      </c>
      <c r="O16" s="1" t="str" cm="1">
        <f t="array" ref="O16">IF(Units[[#This Row],[Min Inputs]],INDEX(DataAmi,INDEX(ListCountyRows,Units[[#This Row],[Project]]),MIN(Units[[#This Row],[Bedrooms]]+1,5))*IF(AND(Units[[#This Row],[PBV Units]]=TRUE,Units[[#This Row],[AMI]]&lt;=30%),30%,RentLimitFloor)/12*30%,"")</f>
        <v/>
      </c>
      <c r="P16" s="1" t="str">
        <f>IF(Units[[#This Row],[Min Inputs]],IFERROR(Units[[#This Row],[Fair Market Rent]]-Units[[#This Row],[Rent Limit Floor]],""),"")</f>
        <v/>
      </c>
      <c r="Q16" s="1" t="str">
        <f>IFERROR(Units[[#This Row],[RLF Savings]]*Units[[#This Row],[Quantity]],"")</f>
        <v/>
      </c>
      <c r="R16" s="27" t="b">
        <f>AND(Units[[#This Row],[Project]]&gt;0,Units[[#This Row],[Quantity]]&gt;0,Units[[#This Row],[Bedrooms]]&gt;-1,Units[[#This Row],[AMI]]&gt;=20%,Units[[#This Row],[AMI]]&lt;=80%)</f>
        <v>0</v>
      </c>
    </row>
    <row r="17" spans="1:18" x14ac:dyDescent="0.25">
      <c r="A17" s="39">
        <v>2</v>
      </c>
      <c r="B17" s="14"/>
      <c r="C17" s="14"/>
      <c r="D17" s="16"/>
      <c r="E17" s="16"/>
      <c r="F17" s="14"/>
      <c r="G17" s="14"/>
      <c r="H17" s="14"/>
      <c r="I17" s="45">
        <f>Units[[#This Row],[Quantity]]*(Units[[#This Row],[Min Inputs]])*(Units[[#This Row],[AMI]]&lt;=30%)</f>
        <v>0</v>
      </c>
      <c r="J17" t="str">
        <f>IF(OR(Units[[#This Row],[Special Needs]]=TRUE,Units[[#This Row],[Veterans]]=TRUE,Units[[#This Row],[Homeless]]=TRUE),TRUE,"")</f>
        <v/>
      </c>
      <c r="K17" s="1" t="str" cm="1">
        <f t="array" ref="K17">IF(Units[[#This Row],[Min Inputs]],INDEX(DataAmi,INDEX(ListCountyRows,Units[[#This Row],[Project]]),MIN(Units[[#This Row],[Bedrooms]]+1,5))*Units[[#This Row],[AMI]]/12*30%,"")</f>
        <v/>
      </c>
      <c r="L17" s="1" t="str" cm="1">
        <f t="array" ref="L17">IF(Units[[#This Row],[Min Inputs]],INDEX(DataFmr,INDEX(ListCountyRows,Units[[#This Row],[Project]]),MIN(Units[[#This Row],[Bedrooms]]+1,5)),"")</f>
        <v/>
      </c>
      <c r="M17" s="1" t="str">
        <f>IF(Units[[#This Row],[Min Inputs]],IFERROR(Units[[#This Row],[Fair Market Rent]]-Units[[#This Row],[Rent Limit]],""),"")</f>
        <v/>
      </c>
      <c r="N17" s="1" t="str">
        <f>IFERROR(Units[[#This Row],[Rent Savings]]*Units[[#This Row],[Quantity]],"")</f>
        <v/>
      </c>
      <c r="O17" s="1" t="str" cm="1">
        <f t="array" ref="O17">IF(Units[[#This Row],[Min Inputs]],INDEX(DataAmi,INDEX(ListCountyRows,Units[[#This Row],[Project]]),MIN(Units[[#This Row],[Bedrooms]]+1,5))*IF(AND(Units[[#This Row],[PBV Units]]=TRUE,Units[[#This Row],[AMI]]&lt;=30%),30%,RentLimitFloor)/12*30%,"")</f>
        <v/>
      </c>
      <c r="P17" s="1" t="str">
        <f>IF(Units[[#This Row],[Min Inputs]],IFERROR(Units[[#This Row],[Fair Market Rent]]-Units[[#This Row],[Rent Limit Floor]],""),"")</f>
        <v/>
      </c>
      <c r="Q17" s="1" t="str">
        <f>IFERROR(Units[[#This Row],[RLF Savings]]*Units[[#This Row],[Quantity]],"")</f>
        <v/>
      </c>
      <c r="R17" s="27" t="b">
        <f>AND(Units[[#This Row],[Project]]&gt;0,Units[[#This Row],[Quantity]]&gt;0,Units[[#This Row],[Bedrooms]]&gt;-1,Units[[#This Row],[AMI]]&gt;=20%,Units[[#This Row],[AMI]]&lt;=80%)</f>
        <v>0</v>
      </c>
    </row>
    <row r="18" spans="1:18" x14ac:dyDescent="0.25">
      <c r="A18" s="39">
        <v>2</v>
      </c>
      <c r="B18" s="14"/>
      <c r="C18" s="14"/>
      <c r="D18" s="16"/>
      <c r="E18" s="16"/>
      <c r="F18" s="14"/>
      <c r="G18" s="14"/>
      <c r="H18" s="14"/>
      <c r="I18" s="45">
        <f>Units[[#This Row],[Quantity]]*(Units[[#This Row],[Min Inputs]])*(Units[[#This Row],[AMI]]&lt;=30%)</f>
        <v>0</v>
      </c>
      <c r="J18" t="str">
        <f>IF(OR(Units[[#This Row],[Special Needs]]=TRUE,Units[[#This Row],[Veterans]]=TRUE,Units[[#This Row],[Homeless]]=TRUE),TRUE,"")</f>
        <v/>
      </c>
      <c r="K18" s="1" t="str" cm="1">
        <f t="array" ref="K18">IF(Units[[#This Row],[Min Inputs]],INDEX(DataAmi,INDEX(ListCountyRows,Units[[#This Row],[Project]]),MIN(Units[[#This Row],[Bedrooms]]+1,5))*Units[[#This Row],[AMI]]/12*30%,"")</f>
        <v/>
      </c>
      <c r="L18" s="1" t="str" cm="1">
        <f t="array" ref="L18">IF(Units[[#This Row],[Min Inputs]],INDEX(DataFmr,INDEX(ListCountyRows,Units[[#This Row],[Project]]),MIN(Units[[#This Row],[Bedrooms]]+1,5)),"")</f>
        <v/>
      </c>
      <c r="M18" s="1" t="str">
        <f>IF(Units[[#This Row],[Min Inputs]],IFERROR(Units[[#This Row],[Fair Market Rent]]-Units[[#This Row],[Rent Limit]],""),"")</f>
        <v/>
      </c>
      <c r="N18" s="1" t="str">
        <f>IFERROR(Units[[#This Row],[Rent Savings]]*Units[[#This Row],[Quantity]],"")</f>
        <v/>
      </c>
      <c r="O18" s="1" t="str" cm="1">
        <f t="array" ref="O18">IF(Units[[#This Row],[Min Inputs]],INDEX(DataAmi,INDEX(ListCountyRows,Units[[#This Row],[Project]]),MIN(Units[[#This Row],[Bedrooms]]+1,5))*IF(AND(Units[[#This Row],[PBV Units]]=TRUE,Units[[#This Row],[AMI]]&lt;=30%),30%,RentLimitFloor)/12*30%,"")</f>
        <v/>
      </c>
      <c r="P18" s="1" t="str">
        <f>IF(Units[[#This Row],[Min Inputs]],IFERROR(Units[[#This Row],[Fair Market Rent]]-Units[[#This Row],[Rent Limit Floor]],""),"")</f>
        <v/>
      </c>
      <c r="Q18" s="1" t="str">
        <f>IFERROR(Units[[#This Row],[RLF Savings]]*Units[[#This Row],[Quantity]],"")</f>
        <v/>
      </c>
      <c r="R18" s="27" t="b">
        <f>AND(Units[[#This Row],[Project]]&gt;0,Units[[#This Row],[Quantity]]&gt;0,Units[[#This Row],[Bedrooms]]&gt;-1,Units[[#This Row],[AMI]]&gt;=20%,Units[[#This Row],[AMI]]&lt;=80%)</f>
        <v>0</v>
      </c>
    </row>
    <row r="19" spans="1:18" x14ac:dyDescent="0.25">
      <c r="A19" s="39">
        <v>2</v>
      </c>
      <c r="B19" s="14"/>
      <c r="C19" s="14"/>
      <c r="D19" s="16"/>
      <c r="E19" s="16"/>
      <c r="F19" s="14"/>
      <c r="G19" s="14"/>
      <c r="H19" s="14"/>
      <c r="I19" s="45">
        <f>Units[[#This Row],[Quantity]]*(Units[[#This Row],[Min Inputs]])*(Units[[#This Row],[AMI]]&lt;=30%)</f>
        <v>0</v>
      </c>
      <c r="J19" t="str">
        <f>IF(OR(Units[[#This Row],[Special Needs]]=TRUE,Units[[#This Row],[Veterans]]=TRUE,Units[[#This Row],[Homeless]]=TRUE),TRUE,"")</f>
        <v/>
      </c>
      <c r="K19" s="1" t="str" cm="1">
        <f t="array" ref="K19">IF(Units[[#This Row],[Min Inputs]],INDEX(DataAmi,INDEX(ListCountyRows,Units[[#This Row],[Project]]),MIN(Units[[#This Row],[Bedrooms]]+1,5))*Units[[#This Row],[AMI]]/12*30%,"")</f>
        <v/>
      </c>
      <c r="L19" s="1" t="str" cm="1">
        <f t="array" ref="L19">IF(Units[[#This Row],[Min Inputs]],INDEX(DataFmr,INDEX(ListCountyRows,Units[[#This Row],[Project]]),MIN(Units[[#This Row],[Bedrooms]]+1,5)),"")</f>
        <v/>
      </c>
      <c r="M19" s="1" t="str">
        <f>IF(Units[[#This Row],[Min Inputs]],IFERROR(Units[[#This Row],[Fair Market Rent]]-Units[[#This Row],[Rent Limit]],""),"")</f>
        <v/>
      </c>
      <c r="N19" s="1" t="str">
        <f>IFERROR(Units[[#This Row],[Rent Savings]]*Units[[#This Row],[Quantity]],"")</f>
        <v/>
      </c>
      <c r="O19" s="1" t="str" cm="1">
        <f t="array" ref="O19">IF(Units[[#This Row],[Min Inputs]],INDEX(DataAmi,INDEX(ListCountyRows,Units[[#This Row],[Project]]),MIN(Units[[#This Row],[Bedrooms]]+1,5))*IF(AND(Units[[#This Row],[PBV Units]]=TRUE,Units[[#This Row],[AMI]]&lt;=30%),30%,RentLimitFloor)/12*30%,"")</f>
        <v/>
      </c>
      <c r="P19" s="1" t="str">
        <f>IF(Units[[#This Row],[Min Inputs]],IFERROR(Units[[#This Row],[Fair Market Rent]]-Units[[#This Row],[Rent Limit Floor]],""),"")</f>
        <v/>
      </c>
      <c r="Q19" s="1" t="str">
        <f>IFERROR(Units[[#This Row],[RLF Savings]]*Units[[#This Row],[Quantity]],"")</f>
        <v/>
      </c>
      <c r="R19" s="27" t="b">
        <f>AND(Units[[#This Row],[Project]]&gt;0,Units[[#This Row],[Quantity]]&gt;0,Units[[#This Row],[Bedrooms]]&gt;-1,Units[[#This Row],[AMI]]&gt;=20%,Units[[#This Row],[AMI]]&lt;=80%)</f>
        <v>0</v>
      </c>
    </row>
    <row r="20" spans="1:18" x14ac:dyDescent="0.25">
      <c r="A20" s="39">
        <v>2</v>
      </c>
      <c r="B20" s="14"/>
      <c r="C20" s="14"/>
      <c r="D20" s="16"/>
      <c r="E20" s="16"/>
      <c r="F20" s="14"/>
      <c r="G20" s="14"/>
      <c r="H20" s="14"/>
      <c r="I20" s="45">
        <f>Units[[#This Row],[Quantity]]*(Units[[#This Row],[Min Inputs]])*(Units[[#This Row],[AMI]]&lt;=30%)</f>
        <v>0</v>
      </c>
      <c r="J20" t="str">
        <f>IF(OR(Units[[#This Row],[Special Needs]]=TRUE,Units[[#This Row],[Veterans]]=TRUE,Units[[#This Row],[Homeless]]=TRUE),TRUE,"")</f>
        <v/>
      </c>
      <c r="K20" s="1" t="str" cm="1">
        <f t="array" ref="K20">IF(Units[[#This Row],[Min Inputs]],INDEX(DataAmi,INDEX(ListCountyRows,Units[[#This Row],[Project]]),MIN(Units[[#This Row],[Bedrooms]]+1,5))*Units[[#This Row],[AMI]]/12*30%,"")</f>
        <v/>
      </c>
      <c r="L20" s="1" t="str" cm="1">
        <f t="array" ref="L20">IF(Units[[#This Row],[Min Inputs]],INDEX(DataFmr,INDEX(ListCountyRows,Units[[#This Row],[Project]]),MIN(Units[[#This Row],[Bedrooms]]+1,5)),"")</f>
        <v/>
      </c>
      <c r="M20" s="1" t="str">
        <f>IF(Units[[#This Row],[Min Inputs]],IFERROR(Units[[#This Row],[Fair Market Rent]]-Units[[#This Row],[Rent Limit]],""),"")</f>
        <v/>
      </c>
      <c r="N20" s="1" t="str">
        <f>IFERROR(Units[[#This Row],[Rent Savings]]*Units[[#This Row],[Quantity]],"")</f>
        <v/>
      </c>
      <c r="O20" s="1" t="str" cm="1">
        <f t="array" ref="O20">IF(Units[[#This Row],[Min Inputs]],INDEX(DataAmi,INDEX(ListCountyRows,Units[[#This Row],[Project]]),MIN(Units[[#This Row],[Bedrooms]]+1,5))*IF(AND(Units[[#This Row],[PBV Units]]=TRUE,Units[[#This Row],[AMI]]&lt;=30%),30%,RentLimitFloor)/12*30%,"")</f>
        <v/>
      </c>
      <c r="P20" s="1" t="str">
        <f>IF(Units[[#This Row],[Min Inputs]],IFERROR(Units[[#This Row],[Fair Market Rent]]-Units[[#This Row],[Rent Limit Floor]],""),"")</f>
        <v/>
      </c>
      <c r="Q20" s="1" t="str">
        <f>IFERROR(Units[[#This Row],[RLF Savings]]*Units[[#This Row],[Quantity]],"")</f>
        <v/>
      </c>
      <c r="R20" s="27" t="b">
        <f>AND(Units[[#This Row],[Project]]&gt;0,Units[[#This Row],[Quantity]]&gt;0,Units[[#This Row],[Bedrooms]]&gt;-1,Units[[#This Row],[AMI]]&gt;=20%,Units[[#This Row],[AMI]]&lt;=80%)</f>
        <v>0</v>
      </c>
    </row>
    <row r="21" spans="1:18" x14ac:dyDescent="0.25">
      <c r="A21" s="39">
        <v>2</v>
      </c>
      <c r="B21" s="14"/>
      <c r="C21" s="14"/>
      <c r="D21" s="16"/>
      <c r="E21" s="16"/>
      <c r="F21" s="14"/>
      <c r="G21" s="14"/>
      <c r="H21" s="14"/>
      <c r="I21" s="45">
        <f>Units[[#This Row],[Quantity]]*(Units[[#This Row],[Min Inputs]])*(Units[[#This Row],[AMI]]&lt;=30%)</f>
        <v>0</v>
      </c>
      <c r="J21" t="str">
        <f>IF(OR(Units[[#This Row],[Special Needs]]=TRUE,Units[[#This Row],[Veterans]]=TRUE,Units[[#This Row],[Homeless]]=TRUE),TRUE,"")</f>
        <v/>
      </c>
      <c r="K21" s="1" t="str" cm="1">
        <f t="array" ref="K21">IF(Units[[#This Row],[Min Inputs]],INDEX(DataAmi,INDEX(ListCountyRows,Units[[#This Row],[Project]]),MIN(Units[[#This Row],[Bedrooms]]+1,5))*Units[[#This Row],[AMI]]/12*30%,"")</f>
        <v/>
      </c>
      <c r="L21" s="1" t="str" cm="1">
        <f t="array" ref="L21">IF(Units[[#This Row],[Min Inputs]],INDEX(DataFmr,INDEX(ListCountyRows,Units[[#This Row],[Project]]),MIN(Units[[#This Row],[Bedrooms]]+1,5)),"")</f>
        <v/>
      </c>
      <c r="M21" s="1" t="str">
        <f>IF(Units[[#This Row],[Min Inputs]],IFERROR(Units[[#This Row],[Fair Market Rent]]-Units[[#This Row],[Rent Limit]],""),"")</f>
        <v/>
      </c>
      <c r="N21" s="1" t="str">
        <f>IFERROR(Units[[#This Row],[Rent Savings]]*Units[[#This Row],[Quantity]],"")</f>
        <v/>
      </c>
      <c r="O21" s="1" t="str" cm="1">
        <f t="array" ref="O21">IF(Units[[#This Row],[Min Inputs]],INDEX(DataAmi,INDEX(ListCountyRows,Units[[#This Row],[Project]]),MIN(Units[[#This Row],[Bedrooms]]+1,5))*IF(AND(Units[[#This Row],[PBV Units]]=TRUE,Units[[#This Row],[AMI]]&lt;=30%),30%,RentLimitFloor)/12*30%,"")</f>
        <v/>
      </c>
      <c r="P21" s="1" t="str">
        <f>IF(Units[[#This Row],[Min Inputs]],IFERROR(Units[[#This Row],[Fair Market Rent]]-Units[[#This Row],[Rent Limit Floor]],""),"")</f>
        <v/>
      </c>
      <c r="Q21" s="1" t="str">
        <f>IFERROR(Units[[#This Row],[RLF Savings]]*Units[[#This Row],[Quantity]],"")</f>
        <v/>
      </c>
      <c r="R21" s="27" t="b">
        <f>AND(Units[[#This Row],[Project]]&gt;0,Units[[#This Row],[Quantity]]&gt;0,Units[[#This Row],[Bedrooms]]&gt;-1,Units[[#This Row],[AMI]]&gt;=20%,Units[[#This Row],[AMI]]&lt;=80%)</f>
        <v>0</v>
      </c>
    </row>
    <row r="22" spans="1:18" x14ac:dyDescent="0.25">
      <c r="A22" s="39">
        <v>2</v>
      </c>
      <c r="B22" s="14"/>
      <c r="C22" s="14"/>
      <c r="D22" s="16"/>
      <c r="E22" s="16"/>
      <c r="F22" s="14"/>
      <c r="G22" s="14"/>
      <c r="H22" s="14"/>
      <c r="I22" s="45">
        <f>Units[[#This Row],[Quantity]]*(Units[[#This Row],[Min Inputs]])*(Units[[#This Row],[AMI]]&lt;=30%)</f>
        <v>0</v>
      </c>
      <c r="J22" t="str">
        <f>IF(OR(Units[[#This Row],[Special Needs]]=TRUE,Units[[#This Row],[Veterans]]=TRUE,Units[[#This Row],[Homeless]]=TRUE),TRUE,"")</f>
        <v/>
      </c>
      <c r="K22" s="1" t="str" cm="1">
        <f t="array" ref="K22">IF(Units[[#This Row],[Min Inputs]],INDEX(DataAmi,INDEX(ListCountyRows,Units[[#This Row],[Project]]),MIN(Units[[#This Row],[Bedrooms]]+1,5))*Units[[#This Row],[AMI]]/12*30%,"")</f>
        <v/>
      </c>
      <c r="L22" s="1" t="str" cm="1">
        <f t="array" ref="L22">IF(Units[[#This Row],[Min Inputs]],INDEX(DataFmr,INDEX(ListCountyRows,Units[[#This Row],[Project]]),MIN(Units[[#This Row],[Bedrooms]]+1,5)),"")</f>
        <v/>
      </c>
      <c r="M22" s="1" t="str">
        <f>IF(Units[[#This Row],[Min Inputs]],IFERROR(Units[[#This Row],[Fair Market Rent]]-Units[[#This Row],[Rent Limit]],""),"")</f>
        <v/>
      </c>
      <c r="N22" s="1" t="str">
        <f>IFERROR(Units[[#This Row],[Rent Savings]]*Units[[#This Row],[Quantity]],"")</f>
        <v/>
      </c>
      <c r="O22" s="1" t="str" cm="1">
        <f t="array" ref="O22">IF(Units[[#This Row],[Min Inputs]],INDEX(DataAmi,INDEX(ListCountyRows,Units[[#This Row],[Project]]),MIN(Units[[#This Row],[Bedrooms]]+1,5))*IF(AND(Units[[#This Row],[PBV Units]]=TRUE,Units[[#This Row],[AMI]]&lt;=30%),30%,RentLimitFloor)/12*30%,"")</f>
        <v/>
      </c>
      <c r="P22" s="1" t="str">
        <f>IF(Units[[#This Row],[Min Inputs]],IFERROR(Units[[#This Row],[Fair Market Rent]]-Units[[#This Row],[Rent Limit Floor]],""),"")</f>
        <v/>
      </c>
      <c r="Q22" s="1" t="str">
        <f>IFERROR(Units[[#This Row],[RLF Savings]]*Units[[#This Row],[Quantity]],"")</f>
        <v/>
      </c>
      <c r="R22" s="27" t="b">
        <f>AND(Units[[#This Row],[Project]]&gt;0,Units[[#This Row],[Quantity]]&gt;0,Units[[#This Row],[Bedrooms]]&gt;-1,Units[[#This Row],[AMI]]&gt;=20%,Units[[#This Row],[AMI]]&lt;=80%)</f>
        <v>0</v>
      </c>
    </row>
    <row r="23" spans="1:18" x14ac:dyDescent="0.25">
      <c r="A23" s="39">
        <v>2</v>
      </c>
      <c r="B23" s="14"/>
      <c r="C23" s="14"/>
      <c r="D23" s="16"/>
      <c r="E23" s="16"/>
      <c r="F23" s="14"/>
      <c r="G23" s="14"/>
      <c r="H23" s="14"/>
      <c r="I23" s="45">
        <f>Units[[#This Row],[Quantity]]*(Units[[#This Row],[Min Inputs]])*(Units[[#This Row],[AMI]]&lt;=30%)</f>
        <v>0</v>
      </c>
      <c r="J23" t="str">
        <f>IF(OR(Units[[#This Row],[Special Needs]]=TRUE,Units[[#This Row],[Veterans]]=TRUE,Units[[#This Row],[Homeless]]=TRUE),TRUE,"")</f>
        <v/>
      </c>
      <c r="K23" s="1" t="str" cm="1">
        <f t="array" ref="K23">IF(Units[[#This Row],[Min Inputs]],INDEX(DataAmi,INDEX(ListCountyRows,Units[[#This Row],[Project]]),MIN(Units[[#This Row],[Bedrooms]]+1,5))*Units[[#This Row],[AMI]]/12*30%,"")</f>
        <v/>
      </c>
      <c r="L23" s="1" t="str" cm="1">
        <f t="array" ref="L23">IF(Units[[#This Row],[Min Inputs]],INDEX(DataFmr,INDEX(ListCountyRows,Units[[#This Row],[Project]]),MIN(Units[[#This Row],[Bedrooms]]+1,5)),"")</f>
        <v/>
      </c>
      <c r="M23" s="1" t="str">
        <f>IF(Units[[#This Row],[Min Inputs]],IFERROR(Units[[#This Row],[Fair Market Rent]]-Units[[#This Row],[Rent Limit]],""),"")</f>
        <v/>
      </c>
      <c r="N23" s="1" t="str">
        <f>IFERROR(Units[[#This Row],[Rent Savings]]*Units[[#This Row],[Quantity]],"")</f>
        <v/>
      </c>
      <c r="O23" s="1" t="str" cm="1">
        <f t="array" ref="O23">IF(Units[[#This Row],[Min Inputs]],INDEX(DataAmi,INDEX(ListCountyRows,Units[[#This Row],[Project]]),MIN(Units[[#This Row],[Bedrooms]]+1,5))*IF(AND(Units[[#This Row],[PBV Units]]=TRUE,Units[[#This Row],[AMI]]&lt;=30%),30%,RentLimitFloor)/12*30%,"")</f>
        <v/>
      </c>
      <c r="P23" s="1" t="str">
        <f>IF(Units[[#This Row],[Min Inputs]],IFERROR(Units[[#This Row],[Fair Market Rent]]-Units[[#This Row],[Rent Limit Floor]],""),"")</f>
        <v/>
      </c>
      <c r="Q23" s="1" t="str">
        <f>IFERROR(Units[[#This Row],[RLF Savings]]*Units[[#This Row],[Quantity]],"")</f>
        <v/>
      </c>
      <c r="R23" s="27" t="b">
        <f>AND(Units[[#This Row],[Project]]&gt;0,Units[[#This Row],[Quantity]]&gt;0,Units[[#This Row],[Bedrooms]]&gt;-1,Units[[#This Row],[AMI]]&gt;=20%,Units[[#This Row],[AMI]]&lt;=80%)</f>
        <v>0</v>
      </c>
    </row>
    <row r="24" spans="1:18" x14ac:dyDescent="0.25">
      <c r="A24" s="39"/>
      <c r="B24" s="14"/>
      <c r="C24" s="14"/>
      <c r="D24" s="16"/>
      <c r="E24" s="16"/>
      <c r="F24" s="14"/>
      <c r="G24" s="14"/>
      <c r="H24" s="14"/>
      <c r="I24" s="45">
        <f>Units[[#This Row],[Quantity]]*(Units[[#This Row],[Min Inputs]])*(Units[[#This Row],[AMI]]&lt;=30%)</f>
        <v>0</v>
      </c>
      <c r="J24" t="str">
        <f>IF(OR(Units[[#This Row],[Special Needs]]=TRUE,Units[[#This Row],[Veterans]]=TRUE,Units[[#This Row],[Homeless]]=TRUE),TRUE,"")</f>
        <v/>
      </c>
      <c r="K24" s="1" t="str" cm="1">
        <f t="array" ref="K24">IF(Units[[#This Row],[Min Inputs]],INDEX(DataAmi,INDEX(ListCountyRows,Units[[#This Row],[Project]]),MIN(Units[[#This Row],[Bedrooms]]+1,5))*Units[[#This Row],[AMI]]/12*30%,"")</f>
        <v/>
      </c>
      <c r="L24" s="1" t="str" cm="1">
        <f t="array" ref="L24">IF(Units[[#This Row],[Min Inputs]],INDEX(DataFmr,INDEX(ListCountyRows,Units[[#This Row],[Project]]),MIN(Units[[#This Row],[Bedrooms]]+1,5)),"")</f>
        <v/>
      </c>
      <c r="M24" s="1" t="str">
        <f>IF(Units[[#This Row],[Min Inputs]],IFERROR(Units[[#This Row],[Fair Market Rent]]-Units[[#This Row],[Rent Limit]],""),"")</f>
        <v/>
      </c>
      <c r="N24" s="1" t="str">
        <f>IFERROR(Units[[#This Row],[Rent Savings]]*Units[[#This Row],[Quantity]],"")</f>
        <v/>
      </c>
      <c r="O24" s="1" t="str" cm="1">
        <f t="array" ref="O24">IF(Units[[#This Row],[Min Inputs]],INDEX(DataAmi,INDEX(ListCountyRows,Units[[#This Row],[Project]]),MIN(Units[[#This Row],[Bedrooms]]+1,5))*IF(AND(Units[[#This Row],[PBV Units]]=TRUE,Units[[#This Row],[AMI]]&lt;=30%),30%,RentLimitFloor)/12*30%,"")</f>
        <v/>
      </c>
      <c r="P24" s="1" t="str">
        <f>IF(Units[[#This Row],[Min Inputs]],IFERROR(Units[[#This Row],[Fair Market Rent]]-Units[[#This Row],[Rent Limit Floor]],""),"")</f>
        <v/>
      </c>
      <c r="Q24" s="1" t="str">
        <f>IFERROR(Units[[#This Row],[RLF Savings]]*Units[[#This Row],[Quantity]],"")</f>
        <v/>
      </c>
      <c r="R24" s="27" t="b">
        <f>AND(Units[[#This Row],[Project]]&gt;0,Units[[#This Row],[Quantity]]&gt;0,Units[[#This Row],[Bedrooms]]&gt;-1,Units[[#This Row],[AMI]]&gt;=20%,Units[[#This Row],[AMI]]&lt;=80%)</f>
        <v>0</v>
      </c>
    </row>
    <row r="25" spans="1:18" x14ac:dyDescent="0.25">
      <c r="A25" s="39">
        <v>3</v>
      </c>
      <c r="B25" s="14"/>
      <c r="C25" s="14"/>
      <c r="D25" s="16"/>
      <c r="E25" s="16"/>
      <c r="F25" s="14"/>
      <c r="G25" s="14"/>
      <c r="H25" s="14"/>
      <c r="I25" s="45">
        <f>Units[[#This Row],[Quantity]]*(Units[[#This Row],[Min Inputs]])*(Units[[#This Row],[AMI]]&lt;=30%)</f>
        <v>0</v>
      </c>
      <c r="J25" t="str">
        <f>IF(OR(Units[[#This Row],[Special Needs]]=TRUE,Units[[#This Row],[Veterans]]=TRUE,Units[[#This Row],[Homeless]]=TRUE),TRUE,"")</f>
        <v/>
      </c>
      <c r="K25" s="1" t="str" cm="1">
        <f t="array" ref="K25">IF(Units[[#This Row],[Min Inputs]],INDEX(DataAmi,INDEX(ListCountyRows,Units[[#This Row],[Project]]),MIN(Units[[#This Row],[Bedrooms]]+1,5))*Units[[#This Row],[AMI]]/12*30%,"")</f>
        <v/>
      </c>
      <c r="L25" s="1" t="str" cm="1">
        <f t="array" ref="L25">IF(Units[[#This Row],[Min Inputs]],INDEX(DataFmr,INDEX(ListCountyRows,Units[[#This Row],[Project]]),MIN(Units[[#This Row],[Bedrooms]]+1,5)),"")</f>
        <v/>
      </c>
      <c r="M25" s="1" t="str">
        <f>IF(Units[[#This Row],[Min Inputs]],IFERROR(Units[[#This Row],[Fair Market Rent]]-Units[[#This Row],[Rent Limit]],""),"")</f>
        <v/>
      </c>
      <c r="N25" s="1" t="str">
        <f>IFERROR(Units[[#This Row],[Rent Savings]]*Units[[#This Row],[Quantity]],"")</f>
        <v/>
      </c>
      <c r="O25" s="1" t="str" cm="1">
        <f t="array" ref="O25">IF(Units[[#This Row],[Min Inputs]],INDEX(DataAmi,INDEX(ListCountyRows,Units[[#This Row],[Project]]),MIN(Units[[#This Row],[Bedrooms]]+1,5))*IF(AND(Units[[#This Row],[PBV Units]]=TRUE,Units[[#This Row],[AMI]]&lt;=30%),30%,RentLimitFloor)/12*30%,"")</f>
        <v/>
      </c>
      <c r="P25" s="1" t="str">
        <f>IF(Units[[#This Row],[Min Inputs]],IFERROR(Units[[#This Row],[Fair Market Rent]]-Units[[#This Row],[Rent Limit Floor]],""),"")</f>
        <v/>
      </c>
      <c r="Q25" s="1" t="str">
        <f>IFERROR(Units[[#This Row],[RLF Savings]]*Units[[#This Row],[Quantity]],"")</f>
        <v/>
      </c>
      <c r="R25" s="27" t="b">
        <f>AND(Units[[#This Row],[Project]]&gt;0,Units[[#This Row],[Quantity]]&gt;0,Units[[#This Row],[Bedrooms]]&gt;-1,Units[[#This Row],[AMI]]&gt;=20%,Units[[#This Row],[AMI]]&lt;=80%)</f>
        <v>0</v>
      </c>
    </row>
    <row r="26" spans="1:18" x14ac:dyDescent="0.25">
      <c r="A26" s="39">
        <v>3</v>
      </c>
      <c r="B26" s="14"/>
      <c r="C26" s="14"/>
      <c r="D26" s="16"/>
      <c r="E26" s="16"/>
      <c r="F26" s="14"/>
      <c r="G26" s="14"/>
      <c r="H26" s="14"/>
      <c r="I26" s="45">
        <f>Units[[#This Row],[Quantity]]*(Units[[#This Row],[Min Inputs]])*(Units[[#This Row],[AMI]]&lt;=30%)</f>
        <v>0</v>
      </c>
      <c r="J26" t="str">
        <f>IF(OR(Units[[#This Row],[Special Needs]]=TRUE,Units[[#This Row],[Veterans]]=TRUE,Units[[#This Row],[Homeless]]=TRUE),TRUE,"")</f>
        <v/>
      </c>
      <c r="K26" s="1" t="str" cm="1">
        <f t="array" ref="K26">IF(Units[[#This Row],[Min Inputs]],INDEX(DataAmi,INDEX(ListCountyRows,Units[[#This Row],[Project]]),MIN(Units[[#This Row],[Bedrooms]]+1,5))*Units[[#This Row],[AMI]]/12*30%,"")</f>
        <v/>
      </c>
      <c r="L26" s="1" t="str" cm="1">
        <f t="array" ref="L26">IF(Units[[#This Row],[Min Inputs]],INDEX(DataFmr,INDEX(ListCountyRows,Units[[#This Row],[Project]]),MIN(Units[[#This Row],[Bedrooms]]+1,5)),"")</f>
        <v/>
      </c>
      <c r="M26" s="1" t="str">
        <f>IF(Units[[#This Row],[Min Inputs]],IFERROR(Units[[#This Row],[Fair Market Rent]]-Units[[#This Row],[Rent Limit]],""),"")</f>
        <v/>
      </c>
      <c r="N26" s="1" t="str">
        <f>IFERROR(Units[[#This Row],[Rent Savings]]*Units[[#This Row],[Quantity]],"")</f>
        <v/>
      </c>
      <c r="O26" s="1" t="str" cm="1">
        <f t="array" ref="O26">IF(Units[[#This Row],[Min Inputs]],INDEX(DataAmi,INDEX(ListCountyRows,Units[[#This Row],[Project]]),MIN(Units[[#This Row],[Bedrooms]]+1,5))*IF(AND(Units[[#This Row],[PBV Units]]=TRUE,Units[[#This Row],[AMI]]&lt;=30%),30%,RentLimitFloor)/12*30%,"")</f>
        <v/>
      </c>
      <c r="P26" s="1" t="str">
        <f>IF(Units[[#This Row],[Min Inputs]],IFERROR(Units[[#This Row],[Fair Market Rent]]-Units[[#This Row],[Rent Limit Floor]],""),"")</f>
        <v/>
      </c>
      <c r="Q26" s="1" t="str">
        <f>IFERROR(Units[[#This Row],[RLF Savings]]*Units[[#This Row],[Quantity]],"")</f>
        <v/>
      </c>
      <c r="R26" s="27" t="b">
        <f>AND(Units[[#This Row],[Project]]&gt;0,Units[[#This Row],[Quantity]]&gt;0,Units[[#This Row],[Bedrooms]]&gt;-1,Units[[#This Row],[AMI]]&gt;=20%,Units[[#This Row],[AMI]]&lt;=80%)</f>
        <v>0</v>
      </c>
    </row>
    <row r="27" spans="1:18" x14ac:dyDescent="0.25">
      <c r="A27" s="39">
        <v>3</v>
      </c>
      <c r="B27" s="14"/>
      <c r="C27" s="14"/>
      <c r="D27" s="16"/>
      <c r="E27" s="16"/>
      <c r="F27" s="14"/>
      <c r="G27" s="14"/>
      <c r="H27" s="14"/>
      <c r="I27" s="45">
        <f>Units[[#This Row],[Quantity]]*(Units[[#This Row],[Min Inputs]])*(Units[[#This Row],[AMI]]&lt;=30%)</f>
        <v>0</v>
      </c>
      <c r="J27" t="str">
        <f>IF(OR(Units[[#This Row],[Special Needs]]=TRUE,Units[[#This Row],[Veterans]]=TRUE,Units[[#This Row],[Homeless]]=TRUE),TRUE,"")</f>
        <v/>
      </c>
      <c r="K27" s="1" t="str" cm="1">
        <f t="array" ref="K27">IF(Units[[#This Row],[Min Inputs]],INDEX(DataAmi,INDEX(ListCountyRows,Units[[#This Row],[Project]]),MIN(Units[[#This Row],[Bedrooms]]+1,5))*Units[[#This Row],[AMI]]/12*30%,"")</f>
        <v/>
      </c>
      <c r="L27" s="1" t="str" cm="1">
        <f t="array" ref="L27">IF(Units[[#This Row],[Min Inputs]],INDEX(DataFmr,INDEX(ListCountyRows,Units[[#This Row],[Project]]),MIN(Units[[#This Row],[Bedrooms]]+1,5)),"")</f>
        <v/>
      </c>
      <c r="M27" s="1" t="str">
        <f>IF(Units[[#This Row],[Min Inputs]],IFERROR(Units[[#This Row],[Fair Market Rent]]-Units[[#This Row],[Rent Limit]],""),"")</f>
        <v/>
      </c>
      <c r="N27" s="1" t="str">
        <f>IFERROR(Units[[#This Row],[Rent Savings]]*Units[[#This Row],[Quantity]],"")</f>
        <v/>
      </c>
      <c r="O27" s="1" t="str" cm="1">
        <f t="array" ref="O27">IF(Units[[#This Row],[Min Inputs]],INDEX(DataAmi,INDEX(ListCountyRows,Units[[#This Row],[Project]]),MIN(Units[[#This Row],[Bedrooms]]+1,5))*IF(AND(Units[[#This Row],[PBV Units]]=TRUE,Units[[#This Row],[AMI]]&lt;=30%),30%,RentLimitFloor)/12*30%,"")</f>
        <v/>
      </c>
      <c r="P27" s="1" t="str">
        <f>IF(Units[[#This Row],[Min Inputs]],IFERROR(Units[[#This Row],[Fair Market Rent]]-Units[[#This Row],[Rent Limit Floor]],""),"")</f>
        <v/>
      </c>
      <c r="Q27" s="1" t="str">
        <f>IFERROR(Units[[#This Row],[RLF Savings]]*Units[[#This Row],[Quantity]],"")</f>
        <v/>
      </c>
      <c r="R27" s="27" t="b">
        <f>AND(Units[[#This Row],[Project]]&gt;0,Units[[#This Row],[Quantity]]&gt;0,Units[[#This Row],[Bedrooms]]&gt;-1,Units[[#This Row],[AMI]]&gt;=20%,Units[[#This Row],[AMI]]&lt;=80%)</f>
        <v>0</v>
      </c>
    </row>
    <row r="28" spans="1:18" x14ac:dyDescent="0.25">
      <c r="A28" s="39">
        <v>3</v>
      </c>
      <c r="B28" s="14"/>
      <c r="C28" s="14"/>
      <c r="D28" s="16"/>
      <c r="E28" s="16"/>
      <c r="F28" s="14"/>
      <c r="G28" s="14"/>
      <c r="H28" s="14"/>
      <c r="I28" s="45">
        <f>Units[[#This Row],[Quantity]]*(Units[[#This Row],[Min Inputs]])*(Units[[#This Row],[AMI]]&lt;=30%)</f>
        <v>0</v>
      </c>
      <c r="J28" t="str">
        <f>IF(OR(Units[[#This Row],[Special Needs]]=TRUE,Units[[#This Row],[Veterans]]=TRUE,Units[[#This Row],[Homeless]]=TRUE),TRUE,"")</f>
        <v/>
      </c>
      <c r="K28" s="1" t="str" cm="1">
        <f t="array" ref="K28">IF(Units[[#This Row],[Min Inputs]],INDEX(DataAmi,INDEX(ListCountyRows,Units[[#This Row],[Project]]),MIN(Units[[#This Row],[Bedrooms]]+1,5))*Units[[#This Row],[AMI]]/12*30%,"")</f>
        <v/>
      </c>
      <c r="L28" s="1" t="str" cm="1">
        <f t="array" ref="L28">IF(Units[[#This Row],[Min Inputs]],INDEX(DataFmr,INDEX(ListCountyRows,Units[[#This Row],[Project]]),MIN(Units[[#This Row],[Bedrooms]]+1,5)),"")</f>
        <v/>
      </c>
      <c r="M28" s="1" t="str">
        <f>IF(Units[[#This Row],[Min Inputs]],IFERROR(Units[[#This Row],[Fair Market Rent]]-Units[[#This Row],[Rent Limit]],""),"")</f>
        <v/>
      </c>
      <c r="N28" s="1" t="str">
        <f>IFERROR(Units[[#This Row],[Rent Savings]]*Units[[#This Row],[Quantity]],"")</f>
        <v/>
      </c>
      <c r="O28" s="1" t="str" cm="1">
        <f t="array" ref="O28">IF(Units[[#This Row],[Min Inputs]],INDEX(DataAmi,INDEX(ListCountyRows,Units[[#This Row],[Project]]),MIN(Units[[#This Row],[Bedrooms]]+1,5))*IF(AND(Units[[#This Row],[PBV Units]]=TRUE,Units[[#This Row],[AMI]]&lt;=30%),30%,RentLimitFloor)/12*30%,"")</f>
        <v/>
      </c>
      <c r="P28" s="1" t="str">
        <f>IF(Units[[#This Row],[Min Inputs]],IFERROR(Units[[#This Row],[Fair Market Rent]]-Units[[#This Row],[Rent Limit Floor]],""),"")</f>
        <v/>
      </c>
      <c r="Q28" s="1" t="str">
        <f>IFERROR(Units[[#This Row],[RLF Savings]]*Units[[#This Row],[Quantity]],"")</f>
        <v/>
      </c>
      <c r="R28" s="27" t="b">
        <f>AND(Units[[#This Row],[Project]]&gt;0,Units[[#This Row],[Quantity]]&gt;0,Units[[#This Row],[Bedrooms]]&gt;-1,Units[[#This Row],[AMI]]&gt;=20%,Units[[#This Row],[AMI]]&lt;=80%)</f>
        <v>0</v>
      </c>
    </row>
    <row r="29" spans="1:18" x14ac:dyDescent="0.25">
      <c r="A29" s="39">
        <v>3</v>
      </c>
      <c r="B29" s="14"/>
      <c r="C29" s="14"/>
      <c r="D29" s="16"/>
      <c r="E29" s="16"/>
      <c r="F29" s="14"/>
      <c r="G29" s="14"/>
      <c r="H29" s="14"/>
      <c r="I29" s="45">
        <f>Units[[#This Row],[Quantity]]*(Units[[#This Row],[Min Inputs]])*(Units[[#This Row],[AMI]]&lt;=30%)</f>
        <v>0</v>
      </c>
      <c r="J29" t="str">
        <f>IF(OR(Units[[#This Row],[Special Needs]]=TRUE,Units[[#This Row],[Veterans]]=TRUE,Units[[#This Row],[Homeless]]=TRUE),TRUE,"")</f>
        <v/>
      </c>
      <c r="K29" s="1" t="str" cm="1">
        <f t="array" ref="K29">IF(Units[[#This Row],[Min Inputs]],INDEX(DataAmi,INDEX(ListCountyRows,Units[[#This Row],[Project]]),MIN(Units[[#This Row],[Bedrooms]]+1,5))*Units[[#This Row],[AMI]]/12*30%,"")</f>
        <v/>
      </c>
      <c r="L29" s="1" t="str" cm="1">
        <f t="array" ref="L29">IF(Units[[#This Row],[Min Inputs]],INDEX(DataFmr,INDEX(ListCountyRows,Units[[#This Row],[Project]]),MIN(Units[[#This Row],[Bedrooms]]+1,5)),"")</f>
        <v/>
      </c>
      <c r="M29" s="1" t="str">
        <f>IF(Units[[#This Row],[Min Inputs]],IFERROR(Units[[#This Row],[Fair Market Rent]]-Units[[#This Row],[Rent Limit]],""),"")</f>
        <v/>
      </c>
      <c r="N29" s="1" t="str">
        <f>IFERROR(Units[[#This Row],[Rent Savings]]*Units[[#This Row],[Quantity]],"")</f>
        <v/>
      </c>
      <c r="O29" s="1" t="str" cm="1">
        <f t="array" ref="O29">IF(Units[[#This Row],[Min Inputs]],INDEX(DataAmi,INDEX(ListCountyRows,Units[[#This Row],[Project]]),MIN(Units[[#This Row],[Bedrooms]]+1,5))*IF(AND(Units[[#This Row],[PBV Units]]=TRUE,Units[[#This Row],[AMI]]&lt;=30%),30%,RentLimitFloor)/12*30%,"")</f>
        <v/>
      </c>
      <c r="P29" s="1" t="str">
        <f>IF(Units[[#This Row],[Min Inputs]],IFERROR(Units[[#This Row],[Fair Market Rent]]-Units[[#This Row],[Rent Limit Floor]],""),"")</f>
        <v/>
      </c>
      <c r="Q29" s="1" t="str">
        <f>IFERROR(Units[[#This Row],[RLF Savings]]*Units[[#This Row],[Quantity]],"")</f>
        <v/>
      </c>
      <c r="R29" s="27" t="b">
        <f>AND(Units[[#This Row],[Project]]&gt;0,Units[[#This Row],[Quantity]]&gt;0,Units[[#This Row],[Bedrooms]]&gt;-1,Units[[#This Row],[AMI]]&gt;=20%,Units[[#This Row],[AMI]]&lt;=80%)</f>
        <v>0</v>
      </c>
    </row>
    <row r="30" spans="1:18" x14ac:dyDescent="0.25">
      <c r="A30" s="39">
        <v>3</v>
      </c>
      <c r="B30" s="14"/>
      <c r="C30" s="14"/>
      <c r="D30" s="16"/>
      <c r="E30" s="16"/>
      <c r="F30" s="14"/>
      <c r="G30" s="14"/>
      <c r="H30" s="14"/>
      <c r="I30" s="45">
        <f>Units[[#This Row],[Quantity]]*(Units[[#This Row],[Min Inputs]])*(Units[[#This Row],[AMI]]&lt;=30%)</f>
        <v>0</v>
      </c>
      <c r="J30" t="str">
        <f>IF(OR(Units[[#This Row],[Special Needs]]=TRUE,Units[[#This Row],[Veterans]]=TRUE,Units[[#This Row],[Homeless]]=TRUE),TRUE,"")</f>
        <v/>
      </c>
      <c r="K30" s="1" t="str" cm="1">
        <f t="array" ref="K30">IF(Units[[#This Row],[Min Inputs]],INDEX(DataAmi,INDEX(ListCountyRows,Units[[#This Row],[Project]]),MIN(Units[[#This Row],[Bedrooms]]+1,5))*Units[[#This Row],[AMI]]/12*30%,"")</f>
        <v/>
      </c>
      <c r="L30" s="1" t="str" cm="1">
        <f t="array" ref="L30">IF(Units[[#This Row],[Min Inputs]],INDEX(DataFmr,INDEX(ListCountyRows,Units[[#This Row],[Project]]),MIN(Units[[#This Row],[Bedrooms]]+1,5)),"")</f>
        <v/>
      </c>
      <c r="M30" s="1" t="str">
        <f>IF(Units[[#This Row],[Min Inputs]],IFERROR(Units[[#This Row],[Fair Market Rent]]-Units[[#This Row],[Rent Limit]],""),"")</f>
        <v/>
      </c>
      <c r="N30" s="1" t="str">
        <f>IFERROR(Units[[#This Row],[Rent Savings]]*Units[[#This Row],[Quantity]],"")</f>
        <v/>
      </c>
      <c r="O30" s="1" t="str" cm="1">
        <f t="array" ref="O30">IF(Units[[#This Row],[Min Inputs]],INDEX(DataAmi,INDEX(ListCountyRows,Units[[#This Row],[Project]]),MIN(Units[[#This Row],[Bedrooms]]+1,5))*IF(AND(Units[[#This Row],[PBV Units]]=TRUE,Units[[#This Row],[AMI]]&lt;=30%),30%,RentLimitFloor)/12*30%,"")</f>
        <v/>
      </c>
      <c r="P30" s="1" t="str">
        <f>IF(Units[[#This Row],[Min Inputs]],IFERROR(Units[[#This Row],[Fair Market Rent]]-Units[[#This Row],[Rent Limit Floor]],""),"")</f>
        <v/>
      </c>
      <c r="Q30" s="1" t="str">
        <f>IFERROR(Units[[#This Row],[RLF Savings]]*Units[[#This Row],[Quantity]],"")</f>
        <v/>
      </c>
      <c r="R30" s="27" t="b">
        <f>AND(Units[[#This Row],[Project]]&gt;0,Units[[#This Row],[Quantity]]&gt;0,Units[[#This Row],[Bedrooms]]&gt;-1,Units[[#This Row],[AMI]]&gt;=20%,Units[[#This Row],[AMI]]&lt;=80%)</f>
        <v>0</v>
      </c>
    </row>
    <row r="31" spans="1:18" x14ac:dyDescent="0.25">
      <c r="A31" s="39">
        <v>3</v>
      </c>
      <c r="B31" s="14"/>
      <c r="C31" s="14"/>
      <c r="D31" s="16"/>
      <c r="E31" s="16"/>
      <c r="F31" s="14"/>
      <c r="G31" s="14"/>
      <c r="H31" s="14"/>
      <c r="I31" s="45">
        <f>Units[[#This Row],[Quantity]]*(Units[[#This Row],[Min Inputs]])*(Units[[#This Row],[AMI]]&lt;=30%)</f>
        <v>0</v>
      </c>
      <c r="J31" t="str">
        <f>IF(OR(Units[[#This Row],[Special Needs]]=TRUE,Units[[#This Row],[Veterans]]=TRUE,Units[[#This Row],[Homeless]]=TRUE),TRUE,"")</f>
        <v/>
      </c>
      <c r="K31" s="1" t="str" cm="1">
        <f t="array" ref="K31">IF(Units[[#This Row],[Min Inputs]],INDEX(DataAmi,INDEX(ListCountyRows,Units[[#This Row],[Project]]),MIN(Units[[#This Row],[Bedrooms]]+1,5))*Units[[#This Row],[AMI]]/12*30%,"")</f>
        <v/>
      </c>
      <c r="L31" s="1" t="str" cm="1">
        <f t="array" ref="L31">IF(Units[[#This Row],[Min Inputs]],INDEX(DataFmr,INDEX(ListCountyRows,Units[[#This Row],[Project]]),MIN(Units[[#This Row],[Bedrooms]]+1,5)),"")</f>
        <v/>
      </c>
      <c r="M31" s="1" t="str">
        <f>IF(Units[[#This Row],[Min Inputs]],IFERROR(Units[[#This Row],[Fair Market Rent]]-Units[[#This Row],[Rent Limit]],""),"")</f>
        <v/>
      </c>
      <c r="N31" s="1" t="str">
        <f>IFERROR(Units[[#This Row],[Rent Savings]]*Units[[#This Row],[Quantity]],"")</f>
        <v/>
      </c>
      <c r="O31" s="1" t="str" cm="1">
        <f t="array" ref="O31">IF(Units[[#This Row],[Min Inputs]],INDEX(DataAmi,INDEX(ListCountyRows,Units[[#This Row],[Project]]),MIN(Units[[#This Row],[Bedrooms]]+1,5))*IF(AND(Units[[#This Row],[PBV Units]]=TRUE,Units[[#This Row],[AMI]]&lt;=30%),30%,RentLimitFloor)/12*30%,"")</f>
        <v/>
      </c>
      <c r="P31" s="1" t="str">
        <f>IF(Units[[#This Row],[Min Inputs]],IFERROR(Units[[#This Row],[Fair Market Rent]]-Units[[#This Row],[Rent Limit Floor]],""),"")</f>
        <v/>
      </c>
      <c r="Q31" s="1" t="str">
        <f>IFERROR(Units[[#This Row],[RLF Savings]]*Units[[#This Row],[Quantity]],"")</f>
        <v/>
      </c>
      <c r="R31" s="27" t="b">
        <f>AND(Units[[#This Row],[Project]]&gt;0,Units[[#This Row],[Quantity]]&gt;0,Units[[#This Row],[Bedrooms]]&gt;-1,Units[[#This Row],[AMI]]&gt;=20%,Units[[#This Row],[AMI]]&lt;=80%)</f>
        <v>0</v>
      </c>
    </row>
    <row r="32" spans="1:18" x14ac:dyDescent="0.25">
      <c r="A32" s="39">
        <v>3</v>
      </c>
      <c r="B32" s="14"/>
      <c r="C32" s="14"/>
      <c r="D32" s="16"/>
      <c r="E32" s="16"/>
      <c r="F32" s="14"/>
      <c r="G32" s="14"/>
      <c r="H32" s="14"/>
      <c r="I32" s="45">
        <f>Units[[#This Row],[Quantity]]*(Units[[#This Row],[Min Inputs]])*(Units[[#This Row],[AMI]]&lt;=30%)</f>
        <v>0</v>
      </c>
      <c r="J32" t="str">
        <f>IF(OR(Units[[#This Row],[Special Needs]]=TRUE,Units[[#This Row],[Veterans]]=TRUE,Units[[#This Row],[Homeless]]=TRUE),TRUE,"")</f>
        <v/>
      </c>
      <c r="K32" s="1" t="str" cm="1">
        <f t="array" ref="K32">IF(Units[[#This Row],[Min Inputs]],INDEX(DataAmi,INDEX(ListCountyRows,Units[[#This Row],[Project]]),MIN(Units[[#This Row],[Bedrooms]]+1,5))*Units[[#This Row],[AMI]]/12*30%,"")</f>
        <v/>
      </c>
      <c r="L32" s="1" t="str" cm="1">
        <f t="array" ref="L32">IF(Units[[#This Row],[Min Inputs]],INDEX(DataFmr,INDEX(ListCountyRows,Units[[#This Row],[Project]]),MIN(Units[[#This Row],[Bedrooms]]+1,5)),"")</f>
        <v/>
      </c>
      <c r="M32" s="1" t="str">
        <f>IF(Units[[#This Row],[Min Inputs]],IFERROR(Units[[#This Row],[Fair Market Rent]]-Units[[#This Row],[Rent Limit]],""),"")</f>
        <v/>
      </c>
      <c r="N32" s="1" t="str">
        <f>IFERROR(Units[[#This Row],[Rent Savings]]*Units[[#This Row],[Quantity]],"")</f>
        <v/>
      </c>
      <c r="O32" s="1" t="str" cm="1">
        <f t="array" ref="O32">IF(Units[[#This Row],[Min Inputs]],INDEX(DataAmi,INDEX(ListCountyRows,Units[[#This Row],[Project]]),MIN(Units[[#This Row],[Bedrooms]]+1,5))*IF(AND(Units[[#This Row],[PBV Units]]=TRUE,Units[[#This Row],[AMI]]&lt;=30%),30%,RentLimitFloor)/12*30%,"")</f>
        <v/>
      </c>
      <c r="P32" s="1" t="str">
        <f>IF(Units[[#This Row],[Min Inputs]],IFERROR(Units[[#This Row],[Fair Market Rent]]-Units[[#This Row],[Rent Limit Floor]],""),"")</f>
        <v/>
      </c>
      <c r="Q32" s="1" t="str">
        <f>IFERROR(Units[[#This Row],[RLF Savings]]*Units[[#This Row],[Quantity]],"")</f>
        <v/>
      </c>
      <c r="R32" s="27" t="b">
        <f>AND(Units[[#This Row],[Project]]&gt;0,Units[[#This Row],[Quantity]]&gt;0,Units[[#This Row],[Bedrooms]]&gt;-1,Units[[#This Row],[AMI]]&gt;=20%,Units[[#This Row],[AMI]]&lt;=80%)</f>
        <v>0</v>
      </c>
    </row>
    <row r="33" spans="1:18" x14ac:dyDescent="0.25">
      <c r="A33" s="39">
        <v>3</v>
      </c>
      <c r="B33" s="14"/>
      <c r="C33" s="14"/>
      <c r="D33" s="16"/>
      <c r="E33" s="16"/>
      <c r="F33" s="14"/>
      <c r="G33" s="14"/>
      <c r="H33" s="14"/>
      <c r="I33" s="45">
        <f>Units[[#This Row],[Quantity]]*(Units[[#This Row],[Min Inputs]])*(Units[[#This Row],[AMI]]&lt;=30%)</f>
        <v>0</v>
      </c>
      <c r="J33" t="str">
        <f>IF(OR(Units[[#This Row],[Special Needs]]=TRUE,Units[[#This Row],[Veterans]]=TRUE,Units[[#This Row],[Homeless]]=TRUE),TRUE,"")</f>
        <v/>
      </c>
      <c r="K33" s="1" t="str" cm="1">
        <f t="array" ref="K33">IF(Units[[#This Row],[Min Inputs]],INDEX(DataAmi,INDEX(ListCountyRows,Units[[#This Row],[Project]]),MIN(Units[[#This Row],[Bedrooms]]+1,5))*Units[[#This Row],[AMI]]/12*30%,"")</f>
        <v/>
      </c>
      <c r="L33" s="1" t="str" cm="1">
        <f t="array" ref="L33">IF(Units[[#This Row],[Min Inputs]],INDEX(DataFmr,INDEX(ListCountyRows,Units[[#This Row],[Project]]),MIN(Units[[#This Row],[Bedrooms]]+1,5)),"")</f>
        <v/>
      </c>
      <c r="M33" s="1" t="str">
        <f>IF(Units[[#This Row],[Min Inputs]],IFERROR(Units[[#This Row],[Fair Market Rent]]-Units[[#This Row],[Rent Limit]],""),"")</f>
        <v/>
      </c>
      <c r="N33" s="1" t="str">
        <f>IFERROR(Units[[#This Row],[Rent Savings]]*Units[[#This Row],[Quantity]],"")</f>
        <v/>
      </c>
      <c r="O33" s="1" t="str" cm="1">
        <f t="array" ref="O33">IF(Units[[#This Row],[Min Inputs]],INDEX(DataAmi,INDEX(ListCountyRows,Units[[#This Row],[Project]]),MIN(Units[[#This Row],[Bedrooms]]+1,5))*IF(AND(Units[[#This Row],[PBV Units]]=TRUE,Units[[#This Row],[AMI]]&lt;=30%),30%,RentLimitFloor)/12*30%,"")</f>
        <v/>
      </c>
      <c r="P33" s="1" t="str">
        <f>IF(Units[[#This Row],[Min Inputs]],IFERROR(Units[[#This Row],[Fair Market Rent]]-Units[[#This Row],[Rent Limit Floor]],""),"")</f>
        <v/>
      </c>
      <c r="Q33" s="1" t="str">
        <f>IFERROR(Units[[#This Row],[RLF Savings]]*Units[[#This Row],[Quantity]],"")</f>
        <v/>
      </c>
      <c r="R33" s="27" t="b">
        <f>AND(Units[[#This Row],[Project]]&gt;0,Units[[#This Row],[Quantity]]&gt;0,Units[[#This Row],[Bedrooms]]&gt;-1,Units[[#This Row],[AMI]]&gt;=20%,Units[[#This Row],[AMI]]&lt;=80%)</f>
        <v>0</v>
      </c>
    </row>
    <row r="34" spans="1:18" x14ac:dyDescent="0.25">
      <c r="A34" s="39">
        <v>3</v>
      </c>
      <c r="B34" s="14"/>
      <c r="C34" s="14"/>
      <c r="D34" s="16"/>
      <c r="E34" s="16"/>
      <c r="F34" s="14"/>
      <c r="G34" s="14"/>
      <c r="H34" s="14"/>
      <c r="I34" s="45">
        <f>Units[[#This Row],[Quantity]]*(Units[[#This Row],[Min Inputs]])*(Units[[#This Row],[AMI]]&lt;=30%)</f>
        <v>0</v>
      </c>
      <c r="J34" t="str">
        <f>IF(OR(Units[[#This Row],[Special Needs]]=TRUE,Units[[#This Row],[Veterans]]=TRUE,Units[[#This Row],[Homeless]]=TRUE),TRUE,"")</f>
        <v/>
      </c>
      <c r="K34" s="1" t="str" cm="1">
        <f t="array" ref="K34">IF(Units[[#This Row],[Min Inputs]],INDEX(DataAmi,INDEX(ListCountyRows,Units[[#This Row],[Project]]),MIN(Units[[#This Row],[Bedrooms]]+1,5))*Units[[#This Row],[AMI]]/12*30%,"")</f>
        <v/>
      </c>
      <c r="L34" s="1" t="str" cm="1">
        <f t="array" ref="L34">IF(Units[[#This Row],[Min Inputs]],INDEX(DataFmr,INDEX(ListCountyRows,Units[[#This Row],[Project]]),MIN(Units[[#This Row],[Bedrooms]]+1,5)),"")</f>
        <v/>
      </c>
      <c r="M34" s="1" t="str">
        <f>IF(Units[[#This Row],[Min Inputs]],IFERROR(Units[[#This Row],[Fair Market Rent]]-Units[[#This Row],[Rent Limit]],""),"")</f>
        <v/>
      </c>
      <c r="N34" s="1" t="str">
        <f>IFERROR(Units[[#This Row],[Rent Savings]]*Units[[#This Row],[Quantity]],"")</f>
        <v/>
      </c>
      <c r="O34" s="1" t="str" cm="1">
        <f t="array" ref="O34">IF(Units[[#This Row],[Min Inputs]],INDEX(DataAmi,INDEX(ListCountyRows,Units[[#This Row],[Project]]),MIN(Units[[#This Row],[Bedrooms]]+1,5))*IF(AND(Units[[#This Row],[PBV Units]]=TRUE,Units[[#This Row],[AMI]]&lt;=30%),30%,RentLimitFloor)/12*30%,"")</f>
        <v/>
      </c>
      <c r="P34" s="1" t="str">
        <f>IF(Units[[#This Row],[Min Inputs]],IFERROR(Units[[#This Row],[Fair Market Rent]]-Units[[#This Row],[Rent Limit Floor]],""),"")</f>
        <v/>
      </c>
      <c r="Q34" s="1" t="str">
        <f>IFERROR(Units[[#This Row],[RLF Savings]]*Units[[#This Row],[Quantity]],"")</f>
        <v/>
      </c>
      <c r="R34" s="27" t="b">
        <f>AND(Units[[#This Row],[Project]]&gt;0,Units[[#This Row],[Quantity]]&gt;0,Units[[#This Row],[Bedrooms]]&gt;-1,Units[[#This Row],[AMI]]&gt;=20%,Units[[#This Row],[AMI]]&lt;=80%)</f>
        <v>0</v>
      </c>
    </row>
    <row r="35" spans="1:18" x14ac:dyDescent="0.25">
      <c r="A35" s="39"/>
      <c r="B35" s="14"/>
      <c r="C35" s="14"/>
      <c r="D35" s="16"/>
      <c r="E35" s="16"/>
      <c r="F35" s="14"/>
      <c r="G35" s="14"/>
      <c r="H35" s="14"/>
      <c r="I35" s="45">
        <f>Units[[#This Row],[Quantity]]*(Units[[#This Row],[Min Inputs]])*(Units[[#This Row],[AMI]]&lt;=30%)</f>
        <v>0</v>
      </c>
      <c r="J35" t="str">
        <f>IF(OR(Units[[#This Row],[Special Needs]]=TRUE,Units[[#This Row],[Veterans]]=TRUE,Units[[#This Row],[Homeless]]=TRUE),TRUE,"")</f>
        <v/>
      </c>
      <c r="K35" s="1" t="str" cm="1">
        <f t="array" ref="K35">IF(Units[[#This Row],[Min Inputs]],INDEX(DataAmi,INDEX(ListCountyRows,Units[[#This Row],[Project]]),MIN(Units[[#This Row],[Bedrooms]]+1,5))*Units[[#This Row],[AMI]]/12*30%,"")</f>
        <v/>
      </c>
      <c r="L35" s="1" t="str" cm="1">
        <f t="array" ref="L35">IF(Units[[#This Row],[Min Inputs]],INDEX(DataFmr,INDEX(ListCountyRows,Units[[#This Row],[Project]]),MIN(Units[[#This Row],[Bedrooms]]+1,5)),"")</f>
        <v/>
      </c>
      <c r="M35" s="1" t="str">
        <f>IF(Units[[#This Row],[Min Inputs]],IFERROR(Units[[#This Row],[Fair Market Rent]]-Units[[#This Row],[Rent Limit]],""),"")</f>
        <v/>
      </c>
      <c r="N35" s="1" t="str">
        <f>IFERROR(Units[[#This Row],[Rent Savings]]*Units[[#This Row],[Quantity]],"")</f>
        <v/>
      </c>
      <c r="O35" s="1" t="str" cm="1">
        <f t="array" ref="O35">IF(Units[[#This Row],[Min Inputs]],INDEX(DataAmi,INDEX(ListCountyRows,Units[[#This Row],[Project]]),MIN(Units[[#This Row],[Bedrooms]]+1,5))*IF(AND(Units[[#This Row],[PBV Units]]=TRUE,Units[[#This Row],[AMI]]&lt;=30%),30%,RentLimitFloor)/12*30%,"")</f>
        <v/>
      </c>
      <c r="P35" s="1" t="str">
        <f>IF(Units[[#This Row],[Min Inputs]],IFERROR(Units[[#This Row],[Fair Market Rent]]-Units[[#This Row],[Rent Limit Floor]],""),"")</f>
        <v/>
      </c>
      <c r="Q35" s="1" t="str">
        <f>IFERROR(Units[[#This Row],[RLF Savings]]*Units[[#This Row],[Quantity]],"")</f>
        <v/>
      </c>
      <c r="R35" s="27" t="b">
        <f>AND(Units[[#This Row],[Project]]&gt;0,Units[[#This Row],[Quantity]]&gt;0,Units[[#This Row],[Bedrooms]]&gt;-1,Units[[#This Row],[AMI]]&gt;=20%,Units[[#This Row],[AMI]]&lt;=80%)</f>
        <v>0</v>
      </c>
    </row>
    <row r="36" spans="1:18" x14ac:dyDescent="0.25">
      <c r="A36" s="39">
        <v>4</v>
      </c>
      <c r="B36" s="14"/>
      <c r="C36" s="14"/>
      <c r="D36" s="16"/>
      <c r="E36" s="16"/>
      <c r="F36" s="14"/>
      <c r="G36" s="14"/>
      <c r="H36" s="14"/>
      <c r="I36" s="45">
        <f>Units[[#This Row],[Quantity]]*(Units[[#This Row],[Min Inputs]])*(Units[[#This Row],[AMI]]&lt;=30%)</f>
        <v>0</v>
      </c>
      <c r="J36" t="str">
        <f>IF(OR(Units[[#This Row],[Special Needs]]=TRUE,Units[[#This Row],[Veterans]]=TRUE,Units[[#This Row],[Homeless]]=TRUE),TRUE,"")</f>
        <v/>
      </c>
      <c r="K36" s="1" t="str" cm="1">
        <f t="array" ref="K36">IF(Units[[#This Row],[Min Inputs]],INDEX(DataAmi,INDEX(ListCountyRows,Units[[#This Row],[Project]]),MIN(Units[[#This Row],[Bedrooms]]+1,5))*Units[[#This Row],[AMI]]/12*30%,"")</f>
        <v/>
      </c>
      <c r="L36" s="1" t="str" cm="1">
        <f t="array" ref="L36">IF(Units[[#This Row],[Min Inputs]],INDEX(DataFmr,INDEX(ListCountyRows,Units[[#This Row],[Project]]),MIN(Units[[#This Row],[Bedrooms]]+1,5)),"")</f>
        <v/>
      </c>
      <c r="M36" s="1" t="str">
        <f>IF(Units[[#This Row],[Min Inputs]],IFERROR(Units[[#This Row],[Fair Market Rent]]-Units[[#This Row],[Rent Limit]],""),"")</f>
        <v/>
      </c>
      <c r="N36" s="1" t="str">
        <f>IFERROR(Units[[#This Row],[Rent Savings]]*Units[[#This Row],[Quantity]],"")</f>
        <v/>
      </c>
      <c r="O36" s="1" t="str" cm="1">
        <f t="array" ref="O36">IF(Units[[#This Row],[Min Inputs]],INDEX(DataAmi,INDEX(ListCountyRows,Units[[#This Row],[Project]]),MIN(Units[[#This Row],[Bedrooms]]+1,5))*IF(AND(Units[[#This Row],[PBV Units]]=TRUE,Units[[#This Row],[AMI]]&lt;=30%),30%,RentLimitFloor)/12*30%,"")</f>
        <v/>
      </c>
      <c r="P36" s="1" t="str">
        <f>IF(Units[[#This Row],[Min Inputs]],IFERROR(Units[[#This Row],[Fair Market Rent]]-Units[[#This Row],[Rent Limit Floor]],""),"")</f>
        <v/>
      </c>
      <c r="Q36" s="1" t="str">
        <f>IFERROR(Units[[#This Row],[RLF Savings]]*Units[[#This Row],[Quantity]],"")</f>
        <v/>
      </c>
      <c r="R36" s="27" t="b">
        <f>AND(Units[[#This Row],[Project]]&gt;0,Units[[#This Row],[Quantity]]&gt;0,Units[[#This Row],[Bedrooms]]&gt;-1,Units[[#This Row],[AMI]]&gt;=20%,Units[[#This Row],[AMI]]&lt;=80%)</f>
        <v>0</v>
      </c>
    </row>
    <row r="37" spans="1:18" x14ac:dyDescent="0.25">
      <c r="A37" s="39">
        <v>4</v>
      </c>
      <c r="B37" s="14"/>
      <c r="C37" s="14"/>
      <c r="D37" s="16"/>
      <c r="E37" s="16"/>
      <c r="F37" s="14"/>
      <c r="G37" s="14"/>
      <c r="H37" s="14"/>
      <c r="I37" s="45">
        <f>Units[[#This Row],[Quantity]]*(Units[[#This Row],[Min Inputs]])*(Units[[#This Row],[AMI]]&lt;=30%)</f>
        <v>0</v>
      </c>
      <c r="J37" t="str">
        <f>IF(OR(Units[[#This Row],[Special Needs]]=TRUE,Units[[#This Row],[Veterans]]=TRUE,Units[[#This Row],[Homeless]]=TRUE),TRUE,"")</f>
        <v/>
      </c>
      <c r="K37" s="1" t="str" cm="1">
        <f t="array" ref="K37">IF(Units[[#This Row],[Min Inputs]],INDEX(DataAmi,INDEX(ListCountyRows,Units[[#This Row],[Project]]),MIN(Units[[#This Row],[Bedrooms]]+1,5))*Units[[#This Row],[AMI]]/12*30%,"")</f>
        <v/>
      </c>
      <c r="L37" s="1" t="str" cm="1">
        <f t="array" ref="L37">IF(Units[[#This Row],[Min Inputs]],INDEX(DataFmr,INDEX(ListCountyRows,Units[[#This Row],[Project]]),MIN(Units[[#This Row],[Bedrooms]]+1,5)),"")</f>
        <v/>
      </c>
      <c r="M37" s="1" t="str">
        <f>IF(Units[[#This Row],[Min Inputs]],IFERROR(Units[[#This Row],[Fair Market Rent]]-Units[[#This Row],[Rent Limit]],""),"")</f>
        <v/>
      </c>
      <c r="N37" s="1" t="str">
        <f>IFERROR(Units[[#This Row],[Rent Savings]]*Units[[#This Row],[Quantity]],"")</f>
        <v/>
      </c>
      <c r="O37" s="1" t="str" cm="1">
        <f t="array" ref="O37">IF(Units[[#This Row],[Min Inputs]],INDEX(DataAmi,INDEX(ListCountyRows,Units[[#This Row],[Project]]),MIN(Units[[#This Row],[Bedrooms]]+1,5))*IF(AND(Units[[#This Row],[PBV Units]]=TRUE,Units[[#This Row],[AMI]]&lt;=30%),30%,RentLimitFloor)/12*30%,"")</f>
        <v/>
      </c>
      <c r="P37" s="1" t="str">
        <f>IF(Units[[#This Row],[Min Inputs]],IFERROR(Units[[#This Row],[Fair Market Rent]]-Units[[#This Row],[Rent Limit Floor]],""),"")</f>
        <v/>
      </c>
      <c r="Q37" s="1" t="str">
        <f>IFERROR(Units[[#This Row],[RLF Savings]]*Units[[#This Row],[Quantity]],"")</f>
        <v/>
      </c>
      <c r="R37" s="27" t="b">
        <f>AND(Units[[#This Row],[Project]]&gt;0,Units[[#This Row],[Quantity]]&gt;0,Units[[#This Row],[Bedrooms]]&gt;-1,Units[[#This Row],[AMI]]&gt;=20%,Units[[#This Row],[AMI]]&lt;=80%)</f>
        <v>0</v>
      </c>
    </row>
    <row r="38" spans="1:18" x14ac:dyDescent="0.25">
      <c r="A38" s="39">
        <v>4</v>
      </c>
      <c r="B38" s="14"/>
      <c r="C38" s="14"/>
      <c r="D38" s="16"/>
      <c r="E38" s="16"/>
      <c r="F38" s="14"/>
      <c r="G38" s="14"/>
      <c r="H38" s="14"/>
      <c r="I38" s="45">
        <f>Units[[#This Row],[Quantity]]*(Units[[#This Row],[Min Inputs]])*(Units[[#This Row],[AMI]]&lt;=30%)</f>
        <v>0</v>
      </c>
      <c r="J38" t="str">
        <f>IF(OR(Units[[#This Row],[Special Needs]]=TRUE,Units[[#This Row],[Veterans]]=TRUE,Units[[#This Row],[Homeless]]=TRUE),TRUE,"")</f>
        <v/>
      </c>
      <c r="K38" s="1" t="str" cm="1">
        <f t="array" ref="K38">IF(Units[[#This Row],[Min Inputs]],INDEX(DataAmi,INDEX(ListCountyRows,Units[[#This Row],[Project]]),MIN(Units[[#This Row],[Bedrooms]]+1,5))*Units[[#This Row],[AMI]]/12*30%,"")</f>
        <v/>
      </c>
      <c r="L38" s="1" t="str" cm="1">
        <f t="array" ref="L38">IF(Units[[#This Row],[Min Inputs]],INDEX(DataFmr,INDEX(ListCountyRows,Units[[#This Row],[Project]]),MIN(Units[[#This Row],[Bedrooms]]+1,5)),"")</f>
        <v/>
      </c>
      <c r="M38" s="1" t="str">
        <f>IF(Units[[#This Row],[Min Inputs]],IFERROR(Units[[#This Row],[Fair Market Rent]]-Units[[#This Row],[Rent Limit]],""),"")</f>
        <v/>
      </c>
      <c r="N38" s="1" t="str">
        <f>IFERROR(Units[[#This Row],[Rent Savings]]*Units[[#This Row],[Quantity]],"")</f>
        <v/>
      </c>
      <c r="O38" s="1" t="str" cm="1">
        <f t="array" ref="O38">IF(Units[[#This Row],[Min Inputs]],INDEX(DataAmi,INDEX(ListCountyRows,Units[[#This Row],[Project]]),MIN(Units[[#This Row],[Bedrooms]]+1,5))*IF(AND(Units[[#This Row],[PBV Units]]=TRUE,Units[[#This Row],[AMI]]&lt;=30%),30%,RentLimitFloor)/12*30%,"")</f>
        <v/>
      </c>
      <c r="P38" s="1" t="str">
        <f>IF(Units[[#This Row],[Min Inputs]],IFERROR(Units[[#This Row],[Fair Market Rent]]-Units[[#This Row],[Rent Limit Floor]],""),"")</f>
        <v/>
      </c>
      <c r="Q38" s="1" t="str">
        <f>IFERROR(Units[[#This Row],[RLF Savings]]*Units[[#This Row],[Quantity]],"")</f>
        <v/>
      </c>
      <c r="R38" s="27" t="b">
        <f>AND(Units[[#This Row],[Project]]&gt;0,Units[[#This Row],[Quantity]]&gt;0,Units[[#This Row],[Bedrooms]]&gt;-1,Units[[#This Row],[AMI]]&gt;=20%,Units[[#This Row],[AMI]]&lt;=80%)</f>
        <v>0</v>
      </c>
    </row>
    <row r="39" spans="1:18" x14ac:dyDescent="0.25">
      <c r="A39" s="39">
        <v>4</v>
      </c>
      <c r="B39" s="14"/>
      <c r="C39" s="14"/>
      <c r="D39" s="16"/>
      <c r="E39" s="16"/>
      <c r="F39" s="14"/>
      <c r="G39" s="14"/>
      <c r="H39" s="14"/>
      <c r="I39" s="45">
        <f>Units[[#This Row],[Quantity]]*(Units[[#This Row],[Min Inputs]])*(Units[[#This Row],[AMI]]&lt;=30%)</f>
        <v>0</v>
      </c>
      <c r="J39" t="str">
        <f>IF(OR(Units[[#This Row],[Special Needs]]=TRUE,Units[[#This Row],[Veterans]]=TRUE,Units[[#This Row],[Homeless]]=TRUE),TRUE,"")</f>
        <v/>
      </c>
      <c r="K39" s="1" t="str" cm="1">
        <f t="array" ref="K39">IF(Units[[#This Row],[Min Inputs]],INDEX(DataAmi,INDEX(ListCountyRows,Units[[#This Row],[Project]]),MIN(Units[[#This Row],[Bedrooms]]+1,5))*Units[[#This Row],[AMI]]/12*30%,"")</f>
        <v/>
      </c>
      <c r="L39" s="1" t="str" cm="1">
        <f t="array" ref="L39">IF(Units[[#This Row],[Min Inputs]],INDEX(DataFmr,INDEX(ListCountyRows,Units[[#This Row],[Project]]),MIN(Units[[#This Row],[Bedrooms]]+1,5)),"")</f>
        <v/>
      </c>
      <c r="M39" s="1" t="str">
        <f>IF(Units[[#This Row],[Min Inputs]],IFERROR(Units[[#This Row],[Fair Market Rent]]-Units[[#This Row],[Rent Limit]],""),"")</f>
        <v/>
      </c>
      <c r="N39" s="1" t="str">
        <f>IFERROR(Units[[#This Row],[Rent Savings]]*Units[[#This Row],[Quantity]],"")</f>
        <v/>
      </c>
      <c r="O39" s="1" t="str" cm="1">
        <f t="array" ref="O39">IF(Units[[#This Row],[Min Inputs]],INDEX(DataAmi,INDEX(ListCountyRows,Units[[#This Row],[Project]]),MIN(Units[[#This Row],[Bedrooms]]+1,5))*IF(AND(Units[[#This Row],[PBV Units]]=TRUE,Units[[#This Row],[AMI]]&lt;=30%),30%,RentLimitFloor)/12*30%,"")</f>
        <v/>
      </c>
      <c r="P39" s="1" t="str">
        <f>IF(Units[[#This Row],[Min Inputs]],IFERROR(Units[[#This Row],[Fair Market Rent]]-Units[[#This Row],[Rent Limit Floor]],""),"")</f>
        <v/>
      </c>
      <c r="Q39" s="1" t="str">
        <f>IFERROR(Units[[#This Row],[RLF Savings]]*Units[[#This Row],[Quantity]],"")</f>
        <v/>
      </c>
      <c r="R39" s="27" t="b">
        <f>AND(Units[[#This Row],[Project]]&gt;0,Units[[#This Row],[Quantity]]&gt;0,Units[[#This Row],[Bedrooms]]&gt;-1,Units[[#This Row],[AMI]]&gt;=20%,Units[[#This Row],[AMI]]&lt;=80%)</f>
        <v>0</v>
      </c>
    </row>
    <row r="40" spans="1:18" x14ac:dyDescent="0.25">
      <c r="A40" s="39">
        <v>4</v>
      </c>
      <c r="B40" s="14"/>
      <c r="C40" s="14"/>
      <c r="D40" s="16"/>
      <c r="E40" s="16"/>
      <c r="F40" s="14"/>
      <c r="G40" s="14"/>
      <c r="H40" s="14"/>
      <c r="I40" s="45">
        <f>Units[[#This Row],[Quantity]]*(Units[[#This Row],[Min Inputs]])*(Units[[#This Row],[AMI]]&lt;=30%)</f>
        <v>0</v>
      </c>
      <c r="J40" t="str">
        <f>IF(OR(Units[[#This Row],[Special Needs]]=TRUE,Units[[#This Row],[Veterans]]=TRUE,Units[[#This Row],[Homeless]]=TRUE),TRUE,"")</f>
        <v/>
      </c>
      <c r="K40" s="1" t="str" cm="1">
        <f t="array" ref="K40">IF(Units[[#This Row],[Min Inputs]],INDEX(DataAmi,INDEX(ListCountyRows,Units[[#This Row],[Project]]),MIN(Units[[#This Row],[Bedrooms]]+1,5))*Units[[#This Row],[AMI]]/12*30%,"")</f>
        <v/>
      </c>
      <c r="L40" s="1" t="str" cm="1">
        <f t="array" ref="L40">IF(Units[[#This Row],[Min Inputs]],INDEX(DataFmr,INDEX(ListCountyRows,Units[[#This Row],[Project]]),MIN(Units[[#This Row],[Bedrooms]]+1,5)),"")</f>
        <v/>
      </c>
      <c r="M40" s="1" t="str">
        <f>IF(Units[[#This Row],[Min Inputs]],IFERROR(Units[[#This Row],[Fair Market Rent]]-Units[[#This Row],[Rent Limit]],""),"")</f>
        <v/>
      </c>
      <c r="N40" s="1" t="str">
        <f>IFERROR(Units[[#This Row],[Rent Savings]]*Units[[#This Row],[Quantity]],"")</f>
        <v/>
      </c>
      <c r="O40" s="1" t="str" cm="1">
        <f t="array" ref="O40">IF(Units[[#This Row],[Min Inputs]],INDEX(DataAmi,INDEX(ListCountyRows,Units[[#This Row],[Project]]),MIN(Units[[#This Row],[Bedrooms]]+1,5))*IF(AND(Units[[#This Row],[PBV Units]]=TRUE,Units[[#This Row],[AMI]]&lt;=30%),30%,RentLimitFloor)/12*30%,"")</f>
        <v/>
      </c>
      <c r="P40" s="1" t="str">
        <f>IF(Units[[#This Row],[Min Inputs]],IFERROR(Units[[#This Row],[Fair Market Rent]]-Units[[#This Row],[Rent Limit Floor]],""),"")</f>
        <v/>
      </c>
      <c r="Q40" s="1" t="str">
        <f>IFERROR(Units[[#This Row],[RLF Savings]]*Units[[#This Row],[Quantity]],"")</f>
        <v/>
      </c>
      <c r="R40" s="27" t="b">
        <f>AND(Units[[#This Row],[Project]]&gt;0,Units[[#This Row],[Quantity]]&gt;0,Units[[#This Row],[Bedrooms]]&gt;-1,Units[[#This Row],[AMI]]&gt;=20%,Units[[#This Row],[AMI]]&lt;=80%)</f>
        <v>0</v>
      </c>
    </row>
    <row r="41" spans="1:18" x14ac:dyDescent="0.25">
      <c r="A41" s="39">
        <v>4</v>
      </c>
      <c r="B41" s="14"/>
      <c r="C41" s="14"/>
      <c r="D41" s="16"/>
      <c r="E41" s="16"/>
      <c r="F41" s="14"/>
      <c r="G41" s="14"/>
      <c r="H41" s="14"/>
      <c r="I41" s="45">
        <f>Units[[#This Row],[Quantity]]*(Units[[#This Row],[Min Inputs]])*(Units[[#This Row],[AMI]]&lt;=30%)</f>
        <v>0</v>
      </c>
      <c r="J41" t="str">
        <f>IF(OR(Units[[#This Row],[Special Needs]]=TRUE,Units[[#This Row],[Veterans]]=TRUE,Units[[#This Row],[Homeless]]=TRUE),TRUE,"")</f>
        <v/>
      </c>
      <c r="K41" s="1" t="str" cm="1">
        <f t="array" ref="K41">IF(Units[[#This Row],[Min Inputs]],INDEX(DataAmi,INDEX(ListCountyRows,Units[[#This Row],[Project]]),MIN(Units[[#This Row],[Bedrooms]]+1,5))*Units[[#This Row],[AMI]]/12*30%,"")</f>
        <v/>
      </c>
      <c r="L41" s="1" t="str" cm="1">
        <f t="array" ref="L41">IF(Units[[#This Row],[Min Inputs]],INDEX(DataFmr,INDEX(ListCountyRows,Units[[#This Row],[Project]]),MIN(Units[[#This Row],[Bedrooms]]+1,5)),"")</f>
        <v/>
      </c>
      <c r="M41" s="1" t="str">
        <f>IF(Units[[#This Row],[Min Inputs]],IFERROR(Units[[#This Row],[Fair Market Rent]]-Units[[#This Row],[Rent Limit]],""),"")</f>
        <v/>
      </c>
      <c r="N41" s="1" t="str">
        <f>IFERROR(Units[[#This Row],[Rent Savings]]*Units[[#This Row],[Quantity]],"")</f>
        <v/>
      </c>
      <c r="O41" s="1" t="str" cm="1">
        <f t="array" ref="O41">IF(Units[[#This Row],[Min Inputs]],INDEX(DataAmi,INDEX(ListCountyRows,Units[[#This Row],[Project]]),MIN(Units[[#This Row],[Bedrooms]]+1,5))*IF(AND(Units[[#This Row],[PBV Units]]=TRUE,Units[[#This Row],[AMI]]&lt;=30%),30%,RentLimitFloor)/12*30%,"")</f>
        <v/>
      </c>
      <c r="P41" s="1" t="str">
        <f>IF(Units[[#This Row],[Min Inputs]],IFERROR(Units[[#This Row],[Fair Market Rent]]-Units[[#This Row],[Rent Limit Floor]],""),"")</f>
        <v/>
      </c>
      <c r="Q41" s="1" t="str">
        <f>IFERROR(Units[[#This Row],[RLF Savings]]*Units[[#This Row],[Quantity]],"")</f>
        <v/>
      </c>
      <c r="R41" s="27" t="b">
        <f>AND(Units[[#This Row],[Project]]&gt;0,Units[[#This Row],[Quantity]]&gt;0,Units[[#This Row],[Bedrooms]]&gt;-1,Units[[#This Row],[AMI]]&gt;=20%,Units[[#This Row],[AMI]]&lt;=80%)</f>
        <v>0</v>
      </c>
    </row>
    <row r="42" spans="1:18" x14ac:dyDescent="0.25">
      <c r="A42" s="39">
        <v>4</v>
      </c>
      <c r="B42" s="14"/>
      <c r="C42" s="14"/>
      <c r="D42" s="16"/>
      <c r="E42" s="16"/>
      <c r="F42" s="14"/>
      <c r="G42" s="14"/>
      <c r="H42" s="14"/>
      <c r="I42" s="45">
        <f>Units[[#This Row],[Quantity]]*(Units[[#This Row],[Min Inputs]])*(Units[[#This Row],[AMI]]&lt;=30%)</f>
        <v>0</v>
      </c>
      <c r="J42" t="str">
        <f>IF(OR(Units[[#This Row],[Special Needs]]=TRUE,Units[[#This Row],[Veterans]]=TRUE,Units[[#This Row],[Homeless]]=TRUE),TRUE,"")</f>
        <v/>
      </c>
      <c r="K42" s="1" t="str" cm="1">
        <f t="array" ref="K42">IF(Units[[#This Row],[Min Inputs]],INDEX(DataAmi,INDEX(ListCountyRows,Units[[#This Row],[Project]]),MIN(Units[[#This Row],[Bedrooms]]+1,5))*Units[[#This Row],[AMI]]/12*30%,"")</f>
        <v/>
      </c>
      <c r="L42" s="1" t="str" cm="1">
        <f t="array" ref="L42">IF(Units[[#This Row],[Min Inputs]],INDEX(DataFmr,INDEX(ListCountyRows,Units[[#This Row],[Project]]),MIN(Units[[#This Row],[Bedrooms]]+1,5)),"")</f>
        <v/>
      </c>
      <c r="M42" s="1" t="str">
        <f>IF(Units[[#This Row],[Min Inputs]],IFERROR(Units[[#This Row],[Fair Market Rent]]-Units[[#This Row],[Rent Limit]],""),"")</f>
        <v/>
      </c>
      <c r="N42" s="1" t="str">
        <f>IFERROR(Units[[#This Row],[Rent Savings]]*Units[[#This Row],[Quantity]],"")</f>
        <v/>
      </c>
      <c r="O42" s="1" t="str" cm="1">
        <f t="array" ref="O42">IF(Units[[#This Row],[Min Inputs]],INDEX(DataAmi,INDEX(ListCountyRows,Units[[#This Row],[Project]]),MIN(Units[[#This Row],[Bedrooms]]+1,5))*IF(AND(Units[[#This Row],[PBV Units]]=TRUE,Units[[#This Row],[AMI]]&lt;=30%),30%,RentLimitFloor)/12*30%,"")</f>
        <v/>
      </c>
      <c r="P42" s="1" t="str">
        <f>IF(Units[[#This Row],[Min Inputs]],IFERROR(Units[[#This Row],[Fair Market Rent]]-Units[[#This Row],[Rent Limit Floor]],""),"")</f>
        <v/>
      </c>
      <c r="Q42" s="1" t="str">
        <f>IFERROR(Units[[#This Row],[RLF Savings]]*Units[[#This Row],[Quantity]],"")</f>
        <v/>
      </c>
      <c r="R42" s="27" t="b">
        <f>AND(Units[[#This Row],[Project]]&gt;0,Units[[#This Row],[Quantity]]&gt;0,Units[[#This Row],[Bedrooms]]&gt;-1,Units[[#This Row],[AMI]]&gt;=20%,Units[[#This Row],[AMI]]&lt;=80%)</f>
        <v>0</v>
      </c>
    </row>
    <row r="43" spans="1:18" x14ac:dyDescent="0.25">
      <c r="A43" s="39">
        <v>4</v>
      </c>
      <c r="B43" s="14"/>
      <c r="C43" s="14"/>
      <c r="D43" s="16"/>
      <c r="E43" s="16"/>
      <c r="F43" s="14"/>
      <c r="G43" s="14"/>
      <c r="H43" s="14"/>
      <c r="I43" s="45">
        <f>Units[[#This Row],[Quantity]]*(Units[[#This Row],[Min Inputs]])*(Units[[#This Row],[AMI]]&lt;=30%)</f>
        <v>0</v>
      </c>
      <c r="J43" t="str">
        <f>IF(OR(Units[[#This Row],[Special Needs]]=TRUE,Units[[#This Row],[Veterans]]=TRUE,Units[[#This Row],[Homeless]]=TRUE),TRUE,"")</f>
        <v/>
      </c>
      <c r="K43" s="1" t="str" cm="1">
        <f t="array" ref="K43">IF(Units[[#This Row],[Min Inputs]],INDEX(DataAmi,INDEX(ListCountyRows,Units[[#This Row],[Project]]),MIN(Units[[#This Row],[Bedrooms]]+1,5))*Units[[#This Row],[AMI]]/12*30%,"")</f>
        <v/>
      </c>
      <c r="L43" s="1" t="str" cm="1">
        <f t="array" ref="L43">IF(Units[[#This Row],[Min Inputs]],INDEX(DataFmr,INDEX(ListCountyRows,Units[[#This Row],[Project]]),MIN(Units[[#This Row],[Bedrooms]]+1,5)),"")</f>
        <v/>
      </c>
      <c r="M43" s="1" t="str">
        <f>IF(Units[[#This Row],[Min Inputs]],IFERROR(Units[[#This Row],[Fair Market Rent]]-Units[[#This Row],[Rent Limit]],""),"")</f>
        <v/>
      </c>
      <c r="N43" s="1" t="str">
        <f>IFERROR(Units[[#This Row],[Rent Savings]]*Units[[#This Row],[Quantity]],"")</f>
        <v/>
      </c>
      <c r="O43" s="1" t="str" cm="1">
        <f t="array" ref="O43">IF(Units[[#This Row],[Min Inputs]],INDEX(DataAmi,INDEX(ListCountyRows,Units[[#This Row],[Project]]),MIN(Units[[#This Row],[Bedrooms]]+1,5))*IF(AND(Units[[#This Row],[PBV Units]]=TRUE,Units[[#This Row],[AMI]]&lt;=30%),30%,RentLimitFloor)/12*30%,"")</f>
        <v/>
      </c>
      <c r="P43" s="1" t="str">
        <f>IF(Units[[#This Row],[Min Inputs]],IFERROR(Units[[#This Row],[Fair Market Rent]]-Units[[#This Row],[Rent Limit Floor]],""),"")</f>
        <v/>
      </c>
      <c r="Q43" s="1" t="str">
        <f>IFERROR(Units[[#This Row],[RLF Savings]]*Units[[#This Row],[Quantity]],"")</f>
        <v/>
      </c>
      <c r="R43" s="27" t="b">
        <f>AND(Units[[#This Row],[Project]]&gt;0,Units[[#This Row],[Quantity]]&gt;0,Units[[#This Row],[Bedrooms]]&gt;-1,Units[[#This Row],[AMI]]&gt;=20%,Units[[#This Row],[AMI]]&lt;=80%)</f>
        <v>0</v>
      </c>
    </row>
    <row r="44" spans="1:18" x14ac:dyDescent="0.25">
      <c r="A44" s="39">
        <v>4</v>
      </c>
      <c r="B44" s="14"/>
      <c r="C44" s="14"/>
      <c r="D44" s="16"/>
      <c r="E44" s="16"/>
      <c r="F44" s="14"/>
      <c r="G44" s="14"/>
      <c r="H44" s="14"/>
      <c r="I44" s="45">
        <f>Units[[#This Row],[Quantity]]*(Units[[#This Row],[Min Inputs]])*(Units[[#This Row],[AMI]]&lt;=30%)</f>
        <v>0</v>
      </c>
      <c r="J44" t="str">
        <f>IF(OR(Units[[#This Row],[Special Needs]]=TRUE,Units[[#This Row],[Veterans]]=TRUE,Units[[#This Row],[Homeless]]=TRUE),TRUE,"")</f>
        <v/>
      </c>
      <c r="K44" s="1" t="str" cm="1">
        <f t="array" ref="K44">IF(Units[[#This Row],[Min Inputs]],INDEX(DataAmi,INDEX(ListCountyRows,Units[[#This Row],[Project]]),MIN(Units[[#This Row],[Bedrooms]]+1,5))*Units[[#This Row],[AMI]]/12*30%,"")</f>
        <v/>
      </c>
      <c r="L44" s="1" t="str" cm="1">
        <f t="array" ref="L44">IF(Units[[#This Row],[Min Inputs]],INDEX(DataFmr,INDEX(ListCountyRows,Units[[#This Row],[Project]]),MIN(Units[[#This Row],[Bedrooms]]+1,5)),"")</f>
        <v/>
      </c>
      <c r="M44" s="1" t="str">
        <f>IF(Units[[#This Row],[Min Inputs]],IFERROR(Units[[#This Row],[Fair Market Rent]]-Units[[#This Row],[Rent Limit]],""),"")</f>
        <v/>
      </c>
      <c r="N44" s="1" t="str">
        <f>IFERROR(Units[[#This Row],[Rent Savings]]*Units[[#This Row],[Quantity]],"")</f>
        <v/>
      </c>
      <c r="O44" s="1" t="str" cm="1">
        <f t="array" ref="O44">IF(Units[[#This Row],[Min Inputs]],INDEX(DataAmi,INDEX(ListCountyRows,Units[[#This Row],[Project]]),MIN(Units[[#This Row],[Bedrooms]]+1,5))*IF(AND(Units[[#This Row],[PBV Units]]=TRUE,Units[[#This Row],[AMI]]&lt;=30%),30%,RentLimitFloor)/12*30%,"")</f>
        <v/>
      </c>
      <c r="P44" s="1" t="str">
        <f>IF(Units[[#This Row],[Min Inputs]],IFERROR(Units[[#This Row],[Fair Market Rent]]-Units[[#This Row],[Rent Limit Floor]],""),"")</f>
        <v/>
      </c>
      <c r="Q44" s="1" t="str">
        <f>IFERROR(Units[[#This Row],[RLF Savings]]*Units[[#This Row],[Quantity]],"")</f>
        <v/>
      </c>
      <c r="R44" s="27" t="b">
        <f>AND(Units[[#This Row],[Project]]&gt;0,Units[[#This Row],[Quantity]]&gt;0,Units[[#This Row],[Bedrooms]]&gt;-1,Units[[#This Row],[AMI]]&gt;=20%,Units[[#This Row],[AMI]]&lt;=80%)</f>
        <v>0</v>
      </c>
    </row>
    <row r="45" spans="1:18" x14ac:dyDescent="0.25">
      <c r="A45" s="39">
        <v>4</v>
      </c>
      <c r="B45" s="14"/>
      <c r="C45" s="14"/>
      <c r="D45" s="16"/>
      <c r="E45" s="16"/>
      <c r="F45" s="14"/>
      <c r="G45" s="14"/>
      <c r="H45" s="14"/>
      <c r="I45" s="45">
        <f>Units[[#This Row],[Quantity]]*(Units[[#This Row],[Min Inputs]])*(Units[[#This Row],[AMI]]&lt;=30%)</f>
        <v>0</v>
      </c>
      <c r="J45" t="str">
        <f>IF(OR(Units[[#This Row],[Special Needs]]=TRUE,Units[[#This Row],[Veterans]]=TRUE,Units[[#This Row],[Homeless]]=TRUE),TRUE,"")</f>
        <v/>
      </c>
      <c r="K45" s="1" t="str" cm="1">
        <f t="array" ref="K45">IF(Units[[#This Row],[Min Inputs]],INDEX(DataAmi,INDEX(ListCountyRows,Units[[#This Row],[Project]]),MIN(Units[[#This Row],[Bedrooms]]+1,5))*Units[[#This Row],[AMI]]/12*30%,"")</f>
        <v/>
      </c>
      <c r="L45" s="1" t="str" cm="1">
        <f t="array" ref="L45">IF(Units[[#This Row],[Min Inputs]],INDEX(DataFmr,INDEX(ListCountyRows,Units[[#This Row],[Project]]),MIN(Units[[#This Row],[Bedrooms]]+1,5)),"")</f>
        <v/>
      </c>
      <c r="M45" s="1" t="str">
        <f>IF(Units[[#This Row],[Min Inputs]],IFERROR(Units[[#This Row],[Fair Market Rent]]-Units[[#This Row],[Rent Limit]],""),"")</f>
        <v/>
      </c>
      <c r="N45" s="1" t="str">
        <f>IFERROR(Units[[#This Row],[Rent Savings]]*Units[[#This Row],[Quantity]],"")</f>
        <v/>
      </c>
      <c r="O45" s="1" t="str" cm="1">
        <f t="array" ref="O45">IF(Units[[#This Row],[Min Inputs]],INDEX(DataAmi,INDEX(ListCountyRows,Units[[#This Row],[Project]]),MIN(Units[[#This Row],[Bedrooms]]+1,5))*IF(AND(Units[[#This Row],[PBV Units]]=TRUE,Units[[#This Row],[AMI]]&lt;=30%),30%,RentLimitFloor)/12*30%,"")</f>
        <v/>
      </c>
      <c r="P45" s="1" t="str">
        <f>IF(Units[[#This Row],[Min Inputs]],IFERROR(Units[[#This Row],[Fair Market Rent]]-Units[[#This Row],[Rent Limit Floor]],""),"")</f>
        <v/>
      </c>
      <c r="Q45" s="1" t="str">
        <f>IFERROR(Units[[#This Row],[RLF Savings]]*Units[[#This Row],[Quantity]],"")</f>
        <v/>
      </c>
      <c r="R45" s="27" t="b">
        <f>AND(Units[[#This Row],[Project]]&gt;0,Units[[#This Row],[Quantity]]&gt;0,Units[[#This Row],[Bedrooms]]&gt;-1,Units[[#This Row],[AMI]]&gt;=20%,Units[[#This Row],[AMI]]&lt;=80%)</f>
        <v>0</v>
      </c>
    </row>
    <row r="46" spans="1:18" x14ac:dyDescent="0.25">
      <c r="A46" s="39"/>
      <c r="B46" s="14"/>
      <c r="C46" s="14"/>
      <c r="D46" s="16"/>
      <c r="E46" s="16"/>
      <c r="F46" s="14"/>
      <c r="G46" s="14"/>
      <c r="H46" s="14"/>
      <c r="I46" s="45">
        <f>Units[[#This Row],[Quantity]]*(Units[[#This Row],[Min Inputs]])*(Units[[#This Row],[AMI]]&lt;=30%)</f>
        <v>0</v>
      </c>
      <c r="J46" t="str">
        <f>IF(OR(Units[[#This Row],[Special Needs]]=TRUE,Units[[#This Row],[Veterans]]=TRUE,Units[[#This Row],[Homeless]]=TRUE),TRUE,"")</f>
        <v/>
      </c>
      <c r="K46" s="1" t="str" cm="1">
        <f t="array" ref="K46">IF(Units[[#This Row],[Min Inputs]],INDEX(DataAmi,INDEX(ListCountyRows,Units[[#This Row],[Project]]),MIN(Units[[#This Row],[Bedrooms]]+1,5))*Units[[#This Row],[AMI]]/12*30%,"")</f>
        <v/>
      </c>
      <c r="L46" s="1" t="str" cm="1">
        <f t="array" ref="L46">IF(Units[[#This Row],[Min Inputs]],INDEX(DataFmr,INDEX(ListCountyRows,Units[[#This Row],[Project]]),MIN(Units[[#This Row],[Bedrooms]]+1,5)),"")</f>
        <v/>
      </c>
      <c r="M46" s="1" t="str">
        <f>IF(Units[[#This Row],[Min Inputs]],IFERROR(Units[[#This Row],[Fair Market Rent]]-Units[[#This Row],[Rent Limit]],""),"")</f>
        <v/>
      </c>
      <c r="N46" s="1" t="str">
        <f>IFERROR(Units[[#This Row],[Rent Savings]]*Units[[#This Row],[Quantity]],"")</f>
        <v/>
      </c>
      <c r="O46" s="1" t="str" cm="1">
        <f t="array" ref="O46">IF(Units[[#This Row],[Min Inputs]],INDEX(DataAmi,INDEX(ListCountyRows,Units[[#This Row],[Project]]),MIN(Units[[#This Row],[Bedrooms]]+1,5))*IF(AND(Units[[#This Row],[PBV Units]]=TRUE,Units[[#This Row],[AMI]]&lt;=30%),30%,RentLimitFloor)/12*30%,"")</f>
        <v/>
      </c>
      <c r="P46" s="1" t="str">
        <f>IF(Units[[#This Row],[Min Inputs]],IFERROR(Units[[#This Row],[Fair Market Rent]]-Units[[#This Row],[Rent Limit Floor]],""),"")</f>
        <v/>
      </c>
      <c r="Q46" s="1" t="str">
        <f>IFERROR(Units[[#This Row],[RLF Savings]]*Units[[#This Row],[Quantity]],"")</f>
        <v/>
      </c>
      <c r="R46" s="27" t="b">
        <f>AND(Units[[#This Row],[Project]]&gt;0,Units[[#This Row],[Quantity]]&gt;0,Units[[#This Row],[Bedrooms]]&gt;-1,Units[[#This Row],[AMI]]&gt;=20%,Units[[#This Row],[AMI]]&lt;=80%)</f>
        <v>0</v>
      </c>
    </row>
    <row r="47" spans="1:18" x14ac:dyDescent="0.25">
      <c r="A47" s="39"/>
      <c r="B47" s="14"/>
      <c r="C47" s="14"/>
      <c r="D47" s="16"/>
      <c r="E47" s="16"/>
      <c r="F47" s="14"/>
      <c r="G47" s="14"/>
      <c r="H47" s="14"/>
      <c r="I47" s="45">
        <f>Units[[#This Row],[Quantity]]*(Units[[#This Row],[Min Inputs]])*(Units[[#This Row],[AMI]]&lt;=30%)</f>
        <v>0</v>
      </c>
      <c r="J47" t="str">
        <f>IF(OR(Units[[#This Row],[Special Needs]]=TRUE,Units[[#This Row],[Veterans]]=TRUE,Units[[#This Row],[Homeless]]=TRUE),TRUE,"")</f>
        <v/>
      </c>
      <c r="K47" s="1" t="str" cm="1">
        <f t="array" ref="K47">IF(Units[[#This Row],[Min Inputs]],INDEX(DataAmi,INDEX(ListCountyRows,Units[[#This Row],[Project]]),MIN(Units[[#This Row],[Bedrooms]]+1,5))*Units[[#This Row],[AMI]]/12*30%,"")</f>
        <v/>
      </c>
      <c r="L47" s="1" t="str" cm="1">
        <f t="array" ref="L47">IF(Units[[#This Row],[Min Inputs]],INDEX(DataFmr,INDEX(ListCountyRows,Units[[#This Row],[Project]]),MIN(Units[[#This Row],[Bedrooms]]+1,5)),"")</f>
        <v/>
      </c>
      <c r="M47" s="1" t="str">
        <f>IF(Units[[#This Row],[Min Inputs]],IFERROR(Units[[#This Row],[Fair Market Rent]]-Units[[#This Row],[Rent Limit]],""),"")</f>
        <v/>
      </c>
      <c r="N47" s="1" t="str">
        <f>IFERROR(Units[[#This Row],[Rent Savings]]*Units[[#This Row],[Quantity]],"")</f>
        <v/>
      </c>
      <c r="O47" s="1" t="str" cm="1">
        <f t="array" ref="O47">IF(Units[[#This Row],[Min Inputs]],INDEX(DataAmi,INDEX(ListCountyRows,Units[[#This Row],[Project]]),MIN(Units[[#This Row],[Bedrooms]]+1,5))*IF(AND(Units[[#This Row],[PBV Units]]=TRUE,Units[[#This Row],[AMI]]&lt;=30%),30%,RentLimitFloor)/12*30%,"")</f>
        <v/>
      </c>
      <c r="P47" s="1" t="str">
        <f>IF(Units[[#This Row],[Min Inputs]],IFERROR(Units[[#This Row],[Fair Market Rent]]-Units[[#This Row],[Rent Limit Floor]],""),"")</f>
        <v/>
      </c>
      <c r="Q47" s="1" t="str">
        <f>IFERROR(Units[[#This Row],[RLF Savings]]*Units[[#This Row],[Quantity]],"")</f>
        <v/>
      </c>
      <c r="R47" s="27" t="b">
        <f>AND(Units[[#This Row],[Project]]&gt;0,Units[[#This Row],[Quantity]]&gt;0,Units[[#This Row],[Bedrooms]]&gt;-1,Units[[#This Row],[AMI]]&gt;=20%,Units[[#This Row],[AMI]]&lt;=80%)</f>
        <v>0</v>
      </c>
    </row>
    <row r="48" spans="1:18" x14ac:dyDescent="0.25">
      <c r="A48" s="39"/>
      <c r="B48" s="14"/>
      <c r="C48" s="14"/>
      <c r="D48" s="16"/>
      <c r="E48" s="16"/>
      <c r="F48" s="14"/>
      <c r="G48" s="14"/>
      <c r="H48" s="14"/>
      <c r="I48" s="45">
        <f>Units[[#This Row],[Quantity]]*(Units[[#This Row],[Min Inputs]])*(Units[[#This Row],[AMI]]&lt;=30%)</f>
        <v>0</v>
      </c>
      <c r="J48" t="str">
        <f>IF(OR(Units[[#This Row],[Special Needs]]=TRUE,Units[[#This Row],[Veterans]]=TRUE,Units[[#This Row],[Homeless]]=TRUE),TRUE,"")</f>
        <v/>
      </c>
      <c r="K48" s="1" t="str" cm="1">
        <f t="array" ref="K48">IF(Units[[#This Row],[Min Inputs]],INDEX(DataAmi,INDEX(ListCountyRows,Units[[#This Row],[Project]]),MIN(Units[[#This Row],[Bedrooms]]+1,5))*Units[[#This Row],[AMI]]/12*30%,"")</f>
        <v/>
      </c>
      <c r="L48" s="1" t="str" cm="1">
        <f t="array" ref="L48">IF(Units[[#This Row],[Min Inputs]],INDEX(DataFmr,INDEX(ListCountyRows,Units[[#This Row],[Project]]),MIN(Units[[#This Row],[Bedrooms]]+1,5)),"")</f>
        <v/>
      </c>
      <c r="M48" s="1" t="str">
        <f>IF(Units[[#This Row],[Min Inputs]],IFERROR(Units[[#This Row],[Fair Market Rent]]-Units[[#This Row],[Rent Limit]],""),"")</f>
        <v/>
      </c>
      <c r="N48" s="1" t="str">
        <f>IFERROR(Units[[#This Row],[Rent Savings]]*Units[[#This Row],[Quantity]],"")</f>
        <v/>
      </c>
      <c r="O48" s="1" t="str" cm="1">
        <f t="array" ref="O48">IF(Units[[#This Row],[Min Inputs]],INDEX(DataAmi,INDEX(ListCountyRows,Units[[#This Row],[Project]]),MIN(Units[[#This Row],[Bedrooms]]+1,5))*IF(AND(Units[[#This Row],[PBV Units]]=TRUE,Units[[#This Row],[AMI]]&lt;=30%),30%,RentLimitFloor)/12*30%,"")</f>
        <v/>
      </c>
      <c r="P48" s="1" t="str">
        <f>IF(Units[[#This Row],[Min Inputs]],IFERROR(Units[[#This Row],[Fair Market Rent]]-Units[[#This Row],[Rent Limit Floor]],""),"")</f>
        <v/>
      </c>
      <c r="Q48" s="1" t="str">
        <f>IFERROR(Units[[#This Row],[RLF Savings]]*Units[[#This Row],[Quantity]],"")</f>
        <v/>
      </c>
      <c r="R48" s="27" t="b">
        <f>AND(Units[[#This Row],[Project]]&gt;0,Units[[#This Row],[Quantity]]&gt;0,Units[[#This Row],[Bedrooms]]&gt;-1,Units[[#This Row],[AMI]]&gt;=20%,Units[[#This Row],[AMI]]&lt;=80%)</f>
        <v>0</v>
      </c>
    </row>
    <row r="49" spans="1:18" x14ac:dyDescent="0.25">
      <c r="A49" s="39"/>
      <c r="B49" s="14"/>
      <c r="C49" s="14"/>
      <c r="D49" s="16"/>
      <c r="E49" s="16"/>
      <c r="F49" s="14"/>
      <c r="G49" s="14"/>
      <c r="H49" s="14"/>
      <c r="I49" s="45">
        <f>Units[[#This Row],[Quantity]]*(Units[[#This Row],[Min Inputs]])*(Units[[#This Row],[AMI]]&lt;=30%)</f>
        <v>0</v>
      </c>
      <c r="J49" t="str">
        <f>IF(OR(Units[[#This Row],[Special Needs]]=TRUE,Units[[#This Row],[Veterans]]=TRUE,Units[[#This Row],[Homeless]]=TRUE),TRUE,"")</f>
        <v/>
      </c>
      <c r="K49" s="1" t="str" cm="1">
        <f t="array" ref="K49">IF(Units[[#This Row],[Min Inputs]],INDEX(DataAmi,INDEX(ListCountyRows,Units[[#This Row],[Project]]),MIN(Units[[#This Row],[Bedrooms]]+1,5))*Units[[#This Row],[AMI]]/12*30%,"")</f>
        <v/>
      </c>
      <c r="L49" s="1" t="str" cm="1">
        <f t="array" ref="L49">IF(Units[[#This Row],[Min Inputs]],INDEX(DataFmr,INDEX(ListCountyRows,Units[[#This Row],[Project]]),MIN(Units[[#This Row],[Bedrooms]]+1,5)),"")</f>
        <v/>
      </c>
      <c r="M49" s="1" t="str">
        <f>IF(Units[[#This Row],[Min Inputs]],IFERROR(Units[[#This Row],[Fair Market Rent]]-Units[[#This Row],[Rent Limit]],""),"")</f>
        <v/>
      </c>
      <c r="N49" s="1" t="str">
        <f>IFERROR(Units[[#This Row],[Rent Savings]]*Units[[#This Row],[Quantity]],"")</f>
        <v/>
      </c>
      <c r="O49" s="1" t="str" cm="1">
        <f t="array" ref="O49">IF(Units[[#This Row],[Min Inputs]],INDEX(DataAmi,INDEX(ListCountyRows,Units[[#This Row],[Project]]),MIN(Units[[#This Row],[Bedrooms]]+1,5))*IF(AND(Units[[#This Row],[PBV Units]]=TRUE,Units[[#This Row],[AMI]]&lt;=30%),30%,RentLimitFloor)/12*30%,"")</f>
        <v/>
      </c>
      <c r="P49" s="1" t="str">
        <f>IF(Units[[#This Row],[Min Inputs]],IFERROR(Units[[#This Row],[Fair Market Rent]]-Units[[#This Row],[Rent Limit Floor]],""),"")</f>
        <v/>
      </c>
      <c r="Q49" s="1" t="str">
        <f>IFERROR(Units[[#This Row],[RLF Savings]]*Units[[#This Row],[Quantity]],"")</f>
        <v/>
      </c>
      <c r="R49" s="27" t="b">
        <f>AND(Units[[#This Row],[Project]]&gt;0,Units[[#This Row],[Quantity]]&gt;0,Units[[#This Row],[Bedrooms]]&gt;-1,Units[[#This Row],[AMI]]&gt;=20%,Units[[#This Row],[AMI]]&lt;=80%)</f>
        <v>0</v>
      </c>
    </row>
    <row r="50" spans="1:18" x14ac:dyDescent="0.25">
      <c r="A50" s="39"/>
      <c r="B50" s="14"/>
      <c r="C50" s="14"/>
      <c r="D50" s="16"/>
      <c r="E50" s="16"/>
      <c r="F50" s="14"/>
      <c r="G50" s="14"/>
      <c r="H50" s="14"/>
      <c r="I50" s="45">
        <f>Units[[#This Row],[Quantity]]*(Units[[#This Row],[Min Inputs]])*(Units[[#This Row],[AMI]]&lt;=30%)</f>
        <v>0</v>
      </c>
      <c r="J50" t="str">
        <f>IF(OR(Units[[#This Row],[Special Needs]]=TRUE,Units[[#This Row],[Veterans]]=TRUE,Units[[#This Row],[Homeless]]=TRUE),TRUE,"")</f>
        <v/>
      </c>
      <c r="K50" s="1" t="str" cm="1">
        <f t="array" ref="K50">IF(Units[[#This Row],[Min Inputs]],INDEX(DataAmi,INDEX(ListCountyRows,Units[[#This Row],[Project]]),MIN(Units[[#This Row],[Bedrooms]]+1,5))*Units[[#This Row],[AMI]]/12*30%,"")</f>
        <v/>
      </c>
      <c r="L50" s="1" t="str" cm="1">
        <f t="array" ref="L50">IF(Units[[#This Row],[Min Inputs]],INDEX(DataFmr,INDEX(ListCountyRows,Units[[#This Row],[Project]]),MIN(Units[[#This Row],[Bedrooms]]+1,5)),"")</f>
        <v/>
      </c>
      <c r="M50" s="1" t="str">
        <f>IF(Units[[#This Row],[Min Inputs]],IFERROR(Units[[#This Row],[Fair Market Rent]]-Units[[#This Row],[Rent Limit]],""),"")</f>
        <v/>
      </c>
      <c r="N50" s="1" t="str">
        <f>IFERROR(Units[[#This Row],[Rent Savings]]*Units[[#This Row],[Quantity]],"")</f>
        <v/>
      </c>
      <c r="O50" s="1" t="str" cm="1">
        <f t="array" ref="O50">IF(Units[[#This Row],[Min Inputs]],INDEX(DataAmi,INDEX(ListCountyRows,Units[[#This Row],[Project]]),MIN(Units[[#This Row],[Bedrooms]]+1,5))*IF(AND(Units[[#This Row],[PBV Units]]=TRUE,Units[[#This Row],[AMI]]&lt;=30%),30%,RentLimitFloor)/12*30%,"")</f>
        <v/>
      </c>
      <c r="P50" s="1" t="str">
        <f>IF(Units[[#This Row],[Min Inputs]],IFERROR(Units[[#This Row],[Fair Market Rent]]-Units[[#This Row],[Rent Limit Floor]],""),"")</f>
        <v/>
      </c>
      <c r="Q50" s="1" t="str">
        <f>IFERROR(Units[[#This Row],[RLF Savings]]*Units[[#This Row],[Quantity]],"")</f>
        <v/>
      </c>
      <c r="R50" s="27" t="b">
        <f>AND(Units[[#This Row],[Project]]&gt;0,Units[[#This Row],[Quantity]]&gt;0,Units[[#This Row],[Bedrooms]]&gt;-1,Units[[#This Row],[AMI]]&gt;=20%,Units[[#This Row],[AMI]]&lt;=80%)</f>
        <v>0</v>
      </c>
    </row>
    <row r="51" spans="1:18" x14ac:dyDescent="0.25">
      <c r="A51" s="39"/>
      <c r="B51" s="14"/>
      <c r="C51" s="14"/>
      <c r="D51" s="16"/>
      <c r="E51" s="16"/>
      <c r="F51" s="14"/>
      <c r="G51" s="14"/>
      <c r="H51" s="14"/>
      <c r="I51" s="45">
        <f>Units[[#This Row],[Quantity]]*(Units[[#This Row],[Min Inputs]])*(Units[[#This Row],[AMI]]&lt;=30%)</f>
        <v>0</v>
      </c>
      <c r="J51" t="str">
        <f>IF(OR(Units[[#This Row],[Special Needs]]=TRUE,Units[[#This Row],[Veterans]]=TRUE,Units[[#This Row],[Homeless]]=TRUE),TRUE,"")</f>
        <v/>
      </c>
      <c r="K51" s="1" t="str" cm="1">
        <f t="array" ref="K51">IF(Units[[#This Row],[Min Inputs]],INDEX(DataAmi,INDEX(ListCountyRows,Units[[#This Row],[Project]]),MIN(Units[[#This Row],[Bedrooms]]+1,5))*Units[[#This Row],[AMI]]/12*30%,"")</f>
        <v/>
      </c>
      <c r="L51" s="1" t="str" cm="1">
        <f t="array" ref="L51">IF(Units[[#This Row],[Min Inputs]],INDEX(DataFmr,INDEX(ListCountyRows,Units[[#This Row],[Project]]),MIN(Units[[#This Row],[Bedrooms]]+1,5)),"")</f>
        <v/>
      </c>
      <c r="M51" s="1" t="str">
        <f>IF(Units[[#This Row],[Min Inputs]],IFERROR(Units[[#This Row],[Fair Market Rent]]-Units[[#This Row],[Rent Limit]],""),"")</f>
        <v/>
      </c>
      <c r="N51" s="1" t="str">
        <f>IFERROR(Units[[#This Row],[Rent Savings]]*Units[[#This Row],[Quantity]],"")</f>
        <v/>
      </c>
      <c r="O51" s="1" t="str" cm="1">
        <f t="array" ref="O51">IF(Units[[#This Row],[Min Inputs]],INDEX(DataAmi,INDEX(ListCountyRows,Units[[#This Row],[Project]]),MIN(Units[[#This Row],[Bedrooms]]+1,5))*IF(AND(Units[[#This Row],[PBV Units]]=TRUE,Units[[#This Row],[AMI]]&lt;=30%),30%,RentLimitFloor)/12*30%,"")</f>
        <v/>
      </c>
      <c r="P51" s="1" t="str">
        <f>IF(Units[[#This Row],[Min Inputs]],IFERROR(Units[[#This Row],[Fair Market Rent]]-Units[[#This Row],[Rent Limit Floor]],""),"")</f>
        <v/>
      </c>
      <c r="Q51" s="1" t="str">
        <f>IFERROR(Units[[#This Row],[RLF Savings]]*Units[[#This Row],[Quantity]],"")</f>
        <v/>
      </c>
      <c r="R51" s="27" t="b">
        <f>AND(Units[[#This Row],[Project]]&gt;0,Units[[#This Row],[Quantity]]&gt;0,Units[[#This Row],[Bedrooms]]&gt;-1,Units[[#This Row],[AMI]]&gt;=20%,Units[[#This Row],[AMI]]&lt;=80%)</f>
        <v>0</v>
      </c>
    </row>
    <row r="52" spans="1:18" x14ac:dyDescent="0.25">
      <c r="A52" s="39"/>
      <c r="B52" s="14"/>
      <c r="C52" s="14"/>
      <c r="D52" s="16"/>
      <c r="E52" s="16"/>
      <c r="F52" s="14"/>
      <c r="G52" s="14"/>
      <c r="H52" s="14"/>
      <c r="I52" s="45">
        <f>Units[[#This Row],[Quantity]]*(Units[[#This Row],[Min Inputs]])*(Units[[#This Row],[AMI]]&lt;=30%)</f>
        <v>0</v>
      </c>
      <c r="J52" t="str">
        <f>IF(OR(Units[[#This Row],[Special Needs]]=TRUE,Units[[#This Row],[Veterans]]=TRUE,Units[[#This Row],[Homeless]]=TRUE),TRUE,"")</f>
        <v/>
      </c>
      <c r="K52" s="1" t="str" cm="1">
        <f t="array" ref="K52">IF(Units[[#This Row],[Min Inputs]],INDEX(DataAmi,INDEX(ListCountyRows,Units[[#This Row],[Project]]),MIN(Units[[#This Row],[Bedrooms]]+1,5))*Units[[#This Row],[AMI]]/12*30%,"")</f>
        <v/>
      </c>
      <c r="L52" s="1" t="str" cm="1">
        <f t="array" ref="L52">IF(Units[[#This Row],[Min Inputs]],INDEX(DataFmr,INDEX(ListCountyRows,Units[[#This Row],[Project]]),MIN(Units[[#This Row],[Bedrooms]]+1,5)),"")</f>
        <v/>
      </c>
      <c r="M52" s="1" t="str">
        <f>IF(Units[[#This Row],[Min Inputs]],IFERROR(Units[[#This Row],[Fair Market Rent]]-Units[[#This Row],[Rent Limit]],""),"")</f>
        <v/>
      </c>
      <c r="N52" s="1" t="str">
        <f>IFERROR(Units[[#This Row],[Rent Savings]]*Units[[#This Row],[Quantity]],"")</f>
        <v/>
      </c>
      <c r="O52" s="1" t="str" cm="1">
        <f t="array" ref="O52">IF(Units[[#This Row],[Min Inputs]],INDEX(DataAmi,INDEX(ListCountyRows,Units[[#This Row],[Project]]),MIN(Units[[#This Row],[Bedrooms]]+1,5))*IF(AND(Units[[#This Row],[PBV Units]]=TRUE,Units[[#This Row],[AMI]]&lt;=30%),30%,RentLimitFloor)/12*30%,"")</f>
        <v/>
      </c>
      <c r="P52" s="1" t="str">
        <f>IF(Units[[#This Row],[Min Inputs]],IFERROR(Units[[#This Row],[Fair Market Rent]]-Units[[#This Row],[Rent Limit Floor]],""),"")</f>
        <v/>
      </c>
      <c r="Q52" s="1" t="str">
        <f>IFERROR(Units[[#This Row],[RLF Savings]]*Units[[#This Row],[Quantity]],"")</f>
        <v/>
      </c>
      <c r="R52" s="27" t="b">
        <f>AND(Units[[#This Row],[Project]]&gt;0,Units[[#This Row],[Quantity]]&gt;0,Units[[#This Row],[Bedrooms]]&gt;-1,Units[[#This Row],[AMI]]&gt;=20%,Units[[#This Row],[AMI]]&lt;=80%)</f>
        <v>0</v>
      </c>
    </row>
    <row r="53" spans="1:18" x14ac:dyDescent="0.25">
      <c r="A53" s="39"/>
      <c r="B53" s="14"/>
      <c r="C53" s="14"/>
      <c r="D53" s="16"/>
      <c r="E53" s="16"/>
      <c r="F53" s="14"/>
      <c r="G53" s="14"/>
      <c r="H53" s="14"/>
      <c r="I53" s="45">
        <f>Units[[#This Row],[Quantity]]*(Units[[#This Row],[Min Inputs]])*(Units[[#This Row],[AMI]]&lt;=30%)</f>
        <v>0</v>
      </c>
      <c r="J53" t="str">
        <f>IF(OR(Units[[#This Row],[Special Needs]]=TRUE,Units[[#This Row],[Veterans]]=TRUE,Units[[#This Row],[Homeless]]=TRUE),TRUE,"")</f>
        <v/>
      </c>
      <c r="K53" s="1" t="str" cm="1">
        <f t="array" ref="K53">IF(Units[[#This Row],[Min Inputs]],INDEX(DataAmi,INDEX(ListCountyRows,Units[[#This Row],[Project]]),MIN(Units[[#This Row],[Bedrooms]]+1,5))*Units[[#This Row],[AMI]]/12*30%,"")</f>
        <v/>
      </c>
      <c r="L53" s="1" t="str" cm="1">
        <f t="array" ref="L53">IF(Units[[#This Row],[Min Inputs]],INDEX(DataFmr,INDEX(ListCountyRows,Units[[#This Row],[Project]]),MIN(Units[[#This Row],[Bedrooms]]+1,5)),"")</f>
        <v/>
      </c>
      <c r="M53" s="1" t="str">
        <f>IF(Units[[#This Row],[Min Inputs]],IFERROR(Units[[#This Row],[Fair Market Rent]]-Units[[#This Row],[Rent Limit]],""),"")</f>
        <v/>
      </c>
      <c r="N53" s="1" t="str">
        <f>IFERROR(Units[[#This Row],[Rent Savings]]*Units[[#This Row],[Quantity]],"")</f>
        <v/>
      </c>
      <c r="O53" s="1" t="str" cm="1">
        <f t="array" ref="O53">IF(Units[[#This Row],[Min Inputs]],INDEX(DataAmi,INDEX(ListCountyRows,Units[[#This Row],[Project]]),MIN(Units[[#This Row],[Bedrooms]]+1,5))*IF(AND(Units[[#This Row],[PBV Units]]=TRUE,Units[[#This Row],[AMI]]&lt;=30%),30%,RentLimitFloor)/12*30%,"")</f>
        <v/>
      </c>
      <c r="P53" s="1" t="str">
        <f>IF(Units[[#This Row],[Min Inputs]],IFERROR(Units[[#This Row],[Fair Market Rent]]-Units[[#This Row],[Rent Limit Floor]],""),"")</f>
        <v/>
      </c>
      <c r="Q53" s="1" t="str">
        <f>IFERROR(Units[[#This Row],[RLF Savings]]*Units[[#This Row],[Quantity]],"")</f>
        <v/>
      </c>
      <c r="R53" s="27" t="b">
        <f>AND(Units[[#This Row],[Project]]&gt;0,Units[[#This Row],[Quantity]]&gt;0,Units[[#This Row],[Bedrooms]]&gt;-1,Units[[#This Row],[AMI]]&gt;=20%,Units[[#This Row],[AMI]]&lt;=80%)</f>
        <v>0</v>
      </c>
    </row>
    <row r="54" spans="1:18" x14ac:dyDescent="0.25">
      <c r="A54" s="39"/>
      <c r="B54" s="14"/>
      <c r="C54" s="14"/>
      <c r="D54" s="16"/>
      <c r="E54" s="16"/>
      <c r="F54" s="14"/>
      <c r="G54" s="14"/>
      <c r="H54" s="14"/>
      <c r="I54" s="45">
        <f>Units[[#This Row],[Quantity]]*(Units[[#This Row],[Min Inputs]])*(Units[[#This Row],[AMI]]&lt;=30%)</f>
        <v>0</v>
      </c>
      <c r="J54" t="str">
        <f>IF(OR(Units[[#This Row],[Special Needs]]=TRUE,Units[[#This Row],[Veterans]]=TRUE,Units[[#This Row],[Homeless]]=TRUE),TRUE,"")</f>
        <v/>
      </c>
      <c r="K54" s="1" t="str" cm="1">
        <f t="array" ref="K54">IF(Units[[#This Row],[Min Inputs]],INDEX(DataAmi,INDEX(ListCountyRows,Units[[#This Row],[Project]]),MIN(Units[[#This Row],[Bedrooms]]+1,5))*Units[[#This Row],[AMI]]/12*30%,"")</f>
        <v/>
      </c>
      <c r="L54" s="1" t="str" cm="1">
        <f t="array" ref="L54">IF(Units[[#This Row],[Min Inputs]],INDEX(DataFmr,INDEX(ListCountyRows,Units[[#This Row],[Project]]),MIN(Units[[#This Row],[Bedrooms]]+1,5)),"")</f>
        <v/>
      </c>
      <c r="M54" s="1" t="str">
        <f>IF(Units[[#This Row],[Min Inputs]],IFERROR(Units[[#This Row],[Fair Market Rent]]-Units[[#This Row],[Rent Limit]],""),"")</f>
        <v/>
      </c>
      <c r="N54" s="1" t="str">
        <f>IFERROR(Units[[#This Row],[Rent Savings]]*Units[[#This Row],[Quantity]],"")</f>
        <v/>
      </c>
      <c r="O54" s="1" t="str" cm="1">
        <f t="array" ref="O54">IF(Units[[#This Row],[Min Inputs]],INDEX(DataAmi,INDEX(ListCountyRows,Units[[#This Row],[Project]]),MIN(Units[[#This Row],[Bedrooms]]+1,5))*IF(AND(Units[[#This Row],[PBV Units]]=TRUE,Units[[#This Row],[AMI]]&lt;=30%),30%,RentLimitFloor)/12*30%,"")</f>
        <v/>
      </c>
      <c r="P54" s="1" t="str">
        <f>IF(Units[[#This Row],[Min Inputs]],IFERROR(Units[[#This Row],[Fair Market Rent]]-Units[[#This Row],[Rent Limit Floor]],""),"")</f>
        <v/>
      </c>
      <c r="Q54" s="1" t="str">
        <f>IFERROR(Units[[#This Row],[RLF Savings]]*Units[[#This Row],[Quantity]],"")</f>
        <v/>
      </c>
      <c r="R54" s="27" t="b">
        <f>AND(Units[[#This Row],[Project]]&gt;0,Units[[#This Row],[Quantity]]&gt;0,Units[[#This Row],[Bedrooms]]&gt;-1,Units[[#This Row],[AMI]]&gt;=20%,Units[[#This Row],[AMI]]&lt;=80%)</f>
        <v>0</v>
      </c>
    </row>
    <row r="55" spans="1:18" x14ac:dyDescent="0.25">
      <c r="A55" s="39"/>
      <c r="B55" s="14"/>
      <c r="C55" s="14"/>
      <c r="D55" s="16"/>
      <c r="E55" s="16"/>
      <c r="F55" s="14"/>
      <c r="G55" s="14"/>
      <c r="H55" s="14"/>
      <c r="I55" s="45">
        <f>Units[[#This Row],[Quantity]]*(Units[[#This Row],[Min Inputs]])*(Units[[#This Row],[AMI]]&lt;=30%)</f>
        <v>0</v>
      </c>
      <c r="J55" t="str">
        <f>IF(OR(Units[[#This Row],[Special Needs]]=TRUE,Units[[#This Row],[Veterans]]=TRUE,Units[[#This Row],[Homeless]]=TRUE),TRUE,"")</f>
        <v/>
      </c>
      <c r="K55" s="1" t="str" cm="1">
        <f t="array" ref="K55">IF(Units[[#This Row],[Min Inputs]],INDEX(DataAmi,INDEX(ListCountyRows,Units[[#This Row],[Project]]),MIN(Units[[#This Row],[Bedrooms]]+1,5))*Units[[#This Row],[AMI]]/12*30%,"")</f>
        <v/>
      </c>
      <c r="L55" s="1" t="str" cm="1">
        <f t="array" ref="L55">IF(Units[[#This Row],[Min Inputs]],INDEX(DataFmr,INDEX(ListCountyRows,Units[[#This Row],[Project]]),MIN(Units[[#This Row],[Bedrooms]]+1,5)),"")</f>
        <v/>
      </c>
      <c r="M55" s="1" t="str">
        <f>IF(Units[[#This Row],[Min Inputs]],IFERROR(Units[[#This Row],[Fair Market Rent]]-Units[[#This Row],[Rent Limit]],""),"")</f>
        <v/>
      </c>
      <c r="N55" s="1" t="str">
        <f>IFERROR(Units[[#This Row],[Rent Savings]]*Units[[#This Row],[Quantity]],"")</f>
        <v/>
      </c>
      <c r="O55" s="1" t="str" cm="1">
        <f t="array" ref="O55">IF(Units[[#This Row],[Min Inputs]],INDEX(DataAmi,INDEX(ListCountyRows,Units[[#This Row],[Project]]),MIN(Units[[#This Row],[Bedrooms]]+1,5))*IF(AND(Units[[#This Row],[PBV Units]]=TRUE,Units[[#This Row],[AMI]]&lt;=30%),30%,RentLimitFloor)/12*30%,"")</f>
        <v/>
      </c>
      <c r="P55" s="1" t="str">
        <f>IF(Units[[#This Row],[Min Inputs]],IFERROR(Units[[#This Row],[Fair Market Rent]]-Units[[#This Row],[Rent Limit Floor]],""),"")</f>
        <v/>
      </c>
      <c r="Q55" s="1" t="str">
        <f>IFERROR(Units[[#This Row],[RLF Savings]]*Units[[#This Row],[Quantity]],"")</f>
        <v/>
      </c>
      <c r="R55" s="27" t="b">
        <f>AND(Units[[#This Row],[Project]]&gt;0,Units[[#This Row],[Quantity]]&gt;0,Units[[#This Row],[Bedrooms]]&gt;-1,Units[[#This Row],[AMI]]&gt;=20%,Units[[#This Row],[AMI]]&lt;=80%)</f>
        <v>0</v>
      </c>
    </row>
    <row r="56" spans="1:18" x14ac:dyDescent="0.25">
      <c r="A56" s="39"/>
      <c r="B56" s="14"/>
      <c r="C56" s="14"/>
      <c r="D56" s="16"/>
      <c r="E56" s="16"/>
      <c r="F56" s="14"/>
      <c r="G56" s="14"/>
      <c r="H56" s="14"/>
      <c r="I56" s="45">
        <f>Units[[#This Row],[Quantity]]*(Units[[#This Row],[Min Inputs]])*(Units[[#This Row],[AMI]]&lt;=30%)</f>
        <v>0</v>
      </c>
      <c r="J56" t="str">
        <f>IF(OR(Units[[#This Row],[Special Needs]]=TRUE,Units[[#This Row],[Veterans]]=TRUE,Units[[#This Row],[Homeless]]=TRUE),TRUE,"")</f>
        <v/>
      </c>
      <c r="K56" s="1" t="str" cm="1">
        <f t="array" ref="K56">IF(Units[[#This Row],[Min Inputs]],INDEX(DataAmi,INDEX(ListCountyRows,Units[[#This Row],[Project]]),MIN(Units[[#This Row],[Bedrooms]]+1,5))*Units[[#This Row],[AMI]]/12*30%,"")</f>
        <v/>
      </c>
      <c r="L56" s="1" t="str" cm="1">
        <f t="array" ref="L56">IF(Units[[#This Row],[Min Inputs]],INDEX(DataFmr,INDEX(ListCountyRows,Units[[#This Row],[Project]]),MIN(Units[[#This Row],[Bedrooms]]+1,5)),"")</f>
        <v/>
      </c>
      <c r="M56" s="1" t="str">
        <f>IF(Units[[#This Row],[Min Inputs]],IFERROR(Units[[#This Row],[Fair Market Rent]]-Units[[#This Row],[Rent Limit]],""),"")</f>
        <v/>
      </c>
      <c r="N56" s="1" t="str">
        <f>IFERROR(Units[[#This Row],[Rent Savings]]*Units[[#This Row],[Quantity]],"")</f>
        <v/>
      </c>
      <c r="O56" s="1" t="str" cm="1">
        <f t="array" ref="O56">IF(Units[[#This Row],[Min Inputs]],INDEX(DataAmi,INDEX(ListCountyRows,Units[[#This Row],[Project]]),MIN(Units[[#This Row],[Bedrooms]]+1,5))*IF(AND(Units[[#This Row],[PBV Units]]=TRUE,Units[[#This Row],[AMI]]&lt;=30%),30%,RentLimitFloor)/12*30%,"")</f>
        <v/>
      </c>
      <c r="P56" s="1" t="str">
        <f>IF(Units[[#This Row],[Min Inputs]],IFERROR(Units[[#This Row],[Fair Market Rent]]-Units[[#This Row],[Rent Limit Floor]],""),"")</f>
        <v/>
      </c>
      <c r="Q56" s="1" t="str">
        <f>IFERROR(Units[[#This Row],[RLF Savings]]*Units[[#This Row],[Quantity]],"")</f>
        <v/>
      </c>
      <c r="R56" s="27" t="b">
        <f>AND(Units[[#This Row],[Project]]&gt;0,Units[[#This Row],[Quantity]]&gt;0,Units[[#This Row],[Bedrooms]]&gt;-1,Units[[#This Row],[AMI]]&gt;=20%,Units[[#This Row],[AMI]]&lt;=80%)</f>
        <v>0</v>
      </c>
    </row>
    <row r="57" spans="1:18" x14ac:dyDescent="0.25">
      <c r="A57" s="39"/>
      <c r="B57" s="14"/>
      <c r="C57" s="14"/>
      <c r="D57" s="16"/>
      <c r="E57" s="16"/>
      <c r="F57" s="14"/>
      <c r="G57" s="14"/>
      <c r="H57" s="14"/>
      <c r="I57" s="45">
        <f>Units[[#This Row],[Quantity]]*(Units[[#This Row],[Min Inputs]])*(Units[[#This Row],[AMI]]&lt;=30%)</f>
        <v>0</v>
      </c>
      <c r="J57" t="str">
        <f>IF(OR(Units[[#This Row],[Special Needs]]=TRUE,Units[[#This Row],[Veterans]]=TRUE,Units[[#This Row],[Homeless]]=TRUE),TRUE,"")</f>
        <v/>
      </c>
      <c r="K57" s="1" t="str" cm="1">
        <f t="array" ref="K57">IF(Units[[#This Row],[Min Inputs]],INDEX(DataAmi,INDEX(ListCountyRows,Units[[#This Row],[Project]]),MIN(Units[[#This Row],[Bedrooms]]+1,5))*Units[[#This Row],[AMI]]/12*30%,"")</f>
        <v/>
      </c>
      <c r="L57" s="1" t="str" cm="1">
        <f t="array" ref="L57">IF(Units[[#This Row],[Min Inputs]],INDEX(DataFmr,INDEX(ListCountyRows,Units[[#This Row],[Project]]),MIN(Units[[#This Row],[Bedrooms]]+1,5)),"")</f>
        <v/>
      </c>
      <c r="M57" s="1" t="str">
        <f>IF(Units[[#This Row],[Min Inputs]],IFERROR(Units[[#This Row],[Fair Market Rent]]-Units[[#This Row],[Rent Limit]],""),"")</f>
        <v/>
      </c>
      <c r="N57" s="1" t="str">
        <f>IFERROR(Units[[#This Row],[Rent Savings]]*Units[[#This Row],[Quantity]],"")</f>
        <v/>
      </c>
      <c r="O57" s="1" t="str" cm="1">
        <f t="array" ref="O57">IF(Units[[#This Row],[Min Inputs]],INDEX(DataAmi,INDEX(ListCountyRows,Units[[#This Row],[Project]]),MIN(Units[[#This Row],[Bedrooms]]+1,5))*IF(AND(Units[[#This Row],[PBV Units]]=TRUE,Units[[#This Row],[AMI]]&lt;=30%),30%,RentLimitFloor)/12*30%,"")</f>
        <v/>
      </c>
      <c r="P57" s="1" t="str">
        <f>IF(Units[[#This Row],[Min Inputs]],IFERROR(Units[[#This Row],[Fair Market Rent]]-Units[[#This Row],[Rent Limit Floor]],""),"")</f>
        <v/>
      </c>
      <c r="Q57" s="1" t="str">
        <f>IFERROR(Units[[#This Row],[RLF Savings]]*Units[[#This Row],[Quantity]],"")</f>
        <v/>
      </c>
      <c r="R57" s="27" t="b">
        <f>AND(Units[[#This Row],[Project]]&gt;0,Units[[#This Row],[Quantity]]&gt;0,Units[[#This Row],[Bedrooms]]&gt;-1,Units[[#This Row],[AMI]]&gt;=20%,Units[[#This Row],[AMI]]&lt;=80%)</f>
        <v>0</v>
      </c>
    </row>
    <row r="58" spans="1:18" x14ac:dyDescent="0.25">
      <c r="A58" s="19"/>
    </row>
    <row r="59" spans="1:18" x14ac:dyDescent="0.25">
      <c r="A59" s="19"/>
    </row>
    <row r="60" spans="1:18" x14ac:dyDescent="0.25">
      <c r="A60" s="19"/>
    </row>
    <row r="61" spans="1:18" x14ac:dyDescent="0.25">
      <c r="A61" s="19"/>
    </row>
    <row r="62" spans="1:18" x14ac:dyDescent="0.25">
      <c r="A62" s="19"/>
    </row>
    <row r="63" spans="1:18" x14ac:dyDescent="0.25">
      <c r="A63" s="19"/>
    </row>
    <row r="64" spans="1:18" x14ac:dyDescent="0.25">
      <c r="A64" s="19"/>
    </row>
    <row r="65" spans="1:1" x14ac:dyDescent="0.25">
      <c r="A65" s="19"/>
    </row>
    <row r="66" spans="1:1" x14ac:dyDescent="0.25">
      <c r="A66" s="19"/>
    </row>
    <row r="67" spans="1:1" x14ac:dyDescent="0.25">
      <c r="A67" s="19"/>
    </row>
    <row r="68" spans="1:1" x14ac:dyDescent="0.25">
      <c r="A68" s="19"/>
    </row>
    <row r="69" spans="1:1" x14ac:dyDescent="0.25">
      <c r="A69" s="19"/>
    </row>
    <row r="70" spans="1:1" x14ac:dyDescent="0.25">
      <c r="A70" s="19"/>
    </row>
    <row r="71" spans="1:1" x14ac:dyDescent="0.25">
      <c r="A71" s="19"/>
    </row>
    <row r="72" spans="1:1" x14ac:dyDescent="0.25">
      <c r="A72" s="19"/>
    </row>
    <row r="73" spans="1:1" x14ac:dyDescent="0.25">
      <c r="A73" s="19"/>
    </row>
    <row r="74" spans="1:1" x14ac:dyDescent="0.25">
      <c r="A74" s="19"/>
    </row>
    <row r="75" spans="1:1" x14ac:dyDescent="0.25">
      <c r="A75" s="19"/>
    </row>
    <row r="76" spans="1:1" x14ac:dyDescent="0.25">
      <c r="A76" s="19"/>
    </row>
    <row r="77" spans="1:1" x14ac:dyDescent="0.25">
      <c r="A77" s="19"/>
    </row>
    <row r="78" spans="1:1" x14ac:dyDescent="0.25">
      <c r="A78" s="19"/>
    </row>
    <row r="79" spans="1:1" x14ac:dyDescent="0.25">
      <c r="A79" s="19"/>
    </row>
    <row r="80" spans="1:1" x14ac:dyDescent="0.25">
      <c r="A80" s="19"/>
    </row>
    <row r="81" spans="1:1" x14ac:dyDescent="0.25">
      <c r="A81" s="19"/>
    </row>
    <row r="82" spans="1:1" x14ac:dyDescent="0.25">
      <c r="A82" s="19"/>
    </row>
    <row r="83" spans="1:1" x14ac:dyDescent="0.25">
      <c r="A83" s="19"/>
    </row>
    <row r="84" spans="1:1" x14ac:dyDescent="0.25">
      <c r="A84" s="19"/>
    </row>
    <row r="85" spans="1:1" x14ac:dyDescent="0.25">
      <c r="A85" s="19"/>
    </row>
    <row r="86" spans="1:1" x14ac:dyDescent="0.25">
      <c r="A86" s="19"/>
    </row>
    <row r="87" spans="1:1" x14ac:dyDescent="0.25">
      <c r="A87" s="19"/>
    </row>
    <row r="88" spans="1:1" x14ac:dyDescent="0.25">
      <c r="A88" s="19"/>
    </row>
    <row r="89" spans="1:1" x14ac:dyDescent="0.25">
      <c r="A89" s="19"/>
    </row>
    <row r="90" spans="1:1" x14ac:dyDescent="0.25">
      <c r="A90" s="19"/>
    </row>
    <row r="91" spans="1:1" x14ac:dyDescent="0.25">
      <c r="A91" s="19"/>
    </row>
    <row r="92" spans="1:1" x14ac:dyDescent="0.25">
      <c r="A92" s="19"/>
    </row>
    <row r="93" spans="1:1" x14ac:dyDescent="0.25">
      <c r="A93" s="19"/>
    </row>
    <row r="94" spans="1:1" x14ac:dyDescent="0.25">
      <c r="A94" s="19"/>
    </row>
    <row r="95" spans="1:1" x14ac:dyDescent="0.25">
      <c r="A95" s="19"/>
    </row>
    <row r="96" spans="1:1" x14ac:dyDescent="0.25">
      <c r="A96" s="19"/>
    </row>
    <row r="97" spans="1:1" x14ac:dyDescent="0.25">
      <c r="A97" s="19"/>
    </row>
    <row r="98" spans="1:1" x14ac:dyDescent="0.25">
      <c r="A98" s="19"/>
    </row>
    <row r="99" spans="1:1" x14ac:dyDescent="0.25">
      <c r="A99" s="19"/>
    </row>
    <row r="100" spans="1:1" x14ac:dyDescent="0.25">
      <c r="A100" s="19"/>
    </row>
    <row r="101" spans="1:1" x14ac:dyDescent="0.25">
      <c r="A101" s="19"/>
    </row>
    <row r="102" spans="1:1" x14ac:dyDescent="0.25">
      <c r="A102" s="19"/>
    </row>
    <row r="103" spans="1:1" x14ac:dyDescent="0.25">
      <c r="A103" s="19"/>
    </row>
    <row r="104" spans="1:1" x14ac:dyDescent="0.25">
      <c r="A104" s="19"/>
    </row>
    <row r="105" spans="1:1" x14ac:dyDescent="0.25">
      <c r="A105" s="19"/>
    </row>
    <row r="106" spans="1:1" x14ac:dyDescent="0.25">
      <c r="A106" s="19"/>
    </row>
    <row r="107" spans="1:1" x14ac:dyDescent="0.25">
      <c r="A107" s="19"/>
    </row>
    <row r="108" spans="1:1" x14ac:dyDescent="0.25">
      <c r="A108" s="19"/>
    </row>
    <row r="109" spans="1:1" x14ac:dyDescent="0.25">
      <c r="A109" s="19"/>
    </row>
    <row r="110" spans="1:1" x14ac:dyDescent="0.25">
      <c r="A110" s="19"/>
    </row>
    <row r="111" spans="1:1" x14ac:dyDescent="0.25">
      <c r="A111" s="19"/>
    </row>
    <row r="112" spans="1:1" x14ac:dyDescent="0.25">
      <c r="A112" s="19"/>
    </row>
    <row r="113" spans="1:1" x14ac:dyDescent="0.25">
      <c r="A113" s="19"/>
    </row>
    <row r="114" spans="1:1" x14ac:dyDescent="0.25">
      <c r="A114" s="19"/>
    </row>
    <row r="115" spans="1:1" x14ac:dyDescent="0.25">
      <c r="A115" s="19"/>
    </row>
    <row r="116" spans="1:1" x14ac:dyDescent="0.25">
      <c r="A116" s="19"/>
    </row>
    <row r="117" spans="1:1" x14ac:dyDescent="0.25">
      <c r="A117" s="19"/>
    </row>
    <row r="118" spans="1:1" x14ac:dyDescent="0.25">
      <c r="A118" s="19"/>
    </row>
    <row r="119" spans="1:1" x14ac:dyDescent="0.25">
      <c r="A119" s="19"/>
    </row>
    <row r="120" spans="1:1" x14ac:dyDescent="0.25">
      <c r="A120" s="19"/>
    </row>
    <row r="121" spans="1:1" x14ac:dyDescent="0.25">
      <c r="A121" s="19"/>
    </row>
    <row r="122" spans="1:1" x14ac:dyDescent="0.25">
      <c r="A122" s="19"/>
    </row>
    <row r="123" spans="1:1" x14ac:dyDescent="0.25">
      <c r="A123" s="19"/>
    </row>
    <row r="124" spans="1:1" x14ac:dyDescent="0.25">
      <c r="A124" s="19"/>
    </row>
    <row r="125" spans="1:1" x14ac:dyDescent="0.25">
      <c r="A125" s="19"/>
    </row>
    <row r="126" spans="1:1" x14ac:dyDescent="0.25">
      <c r="A126" s="19"/>
    </row>
    <row r="127" spans="1:1" x14ac:dyDescent="0.25">
      <c r="A127" s="19"/>
    </row>
    <row r="128" spans="1:1" x14ac:dyDescent="0.25">
      <c r="A128" s="19"/>
    </row>
    <row r="129" spans="1:1" x14ac:dyDescent="0.25">
      <c r="A129" s="19"/>
    </row>
    <row r="130" spans="1:1" x14ac:dyDescent="0.25">
      <c r="A130" s="19"/>
    </row>
    <row r="131" spans="1:1" x14ac:dyDescent="0.25">
      <c r="A131" s="19"/>
    </row>
    <row r="132" spans="1:1" x14ac:dyDescent="0.25">
      <c r="A132" s="19"/>
    </row>
    <row r="133" spans="1:1" x14ac:dyDescent="0.25">
      <c r="A133" s="19"/>
    </row>
    <row r="134" spans="1:1" x14ac:dyDescent="0.25">
      <c r="A134" s="19"/>
    </row>
    <row r="135" spans="1:1" x14ac:dyDescent="0.25">
      <c r="A135" s="19"/>
    </row>
    <row r="136" spans="1:1" x14ac:dyDescent="0.25">
      <c r="A136" s="19"/>
    </row>
    <row r="137" spans="1:1" x14ac:dyDescent="0.25">
      <c r="A137" s="19"/>
    </row>
    <row r="138" spans="1:1" x14ac:dyDescent="0.25">
      <c r="A138" s="19"/>
    </row>
    <row r="139" spans="1:1" x14ac:dyDescent="0.25">
      <c r="A139" s="19"/>
    </row>
    <row r="140" spans="1:1" x14ac:dyDescent="0.25">
      <c r="A140" s="19"/>
    </row>
    <row r="141" spans="1:1" x14ac:dyDescent="0.25">
      <c r="A141" s="19"/>
    </row>
    <row r="142" spans="1:1" x14ac:dyDescent="0.25">
      <c r="A142" s="19"/>
    </row>
    <row r="143" spans="1:1" x14ac:dyDescent="0.25">
      <c r="A143" s="19"/>
    </row>
    <row r="144" spans="1:1" x14ac:dyDescent="0.25">
      <c r="A144" s="19"/>
    </row>
    <row r="145" spans="1:1" x14ac:dyDescent="0.25">
      <c r="A145" s="19"/>
    </row>
    <row r="146" spans="1:1" x14ac:dyDescent="0.25">
      <c r="A146" s="19"/>
    </row>
    <row r="147" spans="1:1" x14ac:dyDescent="0.25">
      <c r="A147" s="19"/>
    </row>
    <row r="148" spans="1:1" x14ac:dyDescent="0.25">
      <c r="A148" s="19"/>
    </row>
  </sheetData>
  <sheetProtection formatRows="0" insertRows="0" deleteRows="0"/>
  <conditionalFormatting sqref="I3:I57">
    <cfRule type="cellIs" dxfId="1" priority="2" operator="equal">
      <formula>0</formula>
    </cfRule>
  </conditionalFormatting>
  <conditionalFormatting sqref="A3:R57">
    <cfRule type="expression" dxfId="0" priority="1">
      <formula>$A3=""</formula>
    </cfRule>
  </conditionalFormatting>
  <dataValidations xWindow="754" yWindow="369" count="6">
    <dataValidation type="list" allowBlank="1" showInputMessage="1" showErrorMessage="1" sqref="A1 A3:A57" xr:uid="{4CF18E3A-A51A-42B9-ADA2-AEF16F1F1826}">
      <formula1>"1,2,3,4"</formula1>
    </dataValidation>
    <dataValidation type="whole" operator="greaterThanOrEqual" allowBlank="1" showInputMessage="1" showErrorMessage="1" sqref="B3:B57" xr:uid="{C5C5AECC-D89D-43FF-A5EE-1482704501BD}">
      <formula1>0</formula1>
    </dataValidation>
    <dataValidation type="whole" operator="greaterThanOrEqual" allowBlank="1" showInputMessage="1" showErrorMessage="1" promptTitle="Bedrooms" prompt="Enter a positive whole number, using 0 for studios." sqref="C3:C57" xr:uid="{657A3A8E-54DD-451A-AE32-1AA2C05D0150}">
      <formula1>0</formula1>
    </dataValidation>
    <dataValidation type="list" allowBlank="1" showInputMessage="1" showErrorMessage="1" sqref="D3:D57" xr:uid="{62B5CC11-4D96-4657-B2DB-15C952BE36B2}">
      <formula1>ListAmis</formula1>
    </dataValidation>
    <dataValidation type="list" allowBlank="1" showInputMessage="1" showErrorMessage="1" sqref="F3:H57" xr:uid="{E581F379-AD28-47D2-BBA8-A955D7838B5C}">
      <formula1>"True"</formula1>
    </dataValidation>
    <dataValidation type="list" allowBlank="1" showInputMessage="1" showErrorMessage="1" sqref="E3:E57" xr:uid="{0DED1163-4DE3-43DA-8E1F-8DBB2BE99760}">
      <formula1>"TRUE"</formula1>
    </dataValidation>
  </dataValidations>
  <pageMargins left="0.7" right="0.7" top="0.75" bottom="0.75" header="0.3" footer="0.3"/>
  <pageSetup orientation="portrait" horizontalDpi="0" verticalDpi="0"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7F5B43-43A9-472B-939B-22966BB433E4}">
  <sheetPr codeName="Sheet2"/>
  <dimension ref="A1:AE60"/>
  <sheetViews>
    <sheetView workbookViewId="0">
      <selection activeCell="D3" sqref="D3"/>
    </sheetView>
  </sheetViews>
  <sheetFormatPr defaultColWidth="8.85546875" defaultRowHeight="15" x14ac:dyDescent="0.25"/>
  <cols>
    <col min="2" max="2" width="3.28515625" customWidth="1"/>
    <col min="3" max="3" width="14.42578125" customWidth="1"/>
    <col min="4" max="4" width="14.140625" customWidth="1"/>
    <col min="6" max="6" width="20.140625" bestFit="1" customWidth="1"/>
    <col min="13" max="13" width="10.7109375" customWidth="1"/>
    <col min="21" max="21" width="12" bestFit="1" customWidth="1"/>
    <col min="22" max="22" width="9.85546875" customWidth="1"/>
  </cols>
  <sheetData>
    <row r="1" spans="1:31" x14ac:dyDescent="0.25">
      <c r="A1" s="2" t="s">
        <v>98</v>
      </c>
      <c r="C1" s="2" t="s">
        <v>100</v>
      </c>
      <c r="D1" s="2" t="s">
        <v>101</v>
      </c>
      <c r="F1" s="2" t="s">
        <v>103</v>
      </c>
      <c r="M1" s="11" t="s">
        <v>87</v>
      </c>
      <c r="N1">
        <f>AVERAGE(N3:N60)/AVERAGE($O$3:$O$60)</f>
        <v>0.88984868935142425</v>
      </c>
      <c r="O1">
        <f>AVERAGE(O3:O60)/AVERAGE($O$3:$O$60)</f>
        <v>1</v>
      </c>
      <c r="P1">
        <f>AVERAGE(P3:P60)/AVERAGE($O$3:$O$60)</f>
        <v>1.2632663209490658</v>
      </c>
      <c r="Q1">
        <f>AVERAGE(Q3:Q60)/AVERAGE($O$3:$O$60)</f>
        <v>1.7326276905590678</v>
      </c>
      <c r="R1">
        <f>AVERAGE(R3:R60)/AVERAGE($O$3:$O$60)</f>
        <v>1.9992043759323719</v>
      </c>
      <c r="T1">
        <f>MIN(BasisDelta[2-BR BL])</f>
        <v>318400</v>
      </c>
      <c r="U1" s="1">
        <f>MEDIAN(BasisDelta[2-BR BL])</f>
        <v>364800</v>
      </c>
      <c r="V1" s="1"/>
      <c r="W1" s="17"/>
      <c r="Y1" t="s">
        <v>157</v>
      </c>
      <c r="Z1">
        <v>2</v>
      </c>
      <c r="AA1" s="9">
        <v>0.70050000000000001</v>
      </c>
      <c r="AB1" s="7">
        <v>0.75049999999999994</v>
      </c>
      <c r="AC1" s="7">
        <v>0.90049999999999997</v>
      </c>
      <c r="AD1" s="7">
        <v>1.0402</v>
      </c>
      <c r="AE1" s="9">
        <v>1.1605000000000001</v>
      </c>
    </row>
    <row r="2" spans="1:31" x14ac:dyDescent="0.25">
      <c r="A2" s="17">
        <v>0.2</v>
      </c>
      <c r="C2" t="str">
        <f>'CDLAC Self Score Tie Breaker'!C15</f>
        <v>San Francisco</v>
      </c>
      <c r="D2">
        <f>MATCH(C2,ListCounty,0)</f>
        <v>38</v>
      </c>
      <c r="F2" t="s">
        <v>113</v>
      </c>
      <c r="M2" s="10" t="s">
        <v>102</v>
      </c>
      <c r="N2" s="5" t="s">
        <v>4</v>
      </c>
      <c r="O2" s="5" t="s">
        <v>70</v>
      </c>
      <c r="P2" s="5" t="s">
        <v>71</v>
      </c>
      <c r="Q2" s="5" t="s">
        <v>72</v>
      </c>
      <c r="R2" s="5" t="s">
        <v>73</v>
      </c>
      <c r="T2" s="5" t="s">
        <v>6</v>
      </c>
      <c r="U2" s="5" t="s">
        <v>88</v>
      </c>
      <c r="V2" s="6" t="s">
        <v>125</v>
      </c>
      <c r="W2" s="5" t="s">
        <v>126</v>
      </c>
      <c r="X2" s="5"/>
      <c r="Y2" s="5" t="s">
        <v>6</v>
      </c>
      <c r="Z2" s="5" t="s">
        <v>75</v>
      </c>
      <c r="AA2" s="5" t="s">
        <v>4</v>
      </c>
      <c r="AB2" s="5" t="s">
        <v>70</v>
      </c>
      <c r="AC2" s="5" t="s">
        <v>71</v>
      </c>
      <c r="AD2" s="5" t="s">
        <v>72</v>
      </c>
      <c r="AE2" s="5" t="s">
        <v>73</v>
      </c>
    </row>
    <row r="3" spans="1:31" x14ac:dyDescent="0.25">
      <c r="A3" s="17">
        <v>0.3</v>
      </c>
      <c r="C3" t="str">
        <f>'CDLAC Self Score Tie Breaker'!D15</f>
        <v>San Francisco</v>
      </c>
      <c r="D3">
        <f>MATCH(C3,ListCounty,0)</f>
        <v>38</v>
      </c>
      <c r="F3" t="s">
        <v>114</v>
      </c>
      <c r="M3" t="s">
        <v>7</v>
      </c>
      <c r="N3">
        <v>1538</v>
      </c>
      <c r="O3">
        <v>1854</v>
      </c>
      <c r="P3">
        <v>2274</v>
      </c>
      <c r="Q3">
        <v>3006</v>
      </c>
      <c r="R3">
        <v>3578</v>
      </c>
      <c r="T3" t="s">
        <v>7</v>
      </c>
      <c r="U3" s="1">
        <v>508000</v>
      </c>
      <c r="V3" s="4">
        <f>BasisDelta[[#This Row],[2-BR BL]]/$T$1-100%</f>
        <v>0.59547738693467345</v>
      </c>
      <c r="W3" s="4">
        <f>BasisDelta[[#This Row],[2-BR BL]]/Average2brBL-100%</f>
        <v>0.39254385964912286</v>
      </c>
      <c r="Y3" t="s">
        <v>7</v>
      </c>
      <c r="Z3" s="1">
        <v>125600</v>
      </c>
      <c r="AA3" s="1">
        <v>95900</v>
      </c>
      <c r="AB3" s="8">
        <v>102750</v>
      </c>
      <c r="AC3" s="8">
        <v>123300</v>
      </c>
      <c r="AD3" s="8">
        <v>142500</v>
      </c>
      <c r="AE3" s="8">
        <v>159000</v>
      </c>
    </row>
    <row r="4" spans="1:31" x14ac:dyDescent="0.25">
      <c r="A4" s="17">
        <v>0.4</v>
      </c>
      <c r="C4" t="str">
        <f>'CDLAC Self Score Tie Breaker'!E15</f>
        <v>San Francisco</v>
      </c>
      <c r="D4">
        <f>MATCH(C4,ListCounty,0)</f>
        <v>38</v>
      </c>
      <c r="F4" t="s">
        <v>115</v>
      </c>
      <c r="M4" t="s">
        <v>8</v>
      </c>
      <c r="N4">
        <v>725</v>
      </c>
      <c r="O4">
        <v>822</v>
      </c>
      <c r="P4">
        <v>1073</v>
      </c>
      <c r="Q4">
        <v>1524</v>
      </c>
      <c r="R4">
        <v>1705</v>
      </c>
      <c r="T4" t="s">
        <v>8</v>
      </c>
      <c r="U4" s="1">
        <v>364800</v>
      </c>
      <c r="V4" s="4">
        <f>BasisDelta[[#This Row],[2-BR BL]]/$T$1-100%</f>
        <v>0.14572864321608048</v>
      </c>
      <c r="W4" s="4">
        <f>BasisDelta[[#This Row],[2-BR BL]]/Average2brBL-100%</f>
        <v>0</v>
      </c>
      <c r="Y4" t="s">
        <v>8</v>
      </c>
      <c r="Z4" s="1">
        <v>81200</v>
      </c>
      <c r="AA4" s="1">
        <v>56900</v>
      </c>
      <c r="AB4" s="1">
        <v>60950</v>
      </c>
      <c r="AC4" s="1">
        <v>73100</v>
      </c>
      <c r="AD4" s="1">
        <v>84450</v>
      </c>
      <c r="AE4" s="1">
        <v>94200</v>
      </c>
    </row>
    <row r="5" spans="1:31" x14ac:dyDescent="0.25">
      <c r="A5" s="17">
        <v>0.5</v>
      </c>
      <c r="C5" t="str">
        <f>'CDLAC Self Score Tie Breaker'!F15</f>
        <v>San Francisco</v>
      </c>
      <c r="D5">
        <f>MATCH(C5,ListCounty,0)</f>
        <v>38</v>
      </c>
      <c r="F5" t="s">
        <v>67</v>
      </c>
      <c r="M5" t="s">
        <v>9</v>
      </c>
      <c r="N5">
        <v>920</v>
      </c>
      <c r="O5">
        <v>926</v>
      </c>
      <c r="P5">
        <v>1148</v>
      </c>
      <c r="Q5">
        <v>1631</v>
      </c>
      <c r="R5">
        <v>1965</v>
      </c>
      <c r="T5" t="s">
        <v>9</v>
      </c>
      <c r="U5" s="1">
        <v>364800</v>
      </c>
      <c r="V5" s="4">
        <f>BasisDelta[[#This Row],[2-BR BL]]/$T$1-100%</f>
        <v>0.14572864321608048</v>
      </c>
      <c r="W5" s="4">
        <f>BasisDelta[[#This Row],[2-BR BL]]/Average2brBL-100%</f>
        <v>0</v>
      </c>
      <c r="Y5" t="s">
        <v>9</v>
      </c>
      <c r="Z5" s="1">
        <v>77900</v>
      </c>
      <c r="AA5" s="1">
        <v>54600</v>
      </c>
      <c r="AB5" s="1">
        <v>58500</v>
      </c>
      <c r="AC5" s="1">
        <v>70200</v>
      </c>
      <c r="AD5" s="1">
        <v>81050</v>
      </c>
      <c r="AE5" s="1">
        <v>90400</v>
      </c>
    </row>
    <row r="6" spans="1:31" x14ac:dyDescent="0.25">
      <c r="A6" s="17">
        <v>0.6</v>
      </c>
      <c r="M6" t="s">
        <v>10</v>
      </c>
      <c r="N6">
        <v>826</v>
      </c>
      <c r="O6">
        <v>895</v>
      </c>
      <c r="P6">
        <v>1177</v>
      </c>
      <c r="Q6">
        <v>1662</v>
      </c>
      <c r="R6">
        <v>2015</v>
      </c>
      <c r="T6" t="s">
        <v>10</v>
      </c>
      <c r="U6" s="1">
        <v>320800</v>
      </c>
      <c r="V6" s="4">
        <f>BasisDelta[[#This Row],[2-BR BL]]/$T$1-100%</f>
        <v>7.5376884422111434E-3</v>
      </c>
      <c r="W6" s="4">
        <f>BasisDelta[[#This Row],[2-BR BL]]/Average2brBL-100%</f>
        <v>-0.12061403508771928</v>
      </c>
      <c r="Y6" t="s">
        <v>10</v>
      </c>
      <c r="Z6" s="1">
        <v>68400</v>
      </c>
      <c r="AA6" s="1">
        <v>48800</v>
      </c>
      <c r="AB6" s="1">
        <v>52300</v>
      </c>
      <c r="AC6" s="1">
        <v>62800</v>
      </c>
      <c r="AD6" s="1">
        <v>72500</v>
      </c>
      <c r="AE6" s="1">
        <v>80900</v>
      </c>
    </row>
    <row r="7" spans="1:31" x14ac:dyDescent="0.25">
      <c r="A7" s="17">
        <v>0.7</v>
      </c>
      <c r="M7" t="s">
        <v>11</v>
      </c>
      <c r="N7">
        <v>739</v>
      </c>
      <c r="O7">
        <v>857</v>
      </c>
      <c r="P7">
        <v>1094</v>
      </c>
      <c r="Q7">
        <v>1554</v>
      </c>
      <c r="R7">
        <v>1785</v>
      </c>
      <c r="T7" t="s">
        <v>11</v>
      </c>
      <c r="U7" s="1">
        <v>364800</v>
      </c>
      <c r="V7" s="4">
        <f>BasisDelta[[#This Row],[2-BR BL]]/$T$1-100%</f>
        <v>0.14572864321608048</v>
      </c>
      <c r="W7" s="4">
        <f>BasisDelta[[#This Row],[2-BR BL]]/Average2brBL-100%</f>
        <v>0</v>
      </c>
      <c r="Y7" t="s">
        <v>11</v>
      </c>
      <c r="Z7" s="1">
        <v>81700</v>
      </c>
      <c r="AA7" s="1">
        <v>57200</v>
      </c>
      <c r="AB7" s="1">
        <v>61300</v>
      </c>
      <c r="AC7" s="1">
        <v>73600</v>
      </c>
      <c r="AD7" s="1">
        <v>85000</v>
      </c>
      <c r="AE7" s="1">
        <v>94800</v>
      </c>
    </row>
    <row r="8" spans="1:31" x14ac:dyDescent="0.25">
      <c r="A8" s="17">
        <v>0.8</v>
      </c>
      <c r="M8" t="s">
        <v>12</v>
      </c>
      <c r="N8">
        <v>713</v>
      </c>
      <c r="O8">
        <v>717</v>
      </c>
      <c r="P8">
        <v>944</v>
      </c>
      <c r="Q8">
        <v>1341</v>
      </c>
      <c r="R8">
        <v>1506</v>
      </c>
      <c r="T8" t="s">
        <v>12</v>
      </c>
      <c r="U8" s="1">
        <v>364800</v>
      </c>
      <c r="V8" s="4">
        <f>BasisDelta[[#This Row],[2-BR BL]]/$T$1-100%</f>
        <v>0.14572864321608048</v>
      </c>
      <c r="W8" s="4">
        <f>BasisDelta[[#This Row],[2-BR BL]]/Average2brBL-100%</f>
        <v>0</v>
      </c>
      <c r="Y8" t="s">
        <v>12</v>
      </c>
      <c r="Z8" s="1">
        <v>67100</v>
      </c>
      <c r="AA8" s="1">
        <v>48800</v>
      </c>
      <c r="AB8" s="1">
        <v>52300</v>
      </c>
      <c r="AC8" s="1">
        <v>62800</v>
      </c>
      <c r="AD8" s="1">
        <v>72500</v>
      </c>
      <c r="AE8" s="1">
        <v>80900</v>
      </c>
    </row>
    <row r="9" spans="1:31" x14ac:dyDescent="0.25">
      <c r="M9" t="s">
        <v>13</v>
      </c>
      <c r="N9">
        <v>1538</v>
      </c>
      <c r="O9">
        <v>1854</v>
      </c>
      <c r="P9">
        <v>2274</v>
      </c>
      <c r="Q9">
        <v>3006</v>
      </c>
      <c r="R9">
        <v>3578</v>
      </c>
      <c r="T9" t="s">
        <v>13</v>
      </c>
      <c r="U9" s="1">
        <v>508000</v>
      </c>
      <c r="V9" s="4">
        <f>BasisDelta[[#This Row],[2-BR BL]]/$T$1-100%</f>
        <v>0.59547738693467345</v>
      </c>
      <c r="W9" s="4">
        <f>BasisDelta[[#This Row],[2-BR BL]]/Average2brBL-100%</f>
        <v>0.39254385964912286</v>
      </c>
      <c r="Y9" t="s">
        <v>13</v>
      </c>
      <c r="Z9" s="1">
        <v>125600</v>
      </c>
      <c r="AA9" s="1">
        <v>95900</v>
      </c>
      <c r="AB9" s="8">
        <v>102750</v>
      </c>
      <c r="AC9" s="8">
        <v>123300</v>
      </c>
      <c r="AD9" s="8">
        <v>142500</v>
      </c>
      <c r="AE9" s="8">
        <v>159000</v>
      </c>
    </row>
    <row r="10" spans="1:31" x14ac:dyDescent="0.25">
      <c r="M10" t="s">
        <v>14</v>
      </c>
      <c r="N10">
        <v>651</v>
      </c>
      <c r="O10">
        <v>831</v>
      </c>
      <c r="P10">
        <v>980</v>
      </c>
      <c r="Q10">
        <v>1355</v>
      </c>
      <c r="R10">
        <v>1677</v>
      </c>
      <c r="T10" t="s">
        <v>14</v>
      </c>
      <c r="U10" s="1">
        <v>364800</v>
      </c>
      <c r="V10" s="4">
        <f>BasisDelta[[#This Row],[2-BR BL]]/$T$1-100%</f>
        <v>0.14572864321608048</v>
      </c>
      <c r="W10" s="4">
        <f>BasisDelta[[#This Row],[2-BR BL]]/Average2brBL-100%</f>
        <v>0</v>
      </c>
      <c r="Y10" t="s">
        <v>14</v>
      </c>
      <c r="Z10" s="1">
        <v>60300</v>
      </c>
      <c r="AA10" s="1">
        <v>48800</v>
      </c>
      <c r="AB10" s="1">
        <v>52300</v>
      </c>
      <c r="AC10" s="1">
        <v>62800</v>
      </c>
      <c r="AD10" s="1">
        <v>72500</v>
      </c>
      <c r="AE10" s="1">
        <v>80900</v>
      </c>
    </row>
    <row r="11" spans="1:31" x14ac:dyDescent="0.25">
      <c r="M11" t="s">
        <v>15</v>
      </c>
      <c r="N11">
        <v>1108</v>
      </c>
      <c r="O11">
        <v>1228</v>
      </c>
      <c r="P11">
        <v>1543</v>
      </c>
      <c r="Q11">
        <v>2192</v>
      </c>
      <c r="R11">
        <v>2625</v>
      </c>
      <c r="T11" t="s">
        <v>15</v>
      </c>
      <c r="U11" s="1">
        <v>387200</v>
      </c>
      <c r="V11" s="4">
        <f>BasisDelta[[#This Row],[2-BR BL]]/$T$1-100%</f>
        <v>0.21608040201005019</v>
      </c>
      <c r="W11" s="4">
        <f>BasisDelta[[#This Row],[2-BR BL]]/Average2brBL-100%</f>
        <v>6.1403508771929793E-2</v>
      </c>
      <c r="Y11" t="s">
        <v>15</v>
      </c>
      <c r="Z11" s="1">
        <v>91100</v>
      </c>
      <c r="AA11" s="1">
        <v>63500</v>
      </c>
      <c r="AB11" s="1">
        <v>68000</v>
      </c>
      <c r="AC11" s="1">
        <v>81600</v>
      </c>
      <c r="AD11" s="1">
        <v>94250</v>
      </c>
      <c r="AE11" s="1">
        <v>105100</v>
      </c>
    </row>
    <row r="12" spans="1:31" x14ac:dyDescent="0.25">
      <c r="M12" t="s">
        <v>16</v>
      </c>
      <c r="N12">
        <v>899</v>
      </c>
      <c r="O12">
        <v>904</v>
      </c>
      <c r="P12">
        <v>1137</v>
      </c>
      <c r="Q12">
        <v>1607</v>
      </c>
      <c r="R12">
        <v>1847</v>
      </c>
      <c r="T12" t="s">
        <v>16</v>
      </c>
      <c r="U12" s="1">
        <v>331200</v>
      </c>
      <c r="V12" s="4">
        <f>BasisDelta[[#This Row],[2-BR BL]]/$T$1-100%</f>
        <v>4.020100502512558E-2</v>
      </c>
      <c r="W12" s="4">
        <f>BasisDelta[[#This Row],[2-BR BL]]/Average2brBL-100%</f>
        <v>-9.210526315789469E-2</v>
      </c>
      <c r="Y12" t="s">
        <v>16</v>
      </c>
      <c r="Z12" s="1">
        <v>62800</v>
      </c>
      <c r="AA12" s="1">
        <v>48800</v>
      </c>
      <c r="AB12" s="1">
        <v>52300</v>
      </c>
      <c r="AC12" s="1">
        <v>62800</v>
      </c>
      <c r="AD12" s="1">
        <v>72500</v>
      </c>
      <c r="AE12" s="1">
        <v>80900</v>
      </c>
    </row>
    <row r="13" spans="1:31" x14ac:dyDescent="0.25">
      <c r="M13" t="s">
        <v>74</v>
      </c>
      <c r="N13">
        <v>627</v>
      </c>
      <c r="O13">
        <v>717</v>
      </c>
      <c r="P13">
        <v>944</v>
      </c>
      <c r="Q13">
        <v>1167</v>
      </c>
      <c r="R13">
        <v>1280</v>
      </c>
      <c r="T13" t="s">
        <v>74</v>
      </c>
      <c r="U13" s="1">
        <v>364800</v>
      </c>
      <c r="V13" s="4">
        <f>BasisDelta[[#This Row],[2-BR BL]]/$T$1-100%</f>
        <v>0.14572864321608048</v>
      </c>
      <c r="W13" s="4">
        <f>BasisDelta[[#This Row],[2-BR BL]]/Average2brBL-100%</f>
        <v>0</v>
      </c>
      <c r="Y13" t="s">
        <v>74</v>
      </c>
      <c r="Z13" s="1">
        <v>57900</v>
      </c>
      <c r="AA13" s="1">
        <v>48800</v>
      </c>
      <c r="AB13" s="1">
        <v>52300</v>
      </c>
      <c r="AC13" s="1">
        <v>62800</v>
      </c>
      <c r="AD13" s="1">
        <v>72500</v>
      </c>
      <c r="AE13" s="1">
        <v>80900</v>
      </c>
    </row>
    <row r="14" spans="1:31" x14ac:dyDescent="0.25">
      <c r="M14" t="s">
        <v>17</v>
      </c>
      <c r="N14">
        <v>741</v>
      </c>
      <c r="O14">
        <v>862</v>
      </c>
      <c r="P14">
        <v>1112</v>
      </c>
      <c r="Q14">
        <v>1580</v>
      </c>
      <c r="R14">
        <v>1903</v>
      </c>
      <c r="T14" t="s">
        <v>17</v>
      </c>
      <c r="U14" s="1">
        <v>364800</v>
      </c>
      <c r="V14" s="4">
        <f>BasisDelta[[#This Row],[2-BR BL]]/$T$1-100%</f>
        <v>0.14572864321608048</v>
      </c>
      <c r="W14" s="4">
        <f>BasisDelta[[#This Row],[2-BR BL]]/Average2brBL-100%</f>
        <v>0</v>
      </c>
      <c r="Y14" t="s">
        <v>17</v>
      </c>
      <c r="Z14" s="1">
        <v>65000</v>
      </c>
      <c r="AA14" s="1">
        <v>48800</v>
      </c>
      <c r="AB14" s="1">
        <v>52300</v>
      </c>
      <c r="AC14" s="1">
        <v>62800</v>
      </c>
      <c r="AD14" s="1">
        <v>72500</v>
      </c>
      <c r="AE14" s="1">
        <v>80900</v>
      </c>
    </row>
    <row r="15" spans="1:31" x14ac:dyDescent="0.25">
      <c r="M15" t="s">
        <v>18</v>
      </c>
      <c r="N15">
        <v>716</v>
      </c>
      <c r="O15">
        <v>815</v>
      </c>
      <c r="P15">
        <v>1065</v>
      </c>
      <c r="Q15">
        <v>1486</v>
      </c>
      <c r="R15">
        <v>1793</v>
      </c>
      <c r="T15" t="s">
        <v>18</v>
      </c>
      <c r="U15" s="1">
        <v>318400</v>
      </c>
      <c r="V15" s="4">
        <f>BasisDelta[[#This Row],[2-BR BL]]/$T$1-100%</f>
        <v>0</v>
      </c>
      <c r="W15" s="4">
        <f>BasisDelta[[#This Row],[2-BR BL]]/Average2brBL-100%</f>
        <v>-0.1271929824561403</v>
      </c>
      <c r="Y15" t="s">
        <v>18</v>
      </c>
      <c r="Z15" s="1">
        <v>56200</v>
      </c>
      <c r="AA15" s="1">
        <v>48800</v>
      </c>
      <c r="AB15" s="1">
        <v>52300</v>
      </c>
      <c r="AC15" s="1">
        <v>62800</v>
      </c>
      <c r="AD15" s="1">
        <v>72500</v>
      </c>
      <c r="AE15" s="1">
        <v>80900</v>
      </c>
    </row>
    <row r="16" spans="1:31" x14ac:dyDescent="0.25">
      <c r="M16" t="s">
        <v>19</v>
      </c>
      <c r="N16">
        <v>754</v>
      </c>
      <c r="O16">
        <v>874</v>
      </c>
      <c r="P16">
        <v>1077</v>
      </c>
      <c r="Q16">
        <v>1530</v>
      </c>
      <c r="R16">
        <v>1712</v>
      </c>
      <c r="T16" t="s">
        <v>19</v>
      </c>
      <c r="U16" s="1">
        <v>364800</v>
      </c>
      <c r="V16" s="4">
        <f>BasisDelta[[#This Row],[2-BR BL]]/$T$1-100%</f>
        <v>0.14572864321608048</v>
      </c>
      <c r="W16" s="4">
        <f>BasisDelta[[#This Row],[2-BR BL]]/Average2brBL-100%</f>
        <v>0</v>
      </c>
      <c r="Y16" t="s">
        <v>19</v>
      </c>
      <c r="Z16" s="1">
        <v>74100</v>
      </c>
      <c r="AA16" s="1">
        <v>51900</v>
      </c>
      <c r="AB16" s="1">
        <v>55600</v>
      </c>
      <c r="AC16" s="1">
        <v>66700</v>
      </c>
      <c r="AD16" s="1">
        <v>77100</v>
      </c>
      <c r="AE16" s="1">
        <v>86000</v>
      </c>
    </row>
    <row r="17" spans="13:31" x14ac:dyDescent="0.25">
      <c r="M17" t="s">
        <v>20</v>
      </c>
      <c r="N17">
        <v>763</v>
      </c>
      <c r="O17">
        <v>772</v>
      </c>
      <c r="P17">
        <v>1013</v>
      </c>
      <c r="Q17">
        <v>1439</v>
      </c>
      <c r="R17">
        <v>1734</v>
      </c>
      <c r="T17" t="s">
        <v>20</v>
      </c>
      <c r="U17" s="1">
        <v>331200</v>
      </c>
      <c r="V17" s="4">
        <f>BasisDelta[[#This Row],[2-BR BL]]/$T$1-100%</f>
        <v>4.020100502512558E-2</v>
      </c>
      <c r="W17" s="4">
        <f>BasisDelta[[#This Row],[2-BR BL]]/Average2brBL-100%</f>
        <v>-9.210526315789469E-2</v>
      </c>
      <c r="Y17" t="s">
        <v>20</v>
      </c>
      <c r="Z17" s="1">
        <v>59700</v>
      </c>
      <c r="AA17" s="1">
        <v>48800</v>
      </c>
      <c r="AB17" s="1">
        <v>52300</v>
      </c>
      <c r="AC17" s="1">
        <v>62800</v>
      </c>
      <c r="AD17" s="1">
        <v>72500</v>
      </c>
      <c r="AE17" s="1">
        <v>80900</v>
      </c>
    </row>
    <row r="18" spans="13:31" x14ac:dyDescent="0.25">
      <c r="M18" t="s">
        <v>21</v>
      </c>
      <c r="N18">
        <v>924</v>
      </c>
      <c r="O18">
        <v>930</v>
      </c>
      <c r="P18">
        <v>1162</v>
      </c>
      <c r="Q18">
        <v>1651</v>
      </c>
      <c r="R18">
        <v>1799</v>
      </c>
      <c r="T18" t="s">
        <v>21</v>
      </c>
      <c r="U18" s="1">
        <v>331200</v>
      </c>
      <c r="V18" s="4">
        <f>BasisDelta[[#This Row],[2-BR BL]]/$T$1-100%</f>
        <v>4.020100502512558E-2</v>
      </c>
      <c r="W18" s="4">
        <f>BasisDelta[[#This Row],[2-BR BL]]/Average2brBL-100%</f>
        <v>-9.210526315789469E-2</v>
      </c>
      <c r="Y18" t="s">
        <v>21</v>
      </c>
      <c r="Z18" s="1">
        <v>65800</v>
      </c>
      <c r="AA18" s="1">
        <v>48800</v>
      </c>
      <c r="AB18" s="1">
        <v>52300</v>
      </c>
      <c r="AC18" s="1">
        <v>62800</v>
      </c>
      <c r="AD18" s="1">
        <v>72500</v>
      </c>
      <c r="AE18" s="1">
        <v>80900</v>
      </c>
    </row>
    <row r="19" spans="13:31" x14ac:dyDescent="0.25">
      <c r="M19" t="s">
        <v>22</v>
      </c>
      <c r="N19">
        <v>678</v>
      </c>
      <c r="O19">
        <v>776</v>
      </c>
      <c r="P19">
        <v>1021</v>
      </c>
      <c r="Q19">
        <v>1450</v>
      </c>
      <c r="R19">
        <v>1544</v>
      </c>
      <c r="T19" t="s">
        <v>22</v>
      </c>
      <c r="U19" s="1">
        <v>364800</v>
      </c>
      <c r="V19" s="4">
        <f>BasisDelta[[#This Row],[2-BR BL]]/$T$1-100%</f>
        <v>0.14572864321608048</v>
      </c>
      <c r="W19" s="4">
        <f>BasisDelta[[#This Row],[2-BR BL]]/Average2brBL-100%</f>
        <v>0</v>
      </c>
      <c r="Y19" t="s">
        <v>22</v>
      </c>
      <c r="Z19" s="1">
        <v>67100</v>
      </c>
      <c r="AA19" s="1">
        <v>48800</v>
      </c>
      <c r="AB19" s="1">
        <v>52300</v>
      </c>
      <c r="AC19" s="1">
        <v>62800</v>
      </c>
      <c r="AD19" s="1">
        <v>72500</v>
      </c>
      <c r="AE19" s="1">
        <v>80900</v>
      </c>
    </row>
    <row r="20" spans="13:31" x14ac:dyDescent="0.25">
      <c r="M20" t="s">
        <v>23</v>
      </c>
      <c r="N20">
        <v>623</v>
      </c>
      <c r="O20">
        <v>712</v>
      </c>
      <c r="P20">
        <v>937</v>
      </c>
      <c r="Q20">
        <v>1331</v>
      </c>
      <c r="R20">
        <v>1372</v>
      </c>
      <c r="T20" t="s">
        <v>23</v>
      </c>
      <c r="U20" s="1">
        <v>364800</v>
      </c>
      <c r="V20" s="4">
        <f>BasisDelta[[#This Row],[2-BR BL]]/$T$1-100%</f>
        <v>0.14572864321608048</v>
      </c>
      <c r="W20" s="4">
        <f>BasisDelta[[#This Row],[2-BR BL]]/Average2brBL-100%</f>
        <v>0</v>
      </c>
      <c r="Y20" t="s">
        <v>23</v>
      </c>
      <c r="Z20" s="1">
        <v>72200</v>
      </c>
      <c r="AA20" s="1">
        <v>50600</v>
      </c>
      <c r="AB20" s="1">
        <v>54200</v>
      </c>
      <c r="AC20" s="1">
        <v>65000</v>
      </c>
      <c r="AD20" s="1">
        <v>75100</v>
      </c>
      <c r="AE20" s="1">
        <v>83800</v>
      </c>
    </row>
    <row r="21" spans="13:31" x14ac:dyDescent="0.25">
      <c r="M21" t="s">
        <v>24</v>
      </c>
      <c r="N21">
        <v>1384</v>
      </c>
      <c r="O21">
        <v>1604</v>
      </c>
      <c r="P21">
        <v>2044</v>
      </c>
      <c r="Q21">
        <v>2693</v>
      </c>
      <c r="R21">
        <v>2933</v>
      </c>
      <c r="T21" t="s">
        <v>24</v>
      </c>
      <c r="U21" s="1">
        <v>455200</v>
      </c>
      <c r="V21" s="4">
        <f>BasisDelta[[#This Row],[2-BR BL]]/$T$1-100%</f>
        <v>0.42964824120603007</v>
      </c>
      <c r="W21" s="4">
        <f>BasisDelta[[#This Row],[2-BR BL]]/Average2brBL-100%</f>
        <v>0.24780701754385959</v>
      </c>
      <c r="Y21" t="s">
        <v>24</v>
      </c>
      <c r="Z21" s="1">
        <v>80000</v>
      </c>
      <c r="AA21" s="1">
        <v>82800</v>
      </c>
      <c r="AB21" s="1">
        <v>88700</v>
      </c>
      <c r="AC21" s="1">
        <v>106400</v>
      </c>
      <c r="AD21" s="1">
        <v>122950</v>
      </c>
      <c r="AE21" s="1">
        <v>137200</v>
      </c>
    </row>
    <row r="22" spans="13:31" x14ac:dyDescent="0.25">
      <c r="M22" t="s">
        <v>25</v>
      </c>
      <c r="N22">
        <v>913</v>
      </c>
      <c r="O22">
        <v>919</v>
      </c>
      <c r="P22">
        <v>1198</v>
      </c>
      <c r="Q22">
        <v>1702</v>
      </c>
      <c r="R22">
        <v>1870</v>
      </c>
      <c r="T22" t="s">
        <v>25</v>
      </c>
      <c r="U22" s="1">
        <v>331200</v>
      </c>
      <c r="V22" s="4">
        <f>BasisDelta[[#This Row],[2-BR BL]]/$T$1-100%</f>
        <v>4.020100502512558E-2</v>
      </c>
      <c r="W22" s="4">
        <f>BasisDelta[[#This Row],[2-BR BL]]/Average2brBL-100%</f>
        <v>-9.210526315789469E-2</v>
      </c>
      <c r="Y22" t="s">
        <v>25</v>
      </c>
      <c r="Z22" s="1">
        <v>62900</v>
      </c>
      <c r="AA22" s="1">
        <v>48800</v>
      </c>
      <c r="AB22" s="1">
        <v>52300</v>
      </c>
      <c r="AC22" s="1">
        <v>62800</v>
      </c>
      <c r="AD22" s="1">
        <v>72500</v>
      </c>
      <c r="AE22" s="1">
        <v>80900</v>
      </c>
    </row>
    <row r="23" spans="13:31" x14ac:dyDescent="0.25">
      <c r="M23" t="s">
        <v>26</v>
      </c>
      <c r="N23">
        <v>2115</v>
      </c>
      <c r="O23">
        <v>2631</v>
      </c>
      <c r="P23">
        <v>3198</v>
      </c>
      <c r="Q23">
        <v>4111</v>
      </c>
      <c r="R23">
        <v>4473</v>
      </c>
      <c r="T23" t="s">
        <v>26</v>
      </c>
      <c r="U23" s="1">
        <v>416000</v>
      </c>
      <c r="V23" s="4">
        <f>BasisDelta[[#This Row],[2-BR BL]]/$T$1-100%</f>
        <v>0.30653266331658302</v>
      </c>
      <c r="W23" s="4">
        <f>BasisDelta[[#This Row],[2-BR BL]]/Average2brBL-100%</f>
        <v>0.14035087719298245</v>
      </c>
      <c r="Y23" t="s">
        <v>26</v>
      </c>
      <c r="Z23" s="1">
        <v>149600</v>
      </c>
      <c r="AA23" s="1">
        <v>127900</v>
      </c>
      <c r="AB23" s="1">
        <v>137050</v>
      </c>
      <c r="AC23" s="1">
        <v>164500</v>
      </c>
      <c r="AD23" s="1">
        <v>190050</v>
      </c>
      <c r="AE23" s="1">
        <v>212000</v>
      </c>
    </row>
    <row r="24" spans="13:31" x14ac:dyDescent="0.25">
      <c r="M24" t="s">
        <v>27</v>
      </c>
      <c r="N24">
        <v>718</v>
      </c>
      <c r="O24">
        <v>808</v>
      </c>
      <c r="P24">
        <v>1063</v>
      </c>
      <c r="Q24">
        <v>1423</v>
      </c>
      <c r="R24">
        <v>1819</v>
      </c>
      <c r="T24" t="s">
        <v>27</v>
      </c>
      <c r="U24" s="1">
        <v>364800</v>
      </c>
      <c r="V24" s="4">
        <f>BasisDelta[[#This Row],[2-BR BL]]/$T$1-100%</f>
        <v>0.14572864321608048</v>
      </c>
      <c r="W24" s="4">
        <f>BasisDelta[[#This Row],[2-BR BL]]/Average2brBL-100%</f>
        <v>0</v>
      </c>
      <c r="Y24" t="s">
        <v>27</v>
      </c>
      <c r="Z24" s="1">
        <v>62900</v>
      </c>
      <c r="AA24" s="1">
        <v>48800</v>
      </c>
      <c r="AB24" s="1">
        <v>52300</v>
      </c>
      <c r="AC24" s="1">
        <v>62800</v>
      </c>
      <c r="AD24" s="1">
        <v>72500</v>
      </c>
      <c r="AE24" s="1">
        <v>80900</v>
      </c>
    </row>
    <row r="25" spans="13:31" x14ac:dyDescent="0.25">
      <c r="M25" t="s">
        <v>28</v>
      </c>
      <c r="N25">
        <v>945</v>
      </c>
      <c r="O25">
        <v>954</v>
      </c>
      <c r="P25">
        <v>1245</v>
      </c>
      <c r="Q25">
        <v>1729</v>
      </c>
      <c r="R25">
        <v>2131</v>
      </c>
      <c r="T25" t="s">
        <v>28</v>
      </c>
      <c r="U25" s="1">
        <v>364800</v>
      </c>
      <c r="V25" s="4">
        <f>BasisDelta[[#This Row],[2-BR BL]]/$T$1-100%</f>
        <v>0.14572864321608048</v>
      </c>
      <c r="W25" s="4">
        <f>BasisDelta[[#This Row],[2-BR BL]]/Average2brBL-100%</f>
        <v>0</v>
      </c>
      <c r="Y25" t="s">
        <v>28</v>
      </c>
      <c r="Z25" s="1">
        <v>65900</v>
      </c>
      <c r="AA25" s="1">
        <v>50700</v>
      </c>
      <c r="AB25" s="1">
        <v>54300</v>
      </c>
      <c r="AC25" s="1">
        <v>65100</v>
      </c>
      <c r="AD25" s="1">
        <v>75200</v>
      </c>
      <c r="AE25" s="1">
        <v>83900</v>
      </c>
    </row>
    <row r="26" spans="13:31" x14ac:dyDescent="0.25">
      <c r="M26" t="s">
        <v>29</v>
      </c>
      <c r="N26">
        <v>766</v>
      </c>
      <c r="O26">
        <v>914</v>
      </c>
      <c r="P26">
        <v>1120</v>
      </c>
      <c r="Q26">
        <v>1591</v>
      </c>
      <c r="R26">
        <v>1917</v>
      </c>
      <c r="T26" t="s">
        <v>29</v>
      </c>
      <c r="U26" s="1">
        <v>331200</v>
      </c>
      <c r="V26" s="4">
        <f>BasisDelta[[#This Row],[2-BR BL]]/$T$1-100%</f>
        <v>4.020100502512558E-2</v>
      </c>
      <c r="W26" s="4">
        <f>BasisDelta[[#This Row],[2-BR BL]]/Average2brBL-100%</f>
        <v>-9.210526315789469E-2</v>
      </c>
      <c r="Y26" t="s">
        <v>29</v>
      </c>
      <c r="Z26" s="1">
        <v>66400</v>
      </c>
      <c r="AA26" s="1">
        <v>48800</v>
      </c>
      <c r="AB26" s="1">
        <v>52300</v>
      </c>
      <c r="AC26" s="1">
        <v>62800</v>
      </c>
      <c r="AD26" s="1">
        <v>72500</v>
      </c>
      <c r="AE26" s="1">
        <v>80900</v>
      </c>
    </row>
    <row r="27" spans="13:31" x14ac:dyDescent="0.25">
      <c r="M27" t="s">
        <v>30</v>
      </c>
      <c r="N27">
        <v>605</v>
      </c>
      <c r="O27">
        <v>609</v>
      </c>
      <c r="P27">
        <v>801</v>
      </c>
      <c r="Q27">
        <v>1047</v>
      </c>
      <c r="R27">
        <v>1273</v>
      </c>
      <c r="T27" t="s">
        <v>30</v>
      </c>
      <c r="U27" s="1">
        <v>364800</v>
      </c>
      <c r="V27" s="4">
        <f>BasisDelta[[#This Row],[2-BR BL]]/$T$1-100%</f>
        <v>0.14572864321608048</v>
      </c>
      <c r="W27" s="4">
        <f>BasisDelta[[#This Row],[2-BR BL]]/Average2brBL-100%</f>
        <v>0</v>
      </c>
      <c r="Y27" t="s">
        <v>30</v>
      </c>
      <c r="Z27" s="1">
        <v>58500</v>
      </c>
      <c r="AA27" s="1">
        <v>48800</v>
      </c>
      <c r="AB27" s="1">
        <v>52300</v>
      </c>
      <c r="AC27" s="1">
        <v>62800</v>
      </c>
      <c r="AD27" s="1">
        <v>72500</v>
      </c>
      <c r="AE27" s="1">
        <v>80900</v>
      </c>
    </row>
    <row r="28" spans="13:31" x14ac:dyDescent="0.25">
      <c r="M28" t="s">
        <v>31</v>
      </c>
      <c r="N28">
        <v>1009</v>
      </c>
      <c r="O28">
        <v>1045</v>
      </c>
      <c r="P28">
        <v>1319</v>
      </c>
      <c r="Q28">
        <v>1829</v>
      </c>
      <c r="R28">
        <v>2096</v>
      </c>
      <c r="T28" t="s">
        <v>31</v>
      </c>
      <c r="U28" s="1">
        <v>364800</v>
      </c>
      <c r="V28" s="4">
        <f>BasisDelta[[#This Row],[2-BR BL]]/$T$1-100%</f>
        <v>0.14572864321608048</v>
      </c>
      <c r="W28" s="4">
        <f>BasisDelta[[#This Row],[2-BR BL]]/Average2brBL-100%</f>
        <v>0</v>
      </c>
      <c r="Y28" t="s">
        <v>31</v>
      </c>
      <c r="Z28" s="1">
        <v>78900</v>
      </c>
      <c r="AA28" s="1">
        <v>55300</v>
      </c>
      <c r="AB28" s="1">
        <v>59250</v>
      </c>
      <c r="AC28" s="1">
        <v>71100</v>
      </c>
      <c r="AD28" s="1">
        <v>82100</v>
      </c>
      <c r="AE28" s="1">
        <v>91600</v>
      </c>
    </row>
    <row r="29" spans="13:31" x14ac:dyDescent="0.25">
      <c r="M29" t="s">
        <v>32</v>
      </c>
      <c r="N29">
        <v>1533</v>
      </c>
      <c r="O29">
        <v>1616</v>
      </c>
      <c r="P29">
        <v>1967</v>
      </c>
      <c r="Q29">
        <v>2794</v>
      </c>
      <c r="R29">
        <v>3081</v>
      </c>
      <c r="T29" t="s">
        <v>32</v>
      </c>
      <c r="U29" s="1">
        <v>422400</v>
      </c>
      <c r="V29" s="4">
        <f>BasisDelta[[#This Row],[2-BR BL]]/$T$1-100%</f>
        <v>0.3266331658291457</v>
      </c>
      <c r="W29" s="4">
        <f>BasisDelta[[#This Row],[2-BR BL]]/Average2brBL-100%</f>
        <v>0.15789473684210531</v>
      </c>
      <c r="Y29" t="s">
        <v>32</v>
      </c>
      <c r="Z29" s="1">
        <v>80900</v>
      </c>
      <c r="AA29" s="1">
        <v>71200</v>
      </c>
      <c r="AB29" s="1">
        <v>76300</v>
      </c>
      <c r="AC29" s="1">
        <v>91600</v>
      </c>
      <c r="AD29" s="1">
        <v>105800</v>
      </c>
      <c r="AE29" s="1">
        <v>118000</v>
      </c>
    </row>
    <row r="30" spans="13:31" x14ac:dyDescent="0.25">
      <c r="M30" t="s">
        <v>33</v>
      </c>
      <c r="N30">
        <v>1438</v>
      </c>
      <c r="O30">
        <v>1645</v>
      </c>
      <c r="P30">
        <v>2164</v>
      </c>
      <c r="Q30">
        <v>2924</v>
      </c>
      <c r="R30">
        <v>2935</v>
      </c>
      <c r="T30" t="s">
        <v>33</v>
      </c>
      <c r="U30" s="1">
        <v>416000</v>
      </c>
      <c r="V30" s="4">
        <f>BasisDelta[[#This Row],[2-BR BL]]/$T$1-100%</f>
        <v>0.30653266331658302</v>
      </c>
      <c r="W30" s="4">
        <f>BasisDelta[[#This Row],[2-BR BL]]/Average2brBL-100%</f>
        <v>0.14035087719298245</v>
      </c>
      <c r="Y30" t="s">
        <v>33</v>
      </c>
      <c r="Z30" s="1">
        <v>101500</v>
      </c>
      <c r="AA30" s="1">
        <v>79600</v>
      </c>
      <c r="AB30" s="1">
        <v>85300</v>
      </c>
      <c r="AC30" s="1">
        <v>102400</v>
      </c>
      <c r="AD30" s="1">
        <v>118250</v>
      </c>
      <c r="AE30" s="1">
        <v>131900</v>
      </c>
    </row>
    <row r="31" spans="13:31" x14ac:dyDescent="0.25">
      <c r="M31" t="s">
        <v>34</v>
      </c>
      <c r="N31">
        <v>921</v>
      </c>
      <c r="O31">
        <v>993</v>
      </c>
      <c r="P31">
        <v>1307</v>
      </c>
      <c r="Q31">
        <v>1857</v>
      </c>
      <c r="R31">
        <v>2037</v>
      </c>
      <c r="T31" t="s">
        <v>34</v>
      </c>
      <c r="U31" s="1">
        <v>364800</v>
      </c>
      <c r="V31" s="4">
        <f>BasisDelta[[#This Row],[2-BR BL]]/$T$1-100%</f>
        <v>0.14572864321608048</v>
      </c>
      <c r="W31" s="4">
        <f>BasisDelta[[#This Row],[2-BR BL]]/Average2brBL-100%</f>
        <v>0</v>
      </c>
      <c r="Y31" t="s">
        <v>34</v>
      </c>
      <c r="Z31" s="1">
        <v>89800</v>
      </c>
      <c r="AA31" s="1">
        <v>62900</v>
      </c>
      <c r="AB31" s="1">
        <v>67400</v>
      </c>
      <c r="AC31" s="1">
        <v>80900</v>
      </c>
      <c r="AD31" s="1">
        <v>93400</v>
      </c>
      <c r="AE31" s="1">
        <v>104200</v>
      </c>
    </row>
    <row r="32" spans="13:31" x14ac:dyDescent="0.25">
      <c r="M32" t="s">
        <v>35</v>
      </c>
      <c r="N32">
        <v>1716</v>
      </c>
      <c r="O32">
        <v>1905</v>
      </c>
      <c r="P32">
        <v>2324</v>
      </c>
      <c r="Q32">
        <v>3178</v>
      </c>
      <c r="R32">
        <v>3674</v>
      </c>
      <c r="T32" t="s">
        <v>35</v>
      </c>
      <c r="U32" s="1">
        <v>388800</v>
      </c>
      <c r="V32" s="4">
        <f>BasisDelta[[#This Row],[2-BR BL]]/$T$1-100%</f>
        <v>0.22110552763819102</v>
      </c>
      <c r="W32" s="4">
        <f>BasisDelta[[#This Row],[2-BR BL]]/Average2brBL-100%</f>
        <v>6.578947368421062E-2</v>
      </c>
      <c r="Y32" t="s">
        <v>35</v>
      </c>
      <c r="Z32" s="1">
        <v>106700</v>
      </c>
      <c r="AA32" s="1">
        <v>94200</v>
      </c>
      <c r="AB32" s="1">
        <v>100900</v>
      </c>
      <c r="AC32" s="1">
        <v>121100</v>
      </c>
      <c r="AD32" s="1">
        <v>139900</v>
      </c>
      <c r="AE32" s="1">
        <v>156100</v>
      </c>
    </row>
    <row r="33" spans="13:31" x14ac:dyDescent="0.25">
      <c r="M33" t="s">
        <v>36</v>
      </c>
      <c r="N33">
        <v>1108</v>
      </c>
      <c r="O33">
        <v>1228</v>
      </c>
      <c r="P33">
        <v>1543</v>
      </c>
      <c r="Q33">
        <v>2192</v>
      </c>
      <c r="R33">
        <v>2625</v>
      </c>
      <c r="T33" t="s">
        <v>36</v>
      </c>
      <c r="U33" s="1">
        <v>387200</v>
      </c>
      <c r="V33" s="4">
        <f>BasisDelta[[#This Row],[2-BR BL]]/$T$1-100%</f>
        <v>0.21608040201005019</v>
      </c>
      <c r="W33" s="4">
        <f>BasisDelta[[#This Row],[2-BR BL]]/Average2brBL-100%</f>
        <v>6.1403508771929793E-2</v>
      </c>
      <c r="Y33" t="s">
        <v>36</v>
      </c>
      <c r="Z33" s="1">
        <v>91100</v>
      </c>
      <c r="AA33" s="1">
        <v>63500</v>
      </c>
      <c r="AB33" s="1">
        <v>68000</v>
      </c>
      <c r="AC33" s="1">
        <v>81600</v>
      </c>
      <c r="AD33" s="1">
        <v>94250</v>
      </c>
      <c r="AE33" s="1">
        <v>105100</v>
      </c>
    </row>
    <row r="34" spans="13:31" x14ac:dyDescent="0.25">
      <c r="M34" t="s">
        <v>37</v>
      </c>
      <c r="N34">
        <v>608</v>
      </c>
      <c r="O34">
        <v>716</v>
      </c>
      <c r="P34">
        <v>915</v>
      </c>
      <c r="Q34">
        <v>1300</v>
      </c>
      <c r="R34">
        <v>1566</v>
      </c>
      <c r="T34" t="s">
        <v>37</v>
      </c>
      <c r="U34" s="1">
        <v>364800</v>
      </c>
      <c r="V34" s="4">
        <f>BasisDelta[[#This Row],[2-BR BL]]/$T$1-100%</f>
        <v>0.14572864321608048</v>
      </c>
      <c r="W34" s="4">
        <f>BasisDelta[[#This Row],[2-BR BL]]/Average2brBL-100%</f>
        <v>0</v>
      </c>
      <c r="Y34" t="s">
        <v>37</v>
      </c>
      <c r="Z34" s="1">
        <v>73100</v>
      </c>
      <c r="AA34" s="1">
        <v>51200</v>
      </c>
      <c r="AB34" s="1">
        <v>54850</v>
      </c>
      <c r="AC34" s="1">
        <v>65800</v>
      </c>
      <c r="AD34" s="1">
        <v>76050</v>
      </c>
      <c r="AE34" s="1">
        <v>84800</v>
      </c>
    </row>
    <row r="35" spans="13:31" x14ac:dyDescent="0.25">
      <c r="M35" t="s">
        <v>38</v>
      </c>
      <c r="N35">
        <v>1062</v>
      </c>
      <c r="O35">
        <v>1202</v>
      </c>
      <c r="P35">
        <v>1509</v>
      </c>
      <c r="Q35">
        <v>2065</v>
      </c>
      <c r="R35">
        <v>2542</v>
      </c>
      <c r="T35" t="s">
        <v>38</v>
      </c>
      <c r="U35" s="1">
        <v>318400</v>
      </c>
      <c r="V35" s="4">
        <f>BasisDelta[[#This Row],[2-BR BL]]/$T$1-100%</f>
        <v>0</v>
      </c>
      <c r="W35" s="4">
        <f>BasisDelta[[#This Row],[2-BR BL]]/Average2brBL-100%</f>
        <v>-0.1271929824561403</v>
      </c>
      <c r="Y35" t="s">
        <v>38</v>
      </c>
      <c r="Z35" s="1">
        <v>77500</v>
      </c>
      <c r="AA35" s="1">
        <v>55300</v>
      </c>
      <c r="AB35" s="1">
        <v>59250</v>
      </c>
      <c r="AC35" s="1">
        <v>71100</v>
      </c>
      <c r="AD35" s="1">
        <v>82200</v>
      </c>
      <c r="AE35" s="1">
        <v>91700</v>
      </c>
    </row>
    <row r="36" spans="13:31" x14ac:dyDescent="0.25">
      <c r="M36" t="s">
        <v>39</v>
      </c>
      <c r="N36">
        <v>1108</v>
      </c>
      <c r="O36">
        <v>1228</v>
      </c>
      <c r="P36">
        <v>1543</v>
      </c>
      <c r="Q36">
        <v>2192</v>
      </c>
      <c r="R36">
        <v>2625</v>
      </c>
      <c r="T36" t="s">
        <v>39</v>
      </c>
      <c r="U36" s="1">
        <v>387200</v>
      </c>
      <c r="V36" s="4">
        <f>BasisDelta[[#This Row],[2-BR BL]]/$T$1-100%</f>
        <v>0.21608040201005019</v>
      </c>
      <c r="W36" s="4">
        <f>BasisDelta[[#This Row],[2-BR BL]]/Average2brBL-100%</f>
        <v>6.1403508771929793E-2</v>
      </c>
      <c r="Y36" t="s">
        <v>39</v>
      </c>
      <c r="Z36" s="1">
        <v>91100</v>
      </c>
      <c r="AA36" s="1">
        <v>63500</v>
      </c>
      <c r="AB36" s="1">
        <v>68000</v>
      </c>
      <c r="AC36" s="1">
        <v>81600</v>
      </c>
      <c r="AD36" s="1">
        <v>94250</v>
      </c>
      <c r="AE36" s="1">
        <v>105100</v>
      </c>
    </row>
    <row r="37" spans="13:31" x14ac:dyDescent="0.25">
      <c r="M37" t="s">
        <v>40</v>
      </c>
      <c r="N37">
        <v>1096</v>
      </c>
      <c r="O37">
        <v>1253</v>
      </c>
      <c r="P37">
        <v>1649</v>
      </c>
      <c r="Q37">
        <v>2342</v>
      </c>
      <c r="R37">
        <v>2822</v>
      </c>
      <c r="T37" t="s">
        <v>40</v>
      </c>
      <c r="U37" s="1">
        <v>364800</v>
      </c>
      <c r="V37" s="4">
        <f>BasisDelta[[#This Row],[2-BR BL]]/$T$1-100%</f>
        <v>0.14572864321608048</v>
      </c>
      <c r="W37" s="4">
        <f>BasisDelta[[#This Row],[2-BR BL]]/Average2brBL-100%</f>
        <v>0</v>
      </c>
      <c r="Y37" t="s">
        <v>40</v>
      </c>
      <c r="Z37" s="1">
        <v>90700</v>
      </c>
      <c r="AA37" s="1">
        <v>68400</v>
      </c>
      <c r="AB37" s="1">
        <v>73250</v>
      </c>
      <c r="AC37" s="1">
        <v>87900</v>
      </c>
      <c r="AD37" s="1">
        <v>101550</v>
      </c>
      <c r="AE37" s="1">
        <v>113300</v>
      </c>
    </row>
    <row r="38" spans="13:31" x14ac:dyDescent="0.25">
      <c r="M38" t="s">
        <v>41</v>
      </c>
      <c r="N38">
        <v>1062</v>
      </c>
      <c r="O38">
        <v>1202</v>
      </c>
      <c r="P38">
        <v>1509</v>
      </c>
      <c r="Q38">
        <v>2065</v>
      </c>
      <c r="R38">
        <v>2542</v>
      </c>
      <c r="T38" t="s">
        <v>41</v>
      </c>
      <c r="U38" s="1">
        <v>318400</v>
      </c>
      <c r="V38" s="4">
        <f>BasisDelta[[#This Row],[2-BR BL]]/$T$1-100%</f>
        <v>0</v>
      </c>
      <c r="W38" s="4">
        <f>BasisDelta[[#This Row],[2-BR BL]]/Average2brBL-100%</f>
        <v>-0.1271929824561403</v>
      </c>
      <c r="Y38" t="s">
        <v>41</v>
      </c>
      <c r="Z38" s="1">
        <v>77500</v>
      </c>
      <c r="AA38" s="1">
        <v>55300</v>
      </c>
      <c r="AB38" s="1">
        <v>59250</v>
      </c>
      <c r="AC38" s="1">
        <v>71100</v>
      </c>
      <c r="AD38" s="1">
        <v>82200</v>
      </c>
      <c r="AE38" s="1">
        <v>91700</v>
      </c>
    </row>
    <row r="39" spans="13:31" x14ac:dyDescent="0.25">
      <c r="M39" t="s">
        <v>42</v>
      </c>
      <c r="N39">
        <v>1394</v>
      </c>
      <c r="O39">
        <v>1542</v>
      </c>
      <c r="P39">
        <v>1979</v>
      </c>
      <c r="Q39">
        <v>2748</v>
      </c>
      <c r="R39">
        <v>3365</v>
      </c>
      <c r="T39" t="s">
        <v>42</v>
      </c>
      <c r="U39" s="1">
        <v>362400</v>
      </c>
      <c r="V39" s="4">
        <f>BasisDelta[[#This Row],[2-BR BL]]/$T$1-100%</f>
        <v>0.13819095477386933</v>
      </c>
      <c r="W39" s="4">
        <f>BasisDelta[[#This Row],[2-BR BL]]/Average2brBL-100%</f>
        <v>-6.5789473684210176E-3</v>
      </c>
      <c r="Y39" t="s">
        <v>42</v>
      </c>
      <c r="Z39" s="1">
        <v>95100</v>
      </c>
      <c r="AA39" s="1">
        <v>84900</v>
      </c>
      <c r="AB39" s="1">
        <v>90950</v>
      </c>
      <c r="AC39" s="1">
        <v>109100</v>
      </c>
      <c r="AD39" s="1">
        <v>126050</v>
      </c>
      <c r="AE39" s="1">
        <v>140600</v>
      </c>
    </row>
    <row r="40" spans="13:31" x14ac:dyDescent="0.25">
      <c r="M40" t="s">
        <v>43</v>
      </c>
      <c r="N40">
        <v>2115</v>
      </c>
      <c r="O40">
        <v>2631</v>
      </c>
      <c r="P40">
        <v>3198</v>
      </c>
      <c r="Q40">
        <v>4111</v>
      </c>
      <c r="R40">
        <v>4473</v>
      </c>
      <c r="T40" t="s">
        <v>43</v>
      </c>
      <c r="U40" s="1">
        <v>712000</v>
      </c>
      <c r="V40" s="4">
        <f>BasisDelta[[#This Row],[2-BR BL]]/$T$1-100%</f>
        <v>1.2361809045226129</v>
      </c>
      <c r="W40" s="4">
        <f>BasisDelta[[#This Row],[2-BR BL]]/Average2brBL-100%</f>
        <v>0.95175438596491224</v>
      </c>
      <c r="Y40" t="s">
        <v>43</v>
      </c>
      <c r="Z40" s="1">
        <v>149600</v>
      </c>
      <c r="AA40" s="1">
        <v>127900</v>
      </c>
      <c r="AB40" s="1">
        <v>137050</v>
      </c>
      <c r="AC40" s="1">
        <v>164500</v>
      </c>
      <c r="AD40" s="1">
        <v>190050</v>
      </c>
      <c r="AE40" s="1">
        <v>212000</v>
      </c>
    </row>
    <row r="41" spans="13:31" x14ac:dyDescent="0.25">
      <c r="M41" t="s">
        <v>44</v>
      </c>
      <c r="N41">
        <v>891</v>
      </c>
      <c r="O41">
        <v>992</v>
      </c>
      <c r="P41">
        <v>1305</v>
      </c>
      <c r="Q41">
        <v>1854</v>
      </c>
      <c r="R41">
        <v>2234</v>
      </c>
      <c r="T41" t="s">
        <v>44</v>
      </c>
      <c r="U41" s="1">
        <v>331200</v>
      </c>
      <c r="V41" s="4">
        <f>BasisDelta[[#This Row],[2-BR BL]]/$T$1-100%</f>
        <v>4.020100502512558E-2</v>
      </c>
      <c r="W41" s="4">
        <f>BasisDelta[[#This Row],[2-BR BL]]/Average2brBL-100%</f>
        <v>-9.210526315789469E-2</v>
      </c>
      <c r="Y41" t="s">
        <v>44</v>
      </c>
      <c r="Z41" s="1">
        <v>74000</v>
      </c>
      <c r="AA41" s="1">
        <v>51800</v>
      </c>
      <c r="AB41" s="1">
        <v>55500</v>
      </c>
      <c r="AC41" s="1">
        <v>66600</v>
      </c>
      <c r="AD41" s="1">
        <v>77000</v>
      </c>
      <c r="AE41" s="1">
        <v>85900</v>
      </c>
    </row>
    <row r="42" spans="13:31" x14ac:dyDescent="0.25">
      <c r="M42" t="s">
        <v>45</v>
      </c>
      <c r="N42">
        <v>1308</v>
      </c>
      <c r="O42">
        <v>1436</v>
      </c>
      <c r="P42">
        <v>1890</v>
      </c>
      <c r="Q42">
        <v>2685</v>
      </c>
      <c r="R42">
        <v>3047</v>
      </c>
      <c r="T42" t="s">
        <v>45</v>
      </c>
      <c r="U42" s="1">
        <v>422400</v>
      </c>
      <c r="V42" s="4">
        <f>BasisDelta[[#This Row],[2-BR BL]]/$T$1-100%</f>
        <v>0.3266331658291457</v>
      </c>
      <c r="W42" s="4">
        <f>BasisDelta[[#This Row],[2-BR BL]]/Average2brBL-100%</f>
        <v>0.15789473684210531</v>
      </c>
      <c r="Y42" t="s">
        <v>45</v>
      </c>
      <c r="Z42" s="1">
        <v>97800</v>
      </c>
      <c r="AA42" s="1">
        <v>68500</v>
      </c>
      <c r="AB42" s="1">
        <v>73400</v>
      </c>
      <c r="AC42" s="1">
        <v>88100</v>
      </c>
      <c r="AD42" s="1">
        <v>101750</v>
      </c>
      <c r="AE42" s="1">
        <v>113500</v>
      </c>
    </row>
    <row r="43" spans="13:31" x14ac:dyDescent="0.25">
      <c r="M43" t="s">
        <v>46</v>
      </c>
      <c r="N43">
        <v>2115</v>
      </c>
      <c r="O43">
        <v>2631</v>
      </c>
      <c r="P43">
        <v>3198</v>
      </c>
      <c r="Q43">
        <v>4111</v>
      </c>
      <c r="R43">
        <v>4473</v>
      </c>
      <c r="T43" t="s">
        <v>46</v>
      </c>
      <c r="U43" s="1">
        <v>612000</v>
      </c>
      <c r="V43" s="4">
        <f>BasisDelta[[#This Row],[2-BR BL]]/$T$1-100%</f>
        <v>0.92211055276381915</v>
      </c>
      <c r="W43" s="4">
        <f>BasisDelta[[#This Row],[2-BR BL]]/Average2brBL-100%</f>
        <v>0.67763157894736836</v>
      </c>
      <c r="Y43" t="s">
        <v>46</v>
      </c>
      <c r="Z43" s="1">
        <v>149600</v>
      </c>
      <c r="AA43" s="1">
        <v>127900</v>
      </c>
      <c r="AB43" s="1">
        <v>137050</v>
      </c>
      <c r="AC43" s="1">
        <v>164500</v>
      </c>
      <c r="AD43" s="1">
        <v>190050</v>
      </c>
      <c r="AE43" s="1">
        <v>212000</v>
      </c>
    </row>
    <row r="44" spans="13:31" x14ac:dyDescent="0.25">
      <c r="M44" t="s">
        <v>47</v>
      </c>
      <c r="N44">
        <v>1847</v>
      </c>
      <c r="O44">
        <v>2124</v>
      </c>
      <c r="P44">
        <v>2478</v>
      </c>
      <c r="Q44">
        <v>3266</v>
      </c>
      <c r="R44">
        <v>3733</v>
      </c>
      <c r="T44" t="s">
        <v>47</v>
      </c>
      <c r="U44" s="1">
        <v>422400</v>
      </c>
      <c r="V44" s="4">
        <f>BasisDelta[[#This Row],[2-BR BL]]/$T$1-100%</f>
        <v>0.3266331658291457</v>
      </c>
      <c r="W44" s="4">
        <f>BasisDelta[[#This Row],[2-BR BL]]/Average2brBL-100%</f>
        <v>0.15789473684210531</v>
      </c>
      <c r="Y44" t="s">
        <v>47</v>
      </c>
      <c r="Z44" s="1">
        <v>90100</v>
      </c>
      <c r="AA44" s="1">
        <v>87500</v>
      </c>
      <c r="AB44" s="1">
        <v>93750</v>
      </c>
      <c r="AC44" s="1">
        <v>112500</v>
      </c>
      <c r="AD44" s="1">
        <v>129900</v>
      </c>
      <c r="AE44" s="1">
        <v>144900</v>
      </c>
    </row>
    <row r="45" spans="13:31" x14ac:dyDescent="0.25">
      <c r="M45" t="s">
        <v>48</v>
      </c>
      <c r="N45">
        <v>2145</v>
      </c>
      <c r="O45">
        <v>2418</v>
      </c>
      <c r="P45">
        <v>2868</v>
      </c>
      <c r="Q45">
        <v>3687</v>
      </c>
      <c r="R45">
        <v>4213</v>
      </c>
      <c r="T45" t="s">
        <v>48</v>
      </c>
      <c r="U45" s="1">
        <v>612000</v>
      </c>
      <c r="V45" s="4">
        <f>BasisDelta[[#This Row],[2-BR BL]]/$T$1-100%</f>
        <v>0.92211055276381915</v>
      </c>
      <c r="W45" s="4">
        <f>BasisDelta[[#This Row],[2-BR BL]]/Average2brBL-100%</f>
        <v>0.67763157894736836</v>
      </c>
      <c r="Y45" t="s">
        <v>48</v>
      </c>
      <c r="Z45" s="1">
        <v>151300</v>
      </c>
      <c r="AA45" s="1">
        <v>116000</v>
      </c>
      <c r="AB45" s="1">
        <v>124300</v>
      </c>
      <c r="AC45" s="1">
        <v>149200</v>
      </c>
      <c r="AD45" s="1">
        <v>172350</v>
      </c>
      <c r="AE45" s="1">
        <v>192300</v>
      </c>
    </row>
    <row r="46" spans="13:31" x14ac:dyDescent="0.25">
      <c r="M46" t="s">
        <v>49</v>
      </c>
      <c r="N46">
        <v>2085</v>
      </c>
      <c r="O46">
        <v>2385</v>
      </c>
      <c r="P46">
        <v>3138</v>
      </c>
      <c r="Q46">
        <v>4000</v>
      </c>
      <c r="R46">
        <v>4458</v>
      </c>
      <c r="T46" t="s">
        <v>49</v>
      </c>
      <c r="U46" s="1">
        <v>422400</v>
      </c>
      <c r="V46" s="4">
        <f>BasisDelta[[#This Row],[2-BR BL]]/$T$1-100%</f>
        <v>0.3266331658291457</v>
      </c>
      <c r="W46" s="4">
        <f>BasisDelta[[#This Row],[2-BR BL]]/Average2brBL-100%</f>
        <v>0.15789473684210531</v>
      </c>
      <c r="Y46" t="s">
        <v>49</v>
      </c>
      <c r="Z46" s="1">
        <v>111900</v>
      </c>
      <c r="AA46" s="1">
        <v>97300</v>
      </c>
      <c r="AB46" s="1">
        <v>104250</v>
      </c>
      <c r="AC46" s="1">
        <v>125100</v>
      </c>
      <c r="AD46" s="1">
        <v>144600</v>
      </c>
      <c r="AE46" s="1">
        <v>161300</v>
      </c>
    </row>
    <row r="47" spans="13:31" x14ac:dyDescent="0.25">
      <c r="M47" t="s">
        <v>50</v>
      </c>
      <c r="N47">
        <v>834</v>
      </c>
      <c r="O47">
        <v>954</v>
      </c>
      <c r="P47">
        <v>1255</v>
      </c>
      <c r="Q47">
        <v>1783</v>
      </c>
      <c r="R47">
        <v>2148</v>
      </c>
      <c r="T47" t="s">
        <v>50</v>
      </c>
      <c r="U47" s="1">
        <v>320800</v>
      </c>
      <c r="V47" s="4">
        <f>BasisDelta[[#This Row],[2-BR BL]]/$T$1-100%</f>
        <v>7.5376884422111434E-3</v>
      </c>
      <c r="W47" s="4">
        <f>BasisDelta[[#This Row],[2-BR BL]]/Average2brBL-100%</f>
        <v>-0.12061403508771928</v>
      </c>
      <c r="Y47" t="s">
        <v>50</v>
      </c>
      <c r="Z47" s="1">
        <v>69500</v>
      </c>
      <c r="AA47" s="1">
        <v>49700</v>
      </c>
      <c r="AB47" s="1">
        <v>53250</v>
      </c>
      <c r="AC47" s="1">
        <v>63900</v>
      </c>
      <c r="AD47" s="1">
        <v>73850</v>
      </c>
      <c r="AE47" s="1">
        <v>82400</v>
      </c>
    </row>
    <row r="48" spans="13:31" x14ac:dyDescent="0.25">
      <c r="M48" t="s">
        <v>51</v>
      </c>
      <c r="N48">
        <v>754</v>
      </c>
      <c r="O48">
        <v>855</v>
      </c>
      <c r="P48">
        <v>1114</v>
      </c>
      <c r="Q48">
        <v>1593</v>
      </c>
      <c r="R48">
        <v>1767</v>
      </c>
      <c r="T48" t="s">
        <v>51</v>
      </c>
      <c r="U48" s="1">
        <v>364800</v>
      </c>
      <c r="V48" s="4">
        <f>BasisDelta[[#This Row],[2-BR BL]]/$T$1-100%</f>
        <v>0.14572864321608048</v>
      </c>
      <c r="W48" s="4">
        <f>BasisDelta[[#This Row],[2-BR BL]]/Average2brBL-100%</f>
        <v>0</v>
      </c>
      <c r="Y48" t="s">
        <v>51</v>
      </c>
      <c r="Z48" s="1">
        <v>84800</v>
      </c>
      <c r="AA48" s="1">
        <v>59200</v>
      </c>
      <c r="AB48" s="1">
        <v>63400</v>
      </c>
      <c r="AC48" s="1">
        <v>76100</v>
      </c>
      <c r="AD48" s="1">
        <v>87900</v>
      </c>
      <c r="AE48" s="1">
        <v>98100</v>
      </c>
    </row>
    <row r="49" spans="13:31" x14ac:dyDescent="0.25">
      <c r="M49" t="s">
        <v>52</v>
      </c>
      <c r="N49">
        <v>682</v>
      </c>
      <c r="O49">
        <v>701</v>
      </c>
      <c r="P49">
        <v>922</v>
      </c>
      <c r="Q49">
        <v>1310</v>
      </c>
      <c r="R49">
        <v>1358</v>
      </c>
      <c r="T49" t="s">
        <v>52</v>
      </c>
      <c r="U49" s="1">
        <v>364800</v>
      </c>
      <c r="V49" s="4">
        <f>BasisDelta[[#This Row],[2-BR BL]]/$T$1-100%</f>
        <v>0.14572864321608048</v>
      </c>
      <c r="W49" s="4">
        <f>BasisDelta[[#This Row],[2-BR BL]]/Average2brBL-100%</f>
        <v>0</v>
      </c>
      <c r="Y49" t="s">
        <v>52</v>
      </c>
      <c r="Z49" s="1">
        <v>56400</v>
      </c>
      <c r="AA49" s="1">
        <v>48800</v>
      </c>
      <c r="AB49" s="1">
        <v>52300</v>
      </c>
      <c r="AC49" s="1">
        <v>62800</v>
      </c>
      <c r="AD49" s="1">
        <v>72500</v>
      </c>
      <c r="AE49" s="1">
        <v>80900</v>
      </c>
    </row>
    <row r="50" spans="13:31" x14ac:dyDescent="0.25">
      <c r="M50" t="s">
        <v>53</v>
      </c>
      <c r="N50">
        <v>1232</v>
      </c>
      <c r="O50">
        <v>1408</v>
      </c>
      <c r="P50">
        <v>1677</v>
      </c>
      <c r="Q50">
        <v>2382</v>
      </c>
      <c r="R50">
        <v>2870</v>
      </c>
      <c r="T50" t="s">
        <v>53</v>
      </c>
      <c r="U50" s="1">
        <v>416000</v>
      </c>
      <c r="V50" s="4">
        <f>BasisDelta[[#This Row],[2-BR BL]]/$T$1-100%</f>
        <v>0.30653266331658302</v>
      </c>
      <c r="W50" s="4">
        <f>BasisDelta[[#This Row],[2-BR BL]]/Average2brBL-100%</f>
        <v>0.14035087719298245</v>
      </c>
      <c r="Y50" t="s">
        <v>53</v>
      </c>
      <c r="Z50" s="1">
        <v>99300</v>
      </c>
      <c r="AA50" s="1">
        <v>68000</v>
      </c>
      <c r="AB50" s="1">
        <v>72850</v>
      </c>
      <c r="AC50" s="1">
        <v>87400</v>
      </c>
      <c r="AD50" s="1">
        <v>101000</v>
      </c>
      <c r="AE50" s="1">
        <v>112700</v>
      </c>
    </row>
    <row r="51" spans="13:31" x14ac:dyDescent="0.25">
      <c r="M51" t="s">
        <v>54</v>
      </c>
      <c r="N51">
        <v>1373</v>
      </c>
      <c r="O51">
        <v>1549</v>
      </c>
      <c r="P51">
        <v>2038</v>
      </c>
      <c r="Q51">
        <v>2851</v>
      </c>
      <c r="R51">
        <v>3163</v>
      </c>
      <c r="T51" t="s">
        <v>54</v>
      </c>
      <c r="U51" s="1">
        <v>416000</v>
      </c>
      <c r="V51" s="4">
        <f>BasisDelta[[#This Row],[2-BR BL]]/$T$1-100%</f>
        <v>0.30653266331658302</v>
      </c>
      <c r="W51" s="4">
        <f>BasisDelta[[#This Row],[2-BR BL]]/Average2brBL-100%</f>
        <v>0.14035087719298245</v>
      </c>
      <c r="Y51" t="s">
        <v>54</v>
      </c>
      <c r="Z51" s="1">
        <v>103300</v>
      </c>
      <c r="AA51" s="1">
        <v>81500</v>
      </c>
      <c r="AB51" s="1">
        <v>87300</v>
      </c>
      <c r="AC51" s="1">
        <v>104700</v>
      </c>
      <c r="AD51" s="1">
        <v>121000</v>
      </c>
      <c r="AE51" s="1">
        <v>135000</v>
      </c>
    </row>
    <row r="52" spans="13:31" x14ac:dyDescent="0.25">
      <c r="M52" t="s">
        <v>55</v>
      </c>
      <c r="N52">
        <v>936</v>
      </c>
      <c r="O52">
        <v>1001</v>
      </c>
      <c r="P52">
        <v>1250</v>
      </c>
      <c r="Q52">
        <v>1761</v>
      </c>
      <c r="R52">
        <v>2063</v>
      </c>
      <c r="T52" t="s">
        <v>55</v>
      </c>
      <c r="U52" s="1">
        <v>331200</v>
      </c>
      <c r="V52" s="4">
        <f>BasisDelta[[#This Row],[2-BR BL]]/$T$1-100%</f>
        <v>4.020100502512558E-2</v>
      </c>
      <c r="W52" s="4">
        <f>BasisDelta[[#This Row],[2-BR BL]]/Average2brBL-100%</f>
        <v>-9.210526315789469E-2</v>
      </c>
      <c r="Y52" t="s">
        <v>55</v>
      </c>
      <c r="Z52" s="1">
        <v>68900</v>
      </c>
      <c r="AA52" s="1">
        <v>50000</v>
      </c>
      <c r="AB52" s="1">
        <v>53550</v>
      </c>
      <c r="AC52" s="1">
        <v>64200</v>
      </c>
      <c r="AD52" s="1">
        <v>74200</v>
      </c>
      <c r="AE52" s="1">
        <v>82800</v>
      </c>
    </row>
    <row r="53" spans="13:31" x14ac:dyDescent="0.25">
      <c r="M53" t="s">
        <v>56</v>
      </c>
      <c r="N53">
        <v>920</v>
      </c>
      <c r="O53">
        <v>926</v>
      </c>
      <c r="P53">
        <v>1173</v>
      </c>
      <c r="Q53">
        <v>1666</v>
      </c>
      <c r="R53">
        <v>2008</v>
      </c>
      <c r="T53" t="s">
        <v>56</v>
      </c>
      <c r="U53" s="1">
        <v>387200</v>
      </c>
      <c r="V53" s="4">
        <f>BasisDelta[[#This Row],[2-BR BL]]/$T$1-100%</f>
        <v>0.21608040201005019</v>
      </c>
      <c r="W53" s="4">
        <f>BasisDelta[[#This Row],[2-BR BL]]/Average2brBL-100%</f>
        <v>6.1403508771929793E-2</v>
      </c>
      <c r="Y53" t="s">
        <v>56</v>
      </c>
      <c r="Z53" s="1">
        <v>66800</v>
      </c>
      <c r="AA53" s="1">
        <v>48800</v>
      </c>
      <c r="AB53" s="1">
        <v>52300</v>
      </c>
      <c r="AC53" s="1">
        <v>62800</v>
      </c>
      <c r="AD53" s="1">
        <v>72500</v>
      </c>
      <c r="AE53" s="1">
        <v>80900</v>
      </c>
    </row>
    <row r="54" spans="13:31" x14ac:dyDescent="0.25">
      <c r="M54" t="s">
        <v>57</v>
      </c>
      <c r="N54">
        <v>682</v>
      </c>
      <c r="O54">
        <v>722</v>
      </c>
      <c r="P54">
        <v>950</v>
      </c>
      <c r="Q54">
        <v>1270</v>
      </c>
      <c r="R54">
        <v>1495</v>
      </c>
      <c r="T54" t="s">
        <v>57</v>
      </c>
      <c r="U54" s="1">
        <v>364800</v>
      </c>
      <c r="V54" s="4">
        <f>BasisDelta[[#This Row],[2-BR BL]]/$T$1-100%</f>
        <v>0.14572864321608048</v>
      </c>
      <c r="W54" s="4">
        <f>BasisDelta[[#This Row],[2-BR BL]]/Average2brBL-100%</f>
        <v>0</v>
      </c>
      <c r="Y54" t="s">
        <v>57</v>
      </c>
      <c r="Z54" s="1">
        <v>55000</v>
      </c>
      <c r="AA54" s="1">
        <v>48800</v>
      </c>
      <c r="AB54" s="1">
        <v>52300</v>
      </c>
      <c r="AC54" s="1">
        <v>62800</v>
      </c>
      <c r="AD54" s="1">
        <v>72500</v>
      </c>
      <c r="AE54" s="1">
        <v>80900</v>
      </c>
    </row>
    <row r="55" spans="13:31" x14ac:dyDescent="0.25">
      <c r="M55" t="s">
        <v>58</v>
      </c>
      <c r="N55">
        <v>592</v>
      </c>
      <c r="O55">
        <v>670</v>
      </c>
      <c r="P55">
        <v>877</v>
      </c>
      <c r="Q55">
        <v>1246</v>
      </c>
      <c r="R55">
        <v>1394</v>
      </c>
      <c r="T55" t="s">
        <v>58</v>
      </c>
      <c r="U55" s="1">
        <v>364800</v>
      </c>
      <c r="V55" s="4">
        <f>BasisDelta[[#This Row],[2-BR BL]]/$T$1-100%</f>
        <v>0.14572864321608048</v>
      </c>
      <c r="W55" s="4">
        <f>BasisDelta[[#This Row],[2-BR BL]]/Average2brBL-100%</f>
        <v>0</v>
      </c>
      <c r="Y55" t="s">
        <v>58</v>
      </c>
      <c r="Z55" s="1">
        <v>53900</v>
      </c>
      <c r="AA55" s="1">
        <v>48800</v>
      </c>
      <c r="AB55" s="1">
        <v>52300</v>
      </c>
      <c r="AC55" s="1">
        <v>62800</v>
      </c>
      <c r="AD55" s="1">
        <v>72500</v>
      </c>
      <c r="AE55" s="1">
        <v>80900</v>
      </c>
    </row>
    <row r="56" spans="13:31" x14ac:dyDescent="0.25">
      <c r="M56" t="s">
        <v>59</v>
      </c>
      <c r="N56">
        <v>746</v>
      </c>
      <c r="O56">
        <v>764</v>
      </c>
      <c r="P56">
        <v>1005</v>
      </c>
      <c r="Q56">
        <v>1405</v>
      </c>
      <c r="R56">
        <v>1629</v>
      </c>
      <c r="T56" t="s">
        <v>59</v>
      </c>
      <c r="U56" s="1">
        <v>331200</v>
      </c>
      <c r="V56" s="4">
        <f>BasisDelta[[#This Row],[2-BR BL]]/$T$1-100%</f>
        <v>4.020100502512558E-2</v>
      </c>
      <c r="W56" s="4">
        <f>BasisDelta[[#This Row],[2-BR BL]]/Average2brBL-100%</f>
        <v>-9.210526315789469E-2</v>
      </c>
      <c r="Y56" t="s">
        <v>59</v>
      </c>
      <c r="Z56" s="1">
        <v>57900</v>
      </c>
      <c r="AA56" s="1">
        <v>48800</v>
      </c>
      <c r="AB56" s="1">
        <v>52300</v>
      </c>
      <c r="AC56" s="1">
        <v>62800</v>
      </c>
      <c r="AD56" s="1">
        <v>72500</v>
      </c>
      <c r="AE56" s="1">
        <v>80900</v>
      </c>
    </row>
    <row r="57" spans="13:31" x14ac:dyDescent="0.25">
      <c r="M57" t="s">
        <v>60</v>
      </c>
      <c r="N57">
        <v>752</v>
      </c>
      <c r="O57">
        <v>860</v>
      </c>
      <c r="P57">
        <v>1132</v>
      </c>
      <c r="Q57">
        <v>1556</v>
      </c>
      <c r="R57">
        <v>1938</v>
      </c>
      <c r="T57" t="s">
        <v>60</v>
      </c>
      <c r="U57" s="1">
        <v>364800</v>
      </c>
      <c r="V57" s="4">
        <f>BasisDelta[[#This Row],[2-BR BL]]/$T$1-100%</f>
        <v>0.14572864321608048</v>
      </c>
      <c r="W57" s="4">
        <f>BasisDelta[[#This Row],[2-BR BL]]/Average2brBL-100%</f>
        <v>0</v>
      </c>
      <c r="Y57" t="s">
        <v>60</v>
      </c>
      <c r="Z57" s="1">
        <v>75600</v>
      </c>
      <c r="AA57" s="1">
        <v>52100</v>
      </c>
      <c r="AB57" s="1">
        <v>55850</v>
      </c>
      <c r="AC57" s="1">
        <v>67000</v>
      </c>
      <c r="AD57" s="1">
        <v>77400</v>
      </c>
      <c r="AE57" s="1">
        <v>86400</v>
      </c>
    </row>
    <row r="58" spans="13:31" x14ac:dyDescent="0.25">
      <c r="M58" t="s">
        <v>61</v>
      </c>
      <c r="N58">
        <v>1507</v>
      </c>
      <c r="O58">
        <v>1792</v>
      </c>
      <c r="P58">
        <v>2218</v>
      </c>
      <c r="Q58">
        <v>3101</v>
      </c>
      <c r="R58">
        <v>3655</v>
      </c>
      <c r="T58" t="s">
        <v>61</v>
      </c>
      <c r="U58" s="1">
        <v>422400</v>
      </c>
      <c r="V58" s="4">
        <f>BasisDelta[[#This Row],[2-BR BL]]/$T$1-100%</f>
        <v>0.3266331658291457</v>
      </c>
      <c r="W58" s="4">
        <f>BasisDelta[[#This Row],[2-BR BL]]/Average2brBL-100%</f>
        <v>0.15789473684210531</v>
      </c>
      <c r="Y58" t="s">
        <v>61</v>
      </c>
      <c r="Z58" s="1">
        <v>98800</v>
      </c>
      <c r="AA58" s="1">
        <v>78500</v>
      </c>
      <c r="AB58" s="1">
        <v>84100</v>
      </c>
      <c r="AC58" s="1">
        <v>100900</v>
      </c>
      <c r="AD58" s="1">
        <v>116600</v>
      </c>
      <c r="AE58" s="1">
        <v>130100</v>
      </c>
    </row>
    <row r="59" spans="13:31" x14ac:dyDescent="0.25">
      <c r="M59" t="s">
        <v>62</v>
      </c>
      <c r="N59">
        <v>1212</v>
      </c>
      <c r="O59">
        <v>1280</v>
      </c>
      <c r="P59">
        <v>1684</v>
      </c>
      <c r="Q59">
        <v>2353</v>
      </c>
      <c r="R59">
        <v>2843</v>
      </c>
      <c r="T59" t="s">
        <v>62</v>
      </c>
      <c r="U59" s="1">
        <v>387200</v>
      </c>
      <c r="V59" s="4">
        <f>BasisDelta[[#This Row],[2-BR BL]]/$T$1-100%</f>
        <v>0.21608040201005019</v>
      </c>
      <c r="W59" s="4">
        <f>BasisDelta[[#This Row],[2-BR BL]]/Average2brBL-100%</f>
        <v>6.1403508771929793E-2</v>
      </c>
      <c r="Y59" t="s">
        <v>62</v>
      </c>
      <c r="Z59" s="1">
        <v>88600</v>
      </c>
      <c r="AA59" s="1">
        <v>62100</v>
      </c>
      <c r="AB59" s="1">
        <v>66500</v>
      </c>
      <c r="AC59" s="1">
        <v>79800</v>
      </c>
      <c r="AD59" s="1">
        <v>92150</v>
      </c>
      <c r="AE59" s="1">
        <v>102800</v>
      </c>
    </row>
    <row r="60" spans="13:31" x14ac:dyDescent="0.25">
      <c r="M60" t="s">
        <v>63</v>
      </c>
      <c r="N60">
        <v>920</v>
      </c>
      <c r="O60">
        <v>926</v>
      </c>
      <c r="P60">
        <v>1173</v>
      </c>
      <c r="Q60">
        <v>1666</v>
      </c>
      <c r="R60">
        <v>2008</v>
      </c>
      <c r="T60" t="s">
        <v>63</v>
      </c>
      <c r="U60" s="1">
        <v>387200</v>
      </c>
      <c r="V60" s="4">
        <f>BasisDelta[[#This Row],[2-BR BL]]/$T$1-100%</f>
        <v>0.21608040201005019</v>
      </c>
      <c r="W60" s="4">
        <f>BasisDelta[[#This Row],[2-BR BL]]/Average2brBL-100%</f>
        <v>6.1403508771929793E-2</v>
      </c>
      <c r="Y60" t="s">
        <v>63</v>
      </c>
      <c r="Z60" s="1">
        <v>66800</v>
      </c>
      <c r="AA60" s="1">
        <v>48800</v>
      </c>
      <c r="AB60" s="1">
        <v>52300</v>
      </c>
      <c r="AC60" s="1">
        <v>62800</v>
      </c>
      <c r="AD60" s="1">
        <v>72500</v>
      </c>
      <c r="AE60" s="1">
        <v>80900</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8CE213191609344AAA5D7C064CBFE04" ma:contentTypeVersion="8" ma:contentTypeDescription="Create a new document." ma:contentTypeScope="" ma:versionID="3ab8be0cc8ffae6f01f807cf0a7a603b">
  <xsd:schema xmlns:xsd="http://www.w3.org/2001/XMLSchema" xmlns:xs="http://www.w3.org/2001/XMLSchema" xmlns:p="http://schemas.microsoft.com/office/2006/metadata/properties" xmlns:ns1="http://schemas.microsoft.com/sharepoint/v3" xmlns:ns3="f8c6e0e8-a3c1-43e3-a215-cf247e4c98e7" targetNamespace="http://schemas.microsoft.com/office/2006/metadata/properties" ma:root="true" ma:fieldsID="a6f0d85e5142ebaa9e561b17cb5d8941" ns1:_="" ns3:_="">
    <xsd:import namespace="http://schemas.microsoft.com/sharepoint/v3"/>
    <xsd:import namespace="f8c6e0e8-a3c1-43e3-a215-cf247e4c98e7"/>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4" nillable="true" ma:displayName="Unified Compliance Policy Properties" ma:hidden="true" ma:internalName="_ip_UnifiedCompliancePolicyProperties">
      <xsd:simpleType>
        <xsd:restriction base="dms:Note"/>
      </xsd:simpleType>
    </xsd:element>
    <xsd:element name="_ip_UnifiedCompliancePolicyUIAction" ma:index="15"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8c6e0e8-a3c1-43e3-a215-cf247e4c98e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30B58365-31BC-404C-B071-4DFE54855F1A}">
  <ds:schemaRefs>
    <ds:schemaRef ds:uri="http://schemas.microsoft.com/sharepoint/v3/contenttype/forms"/>
  </ds:schemaRefs>
</ds:datastoreItem>
</file>

<file path=customXml/itemProps2.xml><?xml version="1.0" encoding="utf-8"?>
<ds:datastoreItem xmlns:ds="http://schemas.openxmlformats.org/officeDocument/2006/customXml" ds:itemID="{70610635-678C-4FE5-BC9A-09399131E81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f8c6e0e8-a3c1-43e3-a215-cf247e4c98e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58A4D324-BB1D-408C-B08A-16B90C3EF6BC}">
  <ds:schemaRefs>
    <ds:schemaRef ds:uri="http://schemas.microsoft.com/office/2006/documentManagement/types"/>
    <ds:schemaRef ds:uri="http://schemas.microsoft.com/office/infopath/2007/PartnerControls"/>
    <ds:schemaRef ds:uri="f8c6e0e8-a3c1-43e3-a215-cf247e4c98e7"/>
    <ds:schemaRef ds:uri="http://purl.org/dc/elements/1.1/"/>
    <ds:schemaRef ds:uri="http://schemas.microsoft.com/office/2006/metadata/properties"/>
    <ds:schemaRef ds:uri="http://schemas.microsoft.com/sharepoint/v3"/>
    <ds:schemaRef ds:uri="http://purl.org/dc/terms/"/>
    <ds:schemaRef ds:uri="http://schemas.openxmlformats.org/package/2006/metadata/core-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34</vt:i4>
      </vt:variant>
    </vt:vector>
  </HeadingPairs>
  <TitlesOfParts>
    <vt:vector size="37" baseType="lpstr">
      <vt:lpstr>CDLAC Self Score Tie Breaker</vt:lpstr>
      <vt:lpstr>Unit Mix for Tiebreaker</vt:lpstr>
      <vt:lpstr>Lists</vt:lpstr>
      <vt:lpstr>Average2brBL</vt:lpstr>
      <vt:lpstr>BasisDeltaMultiplier</vt:lpstr>
      <vt:lpstr>BenefitComRev</vt:lpstr>
      <vt:lpstr>BenefitHighestRes</vt:lpstr>
      <vt:lpstr>BenefitHighRes</vt:lpstr>
      <vt:lpstr>BenefitHqTransit</vt:lpstr>
      <vt:lpstr>BenefitModRes</vt:lpstr>
      <vt:lpstr>BenefitProduction</vt:lpstr>
      <vt:lpstr>BenefitTodFactor</vt:lpstr>
      <vt:lpstr>BenefitWalkable</vt:lpstr>
      <vt:lpstr>CountyFMR</vt:lpstr>
      <vt:lpstr>DataAmi</vt:lpstr>
      <vt:lpstr>DataFmr</vt:lpstr>
      <vt:lpstr>DeltaMax</vt:lpstr>
      <vt:lpstr>DiscountDensityI</vt:lpstr>
      <vt:lpstr>DiscountDensityIII</vt:lpstr>
      <vt:lpstr>DiscountPrevailing</vt:lpstr>
      <vt:lpstr>Factor0Br</vt:lpstr>
      <vt:lpstr>Factor1Br</vt:lpstr>
      <vt:lpstr>Factor2Br</vt:lpstr>
      <vt:lpstr>Factor3Br</vt:lpstr>
      <vt:lpstr>Factor4Br</vt:lpstr>
      <vt:lpstr>ListAmis</vt:lpstr>
      <vt:lpstr>ListCounties</vt:lpstr>
      <vt:lpstr>ListCounty</vt:lpstr>
      <vt:lpstr>ListCountyRows</vt:lpstr>
      <vt:lpstr>ListOpportunityAreas</vt:lpstr>
      <vt:lpstr>PopEli</vt:lpstr>
      <vt:lpstr>PopSn</vt:lpstr>
      <vt:lpstr>'CDLAC Self Score Tie Breaker'!Print_Area</vt:lpstr>
      <vt:lpstr>'CDLAC Self Score Tie Breaker'!Print_Titles</vt:lpstr>
      <vt:lpstr>RentLimitFloor</vt:lpstr>
      <vt:lpstr>RentSavingsDuration</vt:lpstr>
      <vt:lpstr>UnitAdjFactors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Caleb Roope</dc:creator>
  <cp:lastModifiedBy>Mara Blitzer</cp:lastModifiedBy>
  <cp:lastPrinted>2021-12-02T02:10:27Z</cp:lastPrinted>
  <dcterms:created xsi:type="dcterms:W3CDTF">2020-02-15T22:38:33Z</dcterms:created>
  <dcterms:modified xsi:type="dcterms:W3CDTF">2023-01-24T00:02:35Z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0x01010078CE213191609344AAA5D7C064CBFE04</vt:lpwstr>
  </property>
</Properties>
</file>